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drawings/drawing20.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21.xml" ContentType="application/vnd.openxmlformats-officedocument.drawing+xml"/>
  <Override PartName="/xl/charts/chart27.xml" ContentType="application/vnd.openxmlformats-officedocument.drawingml.chart+xml"/>
  <Override PartName="/xl/charts/style24.xml" ContentType="application/vnd.ms-office.chartstyle+xml"/>
  <Override PartName="/xl/charts/colors24.xml" ContentType="application/vnd.ms-office.chartcolorstyle+xml"/>
  <Override PartName="/xl/charts/chart28.xml" ContentType="application/vnd.openxmlformats-officedocument.drawingml.chart+xml"/>
  <Override PartName="/xl/charts/style25.xml" ContentType="application/vnd.ms-office.chartstyle+xml"/>
  <Override PartName="/xl/charts/colors25.xml" ContentType="application/vnd.ms-office.chartcolorstyle+xml"/>
  <Override PartName="/xl/charts/chart29.xml" ContentType="application/vnd.openxmlformats-officedocument.drawingml.chart+xml"/>
  <Override PartName="/xl/charts/style26.xml" ContentType="application/vnd.ms-office.chartstyle+xml"/>
  <Override PartName="/xl/charts/colors26.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deleon\Documents\1A-VIGENCIA 2014-2015-2016\4 MAPA DE RIESGOS\2 2016 Seguimiento\"/>
    </mc:Choice>
  </mc:AlternateContent>
  <bookViews>
    <workbookView xWindow="0" yWindow="0" windowWidth="20490" windowHeight="7755" tabRatio="951" firstSheet="6" activeTab="21"/>
  </bookViews>
  <sheets>
    <sheet name="CONTEXTO ESTRATEGICO" sheetId="7" r:id="rId1"/>
    <sheet name="IDENTIFICACIÓN" sheetId="2" r:id="rId2"/>
    <sheet name="ANALISIS" sheetId="3" r:id="rId3"/>
    <sheet name="VALORACIÓN" sheetId="8" r:id="rId4"/>
    <sheet name="CONSOLIDACION DEL MAPA" sheetId="6" r:id="rId5"/>
    <sheet name="CRONOGRAMA" sheetId="13" r:id="rId6"/>
    <sheet name="SEGUIMIENTO Y MONITOREO" sheetId="11" r:id="rId7"/>
    <sheet name="ESTADISTICAS" sheetId="14" r:id="rId8"/>
    <sheet name="Datos" sheetId="5" state="hidden" r:id="rId9"/>
    <sheet name="TGS" sheetId="12" r:id="rId10"/>
    <sheet name="TGS C" sheetId="22" r:id="rId11"/>
    <sheet name="RXC" sheetId="15" r:id="rId12"/>
    <sheet name="RXC C" sheetId="23" r:id="rId13"/>
    <sheet name="AXR" sheetId="16" r:id="rId14"/>
    <sheet name="AXR C" sheetId="24" r:id="rId15"/>
    <sheet name="CONT" sheetId="18" r:id="rId16"/>
    <sheet name="CONT C" sheetId="26" r:id="rId17"/>
    <sheet name="CYER" sheetId="19" r:id="rId18"/>
    <sheet name="CYER C" sheetId="27" r:id="rId19"/>
    <sheet name="AYCM" sheetId="21" r:id="rId20"/>
    <sheet name="AYCM C" sheetId="25" r:id="rId21"/>
    <sheet name="AVANCE" sheetId="28" r:id="rId22"/>
    <sheet name="Cartilla Guía" sheetId="10" r:id="rId23"/>
  </sheets>
  <definedNames>
    <definedName name="_xlnm._FilterDatabase" localSheetId="2" hidden="1">ANALISIS!#REF!</definedName>
    <definedName name="_xlnm._FilterDatabase" localSheetId="3" hidden="1">VALORACIÓN!#REF!</definedName>
    <definedName name="_ind1">Datos!$R$2:$R$4</definedName>
    <definedName name="_xlnm.Print_Area" localSheetId="2">ANALISIS!$A$1:$J$20</definedName>
    <definedName name="_xlnm.Print_Area" localSheetId="21">AVANCE!$A$1:$H$24</definedName>
    <definedName name="_xlnm.Print_Area" localSheetId="7">ESTADISTICAS!$A$1:$E$15</definedName>
    <definedName name="_xlnm.Print_Area" localSheetId="1">IDENTIFICACIÓN!$B$1:$F$18</definedName>
    <definedName name="_xlnm.Print_Area" localSheetId="3">VALORACIÓN!$A$1:$AA$39</definedName>
    <definedName name="automanu">Datos!$C$16:$C$17</definedName>
    <definedName name="Direccionamiento_Estrategico">Datos!$G$2:$G$5</definedName>
    <definedName name="disminuye">Datos!$P$2:$P$3</definedName>
    <definedName name="exis">Datos!$C$2:$C$3</definedName>
    <definedName name="exisc">Datos!$C$6:$C$8</definedName>
    <definedName name="exisc23">Datos!$C$11:$C$12</definedName>
    <definedName name="Gestión_de_Divulgación" localSheetId="0">Datos!$I$2:$I$3</definedName>
    <definedName name="imp">Datos!$B$2:$B$6</definedName>
    <definedName name="ind">Datos!$O$2:$O$4</definedName>
    <definedName name="indicador">Datos!$R$2:$R$3</definedName>
    <definedName name="inst">'CONTEXTO ESTRATEGICO'!$E$7</definedName>
    <definedName name="mproc">Datos!$G$2:$G$22</definedName>
    <definedName name="na">Datos!$AK$3</definedName>
    <definedName name="Ninguno" localSheetId="0">Datos!$H$2</definedName>
    <definedName name="no">Datos!$D$2</definedName>
    <definedName name="noapli">Datos!$R$4</definedName>
    <definedName name="noaplica">Datos!$Q$2</definedName>
    <definedName name="opcmanc">Datos!$AM$3:$AM$5</definedName>
    <definedName name="opcmang">Datos!$AL$3:$AL$8</definedName>
    <definedName name="pcinco">Datos!$K$2:$K$5</definedName>
    <definedName name="pdos">Datos!$I$2:$I$3</definedName>
    <definedName name="pocho">Datos!$M$2:$M$5</definedName>
    <definedName name="pond" localSheetId="21">Datos!#REF!</definedName>
    <definedName name="pond" localSheetId="13">Datos!#REF!</definedName>
    <definedName name="pond" localSheetId="14">Datos!#REF!</definedName>
    <definedName name="pond" localSheetId="19">Datos!#REF!</definedName>
    <definedName name="pond" localSheetId="20">Datos!#REF!</definedName>
    <definedName name="pond" localSheetId="15">Datos!#REF!</definedName>
    <definedName name="pond" localSheetId="16">Datos!#REF!</definedName>
    <definedName name="pond" localSheetId="5">Datos!#REF!</definedName>
    <definedName name="pond" localSheetId="17">Datos!#REF!</definedName>
    <definedName name="pond" localSheetId="18">Datos!#REF!</definedName>
    <definedName name="pond" localSheetId="7">Datos!#REF!</definedName>
    <definedName name="pond" localSheetId="11">Datos!#REF!</definedName>
    <definedName name="pond" localSheetId="12">Datos!#REF!</definedName>
    <definedName name="pond" localSheetId="10">Datos!#REF!</definedName>
    <definedName name="pond" localSheetId="3">Datos!#REF!</definedName>
    <definedName name="pond">Datos!#REF!</definedName>
    <definedName name="poscorrup">Datos!$A$9:$A$10</definedName>
    <definedName name="pquince">Datos!$N$2:$N$7</definedName>
    <definedName name="prob">Datos!$A$2:$A$6</definedName>
    <definedName name="proc">Datos!$G$2:$G$5</definedName>
    <definedName name="pseis">Datos!$L$2:$L$5</definedName>
    <definedName name="ptres">Datos!$J$2:$J$5</definedName>
    <definedName name="puno">Datos!$H$2</definedName>
    <definedName name="resto">Datos!$H$2</definedName>
    <definedName name="segdos">Datos!$T$2:$T$14</definedName>
    <definedName name="segtres">Datos!$U$2:$U$14</definedName>
    <definedName name="seguno">Datos!$S$2:$S$14</definedName>
    <definedName name="si">Datos!$AK$2</definedName>
    <definedName name="tip">Datos!$E$2:$E$3</definedName>
    <definedName name="zona" localSheetId="21">Datos!#REF!</definedName>
    <definedName name="zona" localSheetId="13">Datos!#REF!</definedName>
    <definedName name="zona" localSheetId="14">Datos!#REF!</definedName>
    <definedName name="zona" localSheetId="19">Datos!#REF!</definedName>
    <definedName name="zona" localSheetId="20">Datos!#REF!</definedName>
    <definedName name="zona" localSheetId="15">Datos!#REF!</definedName>
    <definedName name="zona" localSheetId="16">Datos!#REF!</definedName>
    <definedName name="zona" localSheetId="5">Datos!#REF!</definedName>
    <definedName name="zona" localSheetId="17">Datos!#REF!</definedName>
    <definedName name="zona" localSheetId="18">Datos!#REF!</definedName>
    <definedName name="zona" localSheetId="7">Datos!#REF!</definedName>
    <definedName name="zona" localSheetId="11">Datos!#REF!</definedName>
    <definedName name="zona" localSheetId="12">Datos!#REF!</definedName>
    <definedName name="zona" localSheetId="10">Datos!#REF!</definedName>
    <definedName name="zona" localSheetId="3">Datos!#REF!</definedName>
    <definedName name="zona">Datos!#REF!</definedName>
  </definedNames>
  <calcPr calcId="152511"/>
</workbook>
</file>

<file path=xl/calcChain.xml><?xml version="1.0" encoding="utf-8"?>
<calcChain xmlns="http://schemas.openxmlformats.org/spreadsheetml/2006/main">
  <c r="Z166" i="11" l="1"/>
  <c r="Z128" i="11" l="1"/>
  <c r="Z125" i="11"/>
  <c r="Z122" i="11"/>
  <c r="Z9" i="11" l="1"/>
  <c r="Z190" i="11" l="1"/>
  <c r="Z185" i="11"/>
  <c r="Z176" i="11" l="1"/>
  <c r="Z72" i="11" l="1"/>
  <c r="AD96" i="11" l="1"/>
  <c r="AD97" i="11"/>
  <c r="AD98" i="11"/>
  <c r="AD99" i="11"/>
  <c r="AD100" i="11"/>
  <c r="AD101" i="11"/>
  <c r="AD102" i="11"/>
  <c r="AD103" i="11"/>
  <c r="AD104" i="11"/>
  <c r="AD105" i="11"/>
  <c r="AD106" i="11"/>
  <c r="AD107" i="11"/>
  <c r="AD108" i="11"/>
  <c r="AD109" i="11"/>
  <c r="AD110" i="11"/>
  <c r="AD111" i="11"/>
  <c r="AD112" i="11"/>
  <c r="AD113" i="11"/>
  <c r="AD114" i="11"/>
  <c r="AD115" i="11"/>
  <c r="AD116" i="11"/>
  <c r="AD117" i="11"/>
  <c r="AD118" i="11"/>
  <c r="AD119" i="11"/>
  <c r="AD120" i="11"/>
  <c r="AD121" i="11"/>
  <c r="AD122" i="11"/>
  <c r="AD123" i="11"/>
  <c r="AD124" i="11"/>
  <c r="AD125" i="11"/>
  <c r="AD126" i="11"/>
  <c r="AD127" i="11"/>
  <c r="AD128" i="11"/>
  <c r="AD129" i="11"/>
  <c r="AD130" i="11"/>
  <c r="AD131" i="11"/>
  <c r="AD132" i="11"/>
  <c r="AD133" i="11"/>
  <c r="AD134" i="11"/>
  <c r="AD135" i="11"/>
  <c r="AD136" i="11"/>
  <c r="AD137" i="11"/>
  <c r="AD138" i="11"/>
  <c r="AD139" i="11"/>
  <c r="AD140" i="11"/>
  <c r="AD141" i="11"/>
  <c r="AD142" i="11"/>
  <c r="AD143" i="11"/>
  <c r="AD144" i="11"/>
  <c r="AD145" i="11"/>
  <c r="AD146" i="11"/>
  <c r="AD147" i="11"/>
  <c r="AD148" i="11"/>
  <c r="AD149" i="11"/>
  <c r="AD150" i="11"/>
  <c r="AD151" i="11"/>
  <c r="AD152" i="11"/>
  <c r="AD153" i="11"/>
  <c r="AD154" i="11"/>
  <c r="AD155" i="11"/>
  <c r="AD156" i="11"/>
  <c r="AD157" i="11"/>
  <c r="AD158" i="11"/>
  <c r="AD159" i="11"/>
  <c r="AD160" i="11"/>
  <c r="AD161" i="11"/>
  <c r="AD162" i="11"/>
  <c r="AD163" i="11"/>
  <c r="AD164" i="11"/>
  <c r="AD165" i="11"/>
  <c r="AD166" i="11"/>
  <c r="AD167" i="11"/>
  <c r="AD168" i="11"/>
  <c r="AD169" i="11"/>
  <c r="AD170" i="11"/>
  <c r="AD171" i="11"/>
  <c r="AD172" i="11"/>
  <c r="AD173" i="11"/>
  <c r="AD174" i="11"/>
  <c r="AD175" i="11"/>
  <c r="AD176" i="11"/>
  <c r="AD177" i="11"/>
  <c r="AD178" i="11"/>
  <c r="AD179" i="11"/>
  <c r="AD180" i="11"/>
  <c r="AD181" i="11"/>
  <c r="AD182" i="11"/>
  <c r="AD183" i="11"/>
  <c r="AD184" i="11"/>
  <c r="AD185" i="11"/>
  <c r="AD186" i="11"/>
  <c r="AD187" i="11"/>
  <c r="AD188" i="11"/>
  <c r="AD189" i="11"/>
  <c r="AD190" i="11"/>
  <c r="AD191" i="11"/>
  <c r="AD192" i="11"/>
  <c r="AD193" i="11"/>
  <c r="AD194" i="11"/>
  <c r="AD195" i="11"/>
  <c r="AD196" i="11"/>
  <c r="AD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J119" i="11"/>
  <c r="J120" i="11"/>
  <c r="J121" i="11"/>
  <c r="J122" i="11"/>
  <c r="J123" i="11"/>
  <c r="J124" i="11"/>
  <c r="J125" i="11"/>
  <c r="J126" i="11"/>
  <c r="J127" i="11"/>
  <c r="J128" i="11"/>
  <c r="J129" i="11"/>
  <c r="J130" i="11"/>
  <c r="J131" i="11"/>
  <c r="J132" i="11"/>
  <c r="J133" i="11"/>
  <c r="J134" i="11"/>
  <c r="J135" i="11"/>
  <c r="J136" i="11"/>
  <c r="J137" i="11"/>
  <c r="J138" i="11"/>
  <c r="J139" i="11"/>
  <c r="J140" i="11"/>
  <c r="J141" i="11"/>
  <c r="J142" i="1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95" i="11"/>
  <c r="T96" i="11"/>
  <c r="T97" i="11"/>
  <c r="T98" i="11"/>
  <c r="T99" i="11"/>
  <c r="T100" i="11"/>
  <c r="T101" i="11"/>
  <c r="T102" i="11"/>
  <c r="T103" i="11"/>
  <c r="T104" i="11"/>
  <c r="T105" i="11"/>
  <c r="T106" i="11"/>
  <c r="T107" i="11"/>
  <c r="T108" i="11"/>
  <c r="T109" i="11"/>
  <c r="T110" i="11"/>
  <c r="T111" i="11"/>
  <c r="T112" i="11"/>
  <c r="T113" i="11"/>
  <c r="T114" i="11"/>
  <c r="T115" i="11"/>
  <c r="T116" i="11"/>
  <c r="T117" i="11"/>
  <c r="T118" i="11"/>
  <c r="T119" i="11"/>
  <c r="T120" i="11"/>
  <c r="T121" i="11"/>
  <c r="T122" i="11"/>
  <c r="T123" i="11"/>
  <c r="T124" i="11"/>
  <c r="T125" i="11"/>
  <c r="T126" i="11"/>
  <c r="T127" i="11"/>
  <c r="T128" i="11"/>
  <c r="T129" i="11"/>
  <c r="T130" i="11"/>
  <c r="T131" i="11"/>
  <c r="T132" i="11"/>
  <c r="T133" i="11"/>
  <c r="T134" i="11"/>
  <c r="T135" i="11"/>
  <c r="T136" i="11"/>
  <c r="T137" i="11"/>
  <c r="T138" i="11"/>
  <c r="T139" i="11"/>
  <c r="T140" i="11"/>
  <c r="T141" i="11"/>
  <c r="T142" i="11"/>
  <c r="T143" i="11"/>
  <c r="T144" i="11"/>
  <c r="T145" i="11"/>
  <c r="T146" i="11"/>
  <c r="T147" i="11"/>
  <c r="T148" i="11"/>
  <c r="T149" i="11"/>
  <c r="T150" i="11"/>
  <c r="T151" i="11"/>
  <c r="T152" i="11"/>
  <c r="T153" i="11"/>
  <c r="T154" i="11"/>
  <c r="T155" i="11"/>
  <c r="T156" i="11"/>
  <c r="T157" i="11"/>
  <c r="T158" i="11"/>
  <c r="T159" i="11"/>
  <c r="T160" i="11"/>
  <c r="T161" i="11"/>
  <c r="T162" i="11"/>
  <c r="T163" i="11"/>
  <c r="T164" i="11"/>
  <c r="T165" i="11"/>
  <c r="T166" i="11"/>
  <c r="T167" i="11"/>
  <c r="T168" i="11"/>
  <c r="T169" i="11"/>
  <c r="T170" i="11"/>
  <c r="T171" i="11"/>
  <c r="T172" i="11"/>
  <c r="T173" i="11"/>
  <c r="T174" i="11"/>
  <c r="T175" i="11"/>
  <c r="T176" i="11"/>
  <c r="T177" i="11"/>
  <c r="T178" i="11"/>
  <c r="T179" i="11"/>
  <c r="T180" i="11"/>
  <c r="T181" i="11"/>
  <c r="T182" i="11"/>
  <c r="T183" i="11"/>
  <c r="T184" i="11"/>
  <c r="T185" i="11"/>
  <c r="T186" i="11"/>
  <c r="T187" i="11"/>
  <c r="T188" i="11"/>
  <c r="T189" i="11"/>
  <c r="T190" i="11"/>
  <c r="T191" i="11"/>
  <c r="T192" i="11"/>
  <c r="T193" i="11"/>
  <c r="T194" i="11"/>
  <c r="T195" i="11"/>
  <c r="T196" i="11"/>
  <c r="T95" i="11"/>
  <c r="Z56" i="11" l="1"/>
  <c r="Z55" i="11"/>
  <c r="AD10" i="11" l="1"/>
  <c r="AD11" i="11"/>
  <c r="AD12" i="11"/>
  <c r="AD13" i="11"/>
  <c r="AD14" i="11"/>
  <c r="AD15" i="11"/>
  <c r="AD16" i="11"/>
  <c r="AD17" i="11"/>
  <c r="AD18" i="11"/>
  <c r="AD19" i="11"/>
  <c r="AD20" i="11"/>
  <c r="AD21" i="11"/>
  <c r="AD22" i="11"/>
  <c r="AD23" i="11"/>
  <c r="AD24" i="11"/>
  <c r="AD25"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 i="11"/>
  <c r="T197" i="11"/>
  <c r="T198" i="11"/>
  <c r="T10" i="11"/>
  <c r="T11" i="11"/>
  <c r="T12" i="11"/>
  <c r="T13" i="11"/>
  <c r="T14" i="11"/>
  <c r="T15" i="11"/>
  <c r="T16" i="11"/>
  <c r="T17" i="11"/>
  <c r="T18" i="11"/>
  <c r="T19" i="1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60" i="11"/>
  <c r="T61" i="11"/>
  <c r="T62" i="11"/>
  <c r="T63" i="11"/>
  <c r="T64" i="11"/>
  <c r="T65" i="11"/>
  <c r="T66" i="11"/>
  <c r="T67" i="11"/>
  <c r="T68" i="11"/>
  <c r="T69" i="11"/>
  <c r="T70" i="11"/>
  <c r="T71" i="11"/>
  <c r="T72" i="11"/>
  <c r="T73" i="11"/>
  <c r="T74" i="11"/>
  <c r="T75" i="11"/>
  <c r="T76" i="11"/>
  <c r="T77" i="11"/>
  <c r="T78" i="11"/>
  <c r="T79" i="11"/>
  <c r="T80" i="11"/>
  <c r="T81" i="11"/>
  <c r="T82" i="11"/>
  <c r="T83" i="11"/>
  <c r="T84" i="11"/>
  <c r="T85" i="11"/>
  <c r="T86" i="11"/>
  <c r="T87" i="11"/>
  <c r="T88" i="11"/>
  <c r="T89" i="11"/>
  <c r="T90" i="11"/>
  <c r="T91" i="11"/>
  <c r="T92"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10" i="11"/>
  <c r="J11"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93" i="11"/>
  <c r="B8" i="28" l="1"/>
  <c r="B8" i="25"/>
  <c r="L11" i="27"/>
  <c r="L10" i="27"/>
  <c r="H11" i="27"/>
  <c r="H10" i="27"/>
  <c r="C11" i="27"/>
  <c r="C10" i="27"/>
  <c r="B8" i="27"/>
  <c r="L13" i="19"/>
  <c r="L12" i="19"/>
  <c r="L11" i="19"/>
  <c r="L10" i="19"/>
  <c r="L14" i="19"/>
  <c r="K14" i="19"/>
  <c r="K13" i="19"/>
  <c r="K12" i="19"/>
  <c r="K11" i="19"/>
  <c r="K10" i="19"/>
  <c r="J14" i="19"/>
  <c r="J13" i="19"/>
  <c r="J12" i="19"/>
  <c r="J11" i="19"/>
  <c r="J10" i="19"/>
  <c r="I14" i="19"/>
  <c r="I13" i="19"/>
  <c r="I12" i="19"/>
  <c r="I11" i="19"/>
  <c r="I10" i="19"/>
  <c r="H14" i="19"/>
  <c r="H13" i="19"/>
  <c r="H12" i="19"/>
  <c r="H11" i="19"/>
  <c r="H10" i="19"/>
  <c r="D14" i="19"/>
  <c r="D13" i="19"/>
  <c r="D12" i="19"/>
  <c r="D11" i="19"/>
  <c r="D10" i="19"/>
  <c r="C14" i="19"/>
  <c r="C13" i="19"/>
  <c r="C12" i="19"/>
  <c r="C11" i="19"/>
  <c r="C10" i="19"/>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H65" i="5"/>
  <c r="AH64"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G65" i="5"/>
  <c r="AG64" i="5"/>
  <c r="AG63" i="5"/>
  <c r="AG62" i="5"/>
  <c r="AG61" i="5"/>
  <c r="AG60" i="5"/>
  <c r="AG59" i="5"/>
  <c r="AG58" i="5"/>
  <c r="AG57" i="5"/>
  <c r="AG56" i="5"/>
  <c r="AG55" i="5"/>
  <c r="AG54" i="5"/>
  <c r="AG53" i="5"/>
  <c r="AG52" i="5"/>
  <c r="AG51" i="5"/>
  <c r="AG50" i="5"/>
  <c r="AG49" i="5"/>
  <c r="AG48" i="5"/>
  <c r="AG47" i="5"/>
  <c r="AG46" i="5"/>
  <c r="AG45" i="5"/>
  <c r="AG44" i="5"/>
  <c r="AG43" i="5"/>
  <c r="AG42" i="5"/>
  <c r="AG41" i="5"/>
  <c r="AG40" i="5"/>
  <c r="AG39" i="5"/>
  <c r="AG38" i="5"/>
  <c r="AG37" i="5"/>
  <c r="AG36" i="5"/>
  <c r="AI30" i="5"/>
  <c r="AI29" i="5"/>
  <c r="AI28" i="5"/>
  <c r="AI27" i="5"/>
  <c r="AI26" i="5"/>
  <c r="AI25" i="5"/>
  <c r="AI24" i="5"/>
  <c r="AI23" i="5"/>
  <c r="AI22" i="5"/>
  <c r="AI21" i="5"/>
  <c r="AI20" i="5"/>
  <c r="AI19" i="5"/>
  <c r="AI18" i="5"/>
  <c r="AI17" i="5"/>
  <c r="AI16" i="5"/>
  <c r="AI15" i="5"/>
  <c r="AI14" i="5"/>
  <c r="AI13" i="5"/>
  <c r="AH30" i="5"/>
  <c r="AH29" i="5"/>
  <c r="AH28" i="5"/>
  <c r="AH27" i="5"/>
  <c r="AH26" i="5"/>
  <c r="AH25" i="5"/>
  <c r="AH24" i="5"/>
  <c r="AH23" i="5"/>
  <c r="AH22" i="5"/>
  <c r="AH21" i="5"/>
  <c r="AH20" i="5"/>
  <c r="AH19" i="5"/>
  <c r="AH18" i="5"/>
  <c r="AH17" i="5"/>
  <c r="AH16" i="5"/>
  <c r="AH15" i="5"/>
  <c r="AH14" i="5"/>
  <c r="AH13" i="5"/>
  <c r="AG12" i="5"/>
  <c r="AG30" i="5"/>
  <c r="AG29" i="5"/>
  <c r="AG28" i="5"/>
  <c r="AG27" i="5"/>
  <c r="AG26" i="5"/>
  <c r="AG25" i="5"/>
  <c r="AG24" i="5"/>
  <c r="AG23" i="5"/>
  <c r="AG22" i="5"/>
  <c r="AG21" i="5"/>
  <c r="AG20" i="5"/>
  <c r="AG19" i="5"/>
  <c r="AG18" i="5"/>
  <c r="AG17" i="5"/>
  <c r="AG16" i="5"/>
  <c r="AG15" i="5"/>
  <c r="AG14" i="5"/>
  <c r="AG13" i="5"/>
  <c r="U10" i="26"/>
  <c r="U11" i="26"/>
  <c r="T11" i="26"/>
  <c r="T10" i="26"/>
  <c r="R11" i="26"/>
  <c r="R10" i="26"/>
  <c r="Q11" i="26"/>
  <c r="Q10" i="26"/>
  <c r="O11" i="26"/>
  <c r="O10" i="26"/>
  <c r="N11" i="26"/>
  <c r="N10" i="26"/>
  <c r="L11" i="26"/>
  <c r="L10" i="26"/>
  <c r="K11" i="26"/>
  <c r="K10" i="26"/>
  <c r="I11" i="26"/>
  <c r="I10" i="26"/>
  <c r="H11" i="26"/>
  <c r="H10" i="26"/>
  <c r="F11" i="26"/>
  <c r="F10" i="26"/>
  <c r="D11" i="26"/>
  <c r="D10" i="26"/>
  <c r="C11" i="26"/>
  <c r="C10" i="26"/>
  <c r="B8" i="26"/>
  <c r="BM8" i="8"/>
  <c r="BL8" i="8"/>
  <c r="BK8" i="8"/>
  <c r="BJ8" i="8"/>
  <c r="BI8" i="8"/>
  <c r="BH8" i="8"/>
  <c r="BG8" i="8"/>
  <c r="BF8" i="8"/>
  <c r="BE8" i="8"/>
  <c r="BD8" i="8"/>
  <c r="BC8" i="8"/>
  <c r="BB8" i="8"/>
  <c r="BM6" i="8"/>
  <c r="BL6" i="8"/>
  <c r="BK6" i="8"/>
  <c r="BJ6" i="8"/>
  <c r="BI6" i="8"/>
  <c r="BH6" i="8"/>
  <c r="BG6" i="8"/>
  <c r="BF6" i="8"/>
  <c r="BE6" i="8"/>
  <c r="BD6" i="8"/>
  <c r="BC6" i="8"/>
  <c r="BB6" i="8"/>
  <c r="BB3" i="8"/>
  <c r="BC3" i="8"/>
  <c r="BD3" i="8"/>
  <c r="A14" i="24"/>
  <c r="B14" i="24"/>
  <c r="A15" i="24"/>
  <c r="B15" i="24"/>
  <c r="A16" i="24"/>
  <c r="B16" i="24"/>
  <c r="A17" i="24"/>
  <c r="B17" i="24"/>
  <c r="A18" i="24"/>
  <c r="B18" i="24"/>
  <c r="A19" i="24"/>
  <c r="B19" i="24"/>
  <c r="A20" i="24"/>
  <c r="B20" i="24"/>
  <c r="A21" i="24"/>
  <c r="B21" i="24"/>
  <c r="A22" i="24"/>
  <c r="B22" i="24"/>
  <c r="A23" i="24"/>
  <c r="B23" i="24"/>
  <c r="A24" i="24"/>
  <c r="B24" i="24"/>
  <c r="A25" i="24"/>
  <c r="B25" i="24"/>
  <c r="A26" i="24"/>
  <c r="B26" i="24"/>
  <c r="A27" i="24"/>
  <c r="B27" i="24"/>
  <c r="A28" i="24"/>
  <c r="B28" i="24"/>
  <c r="A29" i="24"/>
  <c r="B29" i="24"/>
  <c r="A30" i="24"/>
  <c r="B30" i="24"/>
  <c r="A31" i="24"/>
  <c r="B31" i="24"/>
  <c r="A32" i="24"/>
  <c r="B32" i="24"/>
  <c r="A33" i="24"/>
  <c r="B33" i="24"/>
  <c r="A34" i="24"/>
  <c r="B34" i="24"/>
  <c r="A35" i="24"/>
  <c r="B35" i="24"/>
  <c r="A36" i="24"/>
  <c r="B36" i="24"/>
  <c r="A37" i="24"/>
  <c r="B37" i="24"/>
  <c r="A38" i="24"/>
  <c r="B38" i="24"/>
  <c r="A39" i="24"/>
  <c r="B39" i="24"/>
  <c r="A40" i="24"/>
  <c r="B40" i="24"/>
  <c r="A41" i="24"/>
  <c r="B41" i="24"/>
  <c r="A42" i="24"/>
  <c r="B42" i="24"/>
  <c r="A19" i="16"/>
  <c r="B19" i="16"/>
  <c r="A20" i="16"/>
  <c r="B20" i="16"/>
  <c r="A21" i="16"/>
  <c r="B21" i="16"/>
  <c r="A22" i="16"/>
  <c r="B22" i="16"/>
  <c r="A23" i="16"/>
  <c r="B23" i="16"/>
  <c r="A24" i="16"/>
  <c r="B24" i="16"/>
  <c r="A25" i="16"/>
  <c r="B25" i="16"/>
  <c r="A26" i="16"/>
  <c r="B26" i="16"/>
  <c r="A27" i="16"/>
  <c r="B27" i="16"/>
  <c r="A28" i="16"/>
  <c r="B28" i="16"/>
  <c r="A29" i="16"/>
  <c r="B29" i="16"/>
  <c r="A30" i="16"/>
  <c r="B30" i="16"/>
  <c r="A31" i="16"/>
  <c r="B31" i="16"/>
  <c r="A32" i="16"/>
  <c r="B32" i="16"/>
  <c r="A33" i="16"/>
  <c r="B33" i="16"/>
  <c r="A34" i="16"/>
  <c r="B34" i="16"/>
  <c r="A35" i="16"/>
  <c r="B35" i="16"/>
  <c r="A36" i="16"/>
  <c r="B36" i="16"/>
  <c r="A14" i="23"/>
  <c r="B14" i="23"/>
  <c r="A15" i="23"/>
  <c r="B15" i="23"/>
  <c r="A16" i="23"/>
  <c r="B16" i="23"/>
  <c r="A17" i="23"/>
  <c r="B17" i="23"/>
  <c r="A18" i="23"/>
  <c r="B18" i="23"/>
  <c r="A19" i="23"/>
  <c r="B19" i="23"/>
  <c r="A20" i="23"/>
  <c r="B20" i="23"/>
  <c r="A21" i="23"/>
  <c r="B21" i="23"/>
  <c r="A22" i="23"/>
  <c r="B22" i="23"/>
  <c r="A23" i="23"/>
  <c r="B23" i="23"/>
  <c r="A24" i="23"/>
  <c r="B24" i="23"/>
  <c r="A25" i="23"/>
  <c r="B25" i="23"/>
  <c r="A26" i="23"/>
  <c r="B26" i="23"/>
  <c r="A27" i="23"/>
  <c r="B27" i="23"/>
  <c r="A28" i="23"/>
  <c r="B28" i="23"/>
  <c r="A29" i="23"/>
  <c r="B29" i="23"/>
  <c r="A30" i="23"/>
  <c r="B30" i="23"/>
  <c r="A31" i="23"/>
  <c r="B31" i="23"/>
  <c r="A32" i="23"/>
  <c r="B32" i="23"/>
  <c r="A33" i="23"/>
  <c r="B33" i="23"/>
  <c r="A34" i="23"/>
  <c r="B34" i="23"/>
  <c r="A35" i="23"/>
  <c r="B35" i="23"/>
  <c r="A36" i="23"/>
  <c r="B36" i="23"/>
  <c r="A37" i="23"/>
  <c r="B37" i="23"/>
  <c r="A38" i="23"/>
  <c r="B38" i="23"/>
  <c r="A39" i="23"/>
  <c r="B39" i="23"/>
  <c r="A40" i="23"/>
  <c r="B40" i="23"/>
  <c r="A41" i="23"/>
  <c r="B41" i="23"/>
  <c r="A42" i="23"/>
  <c r="B42" i="23"/>
  <c r="AR107" i="11" l="1"/>
  <c r="AR110" i="11"/>
  <c r="AR131" i="11"/>
  <c r="AR134" i="11"/>
  <c r="AR137" i="11"/>
  <c r="C23" i="23" s="1"/>
  <c r="C23" i="24" s="1"/>
  <c r="AR140" i="11"/>
  <c r="AR143" i="11"/>
  <c r="AR146" i="11"/>
  <c r="C26" i="23" s="1"/>
  <c r="C26" i="24" s="1"/>
  <c r="AR149" i="11"/>
  <c r="C27" i="23" s="1"/>
  <c r="C27" i="24" s="1"/>
  <c r="AR155" i="11"/>
  <c r="AR158" i="11"/>
  <c r="AR161" i="11"/>
  <c r="AR173" i="11"/>
  <c r="AR176" i="11"/>
  <c r="AR185" i="11"/>
  <c r="C39" i="23" s="1"/>
  <c r="C39" i="24" s="1"/>
  <c r="AR95" i="11"/>
  <c r="AR15" i="11"/>
  <c r="AR18" i="11"/>
  <c r="AR21" i="11"/>
  <c r="AR33" i="11"/>
  <c r="AR36" i="11"/>
  <c r="AR51" i="11"/>
  <c r="C23" i="15" s="1"/>
  <c r="C23" i="16" s="1"/>
  <c r="AR54" i="11"/>
  <c r="C24" i="15" s="1"/>
  <c r="C24" i="16" s="1"/>
  <c r="AR57" i="11"/>
  <c r="C25" i="15" s="1"/>
  <c r="C25" i="16" s="1"/>
  <c r="AR72" i="11"/>
  <c r="C30" i="15" s="1"/>
  <c r="C30" i="16" s="1"/>
  <c r="AR75" i="11"/>
  <c r="C31" i="15" s="1"/>
  <c r="C31" i="16" s="1"/>
  <c r="AR78" i="11"/>
  <c r="C32" i="15" s="1"/>
  <c r="C32" i="16" s="1"/>
  <c r="AR81" i="11"/>
  <c r="C33" i="15" s="1"/>
  <c r="C33" i="16" s="1"/>
  <c r="AR84" i="11"/>
  <c r="C34" i="15" s="1"/>
  <c r="C34" i="16" s="1"/>
  <c r="N9" i="11"/>
  <c r="A33" i="15"/>
  <c r="B33" i="15"/>
  <c r="A34" i="15"/>
  <c r="B34" i="15"/>
  <c r="A35" i="15"/>
  <c r="B35" i="15"/>
  <c r="A36" i="15"/>
  <c r="B36" i="15"/>
  <c r="A19" i="15"/>
  <c r="B19" i="15"/>
  <c r="A20" i="15"/>
  <c r="B20" i="15"/>
  <c r="A21" i="15"/>
  <c r="B21" i="15"/>
  <c r="A22" i="15"/>
  <c r="B22" i="15"/>
  <c r="A23" i="15"/>
  <c r="B23" i="15"/>
  <c r="A24" i="15"/>
  <c r="B24" i="15"/>
  <c r="A25" i="15"/>
  <c r="B25" i="15"/>
  <c r="A26" i="15"/>
  <c r="B26" i="15"/>
  <c r="A27" i="15"/>
  <c r="B27" i="15"/>
  <c r="A28" i="15"/>
  <c r="B28" i="15"/>
  <c r="A29" i="15"/>
  <c r="B29" i="15"/>
  <c r="A30" i="15"/>
  <c r="B30" i="15"/>
  <c r="A31" i="15"/>
  <c r="B31" i="15"/>
  <c r="A32" i="15"/>
  <c r="B32" i="15"/>
  <c r="A108" i="22"/>
  <c r="B108" i="22"/>
  <c r="C108" i="22"/>
  <c r="D108" i="22"/>
  <c r="E108" i="22"/>
  <c r="F108" i="22"/>
  <c r="G108" i="22"/>
  <c r="C109" i="22"/>
  <c r="D109" i="22"/>
  <c r="E109" i="22"/>
  <c r="F109" i="22"/>
  <c r="G109" i="22"/>
  <c r="C110" i="22"/>
  <c r="D110" i="22"/>
  <c r="E110" i="22"/>
  <c r="F110" i="22"/>
  <c r="G110" i="22"/>
  <c r="A24" i="22"/>
  <c r="B24" i="22"/>
  <c r="C24" i="22"/>
  <c r="D24" i="22"/>
  <c r="E24" i="22"/>
  <c r="F24" i="22"/>
  <c r="G24" i="22"/>
  <c r="C25" i="22"/>
  <c r="D25" i="22"/>
  <c r="E25" i="22"/>
  <c r="F25" i="22"/>
  <c r="G25" i="22"/>
  <c r="C26" i="22"/>
  <c r="D26" i="22"/>
  <c r="E26" i="22"/>
  <c r="F26" i="22"/>
  <c r="G26" i="22"/>
  <c r="A27" i="22"/>
  <c r="B27" i="22"/>
  <c r="C27" i="22"/>
  <c r="D27" i="22"/>
  <c r="E27" i="22"/>
  <c r="F27" i="22"/>
  <c r="G27" i="22"/>
  <c r="C28" i="22"/>
  <c r="D28" i="22"/>
  <c r="E28" i="22"/>
  <c r="F28" i="22"/>
  <c r="G28" i="22"/>
  <c r="C29" i="22"/>
  <c r="D29" i="22"/>
  <c r="E29" i="22"/>
  <c r="F29" i="22"/>
  <c r="G29" i="22"/>
  <c r="A30" i="22"/>
  <c r="B30" i="22"/>
  <c r="C30" i="22"/>
  <c r="D30" i="22"/>
  <c r="E30" i="22"/>
  <c r="F30" i="22"/>
  <c r="G30" i="22"/>
  <c r="C31" i="22"/>
  <c r="D31" i="22"/>
  <c r="E31" i="22"/>
  <c r="F31" i="22"/>
  <c r="G31" i="22"/>
  <c r="C32" i="22"/>
  <c r="D32" i="22"/>
  <c r="E32" i="22"/>
  <c r="F32" i="22"/>
  <c r="G32" i="22"/>
  <c r="A33" i="22"/>
  <c r="B33" i="22"/>
  <c r="C33" i="22"/>
  <c r="D33" i="22"/>
  <c r="E33" i="22"/>
  <c r="F33" i="22"/>
  <c r="G33" i="22"/>
  <c r="C34" i="22"/>
  <c r="D34" i="22"/>
  <c r="E34" i="22"/>
  <c r="F34" i="22"/>
  <c r="G34" i="22"/>
  <c r="C35" i="22"/>
  <c r="D35" i="22"/>
  <c r="E35" i="22"/>
  <c r="F35" i="22"/>
  <c r="G35" i="22"/>
  <c r="A36" i="22"/>
  <c r="B36" i="22"/>
  <c r="C36" i="22"/>
  <c r="D36" i="22"/>
  <c r="E36" i="22"/>
  <c r="F36" i="22"/>
  <c r="G36" i="22"/>
  <c r="C37" i="22"/>
  <c r="D37" i="22"/>
  <c r="E37" i="22"/>
  <c r="F37" i="22"/>
  <c r="G37" i="22"/>
  <c r="C38" i="22"/>
  <c r="D38" i="22"/>
  <c r="E38" i="22"/>
  <c r="F38" i="22"/>
  <c r="G38" i="22"/>
  <c r="A39" i="22"/>
  <c r="B39" i="22"/>
  <c r="C39" i="22"/>
  <c r="D39" i="22"/>
  <c r="E39" i="22"/>
  <c r="F39" i="22"/>
  <c r="G39" i="22"/>
  <c r="C40" i="22"/>
  <c r="D40" i="22"/>
  <c r="E40" i="22"/>
  <c r="F40" i="22"/>
  <c r="G40" i="22"/>
  <c r="C41" i="22"/>
  <c r="D41" i="22"/>
  <c r="E41" i="22"/>
  <c r="F41" i="22"/>
  <c r="G41" i="22"/>
  <c r="A42" i="22"/>
  <c r="B42" i="22"/>
  <c r="C42" i="22"/>
  <c r="D42" i="22"/>
  <c r="E42" i="22"/>
  <c r="F42" i="22"/>
  <c r="G42" i="22"/>
  <c r="C43" i="22"/>
  <c r="D43" i="22"/>
  <c r="E43" i="22"/>
  <c r="F43" i="22"/>
  <c r="G43" i="22"/>
  <c r="C44" i="22"/>
  <c r="D44" i="22"/>
  <c r="E44" i="22"/>
  <c r="F44" i="22"/>
  <c r="G44" i="22"/>
  <c r="A45" i="22"/>
  <c r="B45" i="22"/>
  <c r="C45" i="22"/>
  <c r="D45" i="22"/>
  <c r="E45" i="22"/>
  <c r="F45" i="22"/>
  <c r="G45" i="22"/>
  <c r="C46" i="22"/>
  <c r="D46" i="22"/>
  <c r="E46" i="22"/>
  <c r="F46" i="22"/>
  <c r="G46" i="22"/>
  <c r="C47" i="22"/>
  <c r="D47" i="22"/>
  <c r="E47" i="22"/>
  <c r="F47" i="22"/>
  <c r="G47" i="22"/>
  <c r="A48" i="22"/>
  <c r="B48" i="22"/>
  <c r="C48" i="22"/>
  <c r="D48" i="22"/>
  <c r="E48" i="22"/>
  <c r="F48" i="22"/>
  <c r="G48" i="22"/>
  <c r="C49" i="22"/>
  <c r="D49" i="22"/>
  <c r="E49" i="22"/>
  <c r="F49" i="22"/>
  <c r="G49" i="22"/>
  <c r="C50" i="22"/>
  <c r="D50" i="22"/>
  <c r="E50" i="22"/>
  <c r="F50" i="22"/>
  <c r="G50" i="22"/>
  <c r="A51" i="22"/>
  <c r="B51" i="22"/>
  <c r="C51" i="22"/>
  <c r="D51" i="22"/>
  <c r="E51" i="22"/>
  <c r="F51" i="22"/>
  <c r="G51" i="22"/>
  <c r="C52" i="22"/>
  <c r="D52" i="22"/>
  <c r="E52" i="22"/>
  <c r="F52" i="22"/>
  <c r="G52" i="22"/>
  <c r="C53" i="22"/>
  <c r="D53" i="22"/>
  <c r="E53" i="22"/>
  <c r="F53" i="22"/>
  <c r="G53" i="22"/>
  <c r="A54" i="22"/>
  <c r="B54" i="22"/>
  <c r="C54" i="22"/>
  <c r="D54" i="22"/>
  <c r="E54" i="22"/>
  <c r="F54" i="22"/>
  <c r="G54" i="22"/>
  <c r="C55" i="22"/>
  <c r="D55" i="22"/>
  <c r="E55" i="22"/>
  <c r="F55" i="22"/>
  <c r="G55" i="22"/>
  <c r="C56" i="22"/>
  <c r="D56" i="22"/>
  <c r="E56" i="22"/>
  <c r="F56" i="22"/>
  <c r="G56" i="22"/>
  <c r="A57" i="22"/>
  <c r="B57" i="22"/>
  <c r="C57" i="22"/>
  <c r="D57" i="22"/>
  <c r="E57" i="22"/>
  <c r="F57" i="22"/>
  <c r="G57" i="22"/>
  <c r="C58" i="22"/>
  <c r="D58" i="22"/>
  <c r="E58" i="22"/>
  <c r="F58" i="22"/>
  <c r="G58" i="22"/>
  <c r="C59" i="22"/>
  <c r="D59" i="22"/>
  <c r="E59" i="22"/>
  <c r="F59" i="22"/>
  <c r="G59" i="22"/>
  <c r="A60" i="22"/>
  <c r="B60" i="22"/>
  <c r="C60" i="22"/>
  <c r="D60" i="22"/>
  <c r="E60" i="22"/>
  <c r="F60" i="22"/>
  <c r="G60" i="22"/>
  <c r="C61" i="22"/>
  <c r="D61" i="22"/>
  <c r="E61" i="22"/>
  <c r="F61" i="22"/>
  <c r="G61" i="22"/>
  <c r="C62" i="22"/>
  <c r="D62" i="22"/>
  <c r="E62" i="22"/>
  <c r="F62" i="22"/>
  <c r="G62" i="22"/>
  <c r="A63" i="22"/>
  <c r="B63" i="22"/>
  <c r="C63" i="22"/>
  <c r="D63" i="22"/>
  <c r="E63" i="22"/>
  <c r="F63" i="22"/>
  <c r="G63" i="22"/>
  <c r="C64" i="22"/>
  <c r="D64" i="22"/>
  <c r="E64" i="22"/>
  <c r="F64" i="22"/>
  <c r="G64" i="22"/>
  <c r="C65" i="22"/>
  <c r="D65" i="22"/>
  <c r="E65" i="22"/>
  <c r="F65" i="22"/>
  <c r="G65" i="22"/>
  <c r="A66" i="22"/>
  <c r="B66" i="22"/>
  <c r="C66" i="22"/>
  <c r="D66" i="22"/>
  <c r="E66" i="22"/>
  <c r="F66" i="22"/>
  <c r="G66" i="22"/>
  <c r="C67" i="22"/>
  <c r="D67" i="22"/>
  <c r="E67" i="22"/>
  <c r="F67" i="22"/>
  <c r="G67" i="22"/>
  <c r="C68" i="22"/>
  <c r="D68" i="22"/>
  <c r="E68" i="22"/>
  <c r="F68" i="22"/>
  <c r="G68" i="22"/>
  <c r="A69" i="22"/>
  <c r="B69" i="22"/>
  <c r="C69" i="22"/>
  <c r="D69" i="22"/>
  <c r="E69" i="22"/>
  <c r="F69" i="22"/>
  <c r="G69" i="22"/>
  <c r="C70" i="22"/>
  <c r="D70" i="22"/>
  <c r="E70" i="22"/>
  <c r="F70" i="22"/>
  <c r="G70" i="22"/>
  <c r="C71" i="22"/>
  <c r="D71" i="22"/>
  <c r="E71" i="22"/>
  <c r="F71" i="22"/>
  <c r="G71" i="22"/>
  <c r="A72" i="22"/>
  <c r="B72" i="22"/>
  <c r="C72" i="22"/>
  <c r="D72" i="22"/>
  <c r="E72" i="22"/>
  <c r="F72" i="22"/>
  <c r="G72" i="22"/>
  <c r="C73" i="22"/>
  <c r="D73" i="22"/>
  <c r="E73" i="22"/>
  <c r="F73" i="22"/>
  <c r="G73" i="22"/>
  <c r="C74" i="22"/>
  <c r="D74" i="22"/>
  <c r="E74" i="22"/>
  <c r="F74" i="22"/>
  <c r="G74" i="22"/>
  <c r="A75" i="22"/>
  <c r="B75" i="22"/>
  <c r="C75" i="22"/>
  <c r="D75" i="22"/>
  <c r="E75" i="22"/>
  <c r="F75" i="22"/>
  <c r="G75" i="22"/>
  <c r="C76" i="22"/>
  <c r="D76" i="22"/>
  <c r="E76" i="22"/>
  <c r="F76" i="22"/>
  <c r="G76" i="22"/>
  <c r="C77" i="22"/>
  <c r="D77" i="22"/>
  <c r="E77" i="22"/>
  <c r="F77" i="22"/>
  <c r="G77" i="22"/>
  <c r="A78" i="22"/>
  <c r="B78" i="22"/>
  <c r="C78" i="22"/>
  <c r="D78" i="22"/>
  <c r="E78" i="22"/>
  <c r="F78" i="22"/>
  <c r="G78" i="22"/>
  <c r="C79" i="22"/>
  <c r="D79" i="22"/>
  <c r="E79" i="22"/>
  <c r="F79" i="22"/>
  <c r="G79" i="22"/>
  <c r="C80" i="22"/>
  <c r="D80" i="22"/>
  <c r="E80" i="22"/>
  <c r="F80" i="22"/>
  <c r="G80" i="22"/>
  <c r="A81" i="22"/>
  <c r="B81" i="22"/>
  <c r="C81" i="22"/>
  <c r="D81" i="22"/>
  <c r="E81" i="22"/>
  <c r="F81" i="22"/>
  <c r="G81" i="22"/>
  <c r="C82" i="22"/>
  <c r="D82" i="22"/>
  <c r="E82" i="22"/>
  <c r="F82" i="22"/>
  <c r="G82" i="22"/>
  <c r="C83" i="22"/>
  <c r="D83" i="22"/>
  <c r="E83" i="22"/>
  <c r="F83" i="22"/>
  <c r="G83" i="22"/>
  <c r="A84" i="22"/>
  <c r="B84" i="22"/>
  <c r="C84" i="22"/>
  <c r="D84" i="22"/>
  <c r="E84" i="22"/>
  <c r="F84" i="22"/>
  <c r="G84" i="22"/>
  <c r="C85" i="22"/>
  <c r="D85" i="22"/>
  <c r="E85" i="22"/>
  <c r="F85" i="22"/>
  <c r="G85" i="22"/>
  <c r="C86" i="22"/>
  <c r="D86" i="22"/>
  <c r="E86" i="22"/>
  <c r="F86" i="22"/>
  <c r="G86" i="22"/>
  <c r="A87" i="22"/>
  <c r="B87" i="22"/>
  <c r="C87" i="22"/>
  <c r="D87" i="22"/>
  <c r="E87" i="22"/>
  <c r="F87" i="22"/>
  <c r="G87" i="22"/>
  <c r="C88" i="22"/>
  <c r="D88" i="22"/>
  <c r="E88" i="22"/>
  <c r="F88" i="22"/>
  <c r="G88" i="22"/>
  <c r="C89" i="22"/>
  <c r="D89" i="22"/>
  <c r="E89" i="22"/>
  <c r="F89" i="22"/>
  <c r="G89" i="22"/>
  <c r="A90" i="22"/>
  <c r="B90" i="22"/>
  <c r="C90" i="22"/>
  <c r="D90" i="22"/>
  <c r="E90" i="22"/>
  <c r="F90" i="22"/>
  <c r="G90" i="22"/>
  <c r="C91" i="22"/>
  <c r="D91" i="22"/>
  <c r="E91" i="22"/>
  <c r="F91" i="22"/>
  <c r="G91" i="22"/>
  <c r="C92" i="22"/>
  <c r="D92" i="22"/>
  <c r="E92" i="22"/>
  <c r="F92" i="22"/>
  <c r="G92" i="22"/>
  <c r="A93" i="22"/>
  <c r="B93" i="22"/>
  <c r="C93" i="22"/>
  <c r="D93" i="22"/>
  <c r="E93" i="22"/>
  <c r="F93" i="22"/>
  <c r="G93" i="22"/>
  <c r="C94" i="22"/>
  <c r="D94" i="22"/>
  <c r="E94" i="22"/>
  <c r="F94" i="22"/>
  <c r="G94" i="22"/>
  <c r="C95" i="22"/>
  <c r="D95" i="22"/>
  <c r="E95" i="22"/>
  <c r="F95" i="22"/>
  <c r="G95" i="22"/>
  <c r="A96" i="22"/>
  <c r="B96" i="22"/>
  <c r="C96" i="22"/>
  <c r="D96" i="22"/>
  <c r="E96" i="22"/>
  <c r="F96" i="22"/>
  <c r="G96" i="22"/>
  <c r="C97" i="22"/>
  <c r="D97" i="22"/>
  <c r="E97" i="22"/>
  <c r="F97" i="22"/>
  <c r="G97" i="22"/>
  <c r="C98" i="22"/>
  <c r="D98" i="22"/>
  <c r="E98" i="22"/>
  <c r="F98" i="22"/>
  <c r="G98" i="22"/>
  <c r="A99" i="22"/>
  <c r="B99" i="22"/>
  <c r="C99" i="22"/>
  <c r="D99" i="22"/>
  <c r="E99" i="22"/>
  <c r="F99" i="22"/>
  <c r="G99" i="22"/>
  <c r="C100" i="22"/>
  <c r="D100" i="22"/>
  <c r="E100" i="22"/>
  <c r="F100" i="22"/>
  <c r="G100" i="22"/>
  <c r="C101" i="22"/>
  <c r="D101" i="22"/>
  <c r="E101" i="22"/>
  <c r="F101" i="22"/>
  <c r="G101" i="22"/>
  <c r="A102" i="22"/>
  <c r="B102" i="22"/>
  <c r="C102" i="22"/>
  <c r="D102" i="22"/>
  <c r="E102" i="22"/>
  <c r="F102" i="22"/>
  <c r="G102" i="22"/>
  <c r="C103" i="22"/>
  <c r="D103" i="22"/>
  <c r="E103" i="22"/>
  <c r="F103" i="22"/>
  <c r="G103" i="22"/>
  <c r="C104" i="22"/>
  <c r="D104" i="22"/>
  <c r="E104" i="22"/>
  <c r="F104" i="22"/>
  <c r="G104" i="22"/>
  <c r="A105" i="22"/>
  <c r="B105" i="22"/>
  <c r="C105" i="22"/>
  <c r="D105" i="22"/>
  <c r="E105" i="22"/>
  <c r="F105" i="22"/>
  <c r="G105" i="22"/>
  <c r="C106" i="22"/>
  <c r="D106" i="22"/>
  <c r="E106" i="22"/>
  <c r="F106" i="22"/>
  <c r="G106" i="22"/>
  <c r="C107" i="22"/>
  <c r="D107" i="22"/>
  <c r="E107" i="22"/>
  <c r="F107" i="22"/>
  <c r="G107" i="22"/>
  <c r="H63" i="22" l="1"/>
  <c r="H60" i="22"/>
  <c r="H51" i="22"/>
  <c r="C30" i="23"/>
  <c r="C30" i="24" s="1"/>
  <c r="H72" i="22"/>
  <c r="C14" i="23"/>
  <c r="C14" i="24" s="1"/>
  <c r="H24" i="22"/>
  <c r="C35" i="23"/>
  <c r="C35" i="24" s="1"/>
  <c r="H87" i="22"/>
  <c r="H99" i="22"/>
  <c r="C31" i="23"/>
  <c r="C31" i="24" s="1"/>
  <c r="H75" i="22"/>
  <c r="C22" i="23"/>
  <c r="C22" i="24" s="1"/>
  <c r="H48" i="22"/>
  <c r="H69" i="22"/>
  <c r="C29" i="23"/>
  <c r="C29" i="24" s="1"/>
  <c r="H57" i="22"/>
  <c r="C25" i="23"/>
  <c r="C25" i="24" s="1"/>
  <c r="H45" i="22"/>
  <c r="C21" i="23"/>
  <c r="C21" i="24" s="1"/>
  <c r="H90" i="22"/>
  <c r="C36" i="23"/>
  <c r="C36" i="24" s="1"/>
  <c r="H54" i="22"/>
  <c r="C24" i="23"/>
  <c r="C24" i="24" s="1"/>
  <c r="A39" i="12"/>
  <c r="B39" i="12"/>
  <c r="C39" i="12"/>
  <c r="D39" i="12"/>
  <c r="E39" i="12"/>
  <c r="F39" i="12"/>
  <c r="G39" i="12"/>
  <c r="I39" i="12"/>
  <c r="C40" i="12"/>
  <c r="D40" i="12"/>
  <c r="E40" i="12"/>
  <c r="F40" i="12"/>
  <c r="G40" i="12"/>
  <c r="C41" i="12"/>
  <c r="D41" i="12"/>
  <c r="E41" i="12"/>
  <c r="F41" i="12"/>
  <c r="G41" i="12"/>
  <c r="I41" i="12"/>
  <c r="A42" i="12"/>
  <c r="B42" i="12"/>
  <c r="C42" i="12"/>
  <c r="D42" i="12"/>
  <c r="E42" i="12"/>
  <c r="F42" i="12"/>
  <c r="G42" i="12"/>
  <c r="C43" i="12"/>
  <c r="D43" i="12"/>
  <c r="E43" i="12"/>
  <c r="F43" i="12"/>
  <c r="G43" i="12"/>
  <c r="C44" i="12"/>
  <c r="D44" i="12"/>
  <c r="E44" i="12"/>
  <c r="F44" i="12"/>
  <c r="G44" i="12"/>
  <c r="I44" i="12"/>
  <c r="A45" i="12"/>
  <c r="B45" i="12"/>
  <c r="C45" i="12"/>
  <c r="D45" i="12"/>
  <c r="E45" i="12"/>
  <c r="F45" i="12"/>
  <c r="G45" i="12"/>
  <c r="C46" i="12"/>
  <c r="D46" i="12"/>
  <c r="E46" i="12"/>
  <c r="F46" i="12"/>
  <c r="G46" i="12"/>
  <c r="C47" i="12"/>
  <c r="D47" i="12"/>
  <c r="E47" i="12"/>
  <c r="F47" i="12"/>
  <c r="G47" i="12"/>
  <c r="I47" i="12"/>
  <c r="A48" i="12"/>
  <c r="B48" i="12"/>
  <c r="C48" i="12"/>
  <c r="D48" i="12"/>
  <c r="E48" i="12"/>
  <c r="F48" i="12"/>
  <c r="G48" i="12"/>
  <c r="C49" i="12"/>
  <c r="D49" i="12"/>
  <c r="E49" i="12"/>
  <c r="F49" i="12"/>
  <c r="G49" i="12"/>
  <c r="C50" i="12"/>
  <c r="D50" i="12"/>
  <c r="E50" i="12"/>
  <c r="F50" i="12"/>
  <c r="G50" i="12"/>
  <c r="I50" i="12"/>
  <c r="A51" i="12"/>
  <c r="B51" i="12"/>
  <c r="C51" i="12"/>
  <c r="D51" i="12"/>
  <c r="E51" i="12"/>
  <c r="F51" i="12"/>
  <c r="G51" i="12"/>
  <c r="H51" i="12"/>
  <c r="C52" i="12"/>
  <c r="D52" i="12"/>
  <c r="E52" i="12"/>
  <c r="F52" i="12"/>
  <c r="G52" i="12"/>
  <c r="C53" i="12"/>
  <c r="D53" i="12"/>
  <c r="E53" i="12"/>
  <c r="F53" i="12"/>
  <c r="G53" i="12"/>
  <c r="A54" i="12"/>
  <c r="B54" i="12"/>
  <c r="C54" i="12"/>
  <c r="D54" i="12"/>
  <c r="E54" i="12"/>
  <c r="F54" i="12"/>
  <c r="G54" i="12"/>
  <c r="H54" i="12"/>
  <c r="C55" i="12"/>
  <c r="D55" i="12"/>
  <c r="E55" i="12"/>
  <c r="F55" i="12"/>
  <c r="G55" i="12"/>
  <c r="C56" i="12"/>
  <c r="D56" i="12"/>
  <c r="E56" i="12"/>
  <c r="F56" i="12"/>
  <c r="G56" i="12"/>
  <c r="A57" i="12"/>
  <c r="B57" i="12"/>
  <c r="C57" i="12"/>
  <c r="D57" i="12"/>
  <c r="E57" i="12"/>
  <c r="F57" i="12"/>
  <c r="G57" i="12"/>
  <c r="H57" i="12"/>
  <c r="C58" i="12"/>
  <c r="D58" i="12"/>
  <c r="E58" i="12"/>
  <c r="F58" i="12"/>
  <c r="G58" i="12"/>
  <c r="C59" i="12"/>
  <c r="D59" i="12"/>
  <c r="E59" i="12"/>
  <c r="F59" i="12"/>
  <c r="G59" i="12"/>
  <c r="A60" i="12"/>
  <c r="B60" i="12"/>
  <c r="C60" i="12"/>
  <c r="D60" i="12"/>
  <c r="E60" i="12"/>
  <c r="F60" i="12"/>
  <c r="G60" i="12"/>
  <c r="I60" i="12"/>
  <c r="C61" i="12"/>
  <c r="D61" i="12"/>
  <c r="E61" i="12"/>
  <c r="F61" i="12"/>
  <c r="G61" i="12"/>
  <c r="C62" i="12"/>
  <c r="D62" i="12"/>
  <c r="E62" i="12"/>
  <c r="F62" i="12"/>
  <c r="G62" i="12"/>
  <c r="A63" i="12"/>
  <c r="B63" i="12"/>
  <c r="C63" i="12"/>
  <c r="D63" i="12"/>
  <c r="E63" i="12"/>
  <c r="F63" i="12"/>
  <c r="G63" i="12"/>
  <c r="C64" i="12"/>
  <c r="D64" i="12"/>
  <c r="E64" i="12"/>
  <c r="F64" i="12"/>
  <c r="G64" i="12"/>
  <c r="C65" i="12"/>
  <c r="D65" i="12"/>
  <c r="E65" i="12"/>
  <c r="F65" i="12"/>
  <c r="G65" i="12"/>
  <c r="A66" i="12"/>
  <c r="B66" i="12"/>
  <c r="C66" i="12"/>
  <c r="D66" i="12"/>
  <c r="E66" i="12"/>
  <c r="F66" i="12"/>
  <c r="G66" i="12"/>
  <c r="C67" i="12"/>
  <c r="D67" i="12"/>
  <c r="E67" i="12"/>
  <c r="F67" i="12"/>
  <c r="G67" i="12"/>
  <c r="C68" i="12"/>
  <c r="D68" i="12"/>
  <c r="E68" i="12"/>
  <c r="F68" i="12"/>
  <c r="G68" i="12"/>
  <c r="A69" i="12"/>
  <c r="B69" i="12"/>
  <c r="C69" i="12"/>
  <c r="D69" i="12"/>
  <c r="E69" i="12"/>
  <c r="F69" i="12"/>
  <c r="G69" i="12"/>
  <c r="I69" i="12"/>
  <c r="C70" i="12"/>
  <c r="D70" i="12"/>
  <c r="E70" i="12"/>
  <c r="F70" i="12"/>
  <c r="G70" i="12"/>
  <c r="C71" i="12"/>
  <c r="D71" i="12"/>
  <c r="E71" i="12"/>
  <c r="F71" i="12"/>
  <c r="G71" i="12"/>
  <c r="A72" i="12"/>
  <c r="B72" i="12"/>
  <c r="C72" i="12"/>
  <c r="D72" i="12"/>
  <c r="E72" i="12"/>
  <c r="F72" i="12"/>
  <c r="G72" i="12"/>
  <c r="H72" i="12"/>
  <c r="C73" i="12"/>
  <c r="D73" i="12"/>
  <c r="E73" i="12"/>
  <c r="F73" i="12"/>
  <c r="G73" i="12"/>
  <c r="C74" i="12"/>
  <c r="D74" i="12"/>
  <c r="E74" i="12"/>
  <c r="F74" i="12"/>
  <c r="G74" i="12"/>
  <c r="I74" i="12"/>
  <c r="A75" i="12"/>
  <c r="B75" i="12"/>
  <c r="C75" i="12"/>
  <c r="D75" i="12"/>
  <c r="E75" i="12"/>
  <c r="F75" i="12"/>
  <c r="G75" i="12"/>
  <c r="H75" i="12"/>
  <c r="C76" i="12"/>
  <c r="D76" i="12"/>
  <c r="E76" i="12"/>
  <c r="F76" i="12"/>
  <c r="G76" i="12"/>
  <c r="C77" i="12"/>
  <c r="D77" i="12"/>
  <c r="E77" i="12"/>
  <c r="F77" i="12"/>
  <c r="G77" i="12"/>
  <c r="A78" i="12"/>
  <c r="B78" i="12"/>
  <c r="C78" i="12"/>
  <c r="D78" i="12"/>
  <c r="E78" i="12"/>
  <c r="F78" i="12"/>
  <c r="G78" i="12"/>
  <c r="H78" i="12"/>
  <c r="C79" i="12"/>
  <c r="D79" i="12"/>
  <c r="E79" i="12"/>
  <c r="F79" i="12"/>
  <c r="G79" i="12"/>
  <c r="C80" i="12"/>
  <c r="D80" i="12"/>
  <c r="E80" i="12"/>
  <c r="F80" i="12"/>
  <c r="G80" i="12"/>
  <c r="I80" i="12"/>
  <c r="A81" i="12"/>
  <c r="B81" i="12"/>
  <c r="C81" i="12"/>
  <c r="D81" i="12"/>
  <c r="E81" i="12"/>
  <c r="F81" i="12"/>
  <c r="G81" i="12"/>
  <c r="H81" i="12"/>
  <c r="C82" i="12"/>
  <c r="D82" i="12"/>
  <c r="E82" i="12"/>
  <c r="F82" i="12"/>
  <c r="G82" i="12"/>
  <c r="C83" i="12"/>
  <c r="D83" i="12"/>
  <c r="E83" i="12"/>
  <c r="F83" i="12"/>
  <c r="G83" i="12"/>
  <c r="A84" i="12"/>
  <c r="B84" i="12"/>
  <c r="C84" i="12"/>
  <c r="D84" i="12"/>
  <c r="E84" i="12"/>
  <c r="F84" i="12"/>
  <c r="G84" i="12"/>
  <c r="H84" i="12"/>
  <c r="I84" i="12"/>
  <c r="C85" i="12"/>
  <c r="D85" i="12"/>
  <c r="E85" i="12"/>
  <c r="F85" i="12"/>
  <c r="G85" i="12"/>
  <c r="C86" i="12"/>
  <c r="D86" i="12"/>
  <c r="E86" i="12"/>
  <c r="F86" i="12"/>
  <c r="G86" i="12"/>
  <c r="I86" i="12"/>
  <c r="A87" i="12"/>
  <c r="B87" i="12"/>
  <c r="C87" i="12"/>
  <c r="D87" i="12"/>
  <c r="E87" i="12"/>
  <c r="F87" i="12"/>
  <c r="G87" i="12"/>
  <c r="I87" i="12"/>
  <c r="C88" i="12"/>
  <c r="D88" i="12"/>
  <c r="E88" i="12"/>
  <c r="F88" i="12"/>
  <c r="G88" i="12"/>
  <c r="C89" i="12"/>
  <c r="D89" i="12"/>
  <c r="E89" i="12"/>
  <c r="F89" i="12"/>
  <c r="G89" i="12"/>
  <c r="I89" i="12"/>
  <c r="AM197" i="11"/>
  <c r="AK197" i="11"/>
  <c r="AC197" i="11"/>
  <c r="S197" i="11"/>
  <c r="I197" i="11"/>
  <c r="A149" i="11"/>
  <c r="B149" i="11"/>
  <c r="C149" i="11"/>
  <c r="D149" i="11"/>
  <c r="E149" i="11"/>
  <c r="F149" i="11"/>
  <c r="G149" i="11"/>
  <c r="I149" i="11" s="1"/>
  <c r="H149" i="11"/>
  <c r="N149" i="11"/>
  <c r="Q149" i="11" s="1"/>
  <c r="R149" i="11" s="1"/>
  <c r="X149" i="11"/>
  <c r="AA149" i="11" s="1"/>
  <c r="AP149" i="11" s="1"/>
  <c r="K63" i="22"/>
  <c r="AH149" i="11"/>
  <c r="AK149" i="11"/>
  <c r="C150" i="11"/>
  <c r="D150" i="11"/>
  <c r="E150" i="11"/>
  <c r="F150" i="11"/>
  <c r="G150" i="11"/>
  <c r="H150" i="11"/>
  <c r="I150" i="11"/>
  <c r="N150" i="11"/>
  <c r="Q150" i="11" s="1"/>
  <c r="I64" i="22"/>
  <c r="X150" i="11"/>
  <c r="AL150" i="11" s="1"/>
  <c r="AA150" i="11"/>
  <c r="K64" i="22"/>
  <c r="AH150" i="11"/>
  <c r="AK150" i="11"/>
  <c r="C151" i="11"/>
  <c r="D151" i="11"/>
  <c r="E151" i="11"/>
  <c r="F151" i="11"/>
  <c r="G151" i="11"/>
  <c r="I151" i="11" s="1"/>
  <c r="AM151" i="11" s="1"/>
  <c r="H151" i="11"/>
  <c r="N151" i="11"/>
  <c r="Q151" i="11" s="1"/>
  <c r="R151" i="11" s="1"/>
  <c r="S151" i="11"/>
  <c r="I65" i="22"/>
  <c r="X151" i="11"/>
  <c r="AA151" i="11"/>
  <c r="AC151" i="11"/>
  <c r="K65" i="22"/>
  <c r="AH151" i="11"/>
  <c r="AK151" i="11"/>
  <c r="AL151" i="11"/>
  <c r="A152" i="11"/>
  <c r="B152" i="11"/>
  <c r="C152" i="11"/>
  <c r="D152" i="11"/>
  <c r="E152" i="11"/>
  <c r="F152" i="11"/>
  <c r="G152" i="11"/>
  <c r="H152" i="11"/>
  <c r="I152" i="11"/>
  <c r="N152" i="11"/>
  <c r="AB152" i="11" s="1"/>
  <c r="S152" i="11"/>
  <c r="I66" i="22"/>
  <c r="X152" i="11"/>
  <c r="AL152" i="11" s="1"/>
  <c r="AA152" i="11"/>
  <c r="K66" i="22"/>
  <c r="AH152" i="11"/>
  <c r="AK152" i="11" s="1"/>
  <c r="AQ152" i="11" s="1"/>
  <c r="C153" i="11"/>
  <c r="D153" i="11"/>
  <c r="E153" i="11"/>
  <c r="F153" i="11"/>
  <c r="G153" i="11"/>
  <c r="H153" i="11"/>
  <c r="I153" i="11"/>
  <c r="N153" i="11"/>
  <c r="Q153" i="11" s="1"/>
  <c r="R153" i="11" s="1"/>
  <c r="I67" i="22"/>
  <c r="X153" i="11"/>
  <c r="AA153" i="11"/>
  <c r="K67" i="22"/>
  <c r="AH153" i="11"/>
  <c r="AK153" i="11" s="1"/>
  <c r="C154" i="11"/>
  <c r="D154" i="11"/>
  <c r="E154" i="11"/>
  <c r="F154" i="11"/>
  <c r="G154" i="11"/>
  <c r="H154" i="11"/>
  <c r="I154" i="11"/>
  <c r="N154" i="11"/>
  <c r="Q154" i="11" s="1"/>
  <c r="R154" i="11" s="1"/>
  <c r="S154" i="11"/>
  <c r="I68" i="22"/>
  <c r="X154" i="11"/>
  <c r="AL154" i="11" s="1"/>
  <c r="AA154" i="11"/>
  <c r="K68" i="22"/>
  <c r="AH154" i="11"/>
  <c r="AK154" i="11" s="1"/>
  <c r="A155" i="11"/>
  <c r="B155" i="11"/>
  <c r="C155" i="11"/>
  <c r="D155" i="11"/>
  <c r="E155" i="11"/>
  <c r="F155" i="11"/>
  <c r="G155" i="11"/>
  <c r="H155" i="11"/>
  <c r="I155" i="11"/>
  <c r="N155" i="11"/>
  <c r="Q155" i="11" s="1"/>
  <c r="R155" i="11" s="1"/>
  <c r="I69" i="22"/>
  <c r="X155" i="11"/>
  <c r="AA155" i="11" s="1"/>
  <c r="K69" i="22"/>
  <c r="AH155" i="11"/>
  <c r="AK155" i="11" s="1"/>
  <c r="AQ155" i="11"/>
  <c r="C156" i="11"/>
  <c r="D156" i="11"/>
  <c r="E156" i="11"/>
  <c r="F156" i="11"/>
  <c r="G156" i="11"/>
  <c r="I156" i="11" s="1"/>
  <c r="S156" i="11" s="1"/>
  <c r="H156" i="11"/>
  <c r="N156" i="11"/>
  <c r="I70" i="22"/>
  <c r="X156" i="11"/>
  <c r="AA156" i="11" s="1"/>
  <c r="AC156" i="11"/>
  <c r="K70" i="22"/>
  <c r="AH156" i="11"/>
  <c r="AK156" i="11"/>
  <c r="AL156" i="11"/>
  <c r="AM156" i="11"/>
  <c r="C157" i="11"/>
  <c r="D157" i="11"/>
  <c r="E157" i="11"/>
  <c r="F157" i="11"/>
  <c r="G157" i="11"/>
  <c r="H157" i="11"/>
  <c r="I157" i="11"/>
  <c r="N157" i="11"/>
  <c r="Q157" i="11" s="1"/>
  <c r="I71" i="22"/>
  <c r="X157" i="11"/>
  <c r="AA157" i="11"/>
  <c r="K71" i="22"/>
  <c r="AH157" i="11"/>
  <c r="AK157" i="11" s="1"/>
  <c r="AM157" i="11"/>
  <c r="A158" i="11"/>
  <c r="B158" i="11"/>
  <c r="C158" i="11"/>
  <c r="D158" i="11"/>
  <c r="E158" i="11"/>
  <c r="F158" i="11"/>
  <c r="G158" i="11"/>
  <c r="H158" i="11"/>
  <c r="N158" i="11"/>
  <c r="Q158" i="11" s="1"/>
  <c r="X158" i="11"/>
  <c r="AA158" i="11" s="1"/>
  <c r="K72" i="22"/>
  <c r="AH158" i="11"/>
  <c r="AK158" i="11"/>
  <c r="AQ158" i="11"/>
  <c r="C159" i="11"/>
  <c r="D159" i="11"/>
  <c r="E159" i="11"/>
  <c r="F159" i="11"/>
  <c r="G159" i="11"/>
  <c r="I159" i="11" s="1"/>
  <c r="H159" i="11"/>
  <c r="N159" i="11"/>
  <c r="Q159" i="11" s="1"/>
  <c r="S159" i="11"/>
  <c r="I73" i="22"/>
  <c r="X159" i="11"/>
  <c r="AA159" i="11" s="1"/>
  <c r="AC159" i="11"/>
  <c r="K73" i="22"/>
  <c r="AH159" i="11"/>
  <c r="AK159" i="11"/>
  <c r="AM159" i="11"/>
  <c r="C160" i="11"/>
  <c r="D160" i="11"/>
  <c r="E160" i="11"/>
  <c r="F160" i="11"/>
  <c r="G160" i="11"/>
  <c r="H160" i="11"/>
  <c r="I160" i="11"/>
  <c r="S160" i="11" s="1"/>
  <c r="N160" i="11"/>
  <c r="Q160" i="11" s="1"/>
  <c r="I74" i="22"/>
  <c r="X160" i="11"/>
  <c r="AA160" i="11"/>
  <c r="AC160" i="11"/>
  <c r="K74" i="22"/>
  <c r="AH160" i="11"/>
  <c r="AK160" i="11" s="1"/>
  <c r="AL160" i="11"/>
  <c r="AM160" i="11"/>
  <c r="A161" i="11"/>
  <c r="B161" i="11"/>
  <c r="C161" i="11"/>
  <c r="D161" i="11"/>
  <c r="E161" i="11"/>
  <c r="F161" i="11"/>
  <c r="G161" i="11"/>
  <c r="I161" i="11" s="1"/>
  <c r="H161" i="11"/>
  <c r="N161" i="11"/>
  <c r="Q161" i="11" s="1"/>
  <c r="I75" i="22"/>
  <c r="X161" i="11"/>
  <c r="K75" i="22"/>
  <c r="AH161" i="11"/>
  <c r="AK161" i="11"/>
  <c r="AQ161" i="11" s="1"/>
  <c r="C162" i="11"/>
  <c r="D162" i="11"/>
  <c r="E162" i="11"/>
  <c r="F162" i="11"/>
  <c r="G162" i="11"/>
  <c r="I162" i="11" s="1"/>
  <c r="H162" i="11"/>
  <c r="N162" i="11"/>
  <c r="I76" i="22"/>
  <c r="X162" i="11"/>
  <c r="AA162" i="11"/>
  <c r="AC162" i="11"/>
  <c r="K76" i="22"/>
  <c r="AH162" i="11"/>
  <c r="AK162" i="11" s="1"/>
  <c r="AL162" i="11"/>
  <c r="C163" i="11"/>
  <c r="D163" i="11"/>
  <c r="E163" i="11"/>
  <c r="F163" i="11"/>
  <c r="G163" i="11"/>
  <c r="I163" i="11" s="1"/>
  <c r="S163" i="11" s="1"/>
  <c r="H163" i="11"/>
  <c r="N163" i="11"/>
  <c r="I77" i="22"/>
  <c r="X163" i="11"/>
  <c r="K77" i="22"/>
  <c r="AH163" i="11"/>
  <c r="AK163" i="11"/>
  <c r="AM163" i="11"/>
  <c r="A164" i="11"/>
  <c r="B164" i="11"/>
  <c r="C164" i="11"/>
  <c r="D164" i="11"/>
  <c r="E164" i="11"/>
  <c r="F164" i="11"/>
  <c r="G164" i="11"/>
  <c r="I164" i="11" s="1"/>
  <c r="H164" i="11"/>
  <c r="N164" i="11"/>
  <c r="I78" i="22"/>
  <c r="X164" i="11"/>
  <c r="AA164" i="11"/>
  <c r="K78" i="22"/>
  <c r="AH164" i="11"/>
  <c r="AK164" i="11" s="1"/>
  <c r="AQ164" i="11" s="1"/>
  <c r="AL164" i="11"/>
  <c r="C165" i="11"/>
  <c r="D165" i="11"/>
  <c r="E165" i="11"/>
  <c r="F165" i="11"/>
  <c r="G165" i="11"/>
  <c r="H165" i="11"/>
  <c r="I165" i="11" s="1"/>
  <c r="AC165" i="11" s="1"/>
  <c r="N165" i="11"/>
  <c r="Q165" i="11" s="1"/>
  <c r="S165" i="11"/>
  <c r="X165" i="11"/>
  <c r="AL165" i="11" s="1"/>
  <c r="K79" i="22"/>
  <c r="AH165" i="11"/>
  <c r="AK165" i="11" s="1"/>
  <c r="C166" i="11"/>
  <c r="D166" i="11"/>
  <c r="E166" i="11"/>
  <c r="F166" i="11"/>
  <c r="G166" i="11"/>
  <c r="H166" i="11"/>
  <c r="I166" i="11"/>
  <c r="AM166" i="11" s="1"/>
  <c r="N166" i="11"/>
  <c r="Q166" i="11" s="1"/>
  <c r="R166" i="11" s="1"/>
  <c r="S166" i="11"/>
  <c r="X166" i="11"/>
  <c r="AA166" i="11"/>
  <c r="AC166" i="11"/>
  <c r="K80" i="22"/>
  <c r="AH166" i="11"/>
  <c r="AK166" i="11"/>
  <c r="A167" i="11"/>
  <c r="B167" i="11"/>
  <c r="C167" i="11"/>
  <c r="D167" i="11"/>
  <c r="E167" i="11"/>
  <c r="F167" i="11"/>
  <c r="G167" i="11"/>
  <c r="H167" i="11"/>
  <c r="I167" i="11"/>
  <c r="AC167" i="11" s="1"/>
  <c r="N167" i="11"/>
  <c r="Q167" i="11" s="1"/>
  <c r="S167" i="11"/>
  <c r="I81" i="22"/>
  <c r="X167" i="11"/>
  <c r="AL167" i="11" s="1"/>
  <c r="K81" i="22"/>
  <c r="AH167" i="11"/>
  <c r="AK167" i="11" s="1"/>
  <c r="AM167" i="11"/>
  <c r="C168" i="11"/>
  <c r="D168" i="11"/>
  <c r="E168" i="11"/>
  <c r="F168" i="11"/>
  <c r="G168" i="11"/>
  <c r="H168" i="11"/>
  <c r="I168" i="11"/>
  <c r="S168" i="11" s="1"/>
  <c r="N168" i="11"/>
  <c r="AB168" i="11" s="1"/>
  <c r="I82" i="22"/>
  <c r="X168" i="11"/>
  <c r="AA168" i="11" s="1"/>
  <c r="K82" i="22"/>
  <c r="AH168" i="11"/>
  <c r="AK168" i="11" s="1"/>
  <c r="C169" i="11"/>
  <c r="D169" i="11"/>
  <c r="E169" i="11"/>
  <c r="F169" i="11"/>
  <c r="G169" i="11"/>
  <c r="H169" i="11"/>
  <c r="I169" i="11"/>
  <c r="AC169" i="11" s="1"/>
  <c r="N169" i="11"/>
  <c r="AB169" i="11" s="1"/>
  <c r="I83" i="22"/>
  <c r="X169" i="11"/>
  <c r="AL169" i="11" s="1"/>
  <c r="AA169" i="11"/>
  <c r="K83" i="22"/>
  <c r="AH169" i="11"/>
  <c r="AK169" i="11"/>
  <c r="A170" i="11"/>
  <c r="B170" i="11"/>
  <c r="C170" i="11"/>
  <c r="D170" i="11"/>
  <c r="E170" i="11"/>
  <c r="F170" i="11"/>
  <c r="G170" i="11"/>
  <c r="I170" i="11" s="1"/>
  <c r="H170" i="11"/>
  <c r="N170" i="11"/>
  <c r="I84" i="22"/>
  <c r="X170" i="11"/>
  <c r="K84" i="22"/>
  <c r="AH170" i="11"/>
  <c r="AK170" i="11" s="1"/>
  <c r="C171" i="11"/>
  <c r="D171" i="11"/>
  <c r="E171" i="11"/>
  <c r="F171" i="11"/>
  <c r="G171" i="11"/>
  <c r="I171" i="11" s="1"/>
  <c r="AM171" i="11" s="1"/>
  <c r="H171" i="11"/>
  <c r="N171" i="11"/>
  <c r="Q171" i="11" s="1"/>
  <c r="I85" i="22"/>
  <c r="X171" i="11"/>
  <c r="AA171" i="11" s="1"/>
  <c r="AB171" i="11"/>
  <c r="K85" i="22"/>
  <c r="AH171" i="11"/>
  <c r="AK171" i="11"/>
  <c r="AL171" i="11"/>
  <c r="C172" i="11"/>
  <c r="D172" i="11"/>
  <c r="E172" i="11"/>
  <c r="F172" i="11"/>
  <c r="G172" i="11"/>
  <c r="I172" i="11" s="1"/>
  <c r="H172" i="11"/>
  <c r="N172" i="11"/>
  <c r="Q172" i="11" s="1"/>
  <c r="I86" i="22"/>
  <c r="X172" i="11"/>
  <c r="AA172" i="11" s="1"/>
  <c r="K86" i="22"/>
  <c r="AH172" i="11"/>
  <c r="AK172" i="11" s="1"/>
  <c r="A173" i="11"/>
  <c r="B173" i="11"/>
  <c r="C173" i="11"/>
  <c r="D173" i="11"/>
  <c r="E173" i="11"/>
  <c r="F173" i="11"/>
  <c r="G173" i="11"/>
  <c r="I173" i="11" s="1"/>
  <c r="H173" i="11"/>
  <c r="N173" i="11"/>
  <c r="I87" i="22"/>
  <c r="X173" i="11"/>
  <c r="K87" i="22"/>
  <c r="AH173" i="11"/>
  <c r="AK173" i="11"/>
  <c r="AM173" i="11"/>
  <c r="C174" i="11"/>
  <c r="D174" i="11"/>
  <c r="E174" i="11"/>
  <c r="F174" i="11"/>
  <c r="G174" i="11"/>
  <c r="H174" i="11"/>
  <c r="I174" i="11"/>
  <c r="AM174" i="11" s="1"/>
  <c r="N174" i="11"/>
  <c r="Q174" i="11" s="1"/>
  <c r="R174" i="11" s="1"/>
  <c r="S174" i="11"/>
  <c r="I88" i="22"/>
  <c r="X174" i="11"/>
  <c r="AA174" i="11"/>
  <c r="AC174" i="11"/>
  <c r="K88" i="22"/>
  <c r="AH174" i="11"/>
  <c r="AK174" i="11"/>
  <c r="AL174" i="11"/>
  <c r="C175" i="11"/>
  <c r="D175" i="11"/>
  <c r="E175" i="11"/>
  <c r="F175" i="11"/>
  <c r="G175" i="11"/>
  <c r="I175" i="11" s="1"/>
  <c r="H175" i="11"/>
  <c r="N175" i="11"/>
  <c r="Q175" i="11" s="1"/>
  <c r="S175" i="11"/>
  <c r="I89" i="22"/>
  <c r="X175" i="11"/>
  <c r="AA175" i="11" s="1"/>
  <c r="AC175" i="11"/>
  <c r="K89" i="22"/>
  <c r="AH175" i="11"/>
  <c r="AK175" i="11"/>
  <c r="AM175" i="11"/>
  <c r="A176" i="11"/>
  <c r="B176" i="11"/>
  <c r="C176" i="11"/>
  <c r="D176" i="11"/>
  <c r="E176" i="11"/>
  <c r="F176" i="11"/>
  <c r="G176" i="11"/>
  <c r="I176" i="11" s="1"/>
  <c r="H176" i="11"/>
  <c r="N176" i="11"/>
  <c r="X176" i="11"/>
  <c r="AA176" i="11" s="1"/>
  <c r="AC176" i="11"/>
  <c r="K90" i="22"/>
  <c r="AH176" i="11"/>
  <c r="AK176" i="11" s="1"/>
  <c r="C177" i="11"/>
  <c r="D177" i="11"/>
  <c r="E177" i="11"/>
  <c r="F177" i="11"/>
  <c r="G177" i="11"/>
  <c r="H177" i="11"/>
  <c r="I177" i="11"/>
  <c r="AC177" i="11" s="1"/>
  <c r="N177" i="11"/>
  <c r="AB177" i="11" s="1"/>
  <c r="Q177" i="11"/>
  <c r="R177" i="11" s="1"/>
  <c r="S177" i="11"/>
  <c r="I91" i="22"/>
  <c r="X177" i="11"/>
  <c r="AL177" i="11" s="1"/>
  <c r="AA177" i="11"/>
  <c r="K91" i="22"/>
  <c r="AH177" i="11"/>
  <c r="AK177" i="11"/>
  <c r="AM177" i="11"/>
  <c r="C178" i="11"/>
  <c r="D178" i="11"/>
  <c r="E178" i="11"/>
  <c r="F178" i="11"/>
  <c r="G178" i="11"/>
  <c r="H178" i="11"/>
  <c r="I178" i="11"/>
  <c r="AM178" i="11" s="1"/>
  <c r="N178" i="11"/>
  <c r="Q178" i="11" s="1"/>
  <c r="R178" i="11" s="1"/>
  <c r="I92" i="22"/>
  <c r="X178" i="11"/>
  <c r="AL178" i="11" s="1"/>
  <c r="K92" i="22"/>
  <c r="AH178" i="11"/>
  <c r="AK178" i="11" s="1"/>
  <c r="A179" i="11"/>
  <c r="B179" i="11"/>
  <c r="C179" i="11"/>
  <c r="D179" i="11"/>
  <c r="E179" i="11"/>
  <c r="F179" i="11"/>
  <c r="G179" i="11"/>
  <c r="I179" i="11" s="1"/>
  <c r="H179" i="11"/>
  <c r="N179" i="11"/>
  <c r="AB179" i="11" s="1"/>
  <c r="I93" i="22"/>
  <c r="X179" i="11"/>
  <c r="AA179" i="11" s="1"/>
  <c r="AP179" i="11" s="1"/>
  <c r="AC179" i="11"/>
  <c r="K93" i="22"/>
  <c r="AH179" i="11"/>
  <c r="AK179" i="11" s="1"/>
  <c r="AL179" i="11"/>
  <c r="AM179" i="11"/>
  <c r="C180" i="11"/>
  <c r="D180" i="11"/>
  <c r="E180" i="11"/>
  <c r="F180" i="11"/>
  <c r="G180" i="11"/>
  <c r="I180" i="11" s="1"/>
  <c r="AM180" i="11" s="1"/>
  <c r="H180" i="11"/>
  <c r="N180" i="11"/>
  <c r="Q180" i="11" s="1"/>
  <c r="S180" i="11"/>
  <c r="I94" i="22"/>
  <c r="X180" i="11"/>
  <c r="AA180" i="11" s="1"/>
  <c r="AB180" i="11"/>
  <c r="AC180" i="11"/>
  <c r="K94" i="22"/>
  <c r="AH180" i="11"/>
  <c r="AK180" i="11"/>
  <c r="AQ179" i="11" s="1"/>
  <c r="AL180" i="11"/>
  <c r="C181" i="11"/>
  <c r="D181" i="11"/>
  <c r="E181" i="11"/>
  <c r="F181" i="11"/>
  <c r="G181" i="11"/>
  <c r="I181" i="11" s="1"/>
  <c r="S181" i="11" s="1"/>
  <c r="H181" i="11"/>
  <c r="N181" i="11"/>
  <c r="AB181" i="11" s="1"/>
  <c r="I95" i="22"/>
  <c r="X181" i="11"/>
  <c r="AA181" i="11" s="1"/>
  <c r="AC181" i="11"/>
  <c r="K95" i="22"/>
  <c r="AH181" i="11"/>
  <c r="AK181" i="11" s="1"/>
  <c r="AL181" i="11"/>
  <c r="AM181" i="11"/>
  <c r="A182" i="11"/>
  <c r="B182" i="11"/>
  <c r="C182" i="11"/>
  <c r="D182" i="11"/>
  <c r="E182" i="11"/>
  <c r="F182" i="11"/>
  <c r="G182" i="11"/>
  <c r="I182" i="11" s="1"/>
  <c r="H182" i="11"/>
  <c r="N182" i="11"/>
  <c r="Q182" i="11" s="1"/>
  <c r="S182" i="11"/>
  <c r="I96" i="22"/>
  <c r="X182" i="11"/>
  <c r="AA182" i="11" s="1"/>
  <c r="AB182" i="11"/>
  <c r="AC182" i="11"/>
  <c r="K96" i="22"/>
  <c r="AH182" i="11"/>
  <c r="AK182" i="11"/>
  <c r="AL182" i="11"/>
  <c r="C183" i="11"/>
  <c r="D183" i="11"/>
  <c r="E183" i="11"/>
  <c r="F183" i="11"/>
  <c r="G183" i="11"/>
  <c r="H183" i="11"/>
  <c r="I183" i="11"/>
  <c r="N183" i="11"/>
  <c r="Q183" i="11" s="1"/>
  <c r="R183" i="11" s="1"/>
  <c r="S183" i="11"/>
  <c r="I97" i="22"/>
  <c r="X183" i="11"/>
  <c r="AA183" i="11"/>
  <c r="AP182" i="11" s="1"/>
  <c r="K97" i="22"/>
  <c r="AH183" i="11"/>
  <c r="AK183" i="11" s="1"/>
  <c r="AL183" i="11"/>
  <c r="C184" i="11"/>
  <c r="D184" i="11"/>
  <c r="E184" i="11"/>
  <c r="F184" i="11"/>
  <c r="G184" i="11"/>
  <c r="I184" i="11" s="1"/>
  <c r="AM184" i="11" s="1"/>
  <c r="H184" i="11"/>
  <c r="N184" i="11"/>
  <c r="Q184" i="11" s="1"/>
  <c r="S184" i="11"/>
  <c r="I98" i="22"/>
  <c r="X184" i="11"/>
  <c r="AA184" i="11" s="1"/>
  <c r="AC184" i="11"/>
  <c r="K98" i="22"/>
  <c r="AH184" i="11"/>
  <c r="AK184" i="11"/>
  <c r="AL184" i="11"/>
  <c r="A185" i="11"/>
  <c r="B185" i="11"/>
  <c r="C185" i="11"/>
  <c r="D185" i="11"/>
  <c r="E185" i="11"/>
  <c r="F185" i="11"/>
  <c r="G185" i="11"/>
  <c r="H185" i="11"/>
  <c r="I185" i="11"/>
  <c r="N185" i="11"/>
  <c r="Q185" i="11" s="1"/>
  <c r="R185" i="11" s="1"/>
  <c r="S185" i="11"/>
  <c r="I99" i="22"/>
  <c r="X185" i="11"/>
  <c r="AA185" i="11"/>
  <c r="K99" i="22"/>
  <c r="AH185" i="11"/>
  <c r="AK185" i="11" s="1"/>
  <c r="AL185" i="11"/>
  <c r="C186" i="11"/>
  <c r="D186" i="11"/>
  <c r="E186" i="11"/>
  <c r="F186" i="11"/>
  <c r="G186" i="11"/>
  <c r="H186" i="11"/>
  <c r="I186" i="11"/>
  <c r="N186" i="11"/>
  <c r="Q186" i="11" s="1"/>
  <c r="R186" i="11" s="1"/>
  <c r="X186" i="11"/>
  <c r="AA186" i="11" s="1"/>
  <c r="K100" i="22"/>
  <c r="AH186" i="11"/>
  <c r="AK186" i="11" s="1"/>
  <c r="C187" i="11"/>
  <c r="D187" i="11"/>
  <c r="E187" i="11"/>
  <c r="F187" i="11"/>
  <c r="G187" i="11"/>
  <c r="H187" i="11"/>
  <c r="I187" i="11"/>
  <c r="N187" i="11"/>
  <c r="Q187" i="11" s="1"/>
  <c r="S187" i="11"/>
  <c r="I101" i="22"/>
  <c r="X187" i="11"/>
  <c r="AA187" i="11"/>
  <c r="K101" i="22"/>
  <c r="AH187" i="11"/>
  <c r="AK187" i="11" s="1"/>
  <c r="AL187" i="11"/>
  <c r="A188" i="11"/>
  <c r="B188" i="11"/>
  <c r="C188" i="11"/>
  <c r="D188" i="11"/>
  <c r="E188" i="11"/>
  <c r="F188" i="11"/>
  <c r="G188" i="11"/>
  <c r="H188" i="11"/>
  <c r="I188" i="11"/>
  <c r="N188" i="11"/>
  <c r="Q188" i="11" s="1"/>
  <c r="R188" i="11" s="1"/>
  <c r="X188" i="11"/>
  <c r="AA188" i="11" s="1"/>
  <c r="K102" i="22"/>
  <c r="AH188" i="11"/>
  <c r="AK188" i="11" s="1"/>
  <c r="AQ188" i="11"/>
  <c r="C189" i="11"/>
  <c r="D189" i="11"/>
  <c r="E189" i="11"/>
  <c r="F189" i="11"/>
  <c r="G189" i="11"/>
  <c r="I189" i="11" s="1"/>
  <c r="S189" i="11" s="1"/>
  <c r="H189" i="11"/>
  <c r="N189" i="11"/>
  <c r="AB189" i="11" s="1"/>
  <c r="X189" i="11"/>
  <c r="AA189" i="11" s="1"/>
  <c r="AC189" i="11"/>
  <c r="K103" i="22"/>
  <c r="AH189" i="11"/>
  <c r="AK189" i="11" s="1"/>
  <c r="AL189" i="11"/>
  <c r="AM189" i="11"/>
  <c r="C190" i="11"/>
  <c r="D190" i="11"/>
  <c r="E190" i="11"/>
  <c r="F190" i="11"/>
  <c r="G190" i="11"/>
  <c r="H190" i="11"/>
  <c r="I190" i="11"/>
  <c r="N190" i="11"/>
  <c r="Q190" i="11" s="1"/>
  <c r="R190" i="11" s="1"/>
  <c r="I104" i="22"/>
  <c r="X190" i="11"/>
  <c r="AA190" i="11"/>
  <c r="K104" i="22"/>
  <c r="AH190" i="11"/>
  <c r="AK190" i="11" s="1"/>
  <c r="A191" i="11"/>
  <c r="B191" i="11"/>
  <c r="C191" i="11"/>
  <c r="D191" i="11"/>
  <c r="E191" i="11"/>
  <c r="F191" i="11"/>
  <c r="G191" i="11"/>
  <c r="I191" i="11" s="1"/>
  <c r="H191" i="11"/>
  <c r="N191" i="11"/>
  <c r="I105" i="22"/>
  <c r="X191" i="11"/>
  <c r="AA191" i="11" s="1"/>
  <c r="AP191" i="11" s="1"/>
  <c r="AC191" i="11"/>
  <c r="K105" i="22"/>
  <c r="AH191" i="11"/>
  <c r="AK191" i="11" s="1"/>
  <c r="AL191" i="11"/>
  <c r="AM191" i="11"/>
  <c r="C192" i="11"/>
  <c r="D192" i="11"/>
  <c r="E192" i="11"/>
  <c r="F192" i="11"/>
  <c r="G192" i="11"/>
  <c r="I192" i="11" s="1"/>
  <c r="AM192" i="11" s="1"/>
  <c r="H192" i="11"/>
  <c r="N192" i="11"/>
  <c r="Q192" i="11" s="1"/>
  <c r="I106" i="22"/>
  <c r="X192" i="11"/>
  <c r="AA192" i="11" s="1"/>
  <c r="K106" i="22"/>
  <c r="AH192" i="11"/>
  <c r="AK192" i="11"/>
  <c r="AQ191" i="11" s="1"/>
  <c r="AL192" i="11"/>
  <c r="C193" i="11"/>
  <c r="D193" i="11"/>
  <c r="E193" i="11"/>
  <c r="F193" i="11"/>
  <c r="G193" i="11"/>
  <c r="I193" i="11" s="1"/>
  <c r="S193" i="11" s="1"/>
  <c r="H193" i="11"/>
  <c r="N193" i="11"/>
  <c r="I107" i="22"/>
  <c r="X193" i="11"/>
  <c r="AA193" i="11" s="1"/>
  <c r="AC193" i="11"/>
  <c r="K107" i="22"/>
  <c r="AH193" i="11"/>
  <c r="AK193" i="11" s="1"/>
  <c r="AM193" i="11"/>
  <c r="A194" i="11"/>
  <c r="B194" i="11"/>
  <c r="C194" i="11"/>
  <c r="D194" i="11"/>
  <c r="E194" i="11"/>
  <c r="F194" i="11"/>
  <c r="G194" i="11"/>
  <c r="I194" i="11" s="1"/>
  <c r="H194" i="11"/>
  <c r="N194" i="11"/>
  <c r="Q194" i="11" s="1"/>
  <c r="AO194" i="11" s="1"/>
  <c r="S194" i="11"/>
  <c r="I108" i="22"/>
  <c r="X194" i="11"/>
  <c r="AA194" i="11" s="1"/>
  <c r="AC194" i="11"/>
  <c r="K108" i="22"/>
  <c r="AH194" i="11"/>
  <c r="AK194" i="11"/>
  <c r="AL194" i="11"/>
  <c r="C195" i="11"/>
  <c r="D195" i="11"/>
  <c r="E195" i="11"/>
  <c r="F195" i="11"/>
  <c r="G195" i="11"/>
  <c r="I195" i="11" s="1"/>
  <c r="H195" i="11"/>
  <c r="N195" i="11"/>
  <c r="Q195" i="11" s="1"/>
  <c r="R195" i="11"/>
  <c r="I109" i="22"/>
  <c r="X195" i="11"/>
  <c r="AA195" i="11"/>
  <c r="AP194" i="11" s="1"/>
  <c r="K109" i="22"/>
  <c r="AH195" i="11"/>
  <c r="AK195" i="11" s="1"/>
  <c r="AQ194" i="11" s="1"/>
  <c r="AL195" i="11"/>
  <c r="C196" i="11"/>
  <c r="D196" i="11"/>
  <c r="E196" i="11"/>
  <c r="F196" i="11"/>
  <c r="G196" i="11"/>
  <c r="I196" i="11" s="1"/>
  <c r="AM196" i="11" s="1"/>
  <c r="H196" i="11"/>
  <c r="R196" i="11" s="1"/>
  <c r="N196" i="11"/>
  <c r="Q196" i="11"/>
  <c r="I110" i="22"/>
  <c r="X196" i="11"/>
  <c r="AA196" i="11" s="1"/>
  <c r="AB196" i="11"/>
  <c r="K110" i="22"/>
  <c r="AH196" i="11"/>
  <c r="AK196" i="11"/>
  <c r="A110" i="11"/>
  <c r="B110" i="11"/>
  <c r="C110" i="11"/>
  <c r="D110" i="11"/>
  <c r="E110" i="11"/>
  <c r="F110" i="11"/>
  <c r="G110" i="11"/>
  <c r="H110" i="11"/>
  <c r="N110" i="11"/>
  <c r="Q110" i="11" s="1"/>
  <c r="I24" i="22"/>
  <c r="X110" i="11"/>
  <c r="AA110" i="11" s="1"/>
  <c r="K24" i="22"/>
  <c r="AH110" i="11"/>
  <c r="AK110" i="11" s="1"/>
  <c r="C111" i="11"/>
  <c r="D111" i="11"/>
  <c r="E111" i="11"/>
  <c r="F111" i="11"/>
  <c r="G111" i="11"/>
  <c r="I111" i="11" s="1"/>
  <c r="AM111" i="11" s="1"/>
  <c r="H111" i="11"/>
  <c r="N111" i="11"/>
  <c r="Q111" i="11" s="1"/>
  <c r="S111" i="11"/>
  <c r="I25" i="22"/>
  <c r="X111" i="11"/>
  <c r="AC111" i="11"/>
  <c r="K25" i="22"/>
  <c r="AH111" i="11"/>
  <c r="AK111" i="11" s="1"/>
  <c r="AQ110" i="11" s="1"/>
  <c r="C112" i="11"/>
  <c r="D112" i="11"/>
  <c r="E112" i="11"/>
  <c r="F112" i="11"/>
  <c r="G112" i="11"/>
  <c r="I112" i="11" s="1"/>
  <c r="S112" i="11" s="1"/>
  <c r="H112" i="11"/>
  <c r="N112" i="11"/>
  <c r="Q112" i="11" s="1"/>
  <c r="I26" i="22"/>
  <c r="X112" i="11"/>
  <c r="AA112" i="11" s="1"/>
  <c r="K26" i="22"/>
  <c r="AH112" i="11"/>
  <c r="AK112" i="11" s="1"/>
  <c r="A113" i="11"/>
  <c r="B113" i="11"/>
  <c r="C113" i="11"/>
  <c r="D113" i="11"/>
  <c r="E113" i="11"/>
  <c r="F113" i="11"/>
  <c r="G113" i="11"/>
  <c r="I113" i="11" s="1"/>
  <c r="H113" i="11"/>
  <c r="N113" i="11"/>
  <c r="Q113" i="11" s="1"/>
  <c r="S113" i="11"/>
  <c r="I27" i="22"/>
  <c r="X113" i="11"/>
  <c r="AA113" i="11" s="1"/>
  <c r="AB113" i="11"/>
  <c r="AC113" i="11"/>
  <c r="K27" i="22"/>
  <c r="AH113" i="11"/>
  <c r="AK113" i="11"/>
  <c r="AL113" i="11"/>
  <c r="C114" i="11"/>
  <c r="D114" i="11"/>
  <c r="E114" i="11"/>
  <c r="F114" i="11"/>
  <c r="G114" i="11"/>
  <c r="H114" i="11"/>
  <c r="I114" i="11"/>
  <c r="N114" i="11"/>
  <c r="Q114" i="11" s="1"/>
  <c r="R114" i="11" s="1"/>
  <c r="S114" i="11"/>
  <c r="I28" i="22"/>
  <c r="X114" i="11"/>
  <c r="AA114" i="11"/>
  <c r="K28" i="22"/>
  <c r="AH114" i="11"/>
  <c r="AK114" i="11"/>
  <c r="AL114" i="11"/>
  <c r="C115" i="11"/>
  <c r="D115" i="11"/>
  <c r="E115" i="11"/>
  <c r="F115" i="11"/>
  <c r="G115" i="11"/>
  <c r="I115" i="11" s="1"/>
  <c r="AM115" i="11" s="1"/>
  <c r="H115" i="11"/>
  <c r="N115" i="11"/>
  <c r="Q115" i="11" s="1"/>
  <c r="S115" i="11"/>
  <c r="I29" i="22"/>
  <c r="X115" i="11"/>
  <c r="AC115" i="11"/>
  <c r="K29" i="22"/>
  <c r="AH115" i="11"/>
  <c r="AK115" i="11"/>
  <c r="A116" i="11"/>
  <c r="B116" i="11"/>
  <c r="C116" i="11"/>
  <c r="D116" i="11"/>
  <c r="E116" i="11"/>
  <c r="F116" i="11"/>
  <c r="G116" i="11"/>
  <c r="H116" i="11"/>
  <c r="I116" i="11"/>
  <c r="N116" i="11"/>
  <c r="Q116" i="11" s="1"/>
  <c r="R116" i="11" s="1"/>
  <c r="S116" i="11"/>
  <c r="I30" i="22"/>
  <c r="X116" i="11"/>
  <c r="AA116" i="11"/>
  <c r="K30" i="22"/>
  <c r="AH116" i="11"/>
  <c r="AK116" i="11"/>
  <c r="AL116" i="11"/>
  <c r="C117" i="11"/>
  <c r="D117" i="11"/>
  <c r="E117" i="11"/>
  <c r="F117" i="11"/>
  <c r="G117" i="11"/>
  <c r="H117" i="11"/>
  <c r="I117" i="11"/>
  <c r="N117" i="11"/>
  <c r="Q117" i="11" s="1"/>
  <c r="I31" i="22"/>
  <c r="X117" i="11"/>
  <c r="K31" i="22"/>
  <c r="AH117" i="11"/>
  <c r="AK117" i="11" s="1"/>
  <c r="AM117" i="11"/>
  <c r="C118" i="11"/>
  <c r="D118" i="11"/>
  <c r="E118" i="11"/>
  <c r="F118" i="11"/>
  <c r="G118" i="11"/>
  <c r="H118" i="11"/>
  <c r="I118" i="11"/>
  <c r="N118" i="11"/>
  <c r="Q118" i="11" s="1"/>
  <c r="R118" i="11" s="1"/>
  <c r="S118" i="11"/>
  <c r="I32" i="22"/>
  <c r="X118" i="11"/>
  <c r="AA118" i="11"/>
  <c r="K32" i="22"/>
  <c r="AH118" i="11"/>
  <c r="AK118" i="11"/>
  <c r="AL118" i="11"/>
  <c r="A119" i="11"/>
  <c r="B119" i="11"/>
  <c r="C119" i="11"/>
  <c r="D119" i="11"/>
  <c r="E119" i="11"/>
  <c r="F119" i="11"/>
  <c r="G119" i="11"/>
  <c r="I119" i="11" s="1"/>
  <c r="AM119" i="11" s="1"/>
  <c r="H119" i="11"/>
  <c r="N119" i="11"/>
  <c r="Q119" i="11" s="1"/>
  <c r="I33" i="22"/>
  <c r="X119" i="11"/>
  <c r="AL119" i="11" s="1"/>
  <c r="K33" i="22"/>
  <c r="AH119" i="11"/>
  <c r="AK119" i="11" s="1"/>
  <c r="C120" i="11"/>
  <c r="D120" i="11"/>
  <c r="E120" i="11"/>
  <c r="F120" i="11"/>
  <c r="G120" i="11"/>
  <c r="I120" i="11" s="1"/>
  <c r="S120" i="11" s="1"/>
  <c r="H120" i="11"/>
  <c r="N120" i="11"/>
  <c r="Q120" i="11" s="1"/>
  <c r="I34" i="22"/>
  <c r="X120" i="11"/>
  <c r="AA120" i="11" s="1"/>
  <c r="K34" i="22"/>
  <c r="AH120" i="11"/>
  <c r="AK120" i="11" s="1"/>
  <c r="C121" i="11"/>
  <c r="D121" i="11"/>
  <c r="E121" i="11"/>
  <c r="F121" i="11"/>
  <c r="G121" i="11"/>
  <c r="I121" i="11" s="1"/>
  <c r="AM121" i="11" s="1"/>
  <c r="H121" i="11"/>
  <c r="N121" i="11"/>
  <c r="Q121" i="11" s="1"/>
  <c r="I35" i="22"/>
  <c r="X121" i="11"/>
  <c r="K35" i="22"/>
  <c r="AH121" i="11"/>
  <c r="AK121" i="11" s="1"/>
  <c r="A122" i="11"/>
  <c r="B122" i="11"/>
  <c r="C122" i="11"/>
  <c r="D122" i="11"/>
  <c r="E122" i="11"/>
  <c r="F122" i="11"/>
  <c r="G122" i="11"/>
  <c r="H122" i="11"/>
  <c r="N122" i="11"/>
  <c r="I36" i="22"/>
  <c r="X122" i="11"/>
  <c r="AA122" i="11" s="1"/>
  <c r="K36" i="22"/>
  <c r="AH122" i="11"/>
  <c r="AK122" i="11" s="1"/>
  <c r="C123" i="11"/>
  <c r="D123" i="11"/>
  <c r="E123" i="11"/>
  <c r="F123" i="11"/>
  <c r="G123" i="11"/>
  <c r="I123" i="11" s="1"/>
  <c r="AM123" i="11" s="1"/>
  <c r="H123" i="11"/>
  <c r="N123" i="11"/>
  <c r="Q123" i="11" s="1"/>
  <c r="S123" i="11"/>
  <c r="I37" i="22"/>
  <c r="X123" i="11"/>
  <c r="AA123" i="11" s="1"/>
  <c r="AB123" i="11"/>
  <c r="AC123" i="11"/>
  <c r="K37" i="22"/>
  <c r="AH123" i="11"/>
  <c r="AK123" i="11"/>
  <c r="AQ122" i="11" s="1"/>
  <c r="AL123" i="11"/>
  <c r="C124" i="11"/>
  <c r="D124" i="11"/>
  <c r="E124" i="11"/>
  <c r="F124" i="11"/>
  <c r="G124" i="11"/>
  <c r="I124" i="11" s="1"/>
  <c r="S124" i="11" s="1"/>
  <c r="H124" i="11"/>
  <c r="N124" i="11"/>
  <c r="Q124" i="11" s="1"/>
  <c r="I38" i="22"/>
  <c r="X124" i="11"/>
  <c r="AA124" i="11" s="1"/>
  <c r="K38" i="22"/>
  <c r="AH124" i="11"/>
  <c r="AK124" i="11" s="1"/>
  <c r="A125" i="11"/>
  <c r="B125" i="11"/>
  <c r="C125" i="11"/>
  <c r="D125" i="11"/>
  <c r="E125" i="11"/>
  <c r="F125" i="11"/>
  <c r="G125" i="11"/>
  <c r="H125" i="11"/>
  <c r="N125" i="11"/>
  <c r="Q125" i="11" s="1"/>
  <c r="I39" i="22"/>
  <c r="X125" i="11"/>
  <c r="K39" i="22"/>
  <c r="AH125" i="11"/>
  <c r="AK125" i="11" s="1"/>
  <c r="C126" i="11"/>
  <c r="D126" i="11"/>
  <c r="E126" i="11"/>
  <c r="F126" i="11"/>
  <c r="G126" i="11"/>
  <c r="I126" i="11" s="1"/>
  <c r="S126" i="11" s="1"/>
  <c r="H126" i="11"/>
  <c r="N126" i="11"/>
  <c r="I40" i="22"/>
  <c r="X126" i="11"/>
  <c r="AL126" i="11" s="1"/>
  <c r="AA126" i="11"/>
  <c r="K40" i="22"/>
  <c r="AH126" i="11"/>
  <c r="AK126" i="11"/>
  <c r="C127" i="11"/>
  <c r="D127" i="11"/>
  <c r="E127" i="11"/>
  <c r="F127" i="11"/>
  <c r="G127" i="11"/>
  <c r="I127" i="11" s="1"/>
  <c r="AM127" i="11" s="1"/>
  <c r="H127" i="11"/>
  <c r="N127" i="11"/>
  <c r="Q127" i="11" s="1"/>
  <c r="S127" i="11"/>
  <c r="I41" i="22"/>
  <c r="X127" i="11"/>
  <c r="AA127" i="11" s="1"/>
  <c r="AC127" i="11"/>
  <c r="K41" i="22"/>
  <c r="AH127" i="11"/>
  <c r="AK127" i="11"/>
  <c r="AL127" i="11"/>
  <c r="A128" i="11"/>
  <c r="B128" i="11"/>
  <c r="C128" i="11"/>
  <c r="D128" i="11"/>
  <c r="E128" i="11"/>
  <c r="F128" i="11"/>
  <c r="G128" i="11"/>
  <c r="I128" i="11" s="1"/>
  <c r="H128" i="11"/>
  <c r="N128" i="11"/>
  <c r="X128" i="11"/>
  <c r="AL128" i="11" s="1"/>
  <c r="K42" i="22"/>
  <c r="AH128" i="11"/>
  <c r="AK128" i="11"/>
  <c r="C129" i="11"/>
  <c r="D129" i="11"/>
  <c r="E129" i="11"/>
  <c r="F129" i="11"/>
  <c r="G129" i="11"/>
  <c r="H129" i="11"/>
  <c r="I129" i="11"/>
  <c r="N129" i="11"/>
  <c r="Q129" i="11" s="1"/>
  <c r="R129" i="11" s="1"/>
  <c r="I43" i="22"/>
  <c r="X129" i="11"/>
  <c r="K43" i="22"/>
  <c r="AH129" i="11"/>
  <c r="AK129" i="11" s="1"/>
  <c r="C130" i="11"/>
  <c r="D130" i="11"/>
  <c r="E130" i="11"/>
  <c r="F130" i="11"/>
  <c r="G130" i="11"/>
  <c r="H130" i="11"/>
  <c r="I130" i="11"/>
  <c r="N130" i="11"/>
  <c r="Q130" i="11" s="1"/>
  <c r="R130" i="11" s="1"/>
  <c r="S130" i="11"/>
  <c r="I44" i="22"/>
  <c r="X130" i="11"/>
  <c r="AA130" i="11"/>
  <c r="K44" i="22"/>
  <c r="AH130" i="11"/>
  <c r="AK130" i="11"/>
  <c r="AL130" i="11"/>
  <c r="A131" i="11"/>
  <c r="B131" i="11"/>
  <c r="C131" i="11"/>
  <c r="D131" i="11"/>
  <c r="E131" i="11"/>
  <c r="F131" i="11"/>
  <c r="G131" i="11"/>
  <c r="I131" i="11" s="1"/>
  <c r="AN131" i="11" s="1"/>
  <c r="H131" i="11"/>
  <c r="N131" i="11"/>
  <c r="Q131" i="11" s="1"/>
  <c r="X131" i="11"/>
  <c r="AL131" i="11" s="1"/>
  <c r="K45" i="22"/>
  <c r="AH131" i="11"/>
  <c r="AK131" i="11" s="1"/>
  <c r="C132" i="11"/>
  <c r="D132" i="11"/>
  <c r="E132" i="11"/>
  <c r="F132" i="11"/>
  <c r="G132" i="11"/>
  <c r="I132" i="11" s="1"/>
  <c r="S132" i="11" s="1"/>
  <c r="H132" i="11"/>
  <c r="N132" i="11"/>
  <c r="AB132" i="11" s="1"/>
  <c r="I46" i="22"/>
  <c r="X132" i="11"/>
  <c r="AA132" i="11" s="1"/>
  <c r="K46" i="22"/>
  <c r="AH132" i="11"/>
  <c r="AK132" i="11" s="1"/>
  <c r="C133" i="11"/>
  <c r="D133" i="11"/>
  <c r="E133" i="11"/>
  <c r="F133" i="11"/>
  <c r="G133" i="11"/>
  <c r="I133" i="11" s="1"/>
  <c r="H133" i="11"/>
  <c r="N133" i="11"/>
  <c r="Q133" i="11" s="1"/>
  <c r="I47" i="22"/>
  <c r="X133" i="11"/>
  <c r="AL133" i="11" s="1"/>
  <c r="AA133" i="11"/>
  <c r="K47" i="22"/>
  <c r="AH133" i="11"/>
  <c r="AK133" i="11" s="1"/>
  <c r="A134" i="11"/>
  <c r="B134" i="11"/>
  <c r="C134" i="11"/>
  <c r="D134" i="11"/>
  <c r="E134" i="11"/>
  <c r="F134" i="11"/>
  <c r="G134" i="11"/>
  <c r="H134" i="11"/>
  <c r="N134" i="11"/>
  <c r="I48" i="22"/>
  <c r="X134" i="11"/>
  <c r="K48" i="22"/>
  <c r="AH134" i="11"/>
  <c r="AK134" i="11" s="1"/>
  <c r="C135" i="11"/>
  <c r="D135" i="11"/>
  <c r="E135" i="11"/>
  <c r="F135" i="11"/>
  <c r="G135" i="11"/>
  <c r="H135" i="11"/>
  <c r="N135" i="11"/>
  <c r="X135" i="11"/>
  <c r="I49" i="22" s="1"/>
  <c r="K49" i="22"/>
  <c r="AH135" i="11"/>
  <c r="AK135" i="11" s="1"/>
  <c r="AQ134" i="11" s="1"/>
  <c r="C136" i="11"/>
  <c r="D136" i="11"/>
  <c r="E136" i="11"/>
  <c r="F136" i="11"/>
  <c r="G136" i="11"/>
  <c r="H136" i="11"/>
  <c r="I136" i="11"/>
  <c r="N136" i="11"/>
  <c r="Q136" i="11" s="1"/>
  <c r="I50" i="22"/>
  <c r="X136" i="11"/>
  <c r="AA136" i="11"/>
  <c r="K50" i="22"/>
  <c r="AH136" i="11"/>
  <c r="AK136" i="11"/>
  <c r="A137" i="11"/>
  <c r="B137" i="11"/>
  <c r="C137" i="11"/>
  <c r="D137" i="11"/>
  <c r="E137" i="11"/>
  <c r="F137" i="11"/>
  <c r="G137" i="11"/>
  <c r="I137" i="11" s="1"/>
  <c r="S137" i="11" s="1"/>
  <c r="H137" i="11"/>
  <c r="N137" i="11"/>
  <c r="I51" i="22"/>
  <c r="X137" i="11"/>
  <c r="K51" i="22"/>
  <c r="AH137" i="11"/>
  <c r="AK137" i="11" s="1"/>
  <c r="C138" i="11"/>
  <c r="D138" i="11"/>
  <c r="E138" i="11"/>
  <c r="F138" i="11"/>
  <c r="G138" i="11"/>
  <c r="I138" i="11" s="1"/>
  <c r="H138" i="11"/>
  <c r="N138" i="11"/>
  <c r="Q138" i="11" s="1"/>
  <c r="I52" i="22"/>
  <c r="X138" i="11"/>
  <c r="AA138" i="11" s="1"/>
  <c r="K52" i="22"/>
  <c r="AH138" i="11"/>
  <c r="AK138" i="11"/>
  <c r="C139" i="11"/>
  <c r="D139" i="11"/>
  <c r="E139" i="11"/>
  <c r="F139" i="11"/>
  <c r="G139" i="11"/>
  <c r="H139" i="11"/>
  <c r="I139" i="11"/>
  <c r="S139" i="11" s="1"/>
  <c r="N139" i="11"/>
  <c r="Q139" i="11"/>
  <c r="R139" i="11" s="1"/>
  <c r="I53" i="22"/>
  <c r="X139" i="11"/>
  <c r="AA139" i="11"/>
  <c r="K53" i="22"/>
  <c r="AH139" i="11"/>
  <c r="AK139" i="11" s="1"/>
  <c r="A140" i="11"/>
  <c r="B140" i="11"/>
  <c r="C140" i="11"/>
  <c r="D140" i="11"/>
  <c r="E140" i="11"/>
  <c r="F140" i="11"/>
  <c r="G140" i="11"/>
  <c r="I140" i="11" s="1"/>
  <c r="H140" i="11"/>
  <c r="N140" i="11"/>
  <c r="AB140" i="11" s="1"/>
  <c r="I54" i="22"/>
  <c r="X140" i="11"/>
  <c r="AA140" i="11" s="1"/>
  <c r="K54" i="22"/>
  <c r="AH140" i="11"/>
  <c r="AK140" i="11" s="1"/>
  <c r="AQ140" i="11" s="1"/>
  <c r="C141" i="11"/>
  <c r="D141" i="11"/>
  <c r="E141" i="11"/>
  <c r="F141" i="11"/>
  <c r="G141" i="11"/>
  <c r="I141" i="11" s="1"/>
  <c r="H141" i="11"/>
  <c r="AL141" i="11" s="1"/>
  <c r="N141" i="11"/>
  <c r="Q141" i="11" s="1"/>
  <c r="R141" i="11"/>
  <c r="I55" i="22"/>
  <c r="X141" i="11"/>
  <c r="AA141" i="11"/>
  <c r="K55" i="22"/>
  <c r="AH141" i="11"/>
  <c r="AK141" i="11" s="1"/>
  <c r="C142" i="11"/>
  <c r="D142" i="11"/>
  <c r="E142" i="11"/>
  <c r="F142" i="11"/>
  <c r="G142" i="11"/>
  <c r="I142" i="11" s="1"/>
  <c r="H142" i="11"/>
  <c r="N142" i="11"/>
  <c r="AB142" i="11" s="1"/>
  <c r="Q142" i="11"/>
  <c r="I56" i="22"/>
  <c r="X142" i="11"/>
  <c r="AA142" i="11" s="1"/>
  <c r="K56" i="22"/>
  <c r="AH142" i="11"/>
  <c r="AK142" i="11" s="1"/>
  <c r="A143" i="11"/>
  <c r="B143" i="11"/>
  <c r="C143" i="11"/>
  <c r="D143" i="11"/>
  <c r="E143" i="11"/>
  <c r="F143" i="11"/>
  <c r="G143" i="11"/>
  <c r="H143" i="11"/>
  <c r="N143" i="11"/>
  <c r="Q143" i="11" s="1"/>
  <c r="X143" i="11"/>
  <c r="AA143" i="11" s="1"/>
  <c r="AP143" i="11" s="1"/>
  <c r="K57" i="22"/>
  <c r="AH143" i="11"/>
  <c r="AK143" i="11"/>
  <c r="AQ143" i="11" s="1"/>
  <c r="C144" i="11"/>
  <c r="D144" i="11"/>
  <c r="E144" i="11"/>
  <c r="F144" i="11"/>
  <c r="G144" i="11"/>
  <c r="H144" i="11"/>
  <c r="I144" i="11"/>
  <c r="AC144" i="11" s="1"/>
  <c r="N144" i="11"/>
  <c r="AB144" i="11" s="1"/>
  <c r="S144" i="11"/>
  <c r="I58" i="22"/>
  <c r="X144" i="11"/>
  <c r="AL144" i="11" s="1"/>
  <c r="AA144" i="11"/>
  <c r="K58" i="22"/>
  <c r="AH144" i="11"/>
  <c r="AK144" i="11"/>
  <c r="C145" i="11"/>
  <c r="D145" i="11"/>
  <c r="E145" i="11"/>
  <c r="F145" i="11"/>
  <c r="G145" i="11"/>
  <c r="I145" i="11" s="1"/>
  <c r="H145" i="11"/>
  <c r="N145" i="11"/>
  <c r="Q145" i="11" s="1"/>
  <c r="I59" i="22"/>
  <c r="X145" i="11"/>
  <c r="AA145" i="11"/>
  <c r="K59" i="22"/>
  <c r="AH145" i="11"/>
  <c r="AK145" i="11"/>
  <c r="AL145" i="11"/>
  <c r="A146" i="11"/>
  <c r="B146" i="11"/>
  <c r="C146" i="11"/>
  <c r="D146" i="11"/>
  <c r="E146" i="11"/>
  <c r="F146" i="11"/>
  <c r="G146" i="11"/>
  <c r="I146" i="11" s="1"/>
  <c r="AC146" i="11" s="1"/>
  <c r="H146" i="11"/>
  <c r="N146" i="11"/>
  <c r="Q146" i="11" s="1"/>
  <c r="R146" i="11" s="1"/>
  <c r="S146" i="11"/>
  <c r="X146" i="11"/>
  <c r="AL146" i="11" s="1"/>
  <c r="K60" i="22"/>
  <c r="AH146" i="11"/>
  <c r="AK146" i="11"/>
  <c r="C147" i="11"/>
  <c r="D147" i="11"/>
  <c r="E147" i="11"/>
  <c r="F147" i="11"/>
  <c r="G147" i="11"/>
  <c r="I147" i="11" s="1"/>
  <c r="S147" i="11" s="1"/>
  <c r="H147" i="11"/>
  <c r="N147" i="11"/>
  <c r="Q147" i="11"/>
  <c r="I61" i="22"/>
  <c r="X147" i="11"/>
  <c r="AA147" i="11"/>
  <c r="K61" i="22"/>
  <c r="AH147" i="11"/>
  <c r="AK147" i="11" s="1"/>
  <c r="C148" i="11"/>
  <c r="D148" i="11"/>
  <c r="E148" i="11"/>
  <c r="F148" i="11"/>
  <c r="G148" i="11"/>
  <c r="I148" i="11" s="1"/>
  <c r="AC148" i="11" s="1"/>
  <c r="H148" i="11"/>
  <c r="N148" i="11"/>
  <c r="Q148" i="11" s="1"/>
  <c r="R148" i="11"/>
  <c r="S148" i="11"/>
  <c r="I62" i="22"/>
  <c r="X148" i="11"/>
  <c r="AL148" i="11" s="1"/>
  <c r="AA148" i="11"/>
  <c r="K62" i="22"/>
  <c r="AH148" i="11"/>
  <c r="AK148" i="11"/>
  <c r="A90" i="11"/>
  <c r="B90" i="11"/>
  <c r="C90" i="11"/>
  <c r="D90" i="11"/>
  <c r="E90" i="11"/>
  <c r="F90" i="11"/>
  <c r="G90" i="11"/>
  <c r="I90" i="11" s="1"/>
  <c r="H90" i="11"/>
  <c r="N90" i="11"/>
  <c r="Q90" i="11" s="1"/>
  <c r="X90" i="11"/>
  <c r="AA90" i="11" s="1"/>
  <c r="AH90" i="11"/>
  <c r="AK90" i="11"/>
  <c r="C91" i="11"/>
  <c r="D91" i="11"/>
  <c r="E91" i="11"/>
  <c r="F91" i="11"/>
  <c r="G91" i="11"/>
  <c r="I91" i="11" s="1"/>
  <c r="AM91" i="11" s="1"/>
  <c r="H91" i="11"/>
  <c r="R91" i="11" s="1"/>
  <c r="N91" i="11"/>
  <c r="Q91" i="11" s="1"/>
  <c r="X91" i="11"/>
  <c r="AL91" i="11" s="1"/>
  <c r="AH91" i="11"/>
  <c r="AK91" i="11" s="1"/>
  <c r="C92" i="11"/>
  <c r="D92" i="11"/>
  <c r="E92" i="11"/>
  <c r="F92" i="11"/>
  <c r="G92" i="11"/>
  <c r="I92" i="11" s="1"/>
  <c r="H92" i="11"/>
  <c r="R92" i="11" s="1"/>
  <c r="N92" i="11"/>
  <c r="X92" i="11"/>
  <c r="AA92" i="11" s="1"/>
  <c r="AH92" i="11"/>
  <c r="AK92" i="11" s="1"/>
  <c r="A60" i="11"/>
  <c r="B60" i="11"/>
  <c r="C60" i="11"/>
  <c r="D60" i="11"/>
  <c r="E60" i="11"/>
  <c r="F60" i="11"/>
  <c r="G60" i="11"/>
  <c r="I60" i="11" s="1"/>
  <c r="S60" i="11" s="1"/>
  <c r="H60" i="11"/>
  <c r="N60" i="11"/>
  <c r="Q60" i="11" s="1"/>
  <c r="X60" i="11"/>
  <c r="K60" i="12"/>
  <c r="AH60" i="11"/>
  <c r="AK60" i="11" s="1"/>
  <c r="C61" i="11"/>
  <c r="D61" i="11"/>
  <c r="E61" i="11"/>
  <c r="F61" i="11"/>
  <c r="G61" i="11"/>
  <c r="I61" i="11" s="1"/>
  <c r="H61" i="11"/>
  <c r="N61" i="11"/>
  <c r="Q61" i="11" s="1"/>
  <c r="I61" i="12"/>
  <c r="X61" i="11"/>
  <c r="AA61" i="11"/>
  <c r="K61" i="12"/>
  <c r="AH61" i="11"/>
  <c r="AK61" i="11" s="1"/>
  <c r="AL61" i="11"/>
  <c r="C62" i="11"/>
  <c r="D62" i="11"/>
  <c r="E62" i="11"/>
  <c r="F62" i="11"/>
  <c r="G62" i="11"/>
  <c r="I62" i="11" s="1"/>
  <c r="S62" i="11" s="1"/>
  <c r="H62" i="11"/>
  <c r="R62" i="11" s="1"/>
  <c r="N62" i="11"/>
  <c r="Q62" i="11" s="1"/>
  <c r="I62" i="12"/>
  <c r="X62" i="11"/>
  <c r="AA62" i="11" s="1"/>
  <c r="K62" i="12"/>
  <c r="AH62" i="11"/>
  <c r="AK62" i="11" s="1"/>
  <c r="A63" i="11"/>
  <c r="B63" i="11"/>
  <c r="C63" i="11"/>
  <c r="D63" i="11"/>
  <c r="E63" i="11"/>
  <c r="F63" i="11"/>
  <c r="G63" i="11"/>
  <c r="I63" i="11" s="1"/>
  <c r="AM63" i="11" s="1"/>
  <c r="H63" i="11"/>
  <c r="N63" i="11"/>
  <c r="Q63" i="11" s="1"/>
  <c r="I63" i="12"/>
  <c r="X63" i="11"/>
  <c r="AA63" i="11" s="1"/>
  <c r="K63" i="12"/>
  <c r="AH63" i="11"/>
  <c r="AK63" i="11" s="1"/>
  <c r="C64" i="11"/>
  <c r="D64" i="11"/>
  <c r="E64" i="11"/>
  <c r="F64" i="11"/>
  <c r="G64" i="11"/>
  <c r="I64" i="11" s="1"/>
  <c r="H64" i="11"/>
  <c r="N64" i="11"/>
  <c r="Q64" i="11" s="1"/>
  <c r="I64" i="12"/>
  <c r="X64" i="11"/>
  <c r="K64" i="12"/>
  <c r="AH64" i="11"/>
  <c r="AK64" i="11" s="1"/>
  <c r="C65" i="11"/>
  <c r="D65" i="11"/>
  <c r="E65" i="11"/>
  <c r="F65" i="11"/>
  <c r="G65" i="11"/>
  <c r="I65" i="11" s="1"/>
  <c r="H65" i="11"/>
  <c r="N65" i="11"/>
  <c r="Q65" i="11" s="1"/>
  <c r="I65" i="12"/>
  <c r="X65" i="11"/>
  <c r="AA65" i="11" s="1"/>
  <c r="K65" i="12"/>
  <c r="AH65" i="11"/>
  <c r="AK65" i="11" s="1"/>
  <c r="A66" i="11"/>
  <c r="B66" i="11"/>
  <c r="C66" i="11"/>
  <c r="D66" i="11"/>
  <c r="E66" i="11"/>
  <c r="F66" i="11"/>
  <c r="G66" i="11"/>
  <c r="I66" i="11" s="1"/>
  <c r="H66" i="11"/>
  <c r="R66" i="11" s="1"/>
  <c r="N66" i="11"/>
  <c r="Q66" i="11" s="1"/>
  <c r="I66" i="12"/>
  <c r="X66" i="11"/>
  <c r="K66" i="12"/>
  <c r="AH66" i="11"/>
  <c r="AK66" i="11" s="1"/>
  <c r="C67" i="11"/>
  <c r="D67" i="11"/>
  <c r="E67" i="11"/>
  <c r="F67" i="11"/>
  <c r="G67" i="11"/>
  <c r="I67" i="11" s="1"/>
  <c r="H67" i="11"/>
  <c r="N67" i="11"/>
  <c r="I67" i="12"/>
  <c r="X67" i="11"/>
  <c r="AA67" i="11" s="1"/>
  <c r="K67" i="12"/>
  <c r="AH67" i="11"/>
  <c r="AK67" i="11" s="1"/>
  <c r="C68" i="11"/>
  <c r="D68" i="11"/>
  <c r="E68" i="11"/>
  <c r="F68" i="11"/>
  <c r="G68" i="11"/>
  <c r="I68" i="11" s="1"/>
  <c r="H68" i="11"/>
  <c r="N68" i="11"/>
  <c r="I68" i="12"/>
  <c r="X68" i="11"/>
  <c r="AL68" i="11" s="1"/>
  <c r="AA68" i="11"/>
  <c r="K68" i="12"/>
  <c r="AH68" i="11"/>
  <c r="AK68" i="11" s="1"/>
  <c r="A69" i="11"/>
  <c r="B69" i="11"/>
  <c r="C69" i="11"/>
  <c r="D69" i="11"/>
  <c r="E69" i="11"/>
  <c r="F69" i="11"/>
  <c r="G69" i="11"/>
  <c r="I69" i="11" s="1"/>
  <c r="H69" i="11"/>
  <c r="N69" i="11"/>
  <c r="Q69" i="11" s="1"/>
  <c r="X69" i="11"/>
  <c r="AA69" i="11" s="1"/>
  <c r="K69" i="12"/>
  <c r="AH69" i="11"/>
  <c r="AK69" i="11" s="1"/>
  <c r="C70" i="11"/>
  <c r="D70" i="11"/>
  <c r="E70" i="11"/>
  <c r="F70" i="11"/>
  <c r="G70" i="11"/>
  <c r="I70" i="11" s="1"/>
  <c r="AC70" i="11" s="1"/>
  <c r="H70" i="11"/>
  <c r="N70" i="11"/>
  <c r="Q70" i="11" s="1"/>
  <c r="S70" i="11"/>
  <c r="I70" i="12"/>
  <c r="X70" i="11"/>
  <c r="AA70" i="11" s="1"/>
  <c r="K70" i="12"/>
  <c r="AH70" i="11"/>
  <c r="AK70" i="11" s="1"/>
  <c r="C71" i="11"/>
  <c r="D71" i="11"/>
  <c r="E71" i="11"/>
  <c r="F71" i="11"/>
  <c r="G71" i="11"/>
  <c r="I71" i="11" s="1"/>
  <c r="H71" i="11"/>
  <c r="R71" i="11" s="1"/>
  <c r="N71" i="11"/>
  <c r="Q71" i="11" s="1"/>
  <c r="I71" i="12"/>
  <c r="X71" i="11"/>
  <c r="AA71" i="11" s="1"/>
  <c r="K71" i="12"/>
  <c r="AH71" i="11"/>
  <c r="AK71" i="11" s="1"/>
  <c r="A72" i="11"/>
  <c r="B72" i="11"/>
  <c r="C72" i="11"/>
  <c r="D72" i="11"/>
  <c r="E72" i="11"/>
  <c r="F72" i="11"/>
  <c r="G72" i="11"/>
  <c r="H72" i="11"/>
  <c r="N72" i="11"/>
  <c r="Q72" i="11" s="1"/>
  <c r="X72" i="11"/>
  <c r="AA72" i="11" s="1"/>
  <c r="K72" i="12"/>
  <c r="AH72" i="11"/>
  <c r="AK72" i="11" s="1"/>
  <c r="C73" i="11"/>
  <c r="D73" i="11"/>
  <c r="E73" i="11"/>
  <c r="F73" i="11"/>
  <c r="G73" i="11"/>
  <c r="H73" i="11"/>
  <c r="N73" i="11"/>
  <c r="Q73" i="11" s="1"/>
  <c r="I73" i="12"/>
  <c r="X73" i="11"/>
  <c r="AA73" i="11" s="1"/>
  <c r="K73" i="12"/>
  <c r="AH73" i="11"/>
  <c r="AK73" i="11" s="1"/>
  <c r="C74" i="11"/>
  <c r="D74" i="11"/>
  <c r="E74" i="11"/>
  <c r="F74" i="11"/>
  <c r="G74" i="11"/>
  <c r="I74" i="11" s="1"/>
  <c r="AC74" i="11" s="1"/>
  <c r="H74" i="11"/>
  <c r="N74" i="11"/>
  <c r="Q74" i="11" s="1"/>
  <c r="S74" i="11"/>
  <c r="X74" i="11"/>
  <c r="AA74" i="11" s="1"/>
  <c r="K74" i="12"/>
  <c r="AH74" i="11"/>
  <c r="AK74" i="11"/>
  <c r="A75" i="11"/>
  <c r="B75" i="11"/>
  <c r="C75" i="11"/>
  <c r="D75" i="11"/>
  <c r="E75" i="11"/>
  <c r="F75" i="11"/>
  <c r="G75" i="11"/>
  <c r="H75" i="11"/>
  <c r="N75" i="11"/>
  <c r="Q75" i="11" s="1"/>
  <c r="X75" i="11"/>
  <c r="AA75" i="11" s="1"/>
  <c r="K75" i="12"/>
  <c r="AH75" i="11"/>
  <c r="AK75" i="11" s="1"/>
  <c r="C76" i="11"/>
  <c r="D76" i="11"/>
  <c r="E76" i="11"/>
  <c r="F76" i="11"/>
  <c r="G76" i="11"/>
  <c r="I76" i="11" s="1"/>
  <c r="H76" i="11"/>
  <c r="N76" i="11"/>
  <c r="I76" i="12"/>
  <c r="X76" i="11"/>
  <c r="AL76" i="11" s="1"/>
  <c r="K76" i="12"/>
  <c r="AH76" i="11"/>
  <c r="AK76" i="11" s="1"/>
  <c r="C77" i="11"/>
  <c r="D77" i="11"/>
  <c r="E77" i="11"/>
  <c r="F77" i="11"/>
  <c r="G77" i="11"/>
  <c r="I77" i="11" s="1"/>
  <c r="H77" i="11"/>
  <c r="N77" i="11"/>
  <c r="Q77" i="11" s="1"/>
  <c r="I77" i="12"/>
  <c r="X77" i="11"/>
  <c r="K77" i="12"/>
  <c r="AH77" i="11"/>
  <c r="AK77" i="11" s="1"/>
  <c r="A78" i="11"/>
  <c r="B78" i="11"/>
  <c r="C78" i="11"/>
  <c r="D78" i="11"/>
  <c r="E78" i="11"/>
  <c r="F78" i="11"/>
  <c r="G78" i="11"/>
  <c r="H78" i="11"/>
  <c r="N78" i="11"/>
  <c r="Q78" i="11" s="1"/>
  <c r="X78" i="11"/>
  <c r="I78" i="12" s="1"/>
  <c r="K78" i="12"/>
  <c r="AH78" i="11"/>
  <c r="AK78" i="11" s="1"/>
  <c r="C79" i="11"/>
  <c r="D79" i="11"/>
  <c r="E79" i="11"/>
  <c r="F79" i="11"/>
  <c r="G79" i="11"/>
  <c r="H79" i="11"/>
  <c r="N79" i="11"/>
  <c r="Q79" i="11" s="1"/>
  <c r="R79" i="11" s="1"/>
  <c r="X79" i="11"/>
  <c r="I79" i="12" s="1"/>
  <c r="AA79" i="11"/>
  <c r="K79" i="12"/>
  <c r="AH79" i="11"/>
  <c r="AK79" i="11" s="1"/>
  <c r="C80" i="11"/>
  <c r="D80" i="11"/>
  <c r="E80" i="11"/>
  <c r="F80" i="11"/>
  <c r="G80" i="11"/>
  <c r="I80" i="11" s="1"/>
  <c r="AC80" i="11" s="1"/>
  <c r="H80" i="11"/>
  <c r="N80" i="11"/>
  <c r="X80" i="11"/>
  <c r="AL80" i="11" s="1"/>
  <c r="K80" i="12"/>
  <c r="AH80" i="11"/>
  <c r="AK80" i="11" s="1"/>
  <c r="A81" i="11"/>
  <c r="B81" i="11"/>
  <c r="C81" i="11"/>
  <c r="D81" i="11"/>
  <c r="E81" i="11"/>
  <c r="F81" i="11"/>
  <c r="G81" i="11"/>
  <c r="H81" i="11"/>
  <c r="N81" i="11"/>
  <c r="X81" i="11"/>
  <c r="AA81" i="11" s="1"/>
  <c r="K81" i="12"/>
  <c r="AH81" i="11"/>
  <c r="AK81" i="11" s="1"/>
  <c r="C82" i="11"/>
  <c r="D82" i="11"/>
  <c r="E82" i="11"/>
  <c r="F82" i="11"/>
  <c r="G82" i="11"/>
  <c r="I82" i="11" s="1"/>
  <c r="AM82" i="11" s="1"/>
  <c r="H82" i="11"/>
  <c r="N82" i="11"/>
  <c r="Q82" i="11" s="1"/>
  <c r="I82" i="12"/>
  <c r="X82" i="11"/>
  <c r="AA82" i="11" s="1"/>
  <c r="K82" i="12"/>
  <c r="AH82" i="11"/>
  <c r="AK82" i="11"/>
  <c r="C83" i="11"/>
  <c r="D83" i="11"/>
  <c r="E83" i="11"/>
  <c r="F83" i="11"/>
  <c r="G83" i="11"/>
  <c r="I83" i="11" s="1"/>
  <c r="H83" i="11"/>
  <c r="N83" i="11"/>
  <c r="Q83" i="11" s="1"/>
  <c r="I83" i="12"/>
  <c r="X83" i="11"/>
  <c r="AA83" i="11" s="1"/>
  <c r="K83" i="12"/>
  <c r="AH83" i="11"/>
  <c r="AK83" i="11" s="1"/>
  <c r="A84" i="11"/>
  <c r="B84" i="11"/>
  <c r="C84" i="11"/>
  <c r="D84" i="11"/>
  <c r="E84" i="11"/>
  <c r="F84" i="11"/>
  <c r="G84" i="11"/>
  <c r="H84" i="11"/>
  <c r="N84" i="11"/>
  <c r="Q84" i="11" s="1"/>
  <c r="X84" i="11"/>
  <c r="AA84" i="11" s="1"/>
  <c r="K84" i="12"/>
  <c r="AH84" i="11"/>
  <c r="AK84" i="11" s="1"/>
  <c r="C85" i="11"/>
  <c r="D85" i="11"/>
  <c r="E85" i="11"/>
  <c r="F85" i="11"/>
  <c r="G85" i="11"/>
  <c r="I85" i="11" s="1"/>
  <c r="H85" i="11"/>
  <c r="N85" i="11"/>
  <c r="Q85" i="11" s="1"/>
  <c r="I85" i="12"/>
  <c r="X85" i="11"/>
  <c r="AA85" i="11" s="1"/>
  <c r="K85" i="12"/>
  <c r="AH85" i="11"/>
  <c r="AK85" i="11" s="1"/>
  <c r="C86" i="11"/>
  <c r="D86" i="11"/>
  <c r="E86" i="11"/>
  <c r="F86" i="11"/>
  <c r="G86" i="11"/>
  <c r="I86" i="11" s="1"/>
  <c r="S86" i="11" s="1"/>
  <c r="H86" i="11"/>
  <c r="N86" i="11"/>
  <c r="Q86" i="11" s="1"/>
  <c r="X86" i="11"/>
  <c r="AA86" i="11" s="1"/>
  <c r="K86" i="12"/>
  <c r="AH86" i="11"/>
  <c r="AK86" i="11" s="1"/>
  <c r="A87" i="11"/>
  <c r="B87" i="11"/>
  <c r="C87" i="11"/>
  <c r="D87" i="11"/>
  <c r="E87" i="11"/>
  <c r="F87" i="11"/>
  <c r="G87" i="11"/>
  <c r="I87" i="11" s="1"/>
  <c r="H87" i="11"/>
  <c r="R87" i="11" s="1"/>
  <c r="N87" i="11"/>
  <c r="Q87" i="11"/>
  <c r="X87" i="11"/>
  <c r="AA87" i="11" s="1"/>
  <c r="K87" i="12"/>
  <c r="AH87" i="11"/>
  <c r="AK87" i="11" s="1"/>
  <c r="C88" i="11"/>
  <c r="D88" i="11"/>
  <c r="E88" i="11"/>
  <c r="F88" i="11"/>
  <c r="G88" i="11"/>
  <c r="I88" i="11" s="1"/>
  <c r="H88" i="11"/>
  <c r="N88" i="11"/>
  <c r="Q88" i="11" s="1"/>
  <c r="I88" i="12"/>
  <c r="X88" i="11"/>
  <c r="AA88" i="11" s="1"/>
  <c r="K88" i="12"/>
  <c r="AH88" i="11"/>
  <c r="AK88" i="11" s="1"/>
  <c r="C89" i="11"/>
  <c r="D89" i="11"/>
  <c r="E89" i="11"/>
  <c r="F89" i="11"/>
  <c r="G89" i="11"/>
  <c r="I89" i="11" s="1"/>
  <c r="H89" i="11"/>
  <c r="N89" i="11"/>
  <c r="Q89" i="11" s="1"/>
  <c r="X89" i="11"/>
  <c r="AA89" i="11" s="1"/>
  <c r="K89" i="12"/>
  <c r="AH89" i="11"/>
  <c r="AK89" i="11" s="1"/>
  <c r="A39" i="11"/>
  <c r="B39" i="11"/>
  <c r="C39" i="11"/>
  <c r="D39" i="11"/>
  <c r="E39" i="11"/>
  <c r="F39" i="11"/>
  <c r="G39" i="11"/>
  <c r="H39" i="11"/>
  <c r="R39" i="11" s="1"/>
  <c r="N39" i="11"/>
  <c r="Q39" i="11" s="1"/>
  <c r="X39" i="11"/>
  <c r="K39" i="12"/>
  <c r="AH39" i="11"/>
  <c r="AK39" i="11" s="1"/>
  <c r="C40" i="11"/>
  <c r="D40" i="11"/>
  <c r="E40" i="11"/>
  <c r="F40" i="11"/>
  <c r="G40" i="11"/>
  <c r="H40" i="11"/>
  <c r="N40" i="11"/>
  <c r="X40" i="11"/>
  <c r="AA40" i="11" s="1"/>
  <c r="K40" i="12"/>
  <c r="AH40" i="11"/>
  <c r="AK40" i="11" s="1"/>
  <c r="C41" i="11"/>
  <c r="D41" i="11"/>
  <c r="E41" i="11"/>
  <c r="F41" i="11"/>
  <c r="G41" i="11"/>
  <c r="I41" i="11" s="1"/>
  <c r="H41" i="11"/>
  <c r="N41" i="11"/>
  <c r="X41" i="11"/>
  <c r="K41" i="12"/>
  <c r="AH41" i="11"/>
  <c r="AK41" i="11" s="1"/>
  <c r="A42" i="11"/>
  <c r="B42" i="11"/>
  <c r="C42" i="11"/>
  <c r="D42" i="11"/>
  <c r="E42" i="11"/>
  <c r="F42" i="11"/>
  <c r="G42" i="11"/>
  <c r="H42" i="11"/>
  <c r="N42" i="11"/>
  <c r="X42" i="11"/>
  <c r="AA42" i="11" s="1"/>
  <c r="K42" i="12"/>
  <c r="AH42" i="11"/>
  <c r="AK42" i="11" s="1"/>
  <c r="C43" i="11"/>
  <c r="D43" i="11"/>
  <c r="E43" i="11"/>
  <c r="F43" i="11"/>
  <c r="G43" i="11"/>
  <c r="I43" i="11" s="1"/>
  <c r="H43" i="11"/>
  <c r="N43" i="11"/>
  <c r="Q43" i="11" s="1"/>
  <c r="I43" i="12"/>
  <c r="X43" i="11"/>
  <c r="AL43" i="11" s="1"/>
  <c r="K43" i="12"/>
  <c r="AH43" i="11"/>
  <c r="AK43" i="11" s="1"/>
  <c r="C44" i="11"/>
  <c r="D44" i="11"/>
  <c r="E44" i="11"/>
  <c r="F44" i="11"/>
  <c r="G44" i="11"/>
  <c r="I44" i="11" s="1"/>
  <c r="AC44" i="11" s="1"/>
  <c r="H44" i="11"/>
  <c r="N44" i="11"/>
  <c r="X44" i="11"/>
  <c r="AA44" i="11" s="1"/>
  <c r="K44" i="12"/>
  <c r="AH44" i="11"/>
  <c r="AK44" i="11" s="1"/>
  <c r="A45" i="11"/>
  <c r="B45" i="11"/>
  <c r="C45" i="11"/>
  <c r="D45" i="11"/>
  <c r="E45" i="11"/>
  <c r="F45" i="11"/>
  <c r="G45" i="11"/>
  <c r="H45" i="11"/>
  <c r="R45" i="11" s="1"/>
  <c r="N45" i="11"/>
  <c r="Q45" i="11" s="1"/>
  <c r="X45" i="11"/>
  <c r="AL45" i="11" s="1"/>
  <c r="K45" i="12"/>
  <c r="AH45" i="11"/>
  <c r="AK45" i="11" s="1"/>
  <c r="C46" i="11"/>
  <c r="D46" i="11"/>
  <c r="E46" i="11"/>
  <c r="F46" i="11"/>
  <c r="G46" i="11"/>
  <c r="I46" i="11" s="1"/>
  <c r="H46" i="11"/>
  <c r="N46" i="11"/>
  <c r="Q46" i="11" s="1"/>
  <c r="I46" i="12"/>
  <c r="X46" i="11"/>
  <c r="AA46" i="11" s="1"/>
  <c r="K46" i="12"/>
  <c r="AH46" i="11"/>
  <c r="AK46" i="11" s="1"/>
  <c r="C47" i="11"/>
  <c r="D47" i="11"/>
  <c r="E47" i="11"/>
  <c r="F47" i="11"/>
  <c r="G47" i="11"/>
  <c r="I47" i="11" s="1"/>
  <c r="H47" i="11"/>
  <c r="R47" i="11" s="1"/>
  <c r="N47" i="11"/>
  <c r="Q47" i="11" s="1"/>
  <c r="X47" i="11"/>
  <c r="AA47" i="11" s="1"/>
  <c r="K47" i="12"/>
  <c r="AH47" i="11"/>
  <c r="AK47" i="11" s="1"/>
  <c r="A48" i="11"/>
  <c r="B48" i="11"/>
  <c r="C48" i="11"/>
  <c r="D48" i="11"/>
  <c r="E48" i="11"/>
  <c r="F48" i="11"/>
  <c r="G48" i="11"/>
  <c r="H48" i="11"/>
  <c r="N48" i="11"/>
  <c r="Q48" i="11" s="1"/>
  <c r="X48" i="11"/>
  <c r="AA48" i="11" s="1"/>
  <c r="K48" i="12"/>
  <c r="AH48" i="11"/>
  <c r="AK48" i="11" s="1"/>
  <c r="C49" i="11"/>
  <c r="D49" i="11"/>
  <c r="E49" i="11"/>
  <c r="F49" i="11"/>
  <c r="G49" i="11"/>
  <c r="I49" i="11" s="1"/>
  <c r="H49" i="11"/>
  <c r="N49" i="11"/>
  <c r="Q49" i="11" s="1"/>
  <c r="I49" i="12"/>
  <c r="X49" i="11"/>
  <c r="K49" i="12"/>
  <c r="AH49" i="11"/>
  <c r="AK49" i="11" s="1"/>
  <c r="AM49" i="11"/>
  <c r="C50" i="11"/>
  <c r="D50" i="11"/>
  <c r="E50" i="11"/>
  <c r="F50" i="11"/>
  <c r="G50" i="11"/>
  <c r="I50" i="11" s="1"/>
  <c r="H50" i="11"/>
  <c r="N50" i="11"/>
  <c r="Q50" i="11" s="1"/>
  <c r="R50" i="11" s="1"/>
  <c r="X50" i="11"/>
  <c r="AL50" i="11" s="1"/>
  <c r="K50" i="12"/>
  <c r="AH50" i="11"/>
  <c r="AK50" i="11" s="1"/>
  <c r="A51" i="11"/>
  <c r="B51" i="11"/>
  <c r="C51" i="11"/>
  <c r="D51" i="11"/>
  <c r="E51" i="11"/>
  <c r="F51" i="11"/>
  <c r="G51" i="11"/>
  <c r="H51" i="11"/>
  <c r="N51" i="11"/>
  <c r="Q51" i="11"/>
  <c r="X51" i="11"/>
  <c r="AA51" i="11" s="1"/>
  <c r="K51" i="12"/>
  <c r="AH51" i="11"/>
  <c r="AK51" i="11" s="1"/>
  <c r="C52" i="11"/>
  <c r="D52" i="11"/>
  <c r="E52" i="11"/>
  <c r="F52" i="11"/>
  <c r="G52" i="11"/>
  <c r="H52" i="11"/>
  <c r="N52" i="11"/>
  <c r="Q52" i="11" s="1"/>
  <c r="I52" i="12"/>
  <c r="X52" i="11"/>
  <c r="AA52" i="11" s="1"/>
  <c r="K52" i="12"/>
  <c r="AH52" i="11"/>
  <c r="AK52" i="11" s="1"/>
  <c r="C53" i="11"/>
  <c r="D53" i="11"/>
  <c r="E53" i="11"/>
  <c r="F53" i="11"/>
  <c r="G53" i="11"/>
  <c r="H53" i="11"/>
  <c r="N53" i="11"/>
  <c r="Q53" i="11" s="1"/>
  <c r="X53" i="11"/>
  <c r="AA53" i="11" s="1"/>
  <c r="K53" i="12"/>
  <c r="AH53" i="11"/>
  <c r="AK53" i="11" s="1"/>
  <c r="A54" i="11"/>
  <c r="B54" i="11"/>
  <c r="C54" i="11"/>
  <c r="D54" i="11"/>
  <c r="E54" i="11"/>
  <c r="F54" i="11"/>
  <c r="G54" i="11"/>
  <c r="I54" i="11" s="1"/>
  <c r="S54" i="11" s="1"/>
  <c r="H54" i="11"/>
  <c r="N54" i="11"/>
  <c r="Q54" i="11" s="1"/>
  <c r="X54" i="11"/>
  <c r="AA54" i="11" s="1"/>
  <c r="K54" i="12"/>
  <c r="AH54" i="11"/>
  <c r="AK54" i="11"/>
  <c r="AL54" i="11"/>
  <c r="C55" i="11"/>
  <c r="D55" i="11"/>
  <c r="E55" i="11"/>
  <c r="F55" i="11"/>
  <c r="G55" i="11"/>
  <c r="I55" i="11" s="1"/>
  <c r="S55" i="11" s="1"/>
  <c r="H55" i="11"/>
  <c r="N55" i="11"/>
  <c r="Q55" i="11" s="1"/>
  <c r="X55" i="11"/>
  <c r="AL55" i="11" s="1"/>
  <c r="AA55" i="11"/>
  <c r="K55" i="12"/>
  <c r="AH55" i="11"/>
  <c r="AK55" i="11" s="1"/>
  <c r="C56" i="11"/>
  <c r="D56" i="11"/>
  <c r="E56" i="11"/>
  <c r="F56" i="11"/>
  <c r="G56" i="11"/>
  <c r="H56" i="11"/>
  <c r="N56" i="11"/>
  <c r="Q56" i="11" s="1"/>
  <c r="X56" i="11"/>
  <c r="AA56" i="11" s="1"/>
  <c r="K56" i="12"/>
  <c r="AH56" i="11"/>
  <c r="AK56" i="11"/>
  <c r="A57" i="11"/>
  <c r="B57" i="11"/>
  <c r="C57" i="11"/>
  <c r="D57" i="11"/>
  <c r="E57" i="11"/>
  <c r="F57" i="11"/>
  <c r="G57" i="11"/>
  <c r="H57" i="11"/>
  <c r="N57" i="11"/>
  <c r="Q57" i="11" s="1"/>
  <c r="X57" i="11"/>
  <c r="I57" i="12" s="1"/>
  <c r="K57" i="12"/>
  <c r="AH57" i="11"/>
  <c r="AK57" i="11" s="1"/>
  <c r="C58" i="11"/>
  <c r="D58" i="11"/>
  <c r="E58" i="11"/>
  <c r="F58" i="11"/>
  <c r="G58" i="11"/>
  <c r="I58" i="11" s="1"/>
  <c r="AM58" i="11" s="1"/>
  <c r="H58" i="11"/>
  <c r="N58" i="11"/>
  <c r="Q58" i="11" s="1"/>
  <c r="I58" i="12"/>
  <c r="X58" i="11"/>
  <c r="K58" i="12"/>
  <c r="AH58" i="11"/>
  <c r="AK58" i="11" s="1"/>
  <c r="C59" i="11"/>
  <c r="D59" i="11"/>
  <c r="E59" i="11"/>
  <c r="F59" i="11"/>
  <c r="G59" i="11"/>
  <c r="I59" i="11" s="1"/>
  <c r="S59" i="11" s="1"/>
  <c r="H59" i="11"/>
  <c r="N59" i="11"/>
  <c r="Q59" i="11" s="1"/>
  <c r="I59" i="12"/>
  <c r="X59" i="11"/>
  <c r="AA59" i="11" s="1"/>
  <c r="K59" i="12"/>
  <c r="AH59" i="11"/>
  <c r="AK59" i="11" s="1"/>
  <c r="C96" i="11"/>
  <c r="C97" i="11"/>
  <c r="C98" i="11"/>
  <c r="C99" i="11"/>
  <c r="C100" i="11"/>
  <c r="C101" i="11"/>
  <c r="C102" i="11"/>
  <c r="C103" i="11"/>
  <c r="C104" i="11"/>
  <c r="C105" i="11"/>
  <c r="C106" i="11"/>
  <c r="C107" i="11"/>
  <c r="C108" i="11"/>
  <c r="C109" i="11"/>
  <c r="C95" i="11"/>
  <c r="C94" i="13"/>
  <c r="C15" i="11"/>
  <c r="C16" i="11"/>
  <c r="C17" i="11"/>
  <c r="C18" i="11"/>
  <c r="C19" i="11"/>
  <c r="C20" i="11"/>
  <c r="C21" i="11"/>
  <c r="C22" i="11"/>
  <c r="C23" i="11"/>
  <c r="C24" i="11"/>
  <c r="C25" i="11"/>
  <c r="C26" i="11"/>
  <c r="C27" i="11"/>
  <c r="C28" i="11"/>
  <c r="C29" i="11"/>
  <c r="C30" i="11"/>
  <c r="C31" i="11"/>
  <c r="C32" i="11"/>
  <c r="C33" i="11"/>
  <c r="C34" i="11"/>
  <c r="C35" i="11"/>
  <c r="C36" i="11"/>
  <c r="C37" i="11"/>
  <c r="C38" i="11"/>
  <c r="C12" i="11"/>
  <c r="C13" i="11"/>
  <c r="C14" i="11"/>
  <c r="C10" i="11"/>
  <c r="C11" i="11"/>
  <c r="C9" i="11"/>
  <c r="C9" i="13"/>
  <c r="A184" i="13"/>
  <c r="B184" i="13"/>
  <c r="C184" i="13"/>
  <c r="D184" i="13"/>
  <c r="E184" i="13"/>
  <c r="J184" i="13"/>
  <c r="C185" i="13"/>
  <c r="D185" i="13"/>
  <c r="E185" i="13"/>
  <c r="J185" i="13"/>
  <c r="C186" i="13"/>
  <c r="D186" i="13"/>
  <c r="E186" i="13"/>
  <c r="J186" i="13"/>
  <c r="A187" i="13"/>
  <c r="B187" i="13"/>
  <c r="C187" i="13"/>
  <c r="D187" i="13"/>
  <c r="E187" i="13"/>
  <c r="J187" i="13"/>
  <c r="C188" i="13"/>
  <c r="D188" i="13"/>
  <c r="E188" i="13"/>
  <c r="J188" i="13"/>
  <c r="C189" i="13"/>
  <c r="D189" i="13"/>
  <c r="E189" i="13"/>
  <c r="J189" i="13"/>
  <c r="A190" i="13"/>
  <c r="B190" i="13"/>
  <c r="C190" i="13"/>
  <c r="D190" i="13"/>
  <c r="E190" i="13"/>
  <c r="J190" i="13"/>
  <c r="C191" i="13"/>
  <c r="D191" i="13"/>
  <c r="E191" i="13"/>
  <c r="J191" i="13"/>
  <c r="C192" i="13"/>
  <c r="D192" i="13"/>
  <c r="E192" i="13"/>
  <c r="J192" i="13"/>
  <c r="A193" i="13"/>
  <c r="B193" i="13"/>
  <c r="C193" i="13"/>
  <c r="D193" i="13"/>
  <c r="E193" i="13"/>
  <c r="J193" i="13"/>
  <c r="C194" i="13"/>
  <c r="D194" i="13"/>
  <c r="E194" i="13"/>
  <c r="J194" i="13"/>
  <c r="C195" i="13"/>
  <c r="D195" i="13"/>
  <c r="E195" i="13"/>
  <c r="J195" i="13"/>
  <c r="A166" i="13"/>
  <c r="B166" i="13"/>
  <c r="C166" i="13"/>
  <c r="D166" i="13"/>
  <c r="E166" i="13"/>
  <c r="J166" i="13"/>
  <c r="C167" i="13"/>
  <c r="D167" i="13"/>
  <c r="E167" i="13"/>
  <c r="J167" i="13"/>
  <c r="C168" i="13"/>
  <c r="D168" i="13"/>
  <c r="E168" i="13"/>
  <c r="J168" i="13"/>
  <c r="A169" i="13"/>
  <c r="B169" i="13"/>
  <c r="C169" i="13"/>
  <c r="D169" i="13"/>
  <c r="E169" i="13"/>
  <c r="J169" i="13"/>
  <c r="C170" i="13"/>
  <c r="D170" i="13"/>
  <c r="E170" i="13"/>
  <c r="J170" i="13"/>
  <c r="C171" i="13"/>
  <c r="D171" i="13"/>
  <c r="E171" i="13"/>
  <c r="J171" i="13"/>
  <c r="A172" i="13"/>
  <c r="B172" i="13"/>
  <c r="C172" i="13"/>
  <c r="D172" i="13"/>
  <c r="E172" i="13"/>
  <c r="J172" i="13"/>
  <c r="C173" i="13"/>
  <c r="D173" i="13"/>
  <c r="E173" i="13"/>
  <c r="J173" i="13"/>
  <c r="C174" i="13"/>
  <c r="D174" i="13"/>
  <c r="E174" i="13"/>
  <c r="J174" i="13"/>
  <c r="A175" i="13"/>
  <c r="B175" i="13"/>
  <c r="C175" i="13"/>
  <c r="D175" i="13"/>
  <c r="E175" i="13"/>
  <c r="J175" i="13"/>
  <c r="C176" i="13"/>
  <c r="D176" i="13"/>
  <c r="E176" i="13"/>
  <c r="J176" i="13"/>
  <c r="C177" i="13"/>
  <c r="D177" i="13"/>
  <c r="E177" i="13"/>
  <c r="J177" i="13"/>
  <c r="A178" i="13"/>
  <c r="B178" i="13"/>
  <c r="C178" i="13"/>
  <c r="D178" i="13"/>
  <c r="E178" i="13"/>
  <c r="J178" i="13"/>
  <c r="C179" i="13"/>
  <c r="D179" i="13"/>
  <c r="E179" i="13"/>
  <c r="J179" i="13"/>
  <c r="C180" i="13"/>
  <c r="D180" i="13"/>
  <c r="E180" i="13"/>
  <c r="J180" i="13"/>
  <c r="A181" i="13"/>
  <c r="B181" i="13"/>
  <c r="C181" i="13"/>
  <c r="D181" i="13"/>
  <c r="E181" i="13"/>
  <c r="J181" i="13"/>
  <c r="C182" i="13"/>
  <c r="D182" i="13"/>
  <c r="E182" i="13"/>
  <c r="J182" i="13"/>
  <c r="C183" i="13"/>
  <c r="D183" i="13"/>
  <c r="E183" i="13"/>
  <c r="J183" i="13"/>
  <c r="A130" i="13"/>
  <c r="B130" i="13"/>
  <c r="C130" i="13"/>
  <c r="D130" i="13"/>
  <c r="E130" i="13"/>
  <c r="J130" i="13"/>
  <c r="C131" i="13"/>
  <c r="D131" i="13"/>
  <c r="E131" i="13"/>
  <c r="J131" i="13"/>
  <c r="C132" i="13"/>
  <c r="D132" i="13"/>
  <c r="E132" i="13"/>
  <c r="J132" i="13"/>
  <c r="A133" i="13"/>
  <c r="B133" i="13"/>
  <c r="C133" i="13"/>
  <c r="D133" i="13"/>
  <c r="E133" i="13"/>
  <c r="J133" i="13"/>
  <c r="C134" i="13"/>
  <c r="D134" i="13"/>
  <c r="E134" i="13"/>
  <c r="J134" i="13"/>
  <c r="C135" i="13"/>
  <c r="D135" i="13"/>
  <c r="E135" i="13"/>
  <c r="J135" i="13"/>
  <c r="A136" i="13"/>
  <c r="B136" i="13"/>
  <c r="C136" i="13"/>
  <c r="D136" i="13"/>
  <c r="E136" i="13"/>
  <c r="J136" i="13"/>
  <c r="C137" i="13"/>
  <c r="D137" i="13"/>
  <c r="E137" i="13"/>
  <c r="J137" i="13"/>
  <c r="C138" i="13"/>
  <c r="D138" i="13"/>
  <c r="E138" i="13"/>
  <c r="J138" i="13"/>
  <c r="A139" i="13"/>
  <c r="B139" i="13"/>
  <c r="C139" i="13"/>
  <c r="D139" i="13"/>
  <c r="E139" i="13"/>
  <c r="J139" i="13"/>
  <c r="C140" i="13"/>
  <c r="D140" i="13"/>
  <c r="E140" i="13"/>
  <c r="J140" i="13"/>
  <c r="C141" i="13"/>
  <c r="D141" i="13"/>
  <c r="E141" i="13"/>
  <c r="J141" i="13"/>
  <c r="A142" i="13"/>
  <c r="B142" i="13"/>
  <c r="C142" i="13"/>
  <c r="D142" i="13"/>
  <c r="E142" i="13"/>
  <c r="J142" i="13"/>
  <c r="C143" i="13"/>
  <c r="D143" i="13"/>
  <c r="E143" i="13"/>
  <c r="J143" i="13"/>
  <c r="C144" i="13"/>
  <c r="D144" i="13"/>
  <c r="E144" i="13"/>
  <c r="J144" i="13"/>
  <c r="A145" i="13"/>
  <c r="B145" i="13"/>
  <c r="C145" i="13"/>
  <c r="D145" i="13"/>
  <c r="E145" i="13"/>
  <c r="J145" i="13"/>
  <c r="C146" i="13"/>
  <c r="D146" i="13"/>
  <c r="E146" i="13"/>
  <c r="J146" i="13"/>
  <c r="C147" i="13"/>
  <c r="D147" i="13"/>
  <c r="E147" i="13"/>
  <c r="J147" i="13"/>
  <c r="A148" i="13"/>
  <c r="B148" i="13"/>
  <c r="C148" i="13"/>
  <c r="D148" i="13"/>
  <c r="E148" i="13"/>
  <c r="J148" i="13"/>
  <c r="C149" i="13"/>
  <c r="D149" i="13"/>
  <c r="E149" i="13"/>
  <c r="J149" i="13"/>
  <c r="C150" i="13"/>
  <c r="D150" i="13"/>
  <c r="E150" i="13"/>
  <c r="J150" i="13"/>
  <c r="A151" i="13"/>
  <c r="B151" i="13"/>
  <c r="C151" i="13"/>
  <c r="D151" i="13"/>
  <c r="E151" i="13"/>
  <c r="J151" i="13"/>
  <c r="C152" i="13"/>
  <c r="D152" i="13"/>
  <c r="E152" i="13"/>
  <c r="J152" i="13"/>
  <c r="C153" i="13"/>
  <c r="D153" i="13"/>
  <c r="E153" i="13"/>
  <c r="J153" i="13"/>
  <c r="A154" i="13"/>
  <c r="B154" i="13"/>
  <c r="C154" i="13"/>
  <c r="D154" i="13"/>
  <c r="E154" i="13"/>
  <c r="J154" i="13"/>
  <c r="C155" i="13"/>
  <c r="D155" i="13"/>
  <c r="E155" i="13"/>
  <c r="J155" i="13"/>
  <c r="C156" i="13"/>
  <c r="D156" i="13"/>
  <c r="E156" i="13"/>
  <c r="J156" i="13"/>
  <c r="A157" i="13"/>
  <c r="B157" i="13"/>
  <c r="C157" i="13"/>
  <c r="D157" i="13"/>
  <c r="E157" i="13"/>
  <c r="J157" i="13"/>
  <c r="C158" i="13"/>
  <c r="D158" i="13"/>
  <c r="E158" i="13"/>
  <c r="J158" i="13"/>
  <c r="C159" i="13"/>
  <c r="D159" i="13"/>
  <c r="E159" i="13"/>
  <c r="J159" i="13"/>
  <c r="A160" i="13"/>
  <c r="B160" i="13"/>
  <c r="C160" i="13"/>
  <c r="D160" i="13"/>
  <c r="E160" i="13"/>
  <c r="J160" i="13"/>
  <c r="C161" i="13"/>
  <c r="D161" i="13"/>
  <c r="E161" i="13"/>
  <c r="J161" i="13"/>
  <c r="C162" i="13"/>
  <c r="D162" i="13"/>
  <c r="E162" i="13"/>
  <c r="J162" i="13"/>
  <c r="A163" i="13"/>
  <c r="B163" i="13"/>
  <c r="C163" i="13"/>
  <c r="D163" i="13"/>
  <c r="E163" i="13"/>
  <c r="J163" i="13"/>
  <c r="C164" i="13"/>
  <c r="D164" i="13"/>
  <c r="E164" i="13"/>
  <c r="J164" i="13"/>
  <c r="C165" i="13"/>
  <c r="D165" i="13"/>
  <c r="E165" i="13"/>
  <c r="J165" i="13"/>
  <c r="A109" i="13"/>
  <c r="B109" i="13"/>
  <c r="C109" i="13"/>
  <c r="D109" i="13"/>
  <c r="E109" i="13"/>
  <c r="J109" i="13"/>
  <c r="C110" i="13"/>
  <c r="D110" i="13"/>
  <c r="E110" i="13"/>
  <c r="J110" i="13"/>
  <c r="C111" i="13"/>
  <c r="D111" i="13"/>
  <c r="E111" i="13"/>
  <c r="J111" i="13"/>
  <c r="A112" i="13"/>
  <c r="B112" i="13"/>
  <c r="C112" i="13"/>
  <c r="D112" i="13"/>
  <c r="E112" i="13"/>
  <c r="J112" i="13"/>
  <c r="C113" i="13"/>
  <c r="D113" i="13"/>
  <c r="E113" i="13"/>
  <c r="J113" i="13"/>
  <c r="C114" i="13"/>
  <c r="D114" i="13"/>
  <c r="E114" i="13"/>
  <c r="J114" i="13"/>
  <c r="A115" i="13"/>
  <c r="B115" i="13"/>
  <c r="C115" i="13"/>
  <c r="D115" i="13"/>
  <c r="E115" i="13"/>
  <c r="J115" i="13"/>
  <c r="C116" i="13"/>
  <c r="D116" i="13"/>
  <c r="E116" i="13"/>
  <c r="J116" i="13"/>
  <c r="C117" i="13"/>
  <c r="D117" i="13"/>
  <c r="E117" i="13"/>
  <c r="J117" i="13"/>
  <c r="A118" i="13"/>
  <c r="B118" i="13"/>
  <c r="C118" i="13"/>
  <c r="D118" i="13"/>
  <c r="E118" i="13"/>
  <c r="J118" i="13"/>
  <c r="C119" i="13"/>
  <c r="D119" i="13"/>
  <c r="E119" i="13"/>
  <c r="J119" i="13"/>
  <c r="C120" i="13"/>
  <c r="D120" i="13"/>
  <c r="E120" i="13"/>
  <c r="J120" i="13"/>
  <c r="A121" i="13"/>
  <c r="B121" i="13"/>
  <c r="C121" i="13"/>
  <c r="D121" i="13"/>
  <c r="E121" i="13"/>
  <c r="J121" i="13"/>
  <c r="C122" i="13"/>
  <c r="D122" i="13"/>
  <c r="E122" i="13"/>
  <c r="J122" i="13"/>
  <c r="C123" i="13"/>
  <c r="D123" i="13"/>
  <c r="E123" i="13"/>
  <c r="J123" i="13"/>
  <c r="A124" i="13"/>
  <c r="B124" i="13"/>
  <c r="C124" i="13"/>
  <c r="D124" i="13"/>
  <c r="E124" i="13"/>
  <c r="J124" i="13"/>
  <c r="C125" i="13"/>
  <c r="D125" i="13"/>
  <c r="E125" i="13"/>
  <c r="J125" i="13"/>
  <c r="C126" i="13"/>
  <c r="D126" i="13"/>
  <c r="E126" i="13"/>
  <c r="J126" i="13"/>
  <c r="A127" i="13"/>
  <c r="B127" i="13"/>
  <c r="C127" i="13"/>
  <c r="D127" i="13"/>
  <c r="E127" i="13"/>
  <c r="J127" i="13"/>
  <c r="C128" i="13"/>
  <c r="D128" i="13"/>
  <c r="E128" i="13"/>
  <c r="J128" i="13"/>
  <c r="C129" i="13"/>
  <c r="D129" i="13"/>
  <c r="E129" i="13"/>
  <c r="J129" i="13"/>
  <c r="A39" i="13"/>
  <c r="B39" i="13"/>
  <c r="C39" i="13"/>
  <c r="D39" i="13"/>
  <c r="E39" i="13"/>
  <c r="J39" i="13"/>
  <c r="C40" i="13"/>
  <c r="D40" i="13"/>
  <c r="E40" i="13"/>
  <c r="J40" i="13"/>
  <c r="C41" i="13"/>
  <c r="D41" i="13"/>
  <c r="E41" i="13"/>
  <c r="J41" i="13"/>
  <c r="A42" i="13"/>
  <c r="B42" i="13"/>
  <c r="C42" i="13"/>
  <c r="D42" i="13"/>
  <c r="E42" i="13"/>
  <c r="J42" i="13"/>
  <c r="C43" i="13"/>
  <c r="D43" i="13"/>
  <c r="E43" i="13"/>
  <c r="J43" i="13"/>
  <c r="C44" i="13"/>
  <c r="D44" i="13"/>
  <c r="E44" i="13"/>
  <c r="J44" i="13"/>
  <c r="A45" i="13"/>
  <c r="B45" i="13"/>
  <c r="C45" i="13"/>
  <c r="D45" i="13"/>
  <c r="E45" i="13"/>
  <c r="J45" i="13"/>
  <c r="C46" i="13"/>
  <c r="D46" i="13"/>
  <c r="E46" i="13"/>
  <c r="J46" i="13"/>
  <c r="C47" i="13"/>
  <c r="D47" i="13"/>
  <c r="E47" i="13"/>
  <c r="J47" i="13"/>
  <c r="A48" i="13"/>
  <c r="B48" i="13"/>
  <c r="C48" i="13"/>
  <c r="D48" i="13"/>
  <c r="E48" i="13"/>
  <c r="J48" i="13"/>
  <c r="C49" i="13"/>
  <c r="D49" i="13"/>
  <c r="E49" i="13"/>
  <c r="J49" i="13"/>
  <c r="C50" i="13"/>
  <c r="D50" i="13"/>
  <c r="E50" i="13"/>
  <c r="J50" i="13"/>
  <c r="A51" i="13"/>
  <c r="B51" i="13"/>
  <c r="C51" i="13"/>
  <c r="D51" i="13"/>
  <c r="E51" i="13"/>
  <c r="J51" i="13"/>
  <c r="C52" i="13"/>
  <c r="D52" i="13"/>
  <c r="E52" i="13"/>
  <c r="J52" i="13"/>
  <c r="C53" i="13"/>
  <c r="D53" i="13"/>
  <c r="E53" i="13"/>
  <c r="J53" i="13"/>
  <c r="A54" i="13"/>
  <c r="B54" i="13"/>
  <c r="C54" i="13"/>
  <c r="D54" i="13"/>
  <c r="E54" i="13"/>
  <c r="J54" i="13"/>
  <c r="C55" i="13"/>
  <c r="D55" i="13"/>
  <c r="E55" i="13"/>
  <c r="J55" i="13"/>
  <c r="C56" i="13"/>
  <c r="D56" i="13"/>
  <c r="E56" i="13"/>
  <c r="J56" i="13"/>
  <c r="A57" i="13"/>
  <c r="B57" i="13"/>
  <c r="C57" i="13"/>
  <c r="D57" i="13"/>
  <c r="E57" i="13"/>
  <c r="J57" i="13"/>
  <c r="C58" i="13"/>
  <c r="D58" i="13"/>
  <c r="E58" i="13"/>
  <c r="J58" i="13"/>
  <c r="C59" i="13"/>
  <c r="D59" i="13"/>
  <c r="E59" i="13"/>
  <c r="J59" i="13"/>
  <c r="A60" i="13"/>
  <c r="B60" i="13"/>
  <c r="C60" i="13"/>
  <c r="D60" i="13"/>
  <c r="E60" i="13"/>
  <c r="J60" i="13"/>
  <c r="C61" i="13"/>
  <c r="D61" i="13"/>
  <c r="E61" i="13"/>
  <c r="J61" i="13"/>
  <c r="C62" i="13"/>
  <c r="D62" i="13"/>
  <c r="E62" i="13"/>
  <c r="J62" i="13"/>
  <c r="A63" i="13"/>
  <c r="B63" i="13"/>
  <c r="C63" i="13"/>
  <c r="D63" i="13"/>
  <c r="E63" i="13"/>
  <c r="J63" i="13"/>
  <c r="C64" i="13"/>
  <c r="D64" i="13"/>
  <c r="E64" i="13"/>
  <c r="J64" i="13"/>
  <c r="C65" i="13"/>
  <c r="D65" i="13"/>
  <c r="E65" i="13"/>
  <c r="J65" i="13"/>
  <c r="A66" i="13"/>
  <c r="B66" i="13"/>
  <c r="C66" i="13"/>
  <c r="D66" i="13"/>
  <c r="E66" i="13"/>
  <c r="J66" i="13"/>
  <c r="C67" i="13"/>
  <c r="D67" i="13"/>
  <c r="E67" i="13"/>
  <c r="J67" i="13"/>
  <c r="C68" i="13"/>
  <c r="D68" i="13"/>
  <c r="E68" i="13"/>
  <c r="J68" i="13"/>
  <c r="A69" i="13"/>
  <c r="B69" i="13"/>
  <c r="C69" i="13"/>
  <c r="D69" i="13"/>
  <c r="E69" i="13"/>
  <c r="J69" i="13"/>
  <c r="C70" i="13"/>
  <c r="D70" i="13"/>
  <c r="E70" i="13"/>
  <c r="J70" i="13"/>
  <c r="C71" i="13"/>
  <c r="D71" i="13"/>
  <c r="E71" i="13"/>
  <c r="J71" i="13"/>
  <c r="A72" i="13"/>
  <c r="B72" i="13"/>
  <c r="C72" i="13"/>
  <c r="D72" i="13"/>
  <c r="E72" i="13"/>
  <c r="J72" i="13"/>
  <c r="C73" i="13"/>
  <c r="D73" i="13"/>
  <c r="E73" i="13"/>
  <c r="J73" i="13"/>
  <c r="C74" i="13"/>
  <c r="D74" i="13"/>
  <c r="E74" i="13"/>
  <c r="J74" i="13"/>
  <c r="A75" i="13"/>
  <c r="B75" i="13"/>
  <c r="C75" i="13"/>
  <c r="D75" i="13"/>
  <c r="E75" i="13"/>
  <c r="J75" i="13"/>
  <c r="C76" i="13"/>
  <c r="D76" i="13"/>
  <c r="E76" i="13"/>
  <c r="J76" i="13"/>
  <c r="C77" i="13"/>
  <c r="D77" i="13"/>
  <c r="E77" i="13"/>
  <c r="J77" i="13"/>
  <c r="A78" i="13"/>
  <c r="B78" i="13"/>
  <c r="C78" i="13"/>
  <c r="D78" i="13"/>
  <c r="E78" i="13"/>
  <c r="J78" i="13"/>
  <c r="C79" i="13"/>
  <c r="D79" i="13"/>
  <c r="E79" i="13"/>
  <c r="J79" i="13"/>
  <c r="C80" i="13"/>
  <c r="D80" i="13"/>
  <c r="E80" i="13"/>
  <c r="J80" i="13"/>
  <c r="A81" i="13"/>
  <c r="B81" i="13"/>
  <c r="C81" i="13"/>
  <c r="D81" i="13"/>
  <c r="E81" i="13"/>
  <c r="J81" i="13"/>
  <c r="C82" i="13"/>
  <c r="D82" i="13"/>
  <c r="E82" i="13"/>
  <c r="J82" i="13"/>
  <c r="C83" i="13"/>
  <c r="D83" i="13"/>
  <c r="E83" i="13"/>
  <c r="J83" i="13"/>
  <c r="A84" i="13"/>
  <c r="B84" i="13"/>
  <c r="C84" i="13"/>
  <c r="D84" i="13"/>
  <c r="E84" i="13"/>
  <c r="J84" i="13"/>
  <c r="C85" i="13"/>
  <c r="D85" i="13"/>
  <c r="E85" i="13"/>
  <c r="J85" i="13"/>
  <c r="C86" i="13"/>
  <c r="D86" i="13"/>
  <c r="E86" i="13"/>
  <c r="J86" i="13"/>
  <c r="A87" i="13"/>
  <c r="B87" i="13"/>
  <c r="C87" i="13"/>
  <c r="D87" i="13"/>
  <c r="E87" i="13"/>
  <c r="J87" i="13"/>
  <c r="C88" i="13"/>
  <c r="D88" i="13"/>
  <c r="E88" i="13"/>
  <c r="J88" i="13"/>
  <c r="C89" i="13"/>
  <c r="D89" i="13"/>
  <c r="E89" i="13"/>
  <c r="J89" i="13"/>
  <c r="A90" i="13"/>
  <c r="B90" i="13"/>
  <c r="C90" i="13"/>
  <c r="D90" i="13"/>
  <c r="E90" i="13"/>
  <c r="J90" i="13"/>
  <c r="C91" i="13"/>
  <c r="D91" i="13"/>
  <c r="E91" i="13"/>
  <c r="J91" i="13"/>
  <c r="C92" i="13"/>
  <c r="D92" i="13"/>
  <c r="E92" i="13"/>
  <c r="J92" i="13"/>
  <c r="AD194" i="8"/>
  <c r="AD191" i="8"/>
  <c r="AD188" i="8"/>
  <c r="AD185" i="8"/>
  <c r="AD182" i="8"/>
  <c r="AD179" i="8"/>
  <c r="AD176" i="8"/>
  <c r="AD173" i="8"/>
  <c r="AD170" i="8"/>
  <c r="AD167" i="8"/>
  <c r="AD164" i="8"/>
  <c r="AD161" i="8"/>
  <c r="AD158" i="8"/>
  <c r="AD155" i="8"/>
  <c r="AD152" i="8"/>
  <c r="AD149" i="8"/>
  <c r="AD146" i="8"/>
  <c r="AD143" i="8"/>
  <c r="AD140" i="8"/>
  <c r="AD137" i="8"/>
  <c r="AD134" i="8"/>
  <c r="AD131" i="8"/>
  <c r="AD128" i="8"/>
  <c r="AD125" i="8"/>
  <c r="AD122" i="8"/>
  <c r="AD119" i="8"/>
  <c r="AD116" i="8"/>
  <c r="AD113" i="8"/>
  <c r="AD110" i="8"/>
  <c r="AD92" i="8"/>
  <c r="AD91" i="8"/>
  <c r="AD89" i="8"/>
  <c r="AD88" i="8"/>
  <c r="AD86" i="8"/>
  <c r="AD85" i="8"/>
  <c r="AD83" i="8"/>
  <c r="AD82" i="8"/>
  <c r="AD80" i="8"/>
  <c r="AD79" i="8"/>
  <c r="AD77" i="8"/>
  <c r="AD76" i="8"/>
  <c r="AD74" i="8"/>
  <c r="AD73" i="8"/>
  <c r="AD71" i="8"/>
  <c r="AD70" i="8"/>
  <c r="AD68" i="8"/>
  <c r="AD67" i="8"/>
  <c r="AD65" i="8"/>
  <c r="AD64" i="8"/>
  <c r="AD62" i="8"/>
  <c r="AD61" i="8"/>
  <c r="AD59" i="8"/>
  <c r="AD58" i="8"/>
  <c r="AD56" i="8"/>
  <c r="AD55" i="8"/>
  <c r="AD53" i="8"/>
  <c r="AD52" i="8"/>
  <c r="AD50" i="8"/>
  <c r="AD49" i="8"/>
  <c r="AD47" i="8"/>
  <c r="AD46" i="8"/>
  <c r="AD44" i="8"/>
  <c r="AD43" i="8"/>
  <c r="AD41" i="8"/>
  <c r="AD40" i="8"/>
  <c r="I193" i="6"/>
  <c r="I190" i="6"/>
  <c r="I187" i="6"/>
  <c r="I184" i="6"/>
  <c r="I181" i="6"/>
  <c r="I178" i="6"/>
  <c r="I175" i="6"/>
  <c r="I172" i="6"/>
  <c r="I169" i="6"/>
  <c r="I166" i="6"/>
  <c r="I163" i="6"/>
  <c r="I160" i="6"/>
  <c r="I157" i="6"/>
  <c r="I154" i="6"/>
  <c r="I151" i="6"/>
  <c r="I148" i="6"/>
  <c r="I145" i="6"/>
  <c r="I142" i="6"/>
  <c r="I139" i="6"/>
  <c r="I136" i="6"/>
  <c r="I133" i="6"/>
  <c r="I130" i="6"/>
  <c r="I127" i="6"/>
  <c r="I124" i="6"/>
  <c r="I121" i="6"/>
  <c r="I118" i="6"/>
  <c r="I115" i="6"/>
  <c r="I112" i="6"/>
  <c r="I109" i="6"/>
  <c r="F193" i="6"/>
  <c r="F190" i="6"/>
  <c r="F187" i="6"/>
  <c r="F184" i="6"/>
  <c r="F181" i="6"/>
  <c r="F178" i="6"/>
  <c r="F175" i="6"/>
  <c r="F172" i="6"/>
  <c r="F169" i="6"/>
  <c r="F166" i="6"/>
  <c r="F163" i="6"/>
  <c r="F160" i="6"/>
  <c r="F157" i="6"/>
  <c r="F154" i="6"/>
  <c r="F151" i="6"/>
  <c r="F148" i="6"/>
  <c r="F145" i="6"/>
  <c r="F142" i="6"/>
  <c r="F139" i="6"/>
  <c r="F136" i="6"/>
  <c r="F133" i="6"/>
  <c r="F130" i="6"/>
  <c r="F127" i="6"/>
  <c r="F124" i="6"/>
  <c r="F121" i="6"/>
  <c r="F118" i="6"/>
  <c r="F115" i="6"/>
  <c r="F112" i="6"/>
  <c r="F109" i="6"/>
  <c r="E193" i="6"/>
  <c r="E190" i="6"/>
  <c r="E187" i="6"/>
  <c r="E184" i="6"/>
  <c r="E181" i="6"/>
  <c r="E178" i="6"/>
  <c r="E175" i="6"/>
  <c r="E172" i="6"/>
  <c r="E169" i="6"/>
  <c r="E166" i="6"/>
  <c r="E163" i="6"/>
  <c r="E160" i="6"/>
  <c r="E157" i="6"/>
  <c r="E154" i="6"/>
  <c r="E151" i="6"/>
  <c r="E148" i="6"/>
  <c r="E145" i="6"/>
  <c r="E142" i="6"/>
  <c r="E139" i="6"/>
  <c r="E136" i="6"/>
  <c r="E133" i="6"/>
  <c r="E130" i="6"/>
  <c r="E127" i="6"/>
  <c r="E124" i="6"/>
  <c r="E121" i="6"/>
  <c r="E118" i="6"/>
  <c r="E115" i="6"/>
  <c r="E112" i="6"/>
  <c r="E109" i="6"/>
  <c r="D193" i="6"/>
  <c r="D190" i="6"/>
  <c r="D187" i="6"/>
  <c r="D184" i="6"/>
  <c r="D181" i="6"/>
  <c r="D178" i="6"/>
  <c r="D175" i="6"/>
  <c r="D172" i="6"/>
  <c r="D169" i="6"/>
  <c r="D166" i="6"/>
  <c r="D163" i="6"/>
  <c r="D160" i="6"/>
  <c r="D157" i="6"/>
  <c r="D154" i="6"/>
  <c r="D151" i="6"/>
  <c r="D148" i="6"/>
  <c r="D145" i="6"/>
  <c r="D142" i="6"/>
  <c r="D139" i="6"/>
  <c r="D136" i="6"/>
  <c r="D133" i="6"/>
  <c r="D130" i="6"/>
  <c r="D127" i="6"/>
  <c r="D124" i="6"/>
  <c r="D121" i="6"/>
  <c r="D118" i="6"/>
  <c r="D115" i="6"/>
  <c r="D112" i="6"/>
  <c r="D109" i="6"/>
  <c r="C193" i="6"/>
  <c r="C190" i="6"/>
  <c r="C187" i="6"/>
  <c r="C184" i="6"/>
  <c r="C181" i="6"/>
  <c r="C178" i="6"/>
  <c r="C175" i="6"/>
  <c r="C172" i="6"/>
  <c r="C169" i="6"/>
  <c r="I80" i="22" l="1"/>
  <c r="I79" i="22"/>
  <c r="I48" i="12"/>
  <c r="I45" i="12"/>
  <c r="I42" i="12"/>
  <c r="I40" i="12"/>
  <c r="I42" i="22"/>
  <c r="AA128" i="11"/>
  <c r="I103" i="22"/>
  <c r="I102" i="22"/>
  <c r="I100" i="22"/>
  <c r="I90" i="22"/>
  <c r="AL176" i="11"/>
  <c r="I81" i="12"/>
  <c r="I72" i="22"/>
  <c r="AP158" i="11"/>
  <c r="I75" i="12"/>
  <c r="I72" i="12"/>
  <c r="AA57" i="11"/>
  <c r="I63" i="22"/>
  <c r="AL149" i="11"/>
  <c r="I60" i="22"/>
  <c r="AA146" i="11"/>
  <c r="AB146" i="11" s="1"/>
  <c r="I57" i="22"/>
  <c r="I45" i="22"/>
  <c r="I56" i="12"/>
  <c r="AP54" i="11"/>
  <c r="I55" i="12"/>
  <c r="I54" i="12"/>
  <c r="I53" i="12"/>
  <c r="I51" i="12"/>
  <c r="AP51" i="11"/>
  <c r="AB184" i="11"/>
  <c r="R172" i="11"/>
  <c r="Q132" i="11"/>
  <c r="AO131" i="11" s="1"/>
  <c r="AB129" i="11"/>
  <c r="Q152" i="11"/>
  <c r="R152" i="11" s="1"/>
  <c r="R123" i="11"/>
  <c r="AB178" i="11"/>
  <c r="R171" i="11"/>
  <c r="R113" i="11"/>
  <c r="AB185" i="11"/>
  <c r="R184" i="11"/>
  <c r="AB166" i="11"/>
  <c r="AL166" i="11" s="1"/>
  <c r="R138" i="11"/>
  <c r="AB115" i="11"/>
  <c r="AB148" i="11"/>
  <c r="AB116" i="11"/>
  <c r="Q169" i="11"/>
  <c r="R169" i="11" s="1"/>
  <c r="AB154" i="11"/>
  <c r="Q144" i="11"/>
  <c r="R144" i="11" s="1"/>
  <c r="R142" i="11"/>
  <c r="Q140" i="11"/>
  <c r="AO140" i="11" s="1"/>
  <c r="R110" i="11"/>
  <c r="AB110" i="11" s="1"/>
  <c r="AL110" i="11" s="1"/>
  <c r="R157" i="11"/>
  <c r="AO146" i="11"/>
  <c r="AB130" i="11"/>
  <c r="AO116" i="11"/>
  <c r="R115" i="11"/>
  <c r="AB183" i="11"/>
  <c r="AO182" i="11"/>
  <c r="R180" i="11"/>
  <c r="AB151" i="11"/>
  <c r="AO149" i="11"/>
  <c r="R150" i="11"/>
  <c r="AO185" i="11"/>
  <c r="R156" i="11"/>
  <c r="AB161" i="11"/>
  <c r="R145" i="11"/>
  <c r="R143" i="11"/>
  <c r="R127" i="11"/>
  <c r="AB114" i="11"/>
  <c r="R112" i="11"/>
  <c r="R194" i="11"/>
  <c r="R192" i="11"/>
  <c r="AB187" i="11"/>
  <c r="AB174" i="11"/>
  <c r="R161" i="11"/>
  <c r="R160" i="11"/>
  <c r="R159" i="11"/>
  <c r="R158" i="11"/>
  <c r="AB150" i="11"/>
  <c r="AB192" i="11"/>
  <c r="R147" i="11"/>
  <c r="R136" i="11"/>
  <c r="R124" i="11"/>
  <c r="AB121" i="11"/>
  <c r="R120" i="11"/>
  <c r="AB118" i="11"/>
  <c r="AB117" i="11"/>
  <c r="AB190" i="11"/>
  <c r="AB188" i="11"/>
  <c r="R187" i="11"/>
  <c r="AB186" i="11"/>
  <c r="R182" i="11"/>
  <c r="R175" i="11"/>
  <c r="AB167" i="11"/>
  <c r="R167" i="11"/>
  <c r="AO152" i="11"/>
  <c r="R83" i="11"/>
  <c r="R57" i="11"/>
  <c r="R55" i="11"/>
  <c r="R78" i="11"/>
  <c r="R59" i="11"/>
  <c r="R56" i="11"/>
  <c r="R67" i="11"/>
  <c r="R53" i="11"/>
  <c r="R52" i="11"/>
  <c r="R86" i="11"/>
  <c r="R85" i="11"/>
  <c r="R84" i="11"/>
  <c r="R82" i="11"/>
  <c r="R77" i="11"/>
  <c r="R74" i="11"/>
  <c r="R73" i="11"/>
  <c r="R70" i="11"/>
  <c r="R69" i="11"/>
  <c r="R90" i="11"/>
  <c r="R54" i="11"/>
  <c r="R51" i="11"/>
  <c r="AB51" i="11" s="1"/>
  <c r="AL51" i="11" s="1"/>
  <c r="R49" i="11"/>
  <c r="R48" i="11"/>
  <c r="R43" i="11"/>
  <c r="R89" i="11"/>
  <c r="R72" i="11"/>
  <c r="R65" i="11"/>
  <c r="R64" i="11"/>
  <c r="R61" i="11"/>
  <c r="R60" i="11"/>
  <c r="AM195" i="11"/>
  <c r="AC195" i="11"/>
  <c r="S195" i="11"/>
  <c r="AQ185" i="11"/>
  <c r="AC190" i="11"/>
  <c r="S190" i="11"/>
  <c r="AN182" i="11"/>
  <c r="AM182" i="11"/>
  <c r="AQ176" i="11"/>
  <c r="Q173" i="11"/>
  <c r="AO173" i="11" s="1"/>
  <c r="AB173" i="11"/>
  <c r="AN167" i="11"/>
  <c r="Q163" i="11"/>
  <c r="R163" i="11" s="1"/>
  <c r="AB163" i="11"/>
  <c r="AM162" i="11"/>
  <c r="S162" i="11"/>
  <c r="AA161" i="11"/>
  <c r="AP161" i="11" s="1"/>
  <c r="AL161" i="11"/>
  <c r="AC155" i="11"/>
  <c r="S155" i="11"/>
  <c r="AM155" i="11"/>
  <c r="AN149" i="11"/>
  <c r="AM149" i="11"/>
  <c r="AC149" i="11"/>
  <c r="S149" i="11"/>
  <c r="AB194" i="11"/>
  <c r="AN194" i="11"/>
  <c r="AL196" i="11"/>
  <c r="AC196" i="11"/>
  <c r="S196" i="11"/>
  <c r="AB195" i="11"/>
  <c r="AM194" i="11"/>
  <c r="AB193" i="11"/>
  <c r="AB191" i="11"/>
  <c r="Q189" i="11"/>
  <c r="AO188" i="11" s="1"/>
  <c r="AP185" i="11"/>
  <c r="Q181" i="11"/>
  <c r="R181" i="11" s="1"/>
  <c r="Q179" i="11"/>
  <c r="AO179" i="11" s="1"/>
  <c r="S179" i="11"/>
  <c r="AN179" i="11"/>
  <c r="Q176" i="11"/>
  <c r="AB176" i="11"/>
  <c r="AL175" i="11"/>
  <c r="AQ173" i="11"/>
  <c r="AL172" i="11"/>
  <c r="AC171" i="11"/>
  <c r="S171" i="11"/>
  <c r="AQ170" i="11"/>
  <c r="AB170" i="11"/>
  <c r="Q170" i="11"/>
  <c r="AO170" i="11" s="1"/>
  <c r="AM168" i="11"/>
  <c r="AN164" i="11"/>
  <c r="Q164" i="11"/>
  <c r="AB164" i="11"/>
  <c r="AL159" i="11"/>
  <c r="AB156" i="11"/>
  <c r="Q156" i="11"/>
  <c r="AO155" i="11" s="1"/>
  <c r="AC192" i="11"/>
  <c r="S192" i="11"/>
  <c r="AC188" i="11"/>
  <c r="S188" i="11"/>
  <c r="AC186" i="11"/>
  <c r="S186" i="11"/>
  <c r="AN188" i="11"/>
  <c r="AP188" i="11"/>
  <c r="AN185" i="11"/>
  <c r="AQ182" i="11"/>
  <c r="AC178" i="11"/>
  <c r="S178" i="11"/>
  <c r="S172" i="11"/>
  <c r="AC172" i="11"/>
  <c r="AM172" i="11"/>
  <c r="AA170" i="11"/>
  <c r="AP170" i="11" s="1"/>
  <c r="AL170" i="11"/>
  <c r="Q162" i="11"/>
  <c r="AB162" i="11"/>
  <c r="AB157" i="11"/>
  <c r="AM150" i="11"/>
  <c r="AC150" i="11"/>
  <c r="S150" i="11"/>
  <c r="AL193" i="11"/>
  <c r="Q193" i="11"/>
  <c r="R193" i="11" s="1"/>
  <c r="Q191" i="11"/>
  <c r="S191" i="11"/>
  <c r="AN191" i="11"/>
  <c r="AM190" i="11"/>
  <c r="AL190" i="11"/>
  <c r="AM188" i="11"/>
  <c r="AL188" i="11"/>
  <c r="AM187" i="11"/>
  <c r="AC187" i="11"/>
  <c r="AM186" i="11"/>
  <c r="AL186" i="11"/>
  <c r="AM185" i="11"/>
  <c r="AC185" i="11"/>
  <c r="AM183" i="11"/>
  <c r="AC183" i="11"/>
  <c r="AA178" i="11"/>
  <c r="AP176" i="11" s="1"/>
  <c r="AN176" i="11"/>
  <c r="AM176" i="11"/>
  <c r="S176" i="11"/>
  <c r="AA173" i="11"/>
  <c r="AP173" i="11" s="1"/>
  <c r="AL173" i="11"/>
  <c r="AB172" i="11"/>
  <c r="AN170" i="11"/>
  <c r="S170" i="11"/>
  <c r="AC170" i="11"/>
  <c r="AM170" i="11"/>
  <c r="AM169" i="11"/>
  <c r="S169" i="11"/>
  <c r="AC168" i="11"/>
  <c r="AQ167" i="11"/>
  <c r="AM165" i="11"/>
  <c r="AM164" i="11"/>
  <c r="AC164" i="11"/>
  <c r="S164" i="11"/>
  <c r="AA163" i="11"/>
  <c r="AL163" i="11"/>
  <c r="AN161" i="11"/>
  <c r="AM161" i="11"/>
  <c r="S161" i="11"/>
  <c r="AC161" i="11"/>
  <c r="AO158" i="11"/>
  <c r="I158" i="11"/>
  <c r="AL157" i="11"/>
  <c r="AN155" i="11"/>
  <c r="AC153" i="11"/>
  <c r="S153" i="11"/>
  <c r="AM153" i="11"/>
  <c r="AN152" i="11"/>
  <c r="AN173" i="11"/>
  <c r="AC157" i="11"/>
  <c r="S157" i="11"/>
  <c r="AQ149" i="11"/>
  <c r="AB149" i="11"/>
  <c r="AP155" i="11"/>
  <c r="AB175" i="11"/>
  <c r="AC173" i="11"/>
  <c r="S173" i="11"/>
  <c r="AL168" i="11"/>
  <c r="Q168" i="11"/>
  <c r="AA167" i="11"/>
  <c r="AP167" i="11" s="1"/>
  <c r="AA165" i="11"/>
  <c r="AP164" i="11" s="1"/>
  <c r="R165" i="11"/>
  <c r="AC163" i="11"/>
  <c r="AB160" i="11"/>
  <c r="AB159" i="11"/>
  <c r="AL158" i="11"/>
  <c r="AB158" i="11"/>
  <c r="AL155" i="11"/>
  <c r="AB155" i="11"/>
  <c r="AM154" i="11"/>
  <c r="AC154" i="11"/>
  <c r="AL153" i="11"/>
  <c r="AB153" i="11"/>
  <c r="AP152" i="11"/>
  <c r="AM152" i="11"/>
  <c r="AC152" i="11"/>
  <c r="AN128" i="11"/>
  <c r="S128" i="11"/>
  <c r="Q126" i="11"/>
  <c r="AO125" i="11" s="1"/>
  <c r="AB126" i="11"/>
  <c r="AO113" i="11"/>
  <c r="AA111" i="11"/>
  <c r="AP110" i="11" s="1"/>
  <c r="AL111" i="11"/>
  <c r="AA60" i="11"/>
  <c r="AL60" i="11"/>
  <c r="AL136" i="11"/>
  <c r="AB136" i="11"/>
  <c r="Q135" i="11"/>
  <c r="R135" i="11" s="1"/>
  <c r="AB135" i="11" s="1"/>
  <c r="AL135" i="11" s="1"/>
  <c r="AA134" i="11"/>
  <c r="AL134" i="11"/>
  <c r="Q128" i="11"/>
  <c r="R128" i="11" s="1"/>
  <c r="AB128" i="11"/>
  <c r="AA125" i="11"/>
  <c r="AP125" i="11" s="1"/>
  <c r="AL125" i="11"/>
  <c r="R125" i="11"/>
  <c r="AA115" i="11"/>
  <c r="AP113" i="11" s="1"/>
  <c r="AL115" i="11"/>
  <c r="R111" i="11"/>
  <c r="AB111" i="11"/>
  <c r="AB91" i="11"/>
  <c r="AB147" i="11"/>
  <c r="AB137" i="11"/>
  <c r="Q137" i="11"/>
  <c r="AA135" i="11"/>
  <c r="AB133" i="11"/>
  <c r="R133" i="11"/>
  <c r="AL75" i="11"/>
  <c r="AL73" i="11"/>
  <c r="AA91" i="11"/>
  <c r="AL147" i="11"/>
  <c r="AL143" i="11"/>
  <c r="AL137" i="11"/>
  <c r="AA137" i="11"/>
  <c r="AP137" i="11" s="1"/>
  <c r="AC136" i="11"/>
  <c r="S136" i="11"/>
  <c r="R131" i="11"/>
  <c r="AB122" i="11"/>
  <c r="Q122" i="11"/>
  <c r="R122" i="11" s="1"/>
  <c r="AB127" i="11"/>
  <c r="I125" i="11"/>
  <c r="AP122" i="11"/>
  <c r="AL121" i="11"/>
  <c r="AL79" i="11"/>
  <c r="AB68" i="11"/>
  <c r="I143" i="11"/>
  <c r="AC143" i="11" s="1"/>
  <c r="AL139" i="11"/>
  <c r="AB139" i="11"/>
  <c r="AB138" i="11"/>
  <c r="I135" i="11"/>
  <c r="AB134" i="11"/>
  <c r="AL132" i="11"/>
  <c r="AQ131" i="11"/>
  <c r="AL129" i="11"/>
  <c r="AB124" i="11"/>
  <c r="I122" i="11"/>
  <c r="AN122" i="11" s="1"/>
  <c r="AQ119" i="11"/>
  <c r="AB119" i="11"/>
  <c r="AL117" i="11"/>
  <c r="AO143" i="11"/>
  <c r="S142" i="11"/>
  <c r="AC142" i="11"/>
  <c r="AM142" i="11"/>
  <c r="AN140" i="11"/>
  <c r="S140" i="11"/>
  <c r="AC140" i="11"/>
  <c r="AM140" i="11"/>
  <c r="AQ137" i="11"/>
  <c r="AQ146" i="11"/>
  <c r="AP140" i="11"/>
  <c r="S138" i="11"/>
  <c r="AC138" i="11"/>
  <c r="AN137" i="11"/>
  <c r="AM138" i="11"/>
  <c r="AM141" i="11"/>
  <c r="S141" i="11"/>
  <c r="AC141" i="11"/>
  <c r="AM145" i="11"/>
  <c r="S145" i="11"/>
  <c r="AC145" i="11"/>
  <c r="AN143" i="11"/>
  <c r="S143" i="11"/>
  <c r="AQ128" i="11"/>
  <c r="AO122" i="11"/>
  <c r="S122" i="11"/>
  <c r="AC118" i="11"/>
  <c r="AM118" i="11"/>
  <c r="AC116" i="11"/>
  <c r="AM116" i="11"/>
  <c r="AC114" i="11"/>
  <c r="AM114" i="11"/>
  <c r="AM147" i="11"/>
  <c r="AN146" i="11"/>
  <c r="AB145" i="11"/>
  <c r="AB143" i="11"/>
  <c r="AL142" i="11"/>
  <c r="AB141" i="11"/>
  <c r="AL140" i="11"/>
  <c r="AM139" i="11"/>
  <c r="AL138" i="11"/>
  <c r="AM137" i="11"/>
  <c r="AM122" i="11"/>
  <c r="AC122" i="11"/>
  <c r="AO110" i="11"/>
  <c r="AM148" i="11"/>
  <c r="AC147" i="11"/>
  <c r="AM146" i="11"/>
  <c r="AM144" i="11"/>
  <c r="AC139" i="11"/>
  <c r="AC137" i="11"/>
  <c r="AM136" i="11"/>
  <c r="AA131" i="11"/>
  <c r="AB131" i="11" s="1"/>
  <c r="AA129" i="11"/>
  <c r="AQ125" i="11"/>
  <c r="AL124" i="11"/>
  <c r="AL122" i="11"/>
  <c r="R121" i="11"/>
  <c r="S121" i="11"/>
  <c r="AC121" i="11"/>
  <c r="AM120" i="11"/>
  <c r="AC120" i="11"/>
  <c r="AB120" i="11"/>
  <c r="R119" i="11"/>
  <c r="S119" i="11"/>
  <c r="AC119" i="11"/>
  <c r="R117" i="11"/>
  <c r="S117" i="11"/>
  <c r="AC117" i="11"/>
  <c r="AM113" i="11"/>
  <c r="AN113" i="11"/>
  <c r="AM112" i="11"/>
  <c r="AC112" i="11"/>
  <c r="AB112" i="11"/>
  <c r="S133" i="11"/>
  <c r="AC133" i="11"/>
  <c r="AM132" i="11"/>
  <c r="AC132" i="11"/>
  <c r="S131" i="11"/>
  <c r="AC131" i="11"/>
  <c r="S129" i="11"/>
  <c r="AC129" i="11"/>
  <c r="AM125" i="11"/>
  <c r="AN125" i="11"/>
  <c r="AM124" i="11"/>
  <c r="AC124" i="11"/>
  <c r="AQ116" i="11"/>
  <c r="I110" i="11"/>
  <c r="Q134" i="11"/>
  <c r="I134" i="11"/>
  <c r="AM133" i="11"/>
  <c r="AM131" i="11"/>
  <c r="AC130" i="11"/>
  <c r="AM130" i="11"/>
  <c r="AM129" i="11"/>
  <c r="AC128" i="11"/>
  <c r="AM128" i="11"/>
  <c r="AC126" i="11"/>
  <c r="AM126" i="11"/>
  <c r="AA121" i="11"/>
  <c r="AL120" i="11"/>
  <c r="AN119" i="11"/>
  <c r="AA119" i="11"/>
  <c r="AO119" i="11"/>
  <c r="AA117" i="11"/>
  <c r="AP116" i="11" s="1"/>
  <c r="AN116" i="11"/>
  <c r="AQ113" i="11"/>
  <c r="AL112" i="11"/>
  <c r="AQ72" i="11"/>
  <c r="AP90" i="11"/>
  <c r="AL83" i="11"/>
  <c r="AB80" i="11"/>
  <c r="AL78" i="11"/>
  <c r="AB76" i="11"/>
  <c r="R75" i="11"/>
  <c r="I75" i="11"/>
  <c r="AC75" i="11" s="1"/>
  <c r="AM74" i="11"/>
  <c r="I73" i="11"/>
  <c r="AC73" i="11" s="1"/>
  <c r="AB63" i="11"/>
  <c r="AL92" i="11"/>
  <c r="AB92" i="11"/>
  <c r="S91" i="11"/>
  <c r="AL90" i="11"/>
  <c r="AQ90" i="11"/>
  <c r="I78" i="11"/>
  <c r="AB81" i="11"/>
  <c r="AO63" i="11"/>
  <c r="AB62" i="11"/>
  <c r="AC92" i="11"/>
  <c r="AM92" i="11"/>
  <c r="S92" i="11"/>
  <c r="AN90" i="11"/>
  <c r="AM90" i="11"/>
  <c r="S90" i="11"/>
  <c r="AC90" i="11"/>
  <c r="AB90" i="11"/>
  <c r="Q92" i="11"/>
  <c r="AO90" i="11" s="1"/>
  <c r="AC91" i="11"/>
  <c r="AC64" i="11"/>
  <c r="S64" i="11"/>
  <c r="AM64" i="11"/>
  <c r="I79" i="11"/>
  <c r="AC79" i="11" s="1"/>
  <c r="R63" i="11"/>
  <c r="AC60" i="11"/>
  <c r="AB41" i="11"/>
  <c r="AB87" i="11"/>
  <c r="AL82" i="11"/>
  <c r="AC82" i="11"/>
  <c r="AA80" i="11"/>
  <c r="Q80" i="11"/>
  <c r="AL77" i="11"/>
  <c r="Q76" i="11"/>
  <c r="AO75" i="11" s="1"/>
  <c r="AM70" i="11"/>
  <c r="AL63" i="11"/>
  <c r="AQ69" i="11"/>
  <c r="AB89" i="11"/>
  <c r="AL88" i="11"/>
  <c r="AQ87" i="11"/>
  <c r="AC66" i="11"/>
  <c r="AM66" i="11"/>
  <c r="S66" i="11"/>
  <c r="AC76" i="11"/>
  <c r="S76" i="11"/>
  <c r="AM76" i="11"/>
  <c r="AM85" i="11"/>
  <c r="S85" i="11"/>
  <c r="AC85" i="11"/>
  <c r="AC78" i="11"/>
  <c r="S78" i="11"/>
  <c r="AM78" i="11"/>
  <c r="AC68" i="11"/>
  <c r="S68" i="11"/>
  <c r="AM68" i="11"/>
  <c r="AM77" i="11"/>
  <c r="S77" i="11"/>
  <c r="AC77" i="11"/>
  <c r="S71" i="11"/>
  <c r="AC71" i="11"/>
  <c r="AM71" i="11"/>
  <c r="AO87" i="11"/>
  <c r="AQ78" i="11"/>
  <c r="AA78" i="11"/>
  <c r="AP78" i="11" s="1"/>
  <c r="AA77" i="11"/>
  <c r="AA76" i="11"/>
  <c r="AQ75" i="11"/>
  <c r="AB72" i="11"/>
  <c r="AL71" i="11"/>
  <c r="AL70" i="11"/>
  <c r="AL69" i="11"/>
  <c r="Q68" i="11"/>
  <c r="R68" i="11" s="1"/>
  <c r="AB67" i="11"/>
  <c r="AQ66" i="11"/>
  <c r="AQ60" i="11"/>
  <c r="I57" i="11"/>
  <c r="S57" i="11" s="1"/>
  <c r="I48" i="11"/>
  <c r="S48" i="11" s="1"/>
  <c r="R88" i="11"/>
  <c r="AL85" i="11"/>
  <c r="AO84" i="11"/>
  <c r="S63" i="11"/>
  <c r="AO60" i="11"/>
  <c r="I45" i="11"/>
  <c r="AM45" i="11" s="1"/>
  <c r="AB85" i="11"/>
  <c r="AP75" i="11"/>
  <c r="AP72" i="11"/>
  <c r="AO69" i="11"/>
  <c r="AL66" i="11"/>
  <c r="AL65" i="11"/>
  <c r="AL64" i="11"/>
  <c r="AP60" i="11"/>
  <c r="AP81" i="11"/>
  <c r="AL57" i="11"/>
  <c r="AA43" i="11"/>
  <c r="AP42" i="11" s="1"/>
  <c r="AL86" i="11"/>
  <c r="AB86" i="11"/>
  <c r="AP84" i="11"/>
  <c r="S82" i="11"/>
  <c r="AQ81" i="11"/>
  <c r="I81" i="11"/>
  <c r="AN81" i="11" s="1"/>
  <c r="AM80" i="11"/>
  <c r="S80" i="11"/>
  <c r="AB77" i="11"/>
  <c r="I72" i="11"/>
  <c r="AM72" i="11" s="1"/>
  <c r="AP69" i="11"/>
  <c r="S89" i="11"/>
  <c r="AC89" i="11"/>
  <c r="AM89" i="11"/>
  <c r="AN87" i="11"/>
  <c r="S87" i="11"/>
  <c r="AC87" i="11"/>
  <c r="AM87" i="11"/>
  <c r="AM88" i="11"/>
  <c r="S88" i="11"/>
  <c r="AC88" i="11"/>
  <c r="S75" i="11"/>
  <c r="AM73" i="11"/>
  <c r="S73" i="11"/>
  <c r="AM65" i="11"/>
  <c r="S65" i="11"/>
  <c r="AC65" i="11"/>
  <c r="AM61" i="11"/>
  <c r="S61" i="11"/>
  <c r="AC61" i="11"/>
  <c r="AP87" i="11"/>
  <c r="AQ84" i="11"/>
  <c r="S83" i="11"/>
  <c r="AC83" i="11"/>
  <c r="AM83" i="11"/>
  <c r="S69" i="11"/>
  <c r="AC69" i="11"/>
  <c r="AM69" i="11"/>
  <c r="AN69" i="11"/>
  <c r="AC81" i="11"/>
  <c r="AM81" i="11"/>
  <c r="AO72" i="11"/>
  <c r="S67" i="11"/>
  <c r="AC67" i="11"/>
  <c r="AM67" i="11"/>
  <c r="AN66" i="11"/>
  <c r="AQ63" i="11"/>
  <c r="AL89" i="11"/>
  <c r="AB88" i="11"/>
  <c r="AL87" i="11"/>
  <c r="AM86" i="11"/>
  <c r="AB83" i="11"/>
  <c r="AB82" i="11"/>
  <c r="AB69" i="11"/>
  <c r="AB60" i="11"/>
  <c r="AN60" i="11"/>
  <c r="AC86" i="11"/>
  <c r="AL84" i="11"/>
  <c r="AL74" i="11"/>
  <c r="AB73" i="11"/>
  <c r="AB71" i="11"/>
  <c r="AB70" i="11"/>
  <c r="AB66" i="11"/>
  <c r="AB65" i="11"/>
  <c r="AB64" i="11"/>
  <c r="AN63" i="11"/>
  <c r="AM62" i="11"/>
  <c r="AB84" i="11"/>
  <c r="I84" i="11"/>
  <c r="AL81" i="11"/>
  <c r="Q81" i="11"/>
  <c r="AO81" i="11" s="1"/>
  <c r="AB79" i="11"/>
  <c r="AB75" i="11"/>
  <c r="AB74" i="11"/>
  <c r="AL72" i="11"/>
  <c r="AL67" i="11"/>
  <c r="Q67" i="11"/>
  <c r="AA66" i="11"/>
  <c r="AP66" i="11" s="1"/>
  <c r="AA64" i="11"/>
  <c r="AP63" i="11" s="1"/>
  <c r="AC63" i="11"/>
  <c r="AL62" i="11"/>
  <c r="AC62" i="11"/>
  <c r="AB61" i="11"/>
  <c r="AM60" i="11"/>
  <c r="S45" i="11"/>
  <c r="AO54" i="11"/>
  <c r="AL40" i="11"/>
  <c r="AO57" i="11"/>
  <c r="AB58" i="11"/>
  <c r="AB57" i="11"/>
  <c r="AB55" i="11"/>
  <c r="AB48" i="11"/>
  <c r="AA45" i="11"/>
  <c r="AP45" i="11" s="1"/>
  <c r="AL42" i="11"/>
  <c r="I42" i="11"/>
  <c r="AC42" i="11" s="1"/>
  <c r="Q41" i="11"/>
  <c r="R41" i="11" s="1"/>
  <c r="AC54" i="11"/>
  <c r="AB54" i="11"/>
  <c r="AQ51" i="11"/>
  <c r="AB46" i="11"/>
  <c r="AB45" i="11"/>
  <c r="AC47" i="11"/>
  <c r="S47" i="11"/>
  <c r="AC43" i="11"/>
  <c r="S43" i="11"/>
  <c r="AB56" i="11"/>
  <c r="AQ39" i="11"/>
  <c r="AL58" i="11"/>
  <c r="I51" i="11"/>
  <c r="S51" i="11" s="1"/>
  <c r="AO48" i="11"/>
  <c r="AL46" i="11"/>
  <c r="AL59" i="11"/>
  <c r="AB59" i="11"/>
  <c r="AL52" i="11"/>
  <c r="I52" i="11"/>
  <c r="AL48" i="11"/>
  <c r="AL47" i="11"/>
  <c r="AB47" i="11"/>
  <c r="AQ45" i="11"/>
  <c r="R58" i="11"/>
  <c r="AL56" i="11"/>
  <c r="I56" i="11"/>
  <c r="AB52" i="11"/>
  <c r="AA50" i="11"/>
  <c r="AB50" i="11"/>
  <c r="R46" i="11"/>
  <c r="AO45" i="11"/>
  <c r="AL44" i="11"/>
  <c r="AB43" i="11"/>
  <c r="I40" i="11"/>
  <c r="AM40" i="11" s="1"/>
  <c r="AC59" i="11"/>
  <c r="AM59" i="11"/>
  <c r="AC55" i="11"/>
  <c r="AM55" i="11"/>
  <c r="AO51" i="11"/>
  <c r="AA49" i="11"/>
  <c r="AL49" i="11"/>
  <c r="AC48" i="11"/>
  <c r="Q44" i="11"/>
  <c r="R44" i="11" s="1"/>
  <c r="AB44" i="11"/>
  <c r="Q42" i="11"/>
  <c r="R42" i="11" s="1"/>
  <c r="AB42" i="11"/>
  <c r="AC41" i="11"/>
  <c r="S41" i="11"/>
  <c r="AA39" i="11"/>
  <c r="AB39" i="11" s="1"/>
  <c r="AL39" i="11"/>
  <c r="AQ57" i="11"/>
  <c r="I53" i="11"/>
  <c r="S50" i="11"/>
  <c r="AC50" i="11"/>
  <c r="AM50" i="11"/>
  <c r="Q40" i="11"/>
  <c r="R40" i="11" s="1"/>
  <c r="AB40" i="11"/>
  <c r="S58" i="11"/>
  <c r="AC58" i="11"/>
  <c r="AM54" i="11"/>
  <c r="AB53" i="11"/>
  <c r="S49" i="11"/>
  <c r="AC49" i="11"/>
  <c r="AQ42" i="11"/>
  <c r="AA41" i="11"/>
  <c r="AL41" i="11"/>
  <c r="I39" i="11"/>
  <c r="AA58" i="11"/>
  <c r="AP57" i="11" s="1"/>
  <c r="AQ54" i="11"/>
  <c r="AL53" i="11"/>
  <c r="AB49" i="11"/>
  <c r="AQ48" i="11"/>
  <c r="S46" i="11"/>
  <c r="AM46" i="11"/>
  <c r="AC46" i="11"/>
  <c r="AM44" i="11"/>
  <c r="S44" i="11"/>
  <c r="AM42" i="11"/>
  <c r="AM41" i="11"/>
  <c r="AM47" i="11"/>
  <c r="AM43" i="11"/>
  <c r="AB165" i="11" l="1"/>
  <c r="AP128" i="11"/>
  <c r="AB125" i="11"/>
  <c r="AB78" i="11"/>
  <c r="AP146" i="11"/>
  <c r="AP131" i="11"/>
  <c r="AO191" i="11"/>
  <c r="R132" i="11"/>
  <c r="R140" i="11"/>
  <c r="AO134" i="11"/>
  <c r="R173" i="11"/>
  <c r="R126" i="11"/>
  <c r="AO137" i="11"/>
  <c r="R137" i="11"/>
  <c r="R189" i="11"/>
  <c r="AO167" i="11"/>
  <c r="R168" i="11"/>
  <c r="AO164" i="11"/>
  <c r="R164" i="11"/>
  <c r="AO176" i="11"/>
  <c r="R176" i="11"/>
  <c r="R170" i="11"/>
  <c r="R179" i="11"/>
  <c r="AO161" i="11"/>
  <c r="R162" i="11"/>
  <c r="R134" i="11"/>
  <c r="AO128" i="11"/>
  <c r="R191" i="11"/>
  <c r="R76" i="11"/>
  <c r="AO78" i="11"/>
  <c r="R80" i="11"/>
  <c r="R81" i="11"/>
  <c r="S158" i="11"/>
  <c r="AN158" i="11"/>
  <c r="AC158" i="11"/>
  <c r="AM158" i="11"/>
  <c r="AM48" i="11"/>
  <c r="AM75" i="11"/>
  <c r="S135" i="11"/>
  <c r="AM135" i="11"/>
  <c r="AP134" i="11"/>
  <c r="AN48" i="11"/>
  <c r="AO39" i="11"/>
  <c r="S72" i="11"/>
  <c r="AN72" i="11"/>
  <c r="S81" i="11"/>
  <c r="AN75" i="11"/>
  <c r="AP119" i="11"/>
  <c r="AM143" i="11"/>
  <c r="S125" i="11"/>
  <c r="AC125" i="11"/>
  <c r="AC72" i="11"/>
  <c r="AC135" i="11"/>
  <c r="AN134" i="11"/>
  <c r="S134" i="11"/>
  <c r="AC134" i="11"/>
  <c r="AM134" i="11"/>
  <c r="AN110" i="11"/>
  <c r="S110" i="11"/>
  <c r="AC110" i="11"/>
  <c r="AM110" i="11"/>
  <c r="AN45" i="11"/>
  <c r="AC57" i="11"/>
  <c r="S79" i="11"/>
  <c r="AN78" i="11"/>
  <c r="AC45" i="11"/>
  <c r="AO66" i="11"/>
  <c r="AM79" i="11"/>
  <c r="AN57" i="11"/>
  <c r="AM57" i="11"/>
  <c r="AP48" i="11"/>
  <c r="S42" i="11"/>
  <c r="AN42" i="11"/>
  <c r="AN84" i="11"/>
  <c r="S84" i="11"/>
  <c r="AC84" i="11"/>
  <c r="AM84" i="11"/>
  <c r="AC51" i="11"/>
  <c r="AM51" i="11"/>
  <c r="AM56" i="11"/>
  <c r="S56" i="11"/>
  <c r="AC56" i="11"/>
  <c r="AM52" i="11"/>
  <c r="S52" i="11"/>
  <c r="AC52" i="11"/>
  <c r="AC40" i="11"/>
  <c r="S40" i="11"/>
  <c r="AN54" i="11"/>
  <c r="AN39" i="11"/>
  <c r="S39" i="11"/>
  <c r="AC39" i="11"/>
  <c r="AM39" i="11"/>
  <c r="S53" i="11"/>
  <c r="AC53" i="11"/>
  <c r="AM53" i="11"/>
  <c r="AP39" i="11"/>
  <c r="AN51" i="11"/>
  <c r="AO42" i="11"/>
  <c r="C166" i="6" l="1"/>
  <c r="C163" i="6"/>
  <c r="C160" i="6"/>
  <c r="C157" i="6"/>
  <c r="C154" i="6"/>
  <c r="C151" i="6"/>
  <c r="C148" i="6"/>
  <c r="C145" i="6"/>
  <c r="C142" i="6"/>
  <c r="C139" i="6"/>
  <c r="C136" i="6"/>
  <c r="C133" i="6"/>
  <c r="C130" i="6"/>
  <c r="C127" i="6"/>
  <c r="C124" i="6"/>
  <c r="C121" i="6"/>
  <c r="C118" i="6"/>
  <c r="C115" i="6"/>
  <c r="C112" i="6"/>
  <c r="C109" i="6"/>
  <c r="A184" i="6"/>
  <c r="B184" i="6"/>
  <c r="J184" i="6"/>
  <c r="K184" i="6"/>
  <c r="L184" i="6"/>
  <c r="J185" i="6"/>
  <c r="K185" i="6"/>
  <c r="J186" i="6"/>
  <c r="K186" i="6"/>
  <c r="A187" i="6"/>
  <c r="B187" i="6"/>
  <c r="J187" i="6"/>
  <c r="K187" i="6"/>
  <c r="L187" i="6"/>
  <c r="J188" i="6"/>
  <c r="K188" i="6"/>
  <c r="J189" i="6"/>
  <c r="K189" i="6"/>
  <c r="A190" i="6"/>
  <c r="B190" i="6"/>
  <c r="J190" i="6"/>
  <c r="K190" i="6"/>
  <c r="L190" i="6"/>
  <c r="J191" i="6"/>
  <c r="K191" i="6"/>
  <c r="J192" i="6"/>
  <c r="K192" i="6"/>
  <c r="A193" i="6"/>
  <c r="B193" i="6"/>
  <c r="J193" i="6"/>
  <c r="K193" i="6"/>
  <c r="L193" i="6"/>
  <c r="J194" i="6"/>
  <c r="K194" i="6"/>
  <c r="J195" i="6"/>
  <c r="K195" i="6"/>
  <c r="A172" i="6"/>
  <c r="B172" i="6"/>
  <c r="J172" i="6"/>
  <c r="K172" i="6"/>
  <c r="L172" i="6"/>
  <c r="J173" i="6"/>
  <c r="K173" i="6"/>
  <c r="J174" i="6"/>
  <c r="K174" i="6"/>
  <c r="A175" i="6"/>
  <c r="B175" i="6"/>
  <c r="J175" i="6"/>
  <c r="K175" i="6"/>
  <c r="L175" i="6"/>
  <c r="J176" i="6"/>
  <c r="K176" i="6"/>
  <c r="J177" i="6"/>
  <c r="K177" i="6"/>
  <c r="A178" i="6"/>
  <c r="B178" i="6"/>
  <c r="J178" i="6"/>
  <c r="K178" i="6"/>
  <c r="L178" i="6"/>
  <c r="J179" i="6"/>
  <c r="K179" i="6"/>
  <c r="J180" i="6"/>
  <c r="K180" i="6"/>
  <c r="A181" i="6"/>
  <c r="B181" i="6"/>
  <c r="J181" i="6"/>
  <c r="K181" i="6"/>
  <c r="L181" i="6"/>
  <c r="J182" i="6"/>
  <c r="K182" i="6"/>
  <c r="J183" i="6"/>
  <c r="K183" i="6"/>
  <c r="A148" i="6" l="1"/>
  <c r="B148" i="6"/>
  <c r="J148" i="6"/>
  <c r="K148" i="6"/>
  <c r="L148" i="6"/>
  <c r="J149" i="6"/>
  <c r="K149" i="6"/>
  <c r="J150" i="6"/>
  <c r="K150" i="6"/>
  <c r="A151" i="6"/>
  <c r="B151" i="6"/>
  <c r="J151" i="6"/>
  <c r="K151" i="6"/>
  <c r="L151" i="6"/>
  <c r="J152" i="6"/>
  <c r="K152" i="6"/>
  <c r="J153" i="6"/>
  <c r="K153" i="6"/>
  <c r="A154" i="6"/>
  <c r="B154" i="6"/>
  <c r="J154" i="6"/>
  <c r="K154" i="6"/>
  <c r="L154" i="6"/>
  <c r="J155" i="6"/>
  <c r="K155" i="6"/>
  <c r="J156" i="6"/>
  <c r="K156" i="6"/>
  <c r="A157" i="6"/>
  <c r="B157" i="6"/>
  <c r="J157" i="6"/>
  <c r="K157" i="6"/>
  <c r="L157" i="6"/>
  <c r="J158" i="6"/>
  <c r="K158" i="6"/>
  <c r="J159" i="6"/>
  <c r="K159" i="6"/>
  <c r="A160" i="6"/>
  <c r="B160" i="6"/>
  <c r="J160" i="6"/>
  <c r="K160" i="6"/>
  <c r="L160" i="6"/>
  <c r="J161" i="6"/>
  <c r="K161" i="6"/>
  <c r="J162" i="6"/>
  <c r="K162" i="6"/>
  <c r="A163" i="6"/>
  <c r="B163" i="6"/>
  <c r="J163" i="6"/>
  <c r="K163" i="6"/>
  <c r="L163" i="6"/>
  <c r="J164" i="6"/>
  <c r="K164" i="6"/>
  <c r="J165" i="6"/>
  <c r="K165" i="6"/>
  <c r="A166" i="6"/>
  <c r="B166" i="6"/>
  <c r="J166" i="6"/>
  <c r="K166" i="6"/>
  <c r="L166" i="6"/>
  <c r="J167" i="6"/>
  <c r="K167" i="6"/>
  <c r="J168" i="6"/>
  <c r="K168" i="6"/>
  <c r="A169" i="6"/>
  <c r="B169" i="6"/>
  <c r="J169" i="6"/>
  <c r="K169" i="6"/>
  <c r="L169" i="6"/>
  <c r="J170" i="6"/>
  <c r="K170" i="6"/>
  <c r="J171" i="6"/>
  <c r="K171" i="6"/>
  <c r="A130" i="6"/>
  <c r="B130" i="6"/>
  <c r="J130" i="6"/>
  <c r="K130" i="6"/>
  <c r="L130" i="6"/>
  <c r="J131" i="6"/>
  <c r="K131" i="6"/>
  <c r="J132" i="6"/>
  <c r="K132" i="6"/>
  <c r="A133" i="6"/>
  <c r="B133" i="6"/>
  <c r="J133" i="6"/>
  <c r="K133" i="6"/>
  <c r="L133" i="6"/>
  <c r="J134" i="6"/>
  <c r="K134" i="6"/>
  <c r="J135" i="6"/>
  <c r="K135" i="6"/>
  <c r="A136" i="6"/>
  <c r="B136" i="6"/>
  <c r="J136" i="6"/>
  <c r="K136" i="6"/>
  <c r="L136" i="6"/>
  <c r="J137" i="6"/>
  <c r="K137" i="6"/>
  <c r="J138" i="6"/>
  <c r="K138" i="6"/>
  <c r="A139" i="6"/>
  <c r="B139" i="6"/>
  <c r="J139" i="6"/>
  <c r="K139" i="6"/>
  <c r="L139" i="6"/>
  <c r="J140" i="6"/>
  <c r="K140" i="6"/>
  <c r="J141" i="6"/>
  <c r="K141" i="6"/>
  <c r="A142" i="6"/>
  <c r="B142" i="6"/>
  <c r="J142" i="6"/>
  <c r="K142" i="6"/>
  <c r="L142" i="6"/>
  <c r="J143" i="6"/>
  <c r="K143" i="6"/>
  <c r="J144" i="6"/>
  <c r="K144" i="6"/>
  <c r="A145" i="6"/>
  <c r="B145" i="6"/>
  <c r="J145" i="6"/>
  <c r="K145" i="6"/>
  <c r="L145" i="6"/>
  <c r="J146" i="6"/>
  <c r="K146" i="6"/>
  <c r="J147" i="6"/>
  <c r="K147" i="6"/>
  <c r="A109" i="6"/>
  <c r="B109" i="6"/>
  <c r="J109" i="6"/>
  <c r="K109" i="6"/>
  <c r="L109" i="6"/>
  <c r="J110" i="6"/>
  <c r="K110" i="6"/>
  <c r="J111" i="6"/>
  <c r="K111" i="6"/>
  <c r="A112" i="6"/>
  <c r="B112" i="6"/>
  <c r="J112" i="6"/>
  <c r="K112" i="6"/>
  <c r="L112" i="6"/>
  <c r="J113" i="6"/>
  <c r="K113" i="6"/>
  <c r="J114" i="6"/>
  <c r="K114" i="6"/>
  <c r="A115" i="6"/>
  <c r="B115" i="6"/>
  <c r="J115" i="6"/>
  <c r="K115" i="6"/>
  <c r="L115" i="6"/>
  <c r="J116" i="6"/>
  <c r="K116" i="6"/>
  <c r="J117" i="6"/>
  <c r="K117" i="6"/>
  <c r="A118" i="6"/>
  <c r="B118" i="6"/>
  <c r="J118" i="6"/>
  <c r="K118" i="6"/>
  <c r="L118" i="6"/>
  <c r="J119" i="6"/>
  <c r="K119" i="6"/>
  <c r="J120" i="6"/>
  <c r="K120" i="6"/>
  <c r="A121" i="6"/>
  <c r="B121" i="6"/>
  <c r="J121" i="6"/>
  <c r="K121" i="6"/>
  <c r="L121" i="6"/>
  <c r="J122" i="6"/>
  <c r="K122" i="6"/>
  <c r="J123" i="6"/>
  <c r="K123" i="6"/>
  <c r="A124" i="6"/>
  <c r="B124" i="6"/>
  <c r="J124" i="6"/>
  <c r="K124" i="6"/>
  <c r="L124" i="6"/>
  <c r="J125" i="6"/>
  <c r="K125" i="6"/>
  <c r="J126" i="6"/>
  <c r="K126" i="6"/>
  <c r="A127" i="6"/>
  <c r="B127" i="6"/>
  <c r="J127" i="6"/>
  <c r="K127" i="6"/>
  <c r="L127" i="6"/>
  <c r="J128" i="6"/>
  <c r="K128" i="6"/>
  <c r="J129" i="6"/>
  <c r="K129" i="6"/>
  <c r="I90" i="6"/>
  <c r="I87" i="6"/>
  <c r="I84" i="6"/>
  <c r="I81" i="6"/>
  <c r="I78" i="6"/>
  <c r="I75" i="6"/>
  <c r="I72" i="6"/>
  <c r="I69" i="6"/>
  <c r="I66" i="6"/>
  <c r="I63" i="6"/>
  <c r="I60" i="6"/>
  <c r="I57" i="6"/>
  <c r="I54" i="6"/>
  <c r="I51" i="6"/>
  <c r="I48" i="6"/>
  <c r="I45" i="6"/>
  <c r="I42" i="6"/>
  <c r="I39" i="6"/>
  <c r="H90" i="6"/>
  <c r="H87" i="6"/>
  <c r="H84" i="6"/>
  <c r="H81" i="6"/>
  <c r="H78" i="6"/>
  <c r="H75" i="6"/>
  <c r="H72" i="6"/>
  <c r="H69" i="6"/>
  <c r="H66" i="6"/>
  <c r="H63" i="6"/>
  <c r="H60" i="6"/>
  <c r="H57" i="6"/>
  <c r="H54" i="6"/>
  <c r="H51" i="6"/>
  <c r="H48" i="6"/>
  <c r="H45" i="6"/>
  <c r="H42" i="6"/>
  <c r="H39" i="6"/>
  <c r="G90" i="6"/>
  <c r="G87" i="6"/>
  <c r="G84" i="6"/>
  <c r="G81" i="6"/>
  <c r="G78" i="6"/>
  <c r="G75" i="6"/>
  <c r="G72" i="6"/>
  <c r="G69" i="6"/>
  <c r="G66" i="6"/>
  <c r="G63" i="6"/>
  <c r="G60" i="6"/>
  <c r="G57" i="6"/>
  <c r="G54" i="6"/>
  <c r="G51" i="6"/>
  <c r="G48" i="6"/>
  <c r="G45" i="6"/>
  <c r="G42" i="6"/>
  <c r="G39" i="6"/>
  <c r="F90" i="6"/>
  <c r="F87" i="6"/>
  <c r="F84" i="6"/>
  <c r="F81" i="6"/>
  <c r="F78" i="6"/>
  <c r="F75" i="6"/>
  <c r="F72" i="6"/>
  <c r="F69" i="6"/>
  <c r="F66" i="6"/>
  <c r="F63" i="6"/>
  <c r="F60" i="6"/>
  <c r="F57" i="6"/>
  <c r="F54" i="6"/>
  <c r="F51" i="6"/>
  <c r="F48" i="6"/>
  <c r="F45" i="6"/>
  <c r="F42" i="6"/>
  <c r="F39" i="6"/>
  <c r="E90" i="6"/>
  <c r="E87" i="6"/>
  <c r="E84" i="6"/>
  <c r="E81" i="6"/>
  <c r="E78" i="6"/>
  <c r="E75" i="6"/>
  <c r="E72" i="6"/>
  <c r="E69" i="6"/>
  <c r="E66" i="6"/>
  <c r="E63" i="6"/>
  <c r="E60" i="6"/>
  <c r="E57" i="6"/>
  <c r="E54" i="6"/>
  <c r="E51" i="6"/>
  <c r="E48" i="6"/>
  <c r="E45" i="6"/>
  <c r="E42" i="6"/>
  <c r="E39" i="6"/>
  <c r="D90" i="6"/>
  <c r="D87" i="6"/>
  <c r="D84" i="6"/>
  <c r="D81" i="6"/>
  <c r="D78" i="6"/>
  <c r="D75" i="6"/>
  <c r="D72" i="6"/>
  <c r="D69" i="6"/>
  <c r="D66" i="6"/>
  <c r="D63" i="6"/>
  <c r="D60" i="6"/>
  <c r="D57" i="6"/>
  <c r="D54" i="6"/>
  <c r="D51" i="6"/>
  <c r="D48" i="6"/>
  <c r="D45" i="6"/>
  <c r="D42" i="6"/>
  <c r="D39" i="6"/>
  <c r="C90" i="6"/>
  <c r="C87" i="6"/>
  <c r="C84" i="6"/>
  <c r="C81" i="6"/>
  <c r="C78" i="6"/>
  <c r="C75" i="6"/>
  <c r="C72" i="6"/>
  <c r="C69" i="6"/>
  <c r="C66" i="6"/>
  <c r="C63" i="6"/>
  <c r="C60" i="6"/>
  <c r="C57" i="6"/>
  <c r="C54" i="6"/>
  <c r="C51" i="6"/>
  <c r="C48" i="6"/>
  <c r="C45" i="6"/>
  <c r="C42" i="6"/>
  <c r="C39" i="6"/>
  <c r="A78" i="6" l="1"/>
  <c r="B78" i="6"/>
  <c r="J78" i="6"/>
  <c r="K78" i="6"/>
  <c r="L78" i="6"/>
  <c r="J79" i="6"/>
  <c r="K79" i="6"/>
  <c r="J80" i="6"/>
  <c r="K80" i="6"/>
  <c r="A81" i="6"/>
  <c r="B81" i="6"/>
  <c r="J81" i="6"/>
  <c r="K81" i="6"/>
  <c r="L81" i="6"/>
  <c r="J82" i="6"/>
  <c r="K82" i="6"/>
  <c r="J83" i="6"/>
  <c r="K83" i="6"/>
  <c r="A84" i="6"/>
  <c r="B84" i="6"/>
  <c r="J84" i="6"/>
  <c r="K84" i="6"/>
  <c r="L84" i="6"/>
  <c r="J85" i="6"/>
  <c r="K85" i="6"/>
  <c r="J86" i="6"/>
  <c r="K86" i="6"/>
  <c r="A87" i="6"/>
  <c r="B87" i="6"/>
  <c r="J87" i="6"/>
  <c r="K87" i="6"/>
  <c r="L87" i="6"/>
  <c r="J88" i="6"/>
  <c r="K88" i="6"/>
  <c r="J89" i="6"/>
  <c r="K89" i="6"/>
  <c r="A90" i="6"/>
  <c r="B90" i="6"/>
  <c r="J90" i="6"/>
  <c r="K90" i="6"/>
  <c r="L90" i="6"/>
  <c r="J91" i="6"/>
  <c r="K91" i="6"/>
  <c r="J92" i="6"/>
  <c r="K92" i="6"/>
  <c r="A60" i="6"/>
  <c r="B60" i="6"/>
  <c r="J60" i="6"/>
  <c r="K60" i="6"/>
  <c r="L60" i="6"/>
  <c r="J61" i="6"/>
  <c r="K61" i="6"/>
  <c r="J62" i="6"/>
  <c r="K62" i="6"/>
  <c r="A63" i="6"/>
  <c r="B63" i="6"/>
  <c r="J63" i="6"/>
  <c r="K63" i="6"/>
  <c r="L63" i="6"/>
  <c r="J64" i="6"/>
  <c r="K64" i="6"/>
  <c r="J65" i="6"/>
  <c r="K65" i="6"/>
  <c r="A66" i="6"/>
  <c r="B66" i="6"/>
  <c r="J66" i="6"/>
  <c r="K66" i="6"/>
  <c r="L66" i="6"/>
  <c r="J67" i="6"/>
  <c r="K67" i="6"/>
  <c r="J68" i="6"/>
  <c r="K68" i="6"/>
  <c r="A69" i="6"/>
  <c r="B69" i="6"/>
  <c r="J69" i="6"/>
  <c r="K69" i="6"/>
  <c r="L69" i="6"/>
  <c r="J70" i="6"/>
  <c r="K70" i="6"/>
  <c r="J71" i="6"/>
  <c r="K71" i="6"/>
  <c r="A72" i="6"/>
  <c r="B72" i="6"/>
  <c r="J72" i="6"/>
  <c r="K72" i="6"/>
  <c r="L72" i="6"/>
  <c r="J73" i="6"/>
  <c r="K73" i="6"/>
  <c r="J74" i="6"/>
  <c r="K74" i="6"/>
  <c r="A75" i="6"/>
  <c r="B75" i="6"/>
  <c r="J75" i="6"/>
  <c r="K75" i="6"/>
  <c r="L75" i="6"/>
  <c r="J76" i="6"/>
  <c r="K76" i="6"/>
  <c r="J77" i="6"/>
  <c r="K77" i="6"/>
  <c r="A42" i="6"/>
  <c r="B42" i="6"/>
  <c r="J42" i="6"/>
  <c r="K42" i="6"/>
  <c r="L42" i="6"/>
  <c r="J43" i="6"/>
  <c r="K43" i="6"/>
  <c r="J44" i="6"/>
  <c r="K44" i="6"/>
  <c r="A45" i="6"/>
  <c r="B45" i="6"/>
  <c r="J45" i="6"/>
  <c r="K45" i="6"/>
  <c r="L45" i="6"/>
  <c r="J46" i="6"/>
  <c r="K46" i="6"/>
  <c r="J47" i="6"/>
  <c r="K47" i="6"/>
  <c r="A48" i="6"/>
  <c r="B48" i="6"/>
  <c r="J48" i="6"/>
  <c r="K48" i="6"/>
  <c r="L48" i="6"/>
  <c r="J49" i="6"/>
  <c r="K49" i="6"/>
  <c r="J50" i="6"/>
  <c r="K50" i="6"/>
  <c r="A51" i="6"/>
  <c r="B51" i="6"/>
  <c r="J51" i="6"/>
  <c r="K51" i="6"/>
  <c r="L51" i="6"/>
  <c r="J52" i="6"/>
  <c r="K52" i="6"/>
  <c r="J53" i="6"/>
  <c r="K53" i="6"/>
  <c r="A54" i="6"/>
  <c r="B54" i="6"/>
  <c r="J54" i="6"/>
  <c r="K54" i="6"/>
  <c r="L54" i="6"/>
  <c r="J55" i="6"/>
  <c r="K55" i="6"/>
  <c r="J56" i="6"/>
  <c r="K56" i="6"/>
  <c r="A57" i="6"/>
  <c r="B57" i="6"/>
  <c r="J57" i="6"/>
  <c r="K57" i="6"/>
  <c r="L57" i="6"/>
  <c r="J58" i="6"/>
  <c r="K58" i="6"/>
  <c r="J59" i="6"/>
  <c r="K59" i="6"/>
  <c r="A39" i="6"/>
  <c r="B39" i="6"/>
  <c r="J39" i="6"/>
  <c r="K39" i="6"/>
  <c r="L39" i="6"/>
  <c r="J40" i="6"/>
  <c r="K40" i="6"/>
  <c r="J41" i="6"/>
  <c r="K41" i="6"/>
  <c r="J171" i="8" l="1"/>
  <c r="B194" i="8" l="1"/>
  <c r="B191" i="8"/>
  <c r="B188" i="8"/>
  <c r="B185" i="8"/>
  <c r="B182" i="8"/>
  <c r="B179" i="8"/>
  <c r="B176" i="8"/>
  <c r="B173" i="8"/>
  <c r="B170" i="8"/>
  <c r="B167" i="8"/>
  <c r="B164" i="8"/>
  <c r="B161" i="8"/>
  <c r="B158" i="8"/>
  <c r="B155" i="8"/>
  <c r="B152" i="8"/>
  <c r="B149" i="8"/>
  <c r="B146" i="8"/>
  <c r="B143" i="8"/>
  <c r="B140" i="8"/>
  <c r="B137" i="8"/>
  <c r="B134" i="8"/>
  <c r="B131" i="8"/>
  <c r="B128" i="8"/>
  <c r="B125" i="8"/>
  <c r="B122" i="8"/>
  <c r="B119" i="8"/>
  <c r="B116" i="8"/>
  <c r="B113" i="8"/>
  <c r="B110" i="8"/>
  <c r="A194" i="8"/>
  <c r="A191" i="8"/>
  <c r="A188" i="8"/>
  <c r="A185" i="8"/>
  <c r="A182" i="8"/>
  <c r="A179" i="8"/>
  <c r="A176" i="8"/>
  <c r="A173" i="8"/>
  <c r="A170" i="8"/>
  <c r="A167" i="8"/>
  <c r="A164" i="8"/>
  <c r="A161" i="8"/>
  <c r="A158" i="8"/>
  <c r="A155" i="8"/>
  <c r="A152" i="8"/>
  <c r="E152" i="8"/>
  <c r="G152" i="8"/>
  <c r="I152" i="8"/>
  <c r="J152" i="8"/>
  <c r="L152" i="8"/>
  <c r="N152" i="8"/>
  <c r="BH152" i="8" s="1"/>
  <c r="P152" i="8"/>
  <c r="R152" i="8"/>
  <c r="T152" i="8"/>
  <c r="V152" i="8"/>
  <c r="BL152" i="8" s="1"/>
  <c r="AP152" i="8"/>
  <c r="AV152" i="8" s="1"/>
  <c r="BM152" i="8"/>
  <c r="E153" i="8"/>
  <c r="G153" i="8"/>
  <c r="I153" i="8"/>
  <c r="J153" i="8"/>
  <c r="L153" i="8"/>
  <c r="N153" i="8"/>
  <c r="P153" i="8"/>
  <c r="R153" i="8"/>
  <c r="T153" i="8"/>
  <c r="V153" i="8"/>
  <c r="W153" i="8"/>
  <c r="X153" i="8"/>
  <c r="AP153" i="8"/>
  <c r="BH153" i="8"/>
  <c r="BI153" i="8"/>
  <c r="BJ153" i="8"/>
  <c r="BK153" i="8"/>
  <c r="BL153" i="8"/>
  <c r="BM153" i="8"/>
  <c r="E154" i="8"/>
  <c r="G154" i="8"/>
  <c r="I154" i="8"/>
  <c r="J154" i="8"/>
  <c r="L154" i="8"/>
  <c r="BC154" i="8" s="1"/>
  <c r="N154" i="8"/>
  <c r="BK154" i="8" s="1"/>
  <c r="P154" i="8"/>
  <c r="R154" i="8"/>
  <c r="T154" i="8"/>
  <c r="V154" i="8"/>
  <c r="W154" i="8"/>
  <c r="Y154" i="8" s="1"/>
  <c r="X154" i="8"/>
  <c r="AN154" i="8"/>
  <c r="BH154" i="8"/>
  <c r="E155" i="8"/>
  <c r="G155" i="8"/>
  <c r="I155" i="8"/>
  <c r="J155" i="8"/>
  <c r="L155" i="8"/>
  <c r="N155" i="8"/>
  <c r="P155" i="8"/>
  <c r="R155" i="8"/>
  <c r="T155" i="8"/>
  <c r="V155" i="8"/>
  <c r="E156" i="8"/>
  <c r="G156" i="8"/>
  <c r="I156" i="8"/>
  <c r="J156" i="8"/>
  <c r="L156" i="8"/>
  <c r="N156" i="8"/>
  <c r="BD156" i="8" s="1"/>
  <c r="P156" i="8"/>
  <c r="R156" i="8"/>
  <c r="T156" i="8"/>
  <c r="V156" i="8"/>
  <c r="E157" i="8"/>
  <c r="G157" i="8"/>
  <c r="I157" i="8"/>
  <c r="J157" i="8"/>
  <c r="L157" i="8"/>
  <c r="N157" i="8"/>
  <c r="P157" i="8"/>
  <c r="R157" i="8"/>
  <c r="AN157" i="8" s="1"/>
  <c r="T157" i="8"/>
  <c r="V157" i="8"/>
  <c r="W157" i="8"/>
  <c r="Y157" i="8" s="1"/>
  <c r="X157" i="8"/>
  <c r="AM157" i="8"/>
  <c r="BH157" i="8"/>
  <c r="E158" i="8"/>
  <c r="G158" i="8"/>
  <c r="I158" i="8"/>
  <c r="J158" i="8"/>
  <c r="L158" i="8"/>
  <c r="N158" i="8"/>
  <c r="P158" i="8"/>
  <c r="R158" i="8"/>
  <c r="T158" i="8"/>
  <c r="V158" i="8"/>
  <c r="BL158" i="8" s="1"/>
  <c r="BH158" i="8"/>
  <c r="BI158" i="8"/>
  <c r="BM158" i="8"/>
  <c r="E159" i="8"/>
  <c r="G159" i="8"/>
  <c r="I159" i="8"/>
  <c r="J159" i="8"/>
  <c r="L159" i="8"/>
  <c r="N159" i="8"/>
  <c r="BI159" i="8" s="1"/>
  <c r="P159" i="8"/>
  <c r="R159" i="8"/>
  <c r="T159" i="8"/>
  <c r="V159" i="8"/>
  <c r="BM159" i="8" s="1"/>
  <c r="AP159" i="8"/>
  <c r="E160" i="8"/>
  <c r="G160" i="8"/>
  <c r="I160" i="8"/>
  <c r="J160" i="8"/>
  <c r="L160" i="8"/>
  <c r="N160" i="8"/>
  <c r="P160" i="8"/>
  <c r="R160" i="8"/>
  <c r="T160" i="8"/>
  <c r="V160" i="8"/>
  <c r="W160" i="8"/>
  <c r="X160" i="8"/>
  <c r="BD160" i="8"/>
  <c r="E161" i="8"/>
  <c r="G161" i="8"/>
  <c r="I161" i="8"/>
  <c r="J161" i="8"/>
  <c r="L161" i="8"/>
  <c r="N161" i="8"/>
  <c r="P161" i="8"/>
  <c r="R161" i="8"/>
  <c r="T161" i="8"/>
  <c r="V161" i="8"/>
  <c r="BM161" i="8" s="1"/>
  <c r="BI161" i="8"/>
  <c r="BJ161" i="8"/>
  <c r="E162" i="8"/>
  <c r="G162" i="8"/>
  <c r="I162" i="8"/>
  <c r="J162" i="8"/>
  <c r="L162" i="8"/>
  <c r="N162" i="8"/>
  <c r="BM162" i="8" s="1"/>
  <c r="P162" i="8"/>
  <c r="R162" i="8"/>
  <c r="T162" i="8"/>
  <c r="V162" i="8"/>
  <c r="AP162" i="8"/>
  <c r="BL162" i="8"/>
  <c r="E163" i="8"/>
  <c r="G163" i="8"/>
  <c r="I163" i="8"/>
  <c r="J163" i="8"/>
  <c r="L163" i="8"/>
  <c r="N163" i="8"/>
  <c r="BH163" i="8" s="1"/>
  <c r="P163" i="8"/>
  <c r="R163" i="8"/>
  <c r="T163" i="8"/>
  <c r="V163" i="8"/>
  <c r="BL163" i="8" s="1"/>
  <c r="BC163" i="8"/>
  <c r="BK163" i="8"/>
  <c r="E164" i="8"/>
  <c r="G164" i="8"/>
  <c r="I164" i="8"/>
  <c r="J164" i="8"/>
  <c r="L164" i="8"/>
  <c r="N164" i="8"/>
  <c r="P164" i="8"/>
  <c r="R164" i="8"/>
  <c r="T164" i="8"/>
  <c r="V164" i="8"/>
  <c r="BM164" i="8" s="1"/>
  <c r="BE164" i="8"/>
  <c r="BJ164" i="8"/>
  <c r="BK164" i="8"/>
  <c r="E165" i="8"/>
  <c r="G165" i="8"/>
  <c r="I165" i="8"/>
  <c r="J165" i="8"/>
  <c r="L165" i="8"/>
  <c r="N165" i="8"/>
  <c r="P165" i="8"/>
  <c r="R165" i="8"/>
  <c r="BE165" i="8" s="1"/>
  <c r="T165" i="8"/>
  <c r="V165" i="8"/>
  <c r="AN165" i="8"/>
  <c r="BH165" i="8"/>
  <c r="BK165" i="8"/>
  <c r="BL165" i="8"/>
  <c r="BM165" i="8"/>
  <c r="E166" i="8"/>
  <c r="G166" i="8"/>
  <c r="I166" i="8"/>
  <c r="J166" i="8"/>
  <c r="L166" i="8"/>
  <c r="N166" i="8"/>
  <c r="P166" i="8"/>
  <c r="R166" i="8"/>
  <c r="T166" i="8"/>
  <c r="V166" i="8"/>
  <c r="W166" i="8"/>
  <c r="Y166" i="8" s="1"/>
  <c r="X166" i="8"/>
  <c r="BK166" i="8"/>
  <c r="E167" i="8"/>
  <c r="G167" i="8"/>
  <c r="I167" i="8"/>
  <c r="J167" i="8"/>
  <c r="L167" i="8"/>
  <c r="N167" i="8"/>
  <c r="P167" i="8"/>
  <c r="R167" i="8"/>
  <c r="T167" i="8"/>
  <c r="V167" i="8"/>
  <c r="AP167" i="8" s="1"/>
  <c r="AV167" i="8" s="1"/>
  <c r="E168" i="8"/>
  <c r="G168" i="8"/>
  <c r="I168" i="8"/>
  <c r="J168" i="8"/>
  <c r="L168" i="8"/>
  <c r="N168" i="8"/>
  <c r="BI168" i="8" s="1"/>
  <c r="P168" i="8"/>
  <c r="R168" i="8"/>
  <c r="T168" i="8"/>
  <c r="V168" i="8"/>
  <c r="E169" i="8"/>
  <c r="G169" i="8"/>
  <c r="I169" i="8"/>
  <c r="J169" i="8"/>
  <c r="L169" i="8"/>
  <c r="N169" i="8"/>
  <c r="BK169" i="8" s="1"/>
  <c r="P169" i="8"/>
  <c r="R169" i="8"/>
  <c r="AN169" i="8" s="1"/>
  <c r="T169" i="8"/>
  <c r="V169" i="8"/>
  <c r="E170" i="8"/>
  <c r="G170" i="8"/>
  <c r="I170" i="8"/>
  <c r="J170" i="8"/>
  <c r="L170" i="8"/>
  <c r="N170" i="8"/>
  <c r="BH170" i="8" s="1"/>
  <c r="P170" i="8"/>
  <c r="R170" i="8"/>
  <c r="T170" i="8"/>
  <c r="V170" i="8"/>
  <c r="BL170" i="8" s="1"/>
  <c r="AP170" i="8"/>
  <c r="AV170" i="8" s="1"/>
  <c r="E171" i="8"/>
  <c r="G171" i="8"/>
  <c r="I171" i="8"/>
  <c r="L171" i="8"/>
  <c r="N171" i="8"/>
  <c r="P171" i="8"/>
  <c r="R171" i="8"/>
  <c r="T171" i="8"/>
  <c r="V171" i="8"/>
  <c r="E172" i="8"/>
  <c r="G172" i="8"/>
  <c r="I172" i="8"/>
  <c r="J172" i="8"/>
  <c r="L172" i="8"/>
  <c r="N172" i="8"/>
  <c r="BK172" i="8" s="1"/>
  <c r="P172" i="8"/>
  <c r="R172" i="8"/>
  <c r="T172" i="8"/>
  <c r="V172" i="8"/>
  <c r="W172" i="8"/>
  <c r="Y172" i="8" s="1"/>
  <c r="X172" i="8"/>
  <c r="E173" i="8"/>
  <c r="G173" i="8"/>
  <c r="I173" i="8"/>
  <c r="J173" i="8"/>
  <c r="L173" i="8"/>
  <c r="N173" i="8"/>
  <c r="BJ173" i="8" s="1"/>
  <c r="P173" i="8"/>
  <c r="R173" i="8"/>
  <c r="T173" i="8"/>
  <c r="V173" i="8"/>
  <c r="E174" i="8"/>
  <c r="G174" i="8"/>
  <c r="I174" i="8"/>
  <c r="J174" i="8"/>
  <c r="L174" i="8"/>
  <c r="N174" i="8"/>
  <c r="P174" i="8"/>
  <c r="R174" i="8"/>
  <c r="BD174" i="8" s="1"/>
  <c r="T174" i="8"/>
  <c r="V174" i="8"/>
  <c r="W174" i="8"/>
  <c r="X174" i="8"/>
  <c r="Y174" i="8"/>
  <c r="AP174" i="8"/>
  <c r="BG174" i="8"/>
  <c r="BH174" i="8"/>
  <c r="BI174" i="8"/>
  <c r="BJ174" i="8"/>
  <c r="BK174" i="8"/>
  <c r="BL174" i="8"/>
  <c r="BM174" i="8"/>
  <c r="E175" i="8"/>
  <c r="G175" i="8"/>
  <c r="I175" i="8"/>
  <c r="J175" i="8"/>
  <c r="L175" i="8"/>
  <c r="N175" i="8"/>
  <c r="AN175" i="8" s="1"/>
  <c r="P175" i="8"/>
  <c r="R175" i="8"/>
  <c r="T175" i="8"/>
  <c r="V175" i="8"/>
  <c r="W175" i="8"/>
  <c r="Y175" i="8" s="1"/>
  <c r="X175" i="8"/>
  <c r="E176" i="8"/>
  <c r="G176" i="8"/>
  <c r="I176" i="8"/>
  <c r="J176" i="8"/>
  <c r="L176" i="8"/>
  <c r="N176" i="8"/>
  <c r="BH176" i="8" s="1"/>
  <c r="P176" i="8"/>
  <c r="R176" i="8"/>
  <c r="T176" i="8"/>
  <c r="V176" i="8"/>
  <c r="AP176" i="8" s="1"/>
  <c r="AV176" i="8" s="1"/>
  <c r="AY176" i="8"/>
  <c r="BI176" i="8"/>
  <c r="BK176" i="8"/>
  <c r="BM176" i="8"/>
  <c r="E177" i="8"/>
  <c r="G177" i="8"/>
  <c r="I177" i="8"/>
  <c r="J177" i="8"/>
  <c r="L177" i="8"/>
  <c r="N177" i="8"/>
  <c r="BH177" i="8" s="1"/>
  <c r="P177" i="8"/>
  <c r="R177" i="8"/>
  <c r="T177" i="8"/>
  <c r="V177" i="8"/>
  <c r="W177" i="8"/>
  <c r="Y177" i="8" s="1"/>
  <c r="X177" i="8"/>
  <c r="E178" i="8"/>
  <c r="G178" i="8"/>
  <c r="I178" i="8"/>
  <c r="J178" i="8"/>
  <c r="L178" i="8"/>
  <c r="BC178" i="8" s="1"/>
  <c r="N178" i="8"/>
  <c r="P178" i="8"/>
  <c r="R178" i="8"/>
  <c r="T178" i="8"/>
  <c r="BG178" i="8" s="1"/>
  <c r="V178" i="8"/>
  <c r="W178" i="8"/>
  <c r="X178" i="8"/>
  <c r="AM178" i="8"/>
  <c r="AO178" i="8"/>
  <c r="BH178" i="8"/>
  <c r="BI178" i="8"/>
  <c r="BK178" i="8"/>
  <c r="BL178" i="8"/>
  <c r="BM178" i="8"/>
  <c r="E179" i="8"/>
  <c r="G179" i="8"/>
  <c r="I179" i="8"/>
  <c r="J179" i="8"/>
  <c r="L179" i="8"/>
  <c r="N179" i="8"/>
  <c r="BC179" i="8" s="1"/>
  <c r="P179" i="8"/>
  <c r="R179" i="8"/>
  <c r="T179" i="8"/>
  <c r="V179" i="8"/>
  <c r="AN179" i="8"/>
  <c r="AR179" i="8" s="1"/>
  <c r="E180" i="8"/>
  <c r="G180" i="8"/>
  <c r="I180" i="8"/>
  <c r="J180" i="8"/>
  <c r="L180" i="8"/>
  <c r="N180" i="8"/>
  <c r="P180" i="8"/>
  <c r="R180" i="8"/>
  <c r="BD180" i="8" s="1"/>
  <c r="T180" i="8"/>
  <c r="V180" i="8"/>
  <c r="E181" i="8"/>
  <c r="G181" i="8"/>
  <c r="I181" i="8"/>
  <c r="J181" i="8"/>
  <c r="L181" i="8"/>
  <c r="N181" i="8"/>
  <c r="P181" i="8"/>
  <c r="R181" i="8"/>
  <c r="T181" i="8"/>
  <c r="V181" i="8"/>
  <c r="W181" i="8"/>
  <c r="X181" i="8"/>
  <c r="BC181" i="8"/>
  <c r="E182" i="8"/>
  <c r="G182" i="8"/>
  <c r="I182" i="8"/>
  <c r="J182" i="8"/>
  <c r="L182" i="8"/>
  <c r="N182" i="8"/>
  <c r="P182" i="8"/>
  <c r="R182" i="8"/>
  <c r="BE182" i="8" s="1"/>
  <c r="T182" i="8"/>
  <c r="BG182" i="8" s="1"/>
  <c r="V182" i="8"/>
  <c r="BJ182" i="8"/>
  <c r="BK182" i="8"/>
  <c r="BM182" i="8"/>
  <c r="E183" i="8"/>
  <c r="G183" i="8"/>
  <c r="I183" i="8"/>
  <c r="J183" i="8"/>
  <c r="L183" i="8"/>
  <c r="N183" i="8"/>
  <c r="BG183" i="8" s="1"/>
  <c r="P183" i="8"/>
  <c r="R183" i="8"/>
  <c r="T183" i="8"/>
  <c r="V183" i="8"/>
  <c r="BL183" i="8"/>
  <c r="E184" i="8"/>
  <c r="G184" i="8"/>
  <c r="I184" i="8"/>
  <c r="J184" i="8"/>
  <c r="L184" i="8"/>
  <c r="N184" i="8"/>
  <c r="AO184" i="8" s="1"/>
  <c r="P184" i="8"/>
  <c r="R184" i="8"/>
  <c r="T184" i="8"/>
  <c r="V184" i="8"/>
  <c r="BH184" i="8"/>
  <c r="E185" i="8"/>
  <c r="G185" i="8"/>
  <c r="I185" i="8"/>
  <c r="J185" i="8"/>
  <c r="L185" i="8"/>
  <c r="N185" i="8"/>
  <c r="BH185" i="8" s="1"/>
  <c r="P185" i="8"/>
  <c r="R185" i="8"/>
  <c r="T185" i="8"/>
  <c r="V185" i="8"/>
  <c r="BK185" i="8"/>
  <c r="E186" i="8"/>
  <c r="G186" i="8"/>
  <c r="I186" i="8"/>
  <c r="J186" i="8"/>
  <c r="L186" i="8"/>
  <c r="BB186" i="8" s="1"/>
  <c r="N186" i="8"/>
  <c r="BE186" i="8" s="1"/>
  <c r="P186" i="8"/>
  <c r="R186" i="8"/>
  <c r="T186" i="8"/>
  <c r="V186" i="8"/>
  <c r="W186" i="8"/>
  <c r="Y186" i="8" s="1"/>
  <c r="X186" i="8"/>
  <c r="AM186" i="8"/>
  <c r="AP186" i="8"/>
  <c r="BJ186" i="8"/>
  <c r="BM186" i="8"/>
  <c r="E187" i="8"/>
  <c r="G187" i="8"/>
  <c r="I187" i="8"/>
  <c r="J187" i="8"/>
  <c r="Y187" i="8" s="1"/>
  <c r="L187" i="8"/>
  <c r="N187" i="8"/>
  <c r="P187" i="8"/>
  <c r="R187" i="8"/>
  <c r="T187" i="8"/>
  <c r="BG187" i="8" s="1"/>
  <c r="V187" i="8"/>
  <c r="W187" i="8"/>
  <c r="X187" i="8"/>
  <c r="AO187" i="8"/>
  <c r="AP187" i="8"/>
  <c r="BB187" i="8"/>
  <c r="BE187" i="8"/>
  <c r="BF187" i="8"/>
  <c r="BH187" i="8"/>
  <c r="BI187" i="8"/>
  <c r="BJ187" i="8"/>
  <c r="BK187" i="8"/>
  <c r="BL187" i="8"/>
  <c r="BM187" i="8"/>
  <c r="E188" i="8"/>
  <c r="G188" i="8"/>
  <c r="I188" i="8"/>
  <c r="J188" i="8"/>
  <c r="L188" i="8"/>
  <c r="N188" i="8"/>
  <c r="BH188" i="8" s="1"/>
  <c r="P188" i="8"/>
  <c r="R188" i="8"/>
  <c r="T188" i="8"/>
  <c r="BG188" i="8" s="1"/>
  <c r="V188" i="8"/>
  <c r="E189" i="8"/>
  <c r="G189" i="8"/>
  <c r="I189" i="8"/>
  <c r="J189" i="8"/>
  <c r="L189" i="8"/>
  <c r="N189" i="8"/>
  <c r="BJ189" i="8" s="1"/>
  <c r="P189" i="8"/>
  <c r="R189" i="8"/>
  <c r="T189" i="8"/>
  <c r="AB188" i="8" s="1"/>
  <c r="V189" i="8"/>
  <c r="E190" i="8"/>
  <c r="G190" i="8"/>
  <c r="I190" i="8"/>
  <c r="J190" i="8"/>
  <c r="L190" i="8"/>
  <c r="N190" i="8"/>
  <c r="BH190" i="8" s="1"/>
  <c r="P190" i="8"/>
  <c r="R190" i="8"/>
  <c r="T190" i="8"/>
  <c r="V190" i="8"/>
  <c r="E191" i="8"/>
  <c r="G191" i="8"/>
  <c r="I191" i="8"/>
  <c r="J191" i="8"/>
  <c r="L191" i="8"/>
  <c r="N191" i="8"/>
  <c r="P191" i="8"/>
  <c r="R191" i="8"/>
  <c r="T191" i="8"/>
  <c r="V191" i="8"/>
  <c r="E192" i="8"/>
  <c r="G192" i="8"/>
  <c r="I192" i="8"/>
  <c r="J192" i="8"/>
  <c r="L192" i="8"/>
  <c r="BB192" i="8" s="1"/>
  <c r="N192" i="8"/>
  <c r="P192" i="8"/>
  <c r="R192" i="8"/>
  <c r="T192" i="8"/>
  <c r="BF192" i="8" s="1"/>
  <c r="V192" i="8"/>
  <c r="W192" i="8"/>
  <c r="X192" i="8"/>
  <c r="AM192" i="8"/>
  <c r="AP192" i="8"/>
  <c r="BE192" i="8"/>
  <c r="BI192" i="8"/>
  <c r="BJ192" i="8"/>
  <c r="BM192" i="8"/>
  <c r="E193" i="8"/>
  <c r="G193" i="8"/>
  <c r="I193" i="8"/>
  <c r="J193" i="8"/>
  <c r="Y193" i="8" s="1"/>
  <c r="L193" i="8"/>
  <c r="N193" i="8"/>
  <c r="P193" i="8"/>
  <c r="R193" i="8"/>
  <c r="BE193" i="8" s="1"/>
  <c r="T193" i="8"/>
  <c r="V193" i="8"/>
  <c r="W193" i="8"/>
  <c r="X193" i="8"/>
  <c r="AP193" i="8"/>
  <c r="BF193" i="8"/>
  <c r="BH193" i="8"/>
  <c r="BI193" i="8"/>
  <c r="BJ193" i="8"/>
  <c r="BK193" i="8"/>
  <c r="BL193" i="8"/>
  <c r="BM193" i="8"/>
  <c r="E194" i="8"/>
  <c r="G194" i="8"/>
  <c r="I194" i="8"/>
  <c r="J194" i="8"/>
  <c r="L194" i="8"/>
  <c r="N194" i="8"/>
  <c r="BL194" i="8" s="1"/>
  <c r="P194" i="8"/>
  <c r="R194" i="8"/>
  <c r="T194" i="8"/>
  <c r="V194" i="8"/>
  <c r="E195" i="8"/>
  <c r="G195" i="8"/>
  <c r="I195" i="8"/>
  <c r="J195" i="8"/>
  <c r="L195" i="8"/>
  <c r="N195" i="8"/>
  <c r="P195" i="8"/>
  <c r="R195" i="8"/>
  <c r="T195" i="8"/>
  <c r="V195" i="8"/>
  <c r="W195" i="8"/>
  <c r="X195" i="8"/>
  <c r="AM195" i="8"/>
  <c r="AP195" i="8"/>
  <c r="BB195" i="8"/>
  <c r="BE195" i="8"/>
  <c r="BF195" i="8"/>
  <c r="BJ195" i="8"/>
  <c r="BM195" i="8"/>
  <c r="E196" i="8"/>
  <c r="G196" i="8"/>
  <c r="I196" i="8"/>
  <c r="J196" i="8"/>
  <c r="L196" i="8"/>
  <c r="BB196" i="8" s="1"/>
  <c r="N196" i="8"/>
  <c r="P196" i="8"/>
  <c r="R196" i="8"/>
  <c r="T196" i="8"/>
  <c r="BG196" i="8" s="1"/>
  <c r="V196" i="8"/>
  <c r="W196" i="8"/>
  <c r="X196" i="8"/>
  <c r="Y196" i="8"/>
  <c r="AP196" i="8"/>
  <c r="BH196" i="8"/>
  <c r="BI196" i="8"/>
  <c r="BK196" i="8"/>
  <c r="BL196" i="8"/>
  <c r="BM196" i="8"/>
  <c r="A149" i="8"/>
  <c r="A146" i="8"/>
  <c r="A143" i="8"/>
  <c r="A140" i="8"/>
  <c r="A137" i="8"/>
  <c r="A134" i="8"/>
  <c r="A131" i="8"/>
  <c r="A128" i="8"/>
  <c r="E128" i="8"/>
  <c r="G128" i="8"/>
  <c r="I128" i="8"/>
  <c r="J128" i="8"/>
  <c r="L128" i="8"/>
  <c r="N128" i="8"/>
  <c r="P128" i="8"/>
  <c r="R128" i="8"/>
  <c r="T128" i="8"/>
  <c r="V128" i="8"/>
  <c r="W128" i="8"/>
  <c r="Y128" i="8" s="1"/>
  <c r="X128" i="8"/>
  <c r="AP128" i="8"/>
  <c r="AV128" i="8" s="1"/>
  <c r="AV129" i="8" s="1"/>
  <c r="AY128" i="8"/>
  <c r="BH128" i="8"/>
  <c r="BI128" i="8"/>
  <c r="BJ128" i="8"/>
  <c r="BL128" i="8"/>
  <c r="BM128" i="8"/>
  <c r="E129" i="8"/>
  <c r="G129" i="8"/>
  <c r="I129" i="8"/>
  <c r="J129" i="8"/>
  <c r="L129" i="8"/>
  <c r="N129" i="8"/>
  <c r="P129" i="8"/>
  <c r="R129" i="8"/>
  <c r="BE129" i="8" s="1"/>
  <c r="T129" i="8"/>
  <c r="BG129" i="8" s="1"/>
  <c r="V129" i="8"/>
  <c r="W129" i="8"/>
  <c r="X129" i="8"/>
  <c r="Y129" i="8"/>
  <c r="AP129" i="8"/>
  <c r="BH129" i="8"/>
  <c r="BI129" i="8"/>
  <c r="BJ129" i="8"/>
  <c r="BK129" i="8"/>
  <c r="BL129" i="8"/>
  <c r="BM129" i="8"/>
  <c r="E130" i="8"/>
  <c r="G130" i="8"/>
  <c r="I130" i="8"/>
  <c r="J130" i="8"/>
  <c r="L130" i="8"/>
  <c r="N130" i="8"/>
  <c r="BG130" i="8" s="1"/>
  <c r="P130" i="8"/>
  <c r="R130" i="8"/>
  <c r="T130" i="8"/>
  <c r="V130" i="8"/>
  <c r="W130" i="8"/>
  <c r="Y130" i="8" s="1"/>
  <c r="X130" i="8"/>
  <c r="E131" i="8"/>
  <c r="G131" i="8"/>
  <c r="I131" i="8"/>
  <c r="J131" i="8"/>
  <c r="L131" i="8"/>
  <c r="N131" i="8"/>
  <c r="BK131" i="8" s="1"/>
  <c r="P131" i="8"/>
  <c r="R131" i="8"/>
  <c r="T131" i="8"/>
  <c r="V131" i="8"/>
  <c r="BM131" i="8" s="1"/>
  <c r="AP131" i="8"/>
  <c r="AV131" i="8" s="1"/>
  <c r="BH131" i="8"/>
  <c r="BI131" i="8"/>
  <c r="BJ131" i="8"/>
  <c r="BL131" i="8"/>
  <c r="E132" i="8"/>
  <c r="G132" i="8"/>
  <c r="I132" i="8"/>
  <c r="J132" i="8"/>
  <c r="Y132" i="8" s="1"/>
  <c r="L132" i="8"/>
  <c r="N132" i="8"/>
  <c r="P132" i="8"/>
  <c r="R132" i="8"/>
  <c r="BD132" i="8" s="1"/>
  <c r="T132" i="8"/>
  <c r="V132" i="8"/>
  <c r="W132" i="8"/>
  <c r="X132" i="8"/>
  <c r="AP132" i="8"/>
  <c r="BC132" i="8"/>
  <c r="BH132" i="8"/>
  <c r="BI132" i="8"/>
  <c r="BJ132" i="8"/>
  <c r="BL132" i="8"/>
  <c r="BM132" i="8"/>
  <c r="E133" i="8"/>
  <c r="G133" i="8"/>
  <c r="I133" i="8"/>
  <c r="J133" i="8"/>
  <c r="L133" i="8"/>
  <c r="N133" i="8"/>
  <c r="P133" i="8"/>
  <c r="R133" i="8"/>
  <c r="AN133" i="8" s="1"/>
  <c r="T133" i="8"/>
  <c r="BG133" i="8" s="1"/>
  <c r="V133" i="8"/>
  <c r="W133" i="8"/>
  <c r="X133" i="8"/>
  <c r="AM133" i="8"/>
  <c r="BH133" i="8"/>
  <c r="BL133" i="8"/>
  <c r="E134" i="8"/>
  <c r="G134" i="8"/>
  <c r="I134" i="8"/>
  <c r="J134" i="8"/>
  <c r="L134" i="8"/>
  <c r="N134" i="8"/>
  <c r="P134" i="8"/>
  <c r="R134" i="8"/>
  <c r="T134" i="8"/>
  <c r="V134" i="8"/>
  <c r="AP134" i="8" s="1"/>
  <c r="AV134" i="8" s="1"/>
  <c r="E135" i="8"/>
  <c r="G135" i="8"/>
  <c r="I135" i="8"/>
  <c r="J135" i="8"/>
  <c r="L135" i="8"/>
  <c r="N135" i="8"/>
  <c r="BK135" i="8" s="1"/>
  <c r="P135" i="8"/>
  <c r="R135" i="8"/>
  <c r="BE135" i="8" s="1"/>
  <c r="T135" i="8"/>
  <c r="V135" i="8"/>
  <c r="AP135" i="8"/>
  <c r="BI135" i="8"/>
  <c r="BL135" i="8"/>
  <c r="E136" i="8"/>
  <c r="G136" i="8"/>
  <c r="I136" i="8"/>
  <c r="J136" i="8"/>
  <c r="L136" i="8"/>
  <c r="N136" i="8"/>
  <c r="P136" i="8"/>
  <c r="R136" i="8"/>
  <c r="T136" i="8"/>
  <c r="V136" i="8"/>
  <c r="W136" i="8"/>
  <c r="Y136" i="8" s="1"/>
  <c r="X136" i="8"/>
  <c r="BC136" i="8"/>
  <c r="BD136" i="8"/>
  <c r="BL136" i="8"/>
  <c r="E137" i="8"/>
  <c r="G137" i="8"/>
  <c r="I137" i="8"/>
  <c r="J137" i="8"/>
  <c r="L137" i="8"/>
  <c r="N137" i="8"/>
  <c r="P137" i="8"/>
  <c r="R137" i="8"/>
  <c r="T137" i="8"/>
  <c r="V137" i="8"/>
  <c r="E138" i="8"/>
  <c r="G138" i="8"/>
  <c r="I138" i="8"/>
  <c r="J138" i="8"/>
  <c r="L138" i="8"/>
  <c r="N138" i="8"/>
  <c r="BJ138" i="8" s="1"/>
  <c r="P138" i="8"/>
  <c r="R138" i="8"/>
  <c r="T138" i="8"/>
  <c r="V138" i="8"/>
  <c r="E139" i="8"/>
  <c r="G139" i="8"/>
  <c r="I139" i="8"/>
  <c r="J139" i="8"/>
  <c r="L139" i="8"/>
  <c r="N139" i="8"/>
  <c r="P139" i="8"/>
  <c r="R139" i="8"/>
  <c r="T139" i="8"/>
  <c r="V139" i="8"/>
  <c r="BH139" i="8"/>
  <c r="E140" i="8"/>
  <c r="G140" i="8"/>
  <c r="I140" i="8"/>
  <c r="J140" i="8"/>
  <c r="L140" i="8"/>
  <c r="N140" i="8"/>
  <c r="BI140" i="8" s="1"/>
  <c r="P140" i="8"/>
  <c r="R140" i="8"/>
  <c r="T140" i="8"/>
  <c r="V140" i="8"/>
  <c r="AP140" i="8" s="1"/>
  <c r="AV140" i="8" s="1"/>
  <c r="E141" i="8"/>
  <c r="G141" i="8"/>
  <c r="I141" i="8"/>
  <c r="J141" i="8"/>
  <c r="L141" i="8"/>
  <c r="N141" i="8"/>
  <c r="P141" i="8"/>
  <c r="R141" i="8"/>
  <c r="BD141" i="8" s="1"/>
  <c r="T141" i="8"/>
  <c r="V141" i="8"/>
  <c r="BK141" i="8"/>
  <c r="E142" i="8"/>
  <c r="G142" i="8"/>
  <c r="I142" i="8"/>
  <c r="J142" i="8"/>
  <c r="L142" i="8"/>
  <c r="N142" i="8"/>
  <c r="BB142" i="8" s="1"/>
  <c r="P142" i="8"/>
  <c r="R142" i="8"/>
  <c r="T142" i="8"/>
  <c r="V142" i="8"/>
  <c r="W142" i="8"/>
  <c r="X142" i="8"/>
  <c r="Y142" i="8"/>
  <c r="AM142" i="8"/>
  <c r="E143" i="8"/>
  <c r="G143" i="8"/>
  <c r="I143" i="8"/>
  <c r="J143" i="8"/>
  <c r="L143" i="8"/>
  <c r="N143" i="8"/>
  <c r="BE143" i="8" s="1"/>
  <c r="P143" i="8"/>
  <c r="R143" i="8"/>
  <c r="T143" i="8"/>
  <c r="V143" i="8"/>
  <c r="AP143" i="8"/>
  <c r="AV143" i="8" s="1"/>
  <c r="BH143" i="8"/>
  <c r="BI143" i="8"/>
  <c r="BL143" i="8"/>
  <c r="BM143" i="8"/>
  <c r="E144" i="8"/>
  <c r="G144" i="8"/>
  <c r="I144" i="8"/>
  <c r="J144" i="8"/>
  <c r="L144" i="8"/>
  <c r="N144" i="8"/>
  <c r="BJ144" i="8" s="1"/>
  <c r="P144" i="8"/>
  <c r="R144" i="8"/>
  <c r="T144" i="8"/>
  <c r="V144" i="8"/>
  <c r="E145" i="8"/>
  <c r="G145" i="8"/>
  <c r="I145" i="8"/>
  <c r="J145" i="8"/>
  <c r="L145" i="8"/>
  <c r="AM145" i="8" s="1"/>
  <c r="N145" i="8"/>
  <c r="P145" i="8"/>
  <c r="R145" i="8"/>
  <c r="T145" i="8"/>
  <c r="BG145" i="8" s="1"/>
  <c r="V145" i="8"/>
  <c r="W145" i="8"/>
  <c r="Y145" i="8" s="1"/>
  <c r="X145" i="8"/>
  <c r="AP145" i="8"/>
  <c r="BD145" i="8"/>
  <c r="BH145" i="8"/>
  <c r="BJ145" i="8"/>
  <c r="BK145" i="8"/>
  <c r="BL145" i="8"/>
  <c r="E146" i="8"/>
  <c r="G146" i="8"/>
  <c r="I146" i="8"/>
  <c r="J146" i="8"/>
  <c r="L146" i="8"/>
  <c r="N146" i="8"/>
  <c r="BB146" i="8" s="1"/>
  <c r="P146" i="8"/>
  <c r="R146" i="8"/>
  <c r="T146" i="8"/>
  <c r="V146" i="8"/>
  <c r="BI146" i="8"/>
  <c r="E147" i="8"/>
  <c r="G147" i="8"/>
  <c r="I147" i="8"/>
  <c r="J147" i="8"/>
  <c r="L147" i="8"/>
  <c r="N147" i="8"/>
  <c r="AP147" i="8" s="1"/>
  <c r="P147" i="8"/>
  <c r="R147" i="8"/>
  <c r="T147" i="8"/>
  <c r="V147" i="8"/>
  <c r="AO147" i="8"/>
  <c r="BJ147" i="8"/>
  <c r="E148" i="8"/>
  <c r="G148" i="8"/>
  <c r="I148" i="8"/>
  <c r="J148" i="8"/>
  <c r="L148" i="8"/>
  <c r="N148" i="8"/>
  <c r="BF148" i="8" s="1"/>
  <c r="P148" i="8"/>
  <c r="R148" i="8"/>
  <c r="T148" i="8"/>
  <c r="V148" i="8"/>
  <c r="W148" i="8"/>
  <c r="X148" i="8"/>
  <c r="Y148" i="8"/>
  <c r="AP148" i="8"/>
  <c r="BJ148" i="8"/>
  <c r="E149" i="8"/>
  <c r="G149" i="8"/>
  <c r="I149" i="8"/>
  <c r="J149" i="8"/>
  <c r="L149" i="8"/>
  <c r="N149" i="8"/>
  <c r="BH149" i="8" s="1"/>
  <c r="P149" i="8"/>
  <c r="R149" i="8"/>
  <c r="W149" i="8" s="1"/>
  <c r="T149" i="8"/>
  <c r="V149" i="8"/>
  <c r="AM149" i="8"/>
  <c r="AQ149" i="8" s="1"/>
  <c r="E150" i="8"/>
  <c r="G150" i="8"/>
  <c r="I150" i="8"/>
  <c r="J150" i="8"/>
  <c r="L150" i="8"/>
  <c r="N150" i="8"/>
  <c r="BH150" i="8" s="1"/>
  <c r="P150" i="8"/>
  <c r="R150" i="8"/>
  <c r="T150" i="8"/>
  <c r="V150" i="8"/>
  <c r="AP150" i="8" s="1"/>
  <c r="BL150" i="8"/>
  <c r="E151" i="8"/>
  <c r="G151" i="8"/>
  <c r="I151" i="8"/>
  <c r="J151" i="8"/>
  <c r="L151" i="8"/>
  <c r="N151" i="8"/>
  <c r="P151" i="8"/>
  <c r="R151" i="8"/>
  <c r="T151" i="8"/>
  <c r="V151" i="8"/>
  <c r="W151" i="8"/>
  <c r="X151" i="8"/>
  <c r="AN151" i="8"/>
  <c r="AP151" i="8"/>
  <c r="BB151" i="8"/>
  <c r="BD151" i="8"/>
  <c r="BG151" i="8"/>
  <c r="BH151" i="8"/>
  <c r="BL151" i="8"/>
  <c r="A125" i="8"/>
  <c r="A122" i="8"/>
  <c r="A119" i="8"/>
  <c r="A116" i="8"/>
  <c r="A113" i="8"/>
  <c r="A110" i="8"/>
  <c r="E110" i="8"/>
  <c r="G110" i="8"/>
  <c r="I110" i="8"/>
  <c r="J110" i="8"/>
  <c r="L110" i="8"/>
  <c r="N110" i="8"/>
  <c r="BI110" i="8" s="1"/>
  <c r="P110" i="8"/>
  <c r="R110" i="8"/>
  <c r="T110" i="8"/>
  <c r="V110" i="8"/>
  <c r="E111" i="8"/>
  <c r="G111" i="8"/>
  <c r="I111" i="8"/>
  <c r="J111" i="8"/>
  <c r="L111" i="8"/>
  <c r="BC111" i="8" s="1"/>
  <c r="N111" i="8"/>
  <c r="P111" i="8"/>
  <c r="R111" i="8"/>
  <c r="BD111" i="8" s="1"/>
  <c r="T111" i="8"/>
  <c r="V111" i="8"/>
  <c r="BI111" i="8"/>
  <c r="BM111" i="8"/>
  <c r="E112" i="8"/>
  <c r="G112" i="8"/>
  <c r="I112" i="8"/>
  <c r="J112" i="8"/>
  <c r="L112" i="8"/>
  <c r="N112" i="8"/>
  <c r="P112" i="8"/>
  <c r="R112" i="8"/>
  <c r="BE112" i="8" s="1"/>
  <c r="T112" i="8"/>
  <c r="V112" i="8"/>
  <c r="W112" i="8"/>
  <c r="X112" i="8"/>
  <c r="AO112" i="8"/>
  <c r="BC112" i="8"/>
  <c r="BH112" i="8"/>
  <c r="BI112" i="8"/>
  <c r="BK112" i="8"/>
  <c r="BM112" i="8"/>
  <c r="E113" i="8"/>
  <c r="G113" i="8"/>
  <c r="I113" i="8"/>
  <c r="J113" i="8"/>
  <c r="L113" i="8"/>
  <c r="N113" i="8"/>
  <c r="BJ113" i="8" s="1"/>
  <c r="P113" i="8"/>
  <c r="R113" i="8"/>
  <c r="T113" i="8"/>
  <c r="V113" i="8"/>
  <c r="BI113" i="8"/>
  <c r="BK113" i="8"/>
  <c r="E114" i="8"/>
  <c r="G114" i="8"/>
  <c r="I114" i="8"/>
  <c r="J114" i="8"/>
  <c r="L114" i="8"/>
  <c r="BC114" i="8" s="1"/>
  <c r="N114" i="8"/>
  <c r="P114" i="8"/>
  <c r="R114" i="8"/>
  <c r="T114" i="8"/>
  <c r="AO114" i="8" s="1"/>
  <c r="V114" i="8"/>
  <c r="W114" i="8"/>
  <c r="X114" i="8"/>
  <c r="Y114" i="8"/>
  <c r="AP114" i="8"/>
  <c r="BI114" i="8"/>
  <c r="BK114" i="8"/>
  <c r="BL114" i="8"/>
  <c r="E115" i="8"/>
  <c r="G115" i="8"/>
  <c r="I115" i="8"/>
  <c r="J115" i="8"/>
  <c r="L115" i="8"/>
  <c r="N115" i="8"/>
  <c r="P115" i="8"/>
  <c r="R115" i="8"/>
  <c r="T115" i="8"/>
  <c r="V115" i="8"/>
  <c r="W115" i="8"/>
  <c r="Y115" i="8" s="1"/>
  <c r="X115" i="8"/>
  <c r="BC115" i="8"/>
  <c r="BD115" i="8"/>
  <c r="BK115" i="8"/>
  <c r="E116" i="8"/>
  <c r="G116" i="8"/>
  <c r="I116" i="8"/>
  <c r="J116" i="8"/>
  <c r="L116" i="8"/>
  <c r="N116" i="8"/>
  <c r="P116" i="8"/>
  <c r="R116" i="8"/>
  <c r="T116" i="8"/>
  <c r="BF116" i="8" s="1"/>
  <c r="V116" i="8"/>
  <c r="E117" i="8"/>
  <c r="G117" i="8"/>
  <c r="I117" i="8"/>
  <c r="J117" i="8"/>
  <c r="L117" i="8"/>
  <c r="N117" i="8"/>
  <c r="BI117" i="8" s="1"/>
  <c r="P117" i="8"/>
  <c r="R117" i="8"/>
  <c r="T117" i="8"/>
  <c r="V117" i="8"/>
  <c r="E118" i="8"/>
  <c r="G118" i="8"/>
  <c r="I118" i="8"/>
  <c r="J118" i="8"/>
  <c r="L118" i="8"/>
  <c r="N118" i="8"/>
  <c r="P118" i="8"/>
  <c r="R118" i="8"/>
  <c r="BD118" i="8" s="1"/>
  <c r="T118" i="8"/>
  <c r="V118" i="8"/>
  <c r="W118" i="8"/>
  <c r="Y118" i="8" s="1"/>
  <c r="X118" i="8"/>
  <c r="AO118" i="8"/>
  <c r="E119" i="8"/>
  <c r="G119" i="8"/>
  <c r="I119" i="8"/>
  <c r="J119" i="8"/>
  <c r="L119" i="8"/>
  <c r="N119" i="8"/>
  <c r="BE119" i="8" s="1"/>
  <c r="P119" i="8"/>
  <c r="R119" i="8"/>
  <c r="T119" i="8"/>
  <c r="V119" i="8"/>
  <c r="E120" i="8"/>
  <c r="G120" i="8"/>
  <c r="I120" i="8"/>
  <c r="J120" i="8"/>
  <c r="L120" i="8"/>
  <c r="N120" i="8"/>
  <c r="P120" i="8"/>
  <c r="R120" i="8"/>
  <c r="T120" i="8"/>
  <c r="V120" i="8"/>
  <c r="W120" i="8"/>
  <c r="X120" i="8"/>
  <c r="BI120" i="8"/>
  <c r="BK120" i="8"/>
  <c r="E121" i="8"/>
  <c r="G121" i="8"/>
  <c r="I121" i="8"/>
  <c r="J121" i="8"/>
  <c r="L121" i="8"/>
  <c r="N121" i="8"/>
  <c r="P121" i="8"/>
  <c r="R121" i="8"/>
  <c r="T121" i="8"/>
  <c r="V121" i="8"/>
  <c r="W121" i="8"/>
  <c r="X121" i="8"/>
  <c r="AN121" i="8"/>
  <c r="BC121" i="8"/>
  <c r="BG121" i="8"/>
  <c r="BL121" i="8"/>
  <c r="BM121" i="8"/>
  <c r="E122" i="8"/>
  <c r="G122" i="8"/>
  <c r="I122" i="8"/>
  <c r="J122" i="8"/>
  <c r="L122" i="8"/>
  <c r="N122" i="8"/>
  <c r="P122" i="8"/>
  <c r="R122" i="8"/>
  <c r="T122" i="8"/>
  <c r="V122" i="8"/>
  <c r="AY122" i="8"/>
  <c r="E123" i="8"/>
  <c r="G123" i="8"/>
  <c r="I123" i="8"/>
  <c r="J123" i="8"/>
  <c r="L123" i="8"/>
  <c r="BB123" i="8" s="1"/>
  <c r="N123" i="8"/>
  <c r="P123" i="8"/>
  <c r="R123" i="8"/>
  <c r="T123" i="8"/>
  <c r="V123" i="8"/>
  <c r="W123" i="8"/>
  <c r="X123" i="8"/>
  <c r="Y123" i="8"/>
  <c r="AP123" i="8"/>
  <c r="BE123" i="8"/>
  <c r="BJ123" i="8"/>
  <c r="BM123" i="8"/>
  <c r="E124" i="8"/>
  <c r="G124" i="8"/>
  <c r="I124" i="8"/>
  <c r="J124" i="8"/>
  <c r="L124" i="8"/>
  <c r="N124" i="8"/>
  <c r="P124" i="8"/>
  <c r="R124" i="8"/>
  <c r="T124" i="8"/>
  <c r="V124" i="8"/>
  <c r="W124" i="8"/>
  <c r="X124" i="8"/>
  <c r="BB124" i="8"/>
  <c r="BE124" i="8"/>
  <c r="BH124" i="8"/>
  <c r="BJ124" i="8"/>
  <c r="BL124" i="8"/>
  <c r="BM124" i="8"/>
  <c r="E125" i="8"/>
  <c r="G125" i="8"/>
  <c r="I125" i="8"/>
  <c r="J125" i="8"/>
  <c r="L125" i="8"/>
  <c r="N125" i="8"/>
  <c r="AY125" i="8" s="1"/>
  <c r="P125" i="8"/>
  <c r="R125" i="8"/>
  <c r="T125" i="8"/>
  <c r="V125" i="8"/>
  <c r="W125" i="8"/>
  <c r="Y125" i="8" s="1"/>
  <c r="X125" i="8"/>
  <c r="AN125" i="8"/>
  <c r="AR125" i="8" s="1"/>
  <c r="AO125" i="8"/>
  <c r="AT125" i="8" s="1"/>
  <c r="E126" i="8"/>
  <c r="G126" i="8"/>
  <c r="I126" i="8"/>
  <c r="J126" i="8"/>
  <c r="L126" i="8"/>
  <c r="BB126" i="8" s="1"/>
  <c r="N126" i="8"/>
  <c r="P126" i="8"/>
  <c r="R126" i="8"/>
  <c r="T126" i="8"/>
  <c r="V126" i="8"/>
  <c r="W126" i="8"/>
  <c r="X126" i="8"/>
  <c r="AM126" i="8"/>
  <c r="BJ126" i="8"/>
  <c r="E127" i="8"/>
  <c r="G127" i="8"/>
  <c r="I127" i="8"/>
  <c r="J127" i="8"/>
  <c r="Y127" i="8" s="1"/>
  <c r="L127" i="8"/>
  <c r="N127" i="8"/>
  <c r="P127" i="8"/>
  <c r="R127" i="8"/>
  <c r="BE127" i="8" s="1"/>
  <c r="T127" i="8"/>
  <c r="V127" i="8"/>
  <c r="W127" i="8"/>
  <c r="X127" i="8"/>
  <c r="AP127" i="8"/>
  <c r="BF127" i="8"/>
  <c r="BJ127" i="8"/>
  <c r="BK127" i="8"/>
  <c r="BL127" i="8"/>
  <c r="B91" i="8"/>
  <c r="B88" i="8"/>
  <c r="B85" i="8"/>
  <c r="B82" i="8"/>
  <c r="B79" i="8"/>
  <c r="B76" i="8"/>
  <c r="B73" i="8"/>
  <c r="B70" i="8"/>
  <c r="B67" i="8"/>
  <c r="B64" i="8"/>
  <c r="B61" i="8"/>
  <c r="B58" i="8"/>
  <c r="B55" i="8"/>
  <c r="B52" i="8"/>
  <c r="B49" i="8"/>
  <c r="B46" i="8"/>
  <c r="B43" i="8"/>
  <c r="B40" i="8"/>
  <c r="A91" i="8"/>
  <c r="A88" i="8"/>
  <c r="A85" i="8"/>
  <c r="A82" i="8"/>
  <c r="A79" i="8"/>
  <c r="A76" i="8"/>
  <c r="A73" i="8"/>
  <c r="E73" i="8"/>
  <c r="G73" i="8"/>
  <c r="I73" i="8"/>
  <c r="J73" i="8"/>
  <c r="L73" i="8"/>
  <c r="N73" i="8"/>
  <c r="BI73" i="8" s="1"/>
  <c r="P73" i="8"/>
  <c r="R73" i="8"/>
  <c r="T73" i="8"/>
  <c r="V73" i="8"/>
  <c r="E74" i="8"/>
  <c r="G74" i="8"/>
  <c r="I74" i="8"/>
  <c r="J74" i="8"/>
  <c r="L74" i="8"/>
  <c r="N74" i="8"/>
  <c r="P74" i="8"/>
  <c r="R74" i="8"/>
  <c r="T74" i="8"/>
  <c r="V74" i="8"/>
  <c r="BL74" i="8" s="1"/>
  <c r="BI74" i="8"/>
  <c r="E75" i="8"/>
  <c r="G75" i="8"/>
  <c r="I75" i="8"/>
  <c r="J75" i="8"/>
  <c r="L75" i="8"/>
  <c r="BB75" i="8" s="1"/>
  <c r="N75" i="8"/>
  <c r="P75" i="8"/>
  <c r="R75" i="8"/>
  <c r="T75" i="8"/>
  <c r="AO75" i="8" s="1"/>
  <c r="V75" i="8"/>
  <c r="W75" i="8"/>
  <c r="X75" i="8"/>
  <c r="AM75" i="8"/>
  <c r="AN75" i="8"/>
  <c r="BC75" i="8"/>
  <c r="BD75" i="8"/>
  <c r="BH75" i="8"/>
  <c r="BI75" i="8"/>
  <c r="BK75" i="8"/>
  <c r="BL75" i="8"/>
  <c r="BM75" i="8"/>
  <c r="E76" i="8"/>
  <c r="G76" i="8"/>
  <c r="I76" i="8"/>
  <c r="J76" i="8"/>
  <c r="L76" i="8"/>
  <c r="N76" i="8"/>
  <c r="AY76" i="8" s="1"/>
  <c r="P76" i="8"/>
  <c r="R76" i="8"/>
  <c r="T76" i="8"/>
  <c r="V76" i="8"/>
  <c r="AP76" i="8" s="1"/>
  <c r="AV76" i="8" s="1"/>
  <c r="AB76" i="8"/>
  <c r="BK76" i="8"/>
  <c r="E77" i="8"/>
  <c r="G77" i="8"/>
  <c r="I77" i="8"/>
  <c r="J77" i="8"/>
  <c r="L77" i="8"/>
  <c r="N77" i="8"/>
  <c r="P77" i="8"/>
  <c r="R77" i="8"/>
  <c r="T77" i="8"/>
  <c r="V77" i="8"/>
  <c r="W77" i="8"/>
  <c r="X77" i="8"/>
  <c r="AO77" i="8"/>
  <c r="AP77" i="8"/>
  <c r="BE77" i="8"/>
  <c r="BH77" i="8"/>
  <c r="BL77" i="8"/>
  <c r="BM77" i="8"/>
  <c r="E78" i="8"/>
  <c r="G78" i="8"/>
  <c r="I78" i="8"/>
  <c r="J78" i="8"/>
  <c r="L78" i="8"/>
  <c r="N78" i="8"/>
  <c r="AO78" i="8" s="1"/>
  <c r="P78" i="8"/>
  <c r="R78" i="8"/>
  <c r="T78" i="8"/>
  <c r="V78" i="8"/>
  <c r="W78" i="8"/>
  <c r="X78" i="8"/>
  <c r="AP78" i="8"/>
  <c r="BG78" i="8"/>
  <c r="BL78" i="8"/>
  <c r="E79" i="8"/>
  <c r="G79" i="8"/>
  <c r="I79" i="8"/>
  <c r="J79" i="8"/>
  <c r="L79" i="8"/>
  <c r="N79" i="8"/>
  <c r="P79" i="8"/>
  <c r="R79" i="8"/>
  <c r="T79" i="8"/>
  <c r="V79" i="8"/>
  <c r="BH79" i="8"/>
  <c r="E80" i="8"/>
  <c r="G80" i="8"/>
  <c r="I80" i="8"/>
  <c r="J80" i="8"/>
  <c r="L80" i="8"/>
  <c r="N80" i="8"/>
  <c r="AY79" i="8" s="1"/>
  <c r="P80" i="8"/>
  <c r="R80" i="8"/>
  <c r="T80" i="8"/>
  <c r="V80" i="8"/>
  <c r="E81" i="8"/>
  <c r="G81" i="8"/>
  <c r="I81" i="8"/>
  <c r="J81" i="8"/>
  <c r="L81" i="8"/>
  <c r="BB81" i="8" s="1"/>
  <c r="N81" i="8"/>
  <c r="P81" i="8"/>
  <c r="R81" i="8"/>
  <c r="BD81" i="8" s="1"/>
  <c r="T81" i="8"/>
  <c r="BF81" i="8" s="1"/>
  <c r="V81" i="8"/>
  <c r="W81" i="8"/>
  <c r="X81" i="8"/>
  <c r="AM81" i="8"/>
  <c r="AP81" i="8"/>
  <c r="BC81" i="8"/>
  <c r="BH81" i="8"/>
  <c r="BI81" i="8"/>
  <c r="BJ81" i="8"/>
  <c r="BK81" i="8"/>
  <c r="BL81" i="8"/>
  <c r="BM81" i="8"/>
  <c r="E82" i="8"/>
  <c r="G82" i="8"/>
  <c r="I82" i="8"/>
  <c r="J82" i="8"/>
  <c r="L82" i="8"/>
  <c r="N82" i="8"/>
  <c r="P82" i="8"/>
  <c r="R82" i="8"/>
  <c r="T82" i="8"/>
  <c r="V82" i="8"/>
  <c r="W82" i="8"/>
  <c r="X82" i="8"/>
  <c r="AO82" i="8"/>
  <c r="AT82" i="8" s="1"/>
  <c r="BI82" i="8"/>
  <c r="E83" i="8"/>
  <c r="G83" i="8"/>
  <c r="I83" i="8"/>
  <c r="J83" i="8"/>
  <c r="L83" i="8"/>
  <c r="BB83" i="8" s="1"/>
  <c r="N83" i="8"/>
  <c r="P83" i="8"/>
  <c r="R83" i="8"/>
  <c r="T83" i="8"/>
  <c r="AB82" i="8" s="1"/>
  <c r="AA82" i="8" s="1"/>
  <c r="V83" i="8"/>
  <c r="W83" i="8"/>
  <c r="X83" i="8"/>
  <c r="AP83" i="8"/>
  <c r="BF83" i="8"/>
  <c r="BH83" i="8"/>
  <c r="BL83" i="8"/>
  <c r="BM83" i="8"/>
  <c r="E84" i="8"/>
  <c r="G84" i="8"/>
  <c r="I84" i="8"/>
  <c r="J84" i="8"/>
  <c r="L84" i="8"/>
  <c r="BB84" i="8" s="1"/>
  <c r="N84" i="8"/>
  <c r="P84" i="8"/>
  <c r="R84" i="8"/>
  <c r="T84" i="8"/>
  <c r="BF84" i="8" s="1"/>
  <c r="V84" i="8"/>
  <c r="W84" i="8"/>
  <c r="X84" i="8"/>
  <c r="AO84" i="8"/>
  <c r="AP84" i="8"/>
  <c r="BH84" i="8"/>
  <c r="BI84" i="8"/>
  <c r="BJ84" i="8"/>
  <c r="BK84" i="8"/>
  <c r="BL84" i="8"/>
  <c r="BM84" i="8"/>
  <c r="E85" i="8"/>
  <c r="G85" i="8"/>
  <c r="I85" i="8"/>
  <c r="J85" i="8"/>
  <c r="L85" i="8"/>
  <c r="N85" i="8"/>
  <c r="AO85" i="8" s="1"/>
  <c r="AT85" i="8" s="1"/>
  <c r="P85" i="8"/>
  <c r="R85" i="8"/>
  <c r="T85" i="8"/>
  <c r="V85" i="8"/>
  <c r="E86" i="8"/>
  <c r="G86" i="8"/>
  <c r="I86" i="8"/>
  <c r="J86" i="8"/>
  <c r="L86" i="8"/>
  <c r="N86" i="8"/>
  <c r="P86" i="8"/>
  <c r="R86" i="8"/>
  <c r="T86" i="8"/>
  <c r="V86" i="8"/>
  <c r="BM86" i="8"/>
  <c r="E87" i="8"/>
  <c r="G87" i="8"/>
  <c r="I87" i="8"/>
  <c r="J87" i="8"/>
  <c r="L87" i="8"/>
  <c r="N87" i="8"/>
  <c r="AM87" i="8" s="1"/>
  <c r="P87" i="8"/>
  <c r="R87" i="8"/>
  <c r="BE87" i="8" s="1"/>
  <c r="T87" i="8"/>
  <c r="V87" i="8"/>
  <c r="W87" i="8"/>
  <c r="X87" i="8"/>
  <c r="AO87" i="8"/>
  <c r="AP87" i="8"/>
  <c r="BC87" i="8"/>
  <c r="BG87" i="8"/>
  <c r="BI87" i="8"/>
  <c r="BJ87" i="8"/>
  <c r="BK87" i="8"/>
  <c r="BM87" i="8"/>
  <c r="E88" i="8"/>
  <c r="G88" i="8"/>
  <c r="I88" i="8"/>
  <c r="J88" i="8"/>
  <c r="L88" i="8"/>
  <c r="N88" i="8"/>
  <c r="P88" i="8"/>
  <c r="R88" i="8"/>
  <c r="T88" i="8"/>
  <c r="V88" i="8"/>
  <c r="E89" i="8"/>
  <c r="G89" i="8"/>
  <c r="I89" i="8"/>
  <c r="J89" i="8"/>
  <c r="L89" i="8"/>
  <c r="N89" i="8"/>
  <c r="BI89" i="8" s="1"/>
  <c r="P89" i="8"/>
  <c r="R89" i="8"/>
  <c r="BE89" i="8" s="1"/>
  <c r="T89" i="8"/>
  <c r="V89" i="8"/>
  <c r="AP89" i="8" s="1"/>
  <c r="BH89" i="8"/>
  <c r="BL89" i="8"/>
  <c r="BM89" i="8"/>
  <c r="E90" i="8"/>
  <c r="G90" i="8"/>
  <c r="I90" i="8"/>
  <c r="J90" i="8"/>
  <c r="L90" i="8"/>
  <c r="BC90" i="8" s="1"/>
  <c r="N90" i="8"/>
  <c r="BJ90" i="8" s="1"/>
  <c r="P90" i="8"/>
  <c r="R90" i="8"/>
  <c r="T90" i="8"/>
  <c r="V90" i="8"/>
  <c r="BM90" i="8" s="1"/>
  <c r="AO90" i="8"/>
  <c r="E91" i="8"/>
  <c r="G91" i="8"/>
  <c r="I91" i="8"/>
  <c r="J91" i="8"/>
  <c r="L91" i="8"/>
  <c r="N91" i="8"/>
  <c r="P91" i="8"/>
  <c r="R91" i="8"/>
  <c r="T91" i="8"/>
  <c r="V91" i="8"/>
  <c r="BM91" i="8" s="1"/>
  <c r="E92" i="8"/>
  <c r="G92" i="8"/>
  <c r="I92" i="8"/>
  <c r="J92" i="8"/>
  <c r="L92" i="8"/>
  <c r="N92" i="8"/>
  <c r="BI92" i="8" s="1"/>
  <c r="P92" i="8"/>
  <c r="R92" i="8"/>
  <c r="T92" i="8"/>
  <c r="V92" i="8"/>
  <c r="E93" i="8"/>
  <c r="G93" i="8"/>
  <c r="I93" i="8"/>
  <c r="J93" i="8"/>
  <c r="L93" i="8"/>
  <c r="N93" i="8"/>
  <c r="AM93" i="8" s="1"/>
  <c r="P93" i="8"/>
  <c r="R93" i="8"/>
  <c r="T93" i="8"/>
  <c r="V93" i="8"/>
  <c r="BH93" i="8"/>
  <c r="BJ93" i="8"/>
  <c r="A70" i="8"/>
  <c r="A67" i="8"/>
  <c r="A64" i="8"/>
  <c r="A61" i="8"/>
  <c r="A58" i="8"/>
  <c r="A55" i="8"/>
  <c r="A52" i="8"/>
  <c r="A49" i="8"/>
  <c r="A46" i="8"/>
  <c r="A43" i="8"/>
  <c r="A40" i="8"/>
  <c r="E43" i="8"/>
  <c r="G43" i="8"/>
  <c r="I43" i="8"/>
  <c r="J43" i="8"/>
  <c r="L43" i="8"/>
  <c r="N43" i="8"/>
  <c r="BI43" i="8" s="1"/>
  <c r="P43" i="8"/>
  <c r="R43" i="8"/>
  <c r="T43" i="8"/>
  <c r="V43" i="8"/>
  <c r="AP43" i="8"/>
  <c r="AV43" i="8" s="1"/>
  <c r="BH43" i="8"/>
  <c r="E44" i="8"/>
  <c r="G44" i="8"/>
  <c r="I44" i="8"/>
  <c r="J44" i="8"/>
  <c r="L44" i="8"/>
  <c r="N44" i="8"/>
  <c r="P44" i="8"/>
  <c r="R44" i="8"/>
  <c r="T44" i="8"/>
  <c r="V44" i="8"/>
  <c r="AO44" i="8"/>
  <c r="E45" i="8"/>
  <c r="G45" i="8"/>
  <c r="I45" i="8"/>
  <c r="J45" i="8"/>
  <c r="L45" i="8"/>
  <c r="N45" i="8"/>
  <c r="BG45" i="8" s="1"/>
  <c r="P45" i="8"/>
  <c r="R45" i="8"/>
  <c r="T45" i="8"/>
  <c r="V45" i="8"/>
  <c r="W45" i="8"/>
  <c r="X45" i="8"/>
  <c r="E46" i="8"/>
  <c r="G46" i="8"/>
  <c r="I46" i="8"/>
  <c r="J46" i="8"/>
  <c r="L46" i="8"/>
  <c r="N46" i="8"/>
  <c r="BH46" i="8" s="1"/>
  <c r="P46" i="8"/>
  <c r="R46" i="8"/>
  <c r="T46" i="8"/>
  <c r="V46" i="8"/>
  <c r="E47" i="8"/>
  <c r="G47" i="8"/>
  <c r="I47" i="8"/>
  <c r="J47" i="8"/>
  <c r="L47" i="8"/>
  <c r="N47" i="8"/>
  <c r="W47" i="8" s="1"/>
  <c r="P47" i="8"/>
  <c r="R47" i="8"/>
  <c r="T47" i="8"/>
  <c r="V47" i="8"/>
  <c r="BI47" i="8"/>
  <c r="E48" i="8"/>
  <c r="G48" i="8"/>
  <c r="I48" i="8"/>
  <c r="J48" i="8"/>
  <c r="L48" i="8"/>
  <c r="N48" i="8"/>
  <c r="BH48" i="8" s="1"/>
  <c r="P48" i="8"/>
  <c r="R48" i="8"/>
  <c r="T48" i="8"/>
  <c r="V48" i="8"/>
  <c r="E49" i="8"/>
  <c r="G49" i="8"/>
  <c r="I49" i="8"/>
  <c r="J49" i="8"/>
  <c r="L49" i="8"/>
  <c r="N49" i="8"/>
  <c r="P49" i="8"/>
  <c r="R49" i="8"/>
  <c r="T49" i="8"/>
  <c r="V49" i="8"/>
  <c r="AP49" i="8" s="1"/>
  <c r="AV49" i="8" s="1"/>
  <c r="BH49" i="8"/>
  <c r="E50" i="8"/>
  <c r="G50" i="8"/>
  <c r="I50" i="8"/>
  <c r="J50" i="8"/>
  <c r="L50" i="8"/>
  <c r="N50" i="8"/>
  <c r="BI50" i="8" s="1"/>
  <c r="P50" i="8"/>
  <c r="R50" i="8"/>
  <c r="AN50" i="8" s="1"/>
  <c r="T50" i="8"/>
  <c r="AO50" i="8" s="1"/>
  <c r="V50" i="8"/>
  <c r="E51" i="8"/>
  <c r="G51" i="8"/>
  <c r="I51" i="8"/>
  <c r="J51" i="8"/>
  <c r="L51" i="8"/>
  <c r="N51" i="8"/>
  <c r="BH51" i="8" s="1"/>
  <c r="P51" i="8"/>
  <c r="R51" i="8"/>
  <c r="T51" i="8"/>
  <c r="V51" i="8"/>
  <c r="E52" i="8"/>
  <c r="G52" i="8"/>
  <c r="I52" i="8"/>
  <c r="J52" i="8"/>
  <c r="L52" i="8"/>
  <c r="N52" i="8"/>
  <c r="P52" i="8"/>
  <c r="R52" i="8"/>
  <c r="T52" i="8"/>
  <c r="V52" i="8"/>
  <c r="E53" i="8"/>
  <c r="G53" i="8"/>
  <c r="I53" i="8"/>
  <c r="J53" i="8"/>
  <c r="L53" i="8"/>
  <c r="N53" i="8"/>
  <c r="BH53" i="8" s="1"/>
  <c r="P53" i="8"/>
  <c r="R53" i="8"/>
  <c r="T53" i="8"/>
  <c r="V53" i="8"/>
  <c r="E54" i="8"/>
  <c r="G54" i="8"/>
  <c r="I54" i="8"/>
  <c r="J54" i="8"/>
  <c r="L54" i="8"/>
  <c r="N54" i="8"/>
  <c r="P54" i="8"/>
  <c r="R54" i="8"/>
  <c r="T54" i="8"/>
  <c r="V54" i="8"/>
  <c r="E55" i="8"/>
  <c r="G55" i="8"/>
  <c r="I55" i="8"/>
  <c r="J55" i="8"/>
  <c r="L55" i="8"/>
  <c r="N55" i="8"/>
  <c r="BK55" i="8" s="1"/>
  <c r="P55" i="8"/>
  <c r="R55" i="8"/>
  <c r="T55" i="8"/>
  <c r="V55" i="8"/>
  <c r="E56" i="8"/>
  <c r="G56" i="8"/>
  <c r="I56" i="8"/>
  <c r="J56" i="8"/>
  <c r="L56" i="8"/>
  <c r="N56" i="8"/>
  <c r="P56" i="8"/>
  <c r="R56" i="8"/>
  <c r="T56" i="8"/>
  <c r="V56" i="8"/>
  <c r="E57" i="8"/>
  <c r="G57" i="8"/>
  <c r="I57" i="8"/>
  <c r="J57" i="8"/>
  <c r="L57" i="8"/>
  <c r="N57" i="8"/>
  <c r="BH57" i="8" s="1"/>
  <c r="P57" i="8"/>
  <c r="R57" i="8"/>
  <c r="T57" i="8"/>
  <c r="V57" i="8"/>
  <c r="E58" i="8"/>
  <c r="G58" i="8"/>
  <c r="I58" i="8"/>
  <c r="J58" i="8"/>
  <c r="L58" i="8"/>
  <c r="N58" i="8"/>
  <c r="BH58" i="8" s="1"/>
  <c r="P58" i="8"/>
  <c r="R58" i="8"/>
  <c r="T58" i="8"/>
  <c r="V58" i="8"/>
  <c r="BM58" i="8"/>
  <c r="E59" i="8"/>
  <c r="G59" i="8"/>
  <c r="I59" i="8"/>
  <c r="J59" i="8"/>
  <c r="L59" i="8"/>
  <c r="N59" i="8"/>
  <c r="BH59" i="8" s="1"/>
  <c r="P59" i="8"/>
  <c r="R59" i="8"/>
  <c r="T59" i="8"/>
  <c r="V59" i="8"/>
  <c r="E60" i="8"/>
  <c r="G60" i="8"/>
  <c r="I60" i="8"/>
  <c r="J60" i="8"/>
  <c r="L60" i="8"/>
  <c r="N60" i="8"/>
  <c r="BK60" i="8" s="1"/>
  <c r="P60" i="8"/>
  <c r="R60" i="8"/>
  <c r="T60" i="8"/>
  <c r="V60" i="8"/>
  <c r="W60" i="8"/>
  <c r="X60" i="8"/>
  <c r="E61" i="8"/>
  <c r="G61" i="8"/>
  <c r="I61" i="8"/>
  <c r="J61" i="8"/>
  <c r="L61" i="8"/>
  <c r="N61" i="8"/>
  <c r="P61" i="8"/>
  <c r="R61" i="8"/>
  <c r="T61" i="8"/>
  <c r="V61" i="8"/>
  <c r="W61" i="8"/>
  <c r="X61" i="8"/>
  <c r="AP61" i="8"/>
  <c r="AV61" i="8" s="1"/>
  <c r="BI61" i="8"/>
  <c r="E62" i="8"/>
  <c r="G62" i="8"/>
  <c r="I62" i="8"/>
  <c r="J62" i="8"/>
  <c r="L62" i="8"/>
  <c r="N62" i="8"/>
  <c r="P62" i="8"/>
  <c r="R62" i="8"/>
  <c r="T62" i="8"/>
  <c r="V62" i="8"/>
  <c r="W62" i="8"/>
  <c r="X62" i="8"/>
  <c r="BL62" i="8"/>
  <c r="E63" i="8"/>
  <c r="G63" i="8"/>
  <c r="I63" i="8"/>
  <c r="J63" i="8"/>
  <c r="L63" i="8"/>
  <c r="N63" i="8"/>
  <c r="BD63" i="8" s="1"/>
  <c r="P63" i="8"/>
  <c r="R63" i="8"/>
  <c r="BE63" i="8" s="1"/>
  <c r="T63" i="8"/>
  <c r="V63" i="8"/>
  <c r="W63" i="8"/>
  <c r="X63" i="8"/>
  <c r="E64" i="8"/>
  <c r="G64" i="8"/>
  <c r="I64" i="8"/>
  <c r="J64" i="8"/>
  <c r="L64" i="8"/>
  <c r="N64" i="8"/>
  <c r="P64" i="8"/>
  <c r="R64" i="8"/>
  <c r="T64" i="8"/>
  <c r="V64" i="8"/>
  <c r="E65" i="8"/>
  <c r="G65" i="8"/>
  <c r="I65" i="8"/>
  <c r="J65" i="8"/>
  <c r="L65" i="8"/>
  <c r="N65" i="8"/>
  <c r="P65" i="8"/>
  <c r="R65" i="8"/>
  <c r="T65" i="8"/>
  <c r="V65" i="8"/>
  <c r="W65" i="8"/>
  <c r="X65" i="8"/>
  <c r="BJ65" i="8"/>
  <c r="E66" i="8"/>
  <c r="G66" i="8"/>
  <c r="I66" i="8"/>
  <c r="J66" i="8"/>
  <c r="L66" i="8"/>
  <c r="N66" i="8"/>
  <c r="AP66" i="8" s="1"/>
  <c r="P66" i="8"/>
  <c r="R66" i="8"/>
  <c r="T66" i="8"/>
  <c r="V66" i="8"/>
  <c r="W66" i="8"/>
  <c r="X66" i="8"/>
  <c r="BJ66" i="8"/>
  <c r="BK66" i="8"/>
  <c r="E67" i="8"/>
  <c r="G67" i="8"/>
  <c r="I67" i="8"/>
  <c r="J67" i="8"/>
  <c r="L67" i="8"/>
  <c r="N67" i="8"/>
  <c r="BI67" i="8" s="1"/>
  <c r="P67" i="8"/>
  <c r="R67" i="8"/>
  <c r="T67" i="8"/>
  <c r="V67" i="8"/>
  <c r="E68" i="8"/>
  <c r="G68" i="8"/>
  <c r="I68" i="8"/>
  <c r="J68" i="8"/>
  <c r="L68" i="8"/>
  <c r="N68" i="8"/>
  <c r="P68" i="8"/>
  <c r="R68" i="8"/>
  <c r="T68" i="8"/>
  <c r="BF68" i="8" s="1"/>
  <c r="V68" i="8"/>
  <c r="E69" i="8"/>
  <c r="G69" i="8"/>
  <c r="I69" i="8"/>
  <c r="J69" i="8"/>
  <c r="L69" i="8"/>
  <c r="N69" i="8"/>
  <c r="BI69" i="8" s="1"/>
  <c r="P69" i="8"/>
  <c r="R69" i="8"/>
  <c r="T69" i="8"/>
  <c r="V69" i="8"/>
  <c r="E70" i="8"/>
  <c r="G70" i="8"/>
  <c r="I70" i="8"/>
  <c r="J70" i="8"/>
  <c r="L70" i="8"/>
  <c r="N70" i="8"/>
  <c r="AY70" i="8" s="1"/>
  <c r="P70" i="8"/>
  <c r="R70" i="8"/>
  <c r="T70" i="8"/>
  <c r="V70" i="8"/>
  <c r="BL70" i="8" s="1"/>
  <c r="E71" i="8"/>
  <c r="G71" i="8"/>
  <c r="I71" i="8"/>
  <c r="J71" i="8"/>
  <c r="L71" i="8"/>
  <c r="N71" i="8"/>
  <c r="BI71" i="8" s="1"/>
  <c r="P71" i="8"/>
  <c r="R71" i="8"/>
  <c r="T71" i="8"/>
  <c r="V71" i="8"/>
  <c r="W71" i="8"/>
  <c r="X71" i="8"/>
  <c r="AM71" i="8"/>
  <c r="AO71" i="8"/>
  <c r="BM71" i="8"/>
  <c r="E72" i="8"/>
  <c r="G72" i="8"/>
  <c r="I72" i="8"/>
  <c r="J72" i="8"/>
  <c r="Y72" i="8" s="1"/>
  <c r="L72" i="8"/>
  <c r="N72" i="8"/>
  <c r="P72" i="8"/>
  <c r="R72" i="8"/>
  <c r="BE72" i="8" s="1"/>
  <c r="T72" i="8"/>
  <c r="V72" i="8"/>
  <c r="W72" i="8"/>
  <c r="X72" i="8"/>
  <c r="BJ72" i="8"/>
  <c r="BK72" i="8"/>
  <c r="E40" i="8"/>
  <c r="G40" i="8"/>
  <c r="I40" i="8"/>
  <c r="J40" i="8"/>
  <c r="L40" i="8"/>
  <c r="N40" i="8"/>
  <c r="BJ40" i="8" s="1"/>
  <c r="P40" i="8"/>
  <c r="R40" i="8"/>
  <c r="T40" i="8"/>
  <c r="V40" i="8"/>
  <c r="E41" i="8"/>
  <c r="G41" i="8"/>
  <c r="I41" i="8"/>
  <c r="J41" i="8"/>
  <c r="L41" i="8"/>
  <c r="N41" i="8"/>
  <c r="BH41" i="8" s="1"/>
  <c r="P41" i="8"/>
  <c r="R41" i="8"/>
  <c r="T41" i="8"/>
  <c r="V41" i="8"/>
  <c r="E42" i="8"/>
  <c r="G42" i="8"/>
  <c r="I42" i="8"/>
  <c r="J42" i="8"/>
  <c r="L42" i="8"/>
  <c r="N42" i="8"/>
  <c r="AM42" i="8" s="1"/>
  <c r="P42" i="8"/>
  <c r="R42" i="8"/>
  <c r="T42" i="8"/>
  <c r="V42" i="8"/>
  <c r="W42" i="8"/>
  <c r="X42" i="8"/>
  <c r="BG42" i="8"/>
  <c r="BK42" i="8"/>
  <c r="BM42" i="8"/>
  <c r="J74" i="3"/>
  <c r="A67" i="3"/>
  <c r="B67" i="3"/>
  <c r="C67" i="3"/>
  <c r="E67" i="3"/>
  <c r="J67" i="3"/>
  <c r="A68" i="3"/>
  <c r="B68" i="3"/>
  <c r="C68" i="3"/>
  <c r="E68" i="3"/>
  <c r="J68" i="3"/>
  <c r="A69" i="3"/>
  <c r="B69" i="3"/>
  <c r="C69" i="3"/>
  <c r="E69" i="3"/>
  <c r="J69" i="3"/>
  <c r="A70" i="3"/>
  <c r="B70" i="3"/>
  <c r="C70" i="3"/>
  <c r="E70" i="3"/>
  <c r="J70" i="3"/>
  <c r="A71" i="3"/>
  <c r="B71" i="3"/>
  <c r="C71" i="3"/>
  <c r="E71" i="3"/>
  <c r="J71" i="3"/>
  <c r="A72" i="3"/>
  <c r="B72" i="3"/>
  <c r="C72" i="3"/>
  <c r="E72" i="3"/>
  <c r="J72" i="3"/>
  <c r="A73" i="3"/>
  <c r="B73" i="3"/>
  <c r="C73" i="3"/>
  <c r="E73" i="3"/>
  <c r="J73" i="3"/>
  <c r="A46" i="3"/>
  <c r="B46" i="3"/>
  <c r="C46" i="3"/>
  <c r="E46" i="3"/>
  <c r="J46" i="3"/>
  <c r="A47" i="3"/>
  <c r="B47" i="3"/>
  <c r="C47" i="3"/>
  <c r="E47" i="3"/>
  <c r="J47" i="3"/>
  <c r="A48" i="3"/>
  <c r="B48" i="3"/>
  <c r="C48" i="3"/>
  <c r="E48" i="3"/>
  <c r="J48" i="3"/>
  <c r="A49" i="3"/>
  <c r="B49" i="3"/>
  <c r="C49" i="3"/>
  <c r="E49" i="3"/>
  <c r="J49" i="3"/>
  <c r="A50" i="3"/>
  <c r="B50" i="3"/>
  <c r="C50" i="3"/>
  <c r="E50" i="3"/>
  <c r="J50" i="3"/>
  <c r="A51" i="3"/>
  <c r="B51" i="3"/>
  <c r="C51" i="3"/>
  <c r="E51" i="3"/>
  <c r="J51" i="3"/>
  <c r="A52" i="3"/>
  <c r="B52" i="3"/>
  <c r="C52" i="3"/>
  <c r="E52" i="3"/>
  <c r="J52" i="3"/>
  <c r="A53" i="3"/>
  <c r="B53" i="3"/>
  <c r="C53" i="3"/>
  <c r="E53" i="3"/>
  <c r="J53" i="3"/>
  <c r="A54" i="3"/>
  <c r="B54" i="3"/>
  <c r="C54" i="3"/>
  <c r="E54" i="3"/>
  <c r="J54" i="3"/>
  <c r="A55" i="3"/>
  <c r="B55" i="3"/>
  <c r="C55" i="3"/>
  <c r="E55" i="3"/>
  <c r="J55" i="3"/>
  <c r="A56" i="3"/>
  <c r="B56" i="3"/>
  <c r="C56" i="3"/>
  <c r="E56" i="3"/>
  <c r="J56" i="3"/>
  <c r="A57" i="3"/>
  <c r="B57" i="3"/>
  <c r="C57" i="3"/>
  <c r="E57" i="3"/>
  <c r="J57" i="3"/>
  <c r="A58" i="3"/>
  <c r="B58" i="3"/>
  <c r="C58" i="3"/>
  <c r="E58" i="3"/>
  <c r="J58" i="3"/>
  <c r="A59" i="3"/>
  <c r="B59" i="3"/>
  <c r="C59" i="3"/>
  <c r="E59" i="3"/>
  <c r="J59" i="3"/>
  <c r="A60" i="3"/>
  <c r="B60" i="3"/>
  <c r="C60" i="3"/>
  <c r="E60" i="3"/>
  <c r="J60" i="3"/>
  <c r="A61" i="3"/>
  <c r="B61" i="3"/>
  <c r="C61" i="3"/>
  <c r="E61" i="3"/>
  <c r="J61" i="3"/>
  <c r="A62" i="3"/>
  <c r="B62" i="3"/>
  <c r="C62" i="3"/>
  <c r="E62" i="3"/>
  <c r="J62" i="3"/>
  <c r="A63" i="3"/>
  <c r="B63" i="3"/>
  <c r="C63" i="3"/>
  <c r="E63" i="3"/>
  <c r="J63" i="3"/>
  <c r="A64" i="3"/>
  <c r="B64" i="3"/>
  <c r="C64" i="3"/>
  <c r="E64" i="3"/>
  <c r="J64" i="3"/>
  <c r="A65" i="3"/>
  <c r="B65" i="3"/>
  <c r="C65" i="3"/>
  <c r="E65" i="3"/>
  <c r="J65" i="3"/>
  <c r="A66" i="3"/>
  <c r="B66" i="3"/>
  <c r="C66" i="3"/>
  <c r="E66" i="3"/>
  <c r="J66" i="3"/>
  <c r="J45" i="3"/>
  <c r="A45" i="3"/>
  <c r="C45" i="3"/>
  <c r="B45" i="3"/>
  <c r="E45" i="3"/>
  <c r="A27" i="3"/>
  <c r="B27" i="3"/>
  <c r="C27" i="3"/>
  <c r="E27" i="3"/>
  <c r="F27" i="3"/>
  <c r="H27" i="3"/>
  <c r="I27" i="3"/>
  <c r="N27" i="3" s="1"/>
  <c r="A28" i="3"/>
  <c r="B28" i="3"/>
  <c r="C28" i="3"/>
  <c r="E28" i="3"/>
  <c r="F28" i="3"/>
  <c r="H28" i="3"/>
  <c r="I28" i="3"/>
  <c r="M28" i="3" s="1"/>
  <c r="A29" i="3"/>
  <c r="B29" i="3"/>
  <c r="C29" i="3"/>
  <c r="E29" i="3"/>
  <c r="F29" i="3"/>
  <c r="H29" i="3"/>
  <c r="I29" i="3"/>
  <c r="L29" i="3" s="1"/>
  <c r="M29" i="3"/>
  <c r="O29" i="3"/>
  <c r="A30" i="3"/>
  <c r="B30" i="3"/>
  <c r="C30" i="3"/>
  <c r="E30" i="3"/>
  <c r="F30" i="3"/>
  <c r="H30" i="3"/>
  <c r="I30" i="3"/>
  <c r="K30" i="3" s="1"/>
  <c r="M30" i="3"/>
  <c r="A31" i="3"/>
  <c r="B31" i="3"/>
  <c r="C31" i="3"/>
  <c r="E31" i="3"/>
  <c r="F31" i="3"/>
  <c r="H31" i="3"/>
  <c r="I31" i="3"/>
  <c r="N31" i="3" s="1"/>
  <c r="A32" i="3"/>
  <c r="B32" i="3"/>
  <c r="C32" i="3"/>
  <c r="E32" i="3"/>
  <c r="F32" i="3"/>
  <c r="H32" i="3"/>
  <c r="I32" i="3"/>
  <c r="M32" i="3" s="1"/>
  <c r="A33" i="3"/>
  <c r="B33" i="3"/>
  <c r="C33" i="3"/>
  <c r="E33" i="3"/>
  <c r="F33" i="3"/>
  <c r="H33" i="3"/>
  <c r="I33" i="3"/>
  <c r="L33" i="3" s="1"/>
  <c r="A34" i="3"/>
  <c r="B34" i="3"/>
  <c r="C34" i="3"/>
  <c r="E34" i="3"/>
  <c r="F34" i="3"/>
  <c r="H34" i="3"/>
  <c r="I34" i="3"/>
  <c r="K34" i="3" s="1"/>
  <c r="A35" i="3"/>
  <c r="B35" i="3"/>
  <c r="C35" i="3"/>
  <c r="E35" i="3"/>
  <c r="F35" i="3"/>
  <c r="H35" i="3"/>
  <c r="I35" i="3"/>
  <c r="N35" i="3" s="1"/>
  <c r="M35" i="3"/>
  <c r="A36" i="3"/>
  <c r="B36" i="3"/>
  <c r="C36" i="3"/>
  <c r="E36" i="3"/>
  <c r="F36" i="3"/>
  <c r="H36" i="3"/>
  <c r="I36" i="3"/>
  <c r="K36" i="3" s="1"/>
  <c r="A37" i="3"/>
  <c r="B37" i="3"/>
  <c r="C37" i="3"/>
  <c r="E37" i="3"/>
  <c r="F37" i="3"/>
  <c r="H37" i="3"/>
  <c r="I37" i="3"/>
  <c r="L37" i="3" s="1"/>
  <c r="A38" i="3"/>
  <c r="B38" i="3"/>
  <c r="C38" i="3"/>
  <c r="E38" i="3"/>
  <c r="F38" i="3"/>
  <c r="H38" i="3"/>
  <c r="I38" i="3"/>
  <c r="K38" i="3" s="1"/>
  <c r="A26" i="3"/>
  <c r="B26" i="3"/>
  <c r="C26" i="3"/>
  <c r="E26" i="3"/>
  <c r="F26" i="3"/>
  <c r="H26" i="3"/>
  <c r="I26" i="3"/>
  <c r="L26" i="3" s="1"/>
  <c r="A24" i="3"/>
  <c r="B24" i="3"/>
  <c r="C24" i="3"/>
  <c r="E24" i="3"/>
  <c r="F24" i="3"/>
  <c r="H24" i="3"/>
  <c r="I24" i="3"/>
  <c r="K24" i="3" s="1"/>
  <c r="A25" i="3"/>
  <c r="B25" i="3"/>
  <c r="C25" i="3"/>
  <c r="E25" i="3"/>
  <c r="F25" i="3"/>
  <c r="H25" i="3"/>
  <c r="I25" i="3"/>
  <c r="N25" i="3" s="1"/>
  <c r="A22" i="3"/>
  <c r="B22" i="3"/>
  <c r="C22" i="3"/>
  <c r="E22" i="3"/>
  <c r="F22" i="3"/>
  <c r="H22" i="3"/>
  <c r="I22" i="3"/>
  <c r="L22" i="3" s="1"/>
  <c r="A23" i="3"/>
  <c r="B23" i="3"/>
  <c r="C23" i="3"/>
  <c r="E23" i="3"/>
  <c r="F23" i="3"/>
  <c r="H23" i="3"/>
  <c r="I23" i="3"/>
  <c r="L23" i="3" s="1"/>
  <c r="A39" i="3"/>
  <c r="A21" i="3"/>
  <c r="B21" i="3"/>
  <c r="C21" i="3"/>
  <c r="E21" i="3"/>
  <c r="F21" i="3"/>
  <c r="H21" i="3"/>
  <c r="I21" i="3"/>
  <c r="K21" i="3" s="1"/>
  <c r="AP91" i="8" l="1"/>
  <c r="AV91" i="8" s="1"/>
  <c r="X93" i="8"/>
  <c r="BD89" i="8"/>
  <c r="W89" i="8"/>
  <c r="BI88" i="8"/>
  <c r="BH91" i="8"/>
  <c r="BH92" i="8"/>
  <c r="BL93" i="8"/>
  <c r="BC93" i="8"/>
  <c r="BK93" i="8"/>
  <c r="AP93" i="8"/>
  <c r="BE93" i="8"/>
  <c r="W92" i="8"/>
  <c r="Z92" i="8" s="1"/>
  <c r="W91" i="8"/>
  <c r="Y91" i="8" s="1"/>
  <c r="W90" i="8"/>
  <c r="Z90" i="8" s="1"/>
  <c r="X90" i="8"/>
  <c r="X89" i="8"/>
  <c r="W88" i="8"/>
  <c r="Y88" i="8" s="1"/>
  <c r="X92" i="8"/>
  <c r="BK194" i="8"/>
  <c r="BH194" i="8"/>
  <c r="BG194" i="8"/>
  <c r="BC194" i="8"/>
  <c r="AN194" i="8"/>
  <c r="AR194" i="8" s="1"/>
  <c r="X194" i="8"/>
  <c r="W194" i="8"/>
  <c r="Y194" i="8" s="1"/>
  <c r="AC194" i="8" s="1"/>
  <c r="AE194" i="8" s="1"/>
  <c r="AB191" i="8"/>
  <c r="W191" i="8"/>
  <c r="X191" i="8" s="1"/>
  <c r="X189" i="8"/>
  <c r="W189" i="8"/>
  <c r="Y189" i="8" s="1"/>
  <c r="BB189" i="8"/>
  <c r="BK190" i="8"/>
  <c r="AN188" i="8"/>
  <c r="AR188" i="8" s="1"/>
  <c r="W188" i="8"/>
  <c r="AB185" i="8"/>
  <c r="AY185" i="8"/>
  <c r="AN185" i="8"/>
  <c r="AR185" i="8" s="1"/>
  <c r="X188" i="8"/>
  <c r="BF182" i="8"/>
  <c r="X183" i="8"/>
  <c r="W184" i="8"/>
  <c r="Y184" i="8" s="1"/>
  <c r="X184" i="8"/>
  <c r="W183" i="8"/>
  <c r="Y183" i="8" s="1"/>
  <c r="W182" i="8"/>
  <c r="Y182" i="8" s="1"/>
  <c r="W180" i="8"/>
  <c r="Y180" i="8" s="1"/>
  <c r="W179" i="8"/>
  <c r="Y179" i="8" s="1"/>
  <c r="X180" i="8"/>
  <c r="X179" i="8"/>
  <c r="BG176" i="8"/>
  <c r="AM176" i="8"/>
  <c r="AQ176" i="8" s="1"/>
  <c r="AQ177" i="8" s="1"/>
  <c r="AQ178" i="8" s="1"/>
  <c r="X176" i="8"/>
  <c r="BL176" i="8"/>
  <c r="W176" i="8"/>
  <c r="Y176" i="8" s="1"/>
  <c r="AC176" i="8" s="1"/>
  <c r="AE176" i="8" s="1"/>
  <c r="X173" i="8"/>
  <c r="W173" i="8"/>
  <c r="Y173" i="8" s="1"/>
  <c r="AC173" i="8" s="1"/>
  <c r="AE173" i="8" s="1"/>
  <c r="AO86" i="8"/>
  <c r="AT86" i="8" s="1"/>
  <c r="AT87" i="8" s="1"/>
  <c r="X86" i="8"/>
  <c r="W86" i="8"/>
  <c r="Y86" i="8" s="1"/>
  <c r="AN85" i="8"/>
  <c r="AR85" i="8" s="1"/>
  <c r="BI85" i="8"/>
  <c r="AY85" i="8"/>
  <c r="X85" i="8"/>
  <c r="BF80" i="8"/>
  <c r="W80" i="8"/>
  <c r="Y80" i="8" s="1"/>
  <c r="BM79" i="8"/>
  <c r="BI79" i="8"/>
  <c r="W79" i="8"/>
  <c r="X79" i="8" s="1"/>
  <c r="AN79" i="8"/>
  <c r="AR79" i="8" s="1"/>
  <c r="BI76" i="8"/>
  <c r="BH76" i="8"/>
  <c r="BE76" i="8"/>
  <c r="BM76" i="8"/>
  <c r="AP74" i="8"/>
  <c r="BH74" i="8"/>
  <c r="AO74" i="8"/>
  <c r="BM74" i="8"/>
  <c r="BE74" i="8"/>
  <c r="W74" i="8"/>
  <c r="Y74" i="8" s="1"/>
  <c r="X74" i="8"/>
  <c r="AP73" i="8"/>
  <c r="AV73" i="8" s="1"/>
  <c r="BM73" i="8"/>
  <c r="BH73" i="8"/>
  <c r="W73" i="8"/>
  <c r="Y73" i="8" s="1"/>
  <c r="BL171" i="8"/>
  <c r="W170" i="8"/>
  <c r="Y170" i="8" s="1"/>
  <c r="AN171" i="8"/>
  <c r="BH169" i="8"/>
  <c r="BL169" i="8"/>
  <c r="BC169" i="8"/>
  <c r="W169" i="8"/>
  <c r="Y169" i="8" s="1"/>
  <c r="W168" i="8"/>
  <c r="Y168" i="8" s="1"/>
  <c r="W167" i="8"/>
  <c r="Y167" i="8" s="1"/>
  <c r="X170" i="8"/>
  <c r="X167" i="8"/>
  <c r="BF164" i="8"/>
  <c r="X165" i="8"/>
  <c r="X164" i="8"/>
  <c r="W165" i="8"/>
  <c r="W164" i="8"/>
  <c r="Y164" i="8" s="1"/>
  <c r="AC164" i="8" s="1"/>
  <c r="AE164" i="8" s="1"/>
  <c r="W163" i="8"/>
  <c r="Y163" i="8" s="1"/>
  <c r="W162" i="8"/>
  <c r="BG162" i="8"/>
  <c r="AY161" i="8"/>
  <c r="X162" i="8"/>
  <c r="W161" i="8"/>
  <c r="Y161" i="8" s="1"/>
  <c r="AP161" i="8"/>
  <c r="AV161" i="8" s="1"/>
  <c r="BF161" i="8"/>
  <c r="W159" i="8"/>
  <c r="X159" i="8"/>
  <c r="AP158" i="8"/>
  <c r="AV158" i="8" s="1"/>
  <c r="BK158" i="8"/>
  <c r="BF158" i="8"/>
  <c r="BJ158" i="8"/>
  <c r="W158" i="8"/>
  <c r="X158" i="8"/>
  <c r="X156" i="8"/>
  <c r="W156" i="8"/>
  <c r="Y156" i="8" s="1"/>
  <c r="BM155" i="8"/>
  <c r="BJ155" i="8"/>
  <c r="W155" i="8"/>
  <c r="Y155" i="8" s="1"/>
  <c r="BI155" i="8"/>
  <c r="X152" i="8"/>
  <c r="W152" i="8"/>
  <c r="Y152" i="8" s="1"/>
  <c r="AP68" i="8"/>
  <c r="X68" i="8"/>
  <c r="BH70" i="8"/>
  <c r="AO70" i="8"/>
  <c r="AT70" i="8" s="1"/>
  <c r="AT71" i="8" s="1"/>
  <c r="X70" i="8"/>
  <c r="W67" i="8"/>
  <c r="Y67" i="8" s="1"/>
  <c r="AP67" i="8"/>
  <c r="AV67" i="8" s="1"/>
  <c r="AV68" i="8" s="1"/>
  <c r="W68" i="8"/>
  <c r="Y68" i="8" s="1"/>
  <c r="W69" i="8"/>
  <c r="Z69" i="8" s="1"/>
  <c r="W70" i="8"/>
  <c r="Y70" i="8" s="1"/>
  <c r="AC70" i="8" s="1"/>
  <c r="AE70" i="8" s="1"/>
  <c r="AM146" i="8"/>
  <c r="AQ146" i="8" s="1"/>
  <c r="BG147" i="8"/>
  <c r="BF147" i="8"/>
  <c r="BC147" i="8"/>
  <c r="BI147" i="8"/>
  <c r="BM147" i="8"/>
  <c r="BK147" i="8"/>
  <c r="BK150" i="8"/>
  <c r="AM150" i="8"/>
  <c r="BI150" i="8"/>
  <c r="AN150" i="8"/>
  <c r="AY149" i="8"/>
  <c r="BM150" i="8"/>
  <c r="BB150" i="8"/>
  <c r="X150" i="8"/>
  <c r="BF144" i="8"/>
  <c r="W143" i="8"/>
  <c r="Y143" i="8" s="1"/>
  <c r="W140" i="8"/>
  <c r="Y140" i="8" s="1"/>
  <c r="W144" i="8"/>
  <c r="Y144" i="8" s="1"/>
  <c r="X149" i="8"/>
  <c r="W147" i="8"/>
  <c r="Y147" i="8" s="1"/>
  <c r="W146" i="8"/>
  <c r="Y146" i="8" s="1"/>
  <c r="AC146" i="8" s="1"/>
  <c r="AE146" i="8" s="1"/>
  <c r="X144" i="8"/>
  <c r="X143" i="8"/>
  <c r="X141" i="8"/>
  <c r="W141" i="8"/>
  <c r="Y141" i="8" s="1"/>
  <c r="X140" i="8"/>
  <c r="AN139" i="8"/>
  <c r="W64" i="8"/>
  <c r="Z64" i="8" s="1"/>
  <c r="AO59" i="8"/>
  <c r="AY58" i="8"/>
  <c r="W58" i="8"/>
  <c r="X59" i="8"/>
  <c r="X58" i="8"/>
  <c r="AP138" i="8"/>
  <c r="AV138" i="8" s="1"/>
  <c r="W138" i="8"/>
  <c r="Y138" i="8" s="1"/>
  <c r="X138" i="8"/>
  <c r="AP137" i="8"/>
  <c r="AV137" i="8" s="1"/>
  <c r="BJ137" i="8"/>
  <c r="BH137" i="8"/>
  <c r="BK137" i="8"/>
  <c r="BE137" i="8"/>
  <c r="W137" i="8"/>
  <c r="Y137" i="8" s="1"/>
  <c r="X137" i="8"/>
  <c r="BG135" i="8"/>
  <c r="BC135" i="8"/>
  <c r="W135" i="8"/>
  <c r="BL134" i="8"/>
  <c r="BM134" i="8"/>
  <c r="W134" i="8"/>
  <c r="Y134" i="8" s="1"/>
  <c r="BF134" i="8"/>
  <c r="X134" i="8"/>
  <c r="BJ55" i="8"/>
  <c r="W55" i="8"/>
  <c r="BL56" i="8"/>
  <c r="W56" i="8"/>
  <c r="Y56" i="8" s="1"/>
  <c r="AY55" i="8"/>
  <c r="W57" i="8"/>
  <c r="Y57" i="8" s="1"/>
  <c r="W54" i="8"/>
  <c r="Y54" i="8" s="1"/>
  <c r="X54" i="8"/>
  <c r="BI53" i="8"/>
  <c r="W53" i="8"/>
  <c r="Y53" i="8" s="1"/>
  <c r="X53" i="8"/>
  <c r="X52" i="8"/>
  <c r="W52" i="8"/>
  <c r="X131" i="8"/>
  <c r="W131" i="8"/>
  <c r="Y131" i="8" s="1"/>
  <c r="AP122" i="8"/>
  <c r="AV122" i="8" s="1"/>
  <c r="X122" i="8"/>
  <c r="W122" i="8"/>
  <c r="Y122" i="8" s="1"/>
  <c r="W51" i="8"/>
  <c r="Y51" i="8" s="1"/>
  <c r="W50" i="8"/>
  <c r="Z50" i="8" s="1"/>
  <c r="W49" i="8"/>
  <c r="Z49" i="8" s="1"/>
  <c r="W48" i="8"/>
  <c r="Y48" i="8" s="1"/>
  <c r="W46" i="8"/>
  <c r="Z46" i="8" s="1"/>
  <c r="X48" i="8"/>
  <c r="X47" i="8"/>
  <c r="X46" i="8"/>
  <c r="W44" i="8"/>
  <c r="Z44" i="8" s="1"/>
  <c r="X43" i="8"/>
  <c r="W43" i="8"/>
  <c r="Z43" i="8" s="1"/>
  <c r="X44" i="8"/>
  <c r="AP41" i="8"/>
  <c r="BD41" i="8"/>
  <c r="W41" i="8"/>
  <c r="Y41" i="8" s="1"/>
  <c r="W40" i="8"/>
  <c r="X40" i="8"/>
  <c r="W119" i="8"/>
  <c r="Y119" i="8" s="1"/>
  <c r="W117" i="8"/>
  <c r="BK117" i="8"/>
  <c r="X117" i="8"/>
  <c r="BG116" i="8"/>
  <c r="W116" i="8"/>
  <c r="Y116" i="8" s="1"/>
  <c r="X116" i="8"/>
  <c r="AY113" i="8"/>
  <c r="X113" i="8"/>
  <c r="BM113" i="8"/>
  <c r="AP113" i="8"/>
  <c r="AV113" i="8" s="1"/>
  <c r="W113" i="8"/>
  <c r="Y113" i="8" s="1"/>
  <c r="AC113" i="8" s="1"/>
  <c r="AE113" i="8" s="1"/>
  <c r="AF113" i="8" s="1"/>
  <c r="AG113" i="8" s="1"/>
  <c r="W111" i="8"/>
  <c r="Y111" i="8" s="1"/>
  <c r="W110" i="8"/>
  <c r="Y110" i="8" s="1"/>
  <c r="AY194" i="8"/>
  <c r="BD194" i="8"/>
  <c r="AO194" i="8"/>
  <c r="AT194" i="8" s="1"/>
  <c r="AP190" i="8"/>
  <c r="BE190" i="8"/>
  <c r="W190" i="8"/>
  <c r="Y190" i="8" s="1"/>
  <c r="BJ190" i="8"/>
  <c r="AO190" i="8"/>
  <c r="AY188" i="8"/>
  <c r="AO188" i="8"/>
  <c r="AT188" i="8" s="1"/>
  <c r="W185" i="8"/>
  <c r="Y185" i="8" s="1"/>
  <c r="AC185" i="8" s="1"/>
  <c r="AE185" i="8" s="1"/>
  <c r="BC185" i="8"/>
  <c r="BD184" i="8"/>
  <c r="AY182" i="8"/>
  <c r="AN182" i="8"/>
  <c r="AR182" i="8" s="1"/>
  <c r="BK179" i="8"/>
  <c r="BC176" i="8"/>
  <c r="BB176" i="8"/>
  <c r="W171" i="8"/>
  <c r="BJ170" i="8"/>
  <c r="BF170" i="8"/>
  <c r="X169" i="8"/>
  <c r="AY167" i="8"/>
  <c r="AN168" i="8"/>
  <c r="BK167" i="8"/>
  <c r="BH167" i="8"/>
  <c r="Y165" i="8"/>
  <c r="AY164" i="8"/>
  <c r="AN163" i="8"/>
  <c r="Y162" i="8"/>
  <c r="BL161" i="8"/>
  <c r="BH161" i="8"/>
  <c r="BK161" i="8"/>
  <c r="BE161" i="8"/>
  <c r="BH159" i="8"/>
  <c r="BK159" i="8"/>
  <c r="AO159" i="8"/>
  <c r="BF159" i="8"/>
  <c r="BC159" i="8"/>
  <c r="AV159" i="8"/>
  <c r="BB158" i="8"/>
  <c r="Y158" i="8"/>
  <c r="AY158" i="8"/>
  <c r="BC155" i="8"/>
  <c r="AY152" i="8"/>
  <c r="W150" i="8"/>
  <c r="Y150" i="8" s="1"/>
  <c r="AO150" i="8"/>
  <c r="BC150" i="8"/>
  <c r="X147" i="8"/>
  <c r="X146" i="8"/>
  <c r="AB146" i="8"/>
  <c r="BB144" i="8"/>
  <c r="BL144" i="8"/>
  <c r="AY143" i="8"/>
  <c r="BJ143" i="8"/>
  <c r="BB143" i="8"/>
  <c r="BK143" i="8"/>
  <c r="BL142" i="8"/>
  <c r="BK140" i="8"/>
  <c r="BK139" i="8"/>
  <c r="W139" i="8"/>
  <c r="Y139" i="8" s="1"/>
  <c r="BC139" i="8"/>
  <c r="AN138" i="8"/>
  <c r="BL138" i="8"/>
  <c r="X135" i="8"/>
  <c r="Y135" i="8"/>
  <c r="AV135" i="8"/>
  <c r="BH134" i="8"/>
  <c r="AY131" i="8"/>
  <c r="AB125" i="8"/>
  <c r="AA125" i="8" s="1"/>
  <c r="BE122" i="8"/>
  <c r="BK119" i="8"/>
  <c r="BG117" i="8"/>
  <c r="Y117" i="8"/>
  <c r="BJ116" i="8"/>
  <c r="BE116" i="8"/>
  <c r="BG113" i="8"/>
  <c r="AM113" i="8"/>
  <c r="AQ113" i="8" s="1"/>
  <c r="AQ114" i="8" s="1"/>
  <c r="X111" i="8"/>
  <c r="W93" i="8"/>
  <c r="Z93" i="8" s="1"/>
  <c r="BM93" i="8"/>
  <c r="BI93" i="8"/>
  <c r="BF93" i="8"/>
  <c r="BB93" i="8"/>
  <c r="BL91" i="8"/>
  <c r="AY91" i="8"/>
  <c r="BC91" i="8"/>
  <c r="BK91" i="8"/>
  <c r="BE91" i="8"/>
  <c r="BI91" i="8"/>
  <c r="AP90" i="8"/>
  <c r="BI90" i="8"/>
  <c r="AN90" i="8"/>
  <c r="BD90" i="8"/>
  <c r="AO89" i="8"/>
  <c r="AM88" i="8"/>
  <c r="AQ88" i="8" s="1"/>
  <c r="BE86" i="8"/>
  <c r="AN86" i="8"/>
  <c r="AR86" i="8" s="1"/>
  <c r="AR87" i="8" s="1"/>
  <c r="W85" i="8"/>
  <c r="Y85" i="8" s="1"/>
  <c r="BK85" i="8"/>
  <c r="AP82" i="8"/>
  <c r="AV82" i="8" s="1"/>
  <c r="BH82" i="8"/>
  <c r="BM82" i="8"/>
  <c r="BG82" i="8"/>
  <c r="AN82" i="8"/>
  <c r="AR82" i="8" s="1"/>
  <c r="BL82" i="8"/>
  <c r="AY82" i="8"/>
  <c r="AP79" i="8"/>
  <c r="AV79" i="8" s="1"/>
  <c r="BL79" i="8"/>
  <c r="BG79" i="8"/>
  <c r="BK79" i="8"/>
  <c r="BD79" i="8"/>
  <c r="W76" i="8"/>
  <c r="Z76" i="8" s="1"/>
  <c r="BL76" i="8"/>
  <c r="BD74" i="8"/>
  <c r="AV74" i="8"/>
  <c r="AV75" i="8" s="1"/>
  <c r="BK69" i="8"/>
  <c r="AY67" i="8"/>
  <c r="AN67" i="8"/>
  <c r="AR67" i="8" s="1"/>
  <c r="AY64" i="8"/>
  <c r="W59" i="8"/>
  <c r="Z59" i="8" s="1"/>
  <c r="Z58" i="8"/>
  <c r="BD54" i="8"/>
  <c r="BB52" i="8"/>
  <c r="AY49" i="8"/>
  <c r="AM48" i="8"/>
  <c r="BD46" i="8"/>
  <c r="BL41" i="8"/>
  <c r="AO40" i="8"/>
  <c r="AT40" i="8" s="1"/>
  <c r="Y40" i="8"/>
  <c r="O23" i="3"/>
  <c r="K23" i="3"/>
  <c r="M23" i="3"/>
  <c r="AB91" i="8"/>
  <c r="AQ150" i="8"/>
  <c r="BD149" i="8"/>
  <c r="BI149" i="8"/>
  <c r="BM149" i="8"/>
  <c r="BE146" i="8"/>
  <c r="BJ146" i="8"/>
  <c r="BH141" i="8"/>
  <c r="BL141" i="8"/>
  <c r="BC131" i="8"/>
  <c r="AM131" i="8"/>
  <c r="AQ131" i="8" s="1"/>
  <c r="AN191" i="8"/>
  <c r="AR191" i="8" s="1"/>
  <c r="AY191" i="8"/>
  <c r="AO185" i="8"/>
  <c r="AT185" i="8" s="1"/>
  <c r="BG185" i="8"/>
  <c r="BD181" i="8"/>
  <c r="BK181" i="8"/>
  <c r="BE181" i="8"/>
  <c r="AP180" i="8"/>
  <c r="BL180" i="8"/>
  <c r="BI180" i="8"/>
  <c r="AP173" i="8"/>
  <c r="AV173" i="8" s="1"/>
  <c r="AV174" i="8" s="1"/>
  <c r="BE173" i="8"/>
  <c r="BK173" i="8"/>
  <c r="BB173" i="8"/>
  <c r="BL173" i="8"/>
  <c r="BD171" i="8"/>
  <c r="BJ171" i="8"/>
  <c r="AP171" i="8"/>
  <c r="BK171" i="8"/>
  <c r="AP168" i="8"/>
  <c r="BH168" i="8"/>
  <c r="BL168" i="8"/>
  <c r="BC168" i="8"/>
  <c r="BJ168" i="8"/>
  <c r="BC160" i="8"/>
  <c r="AM160" i="8"/>
  <c r="BH160" i="8"/>
  <c r="BG160" i="8"/>
  <c r="BG156" i="8"/>
  <c r="BK156" i="8"/>
  <c r="BH156" i="8"/>
  <c r="BM156" i="8"/>
  <c r="AO62" i="8"/>
  <c r="Y92" i="8"/>
  <c r="BG91" i="8"/>
  <c r="BM88" i="8"/>
  <c r="BH88" i="8"/>
  <c r="BC88" i="8"/>
  <c r="BD87" i="8"/>
  <c r="Z87" i="8"/>
  <c r="BL86" i="8"/>
  <c r="BD86" i="8"/>
  <c r="BG84" i="8"/>
  <c r="BK78" i="8"/>
  <c r="BF78" i="8"/>
  <c r="AM78" i="8"/>
  <c r="AN73" i="8"/>
  <c r="AR73" i="8" s="1"/>
  <c r="BC73" i="8"/>
  <c r="BK73" i="8"/>
  <c r="Y120" i="8"/>
  <c r="AN116" i="8"/>
  <c r="AR116" i="8" s="1"/>
  <c r="BE115" i="8"/>
  <c r="BM115" i="8"/>
  <c r="BB113" i="8"/>
  <c r="BE113" i="8"/>
  <c r="AN113" i="8"/>
  <c r="AR113" i="8" s="1"/>
  <c r="AR114" i="8" s="1"/>
  <c r="AR115" i="8" s="1"/>
  <c r="BL149" i="8"/>
  <c r="BF149" i="8"/>
  <c r="BM146" i="8"/>
  <c r="BH146" i="8"/>
  <c r="AY146" i="8"/>
  <c r="AO144" i="8"/>
  <c r="BG144" i="8"/>
  <c r="BK144" i="8"/>
  <c r="BJ141" i="8"/>
  <c r="AP141" i="8"/>
  <c r="AV141" i="8" s="1"/>
  <c r="AY140" i="8"/>
  <c r="BJ140" i="8"/>
  <c r="BD138" i="8"/>
  <c r="BK138" i="8"/>
  <c r="AM136" i="8"/>
  <c r="BG136" i="8"/>
  <c r="AM134" i="8"/>
  <c r="AQ134" i="8" s="1"/>
  <c r="BB134" i="8"/>
  <c r="BJ134" i="8"/>
  <c r="AV132" i="8"/>
  <c r="BI183" i="8"/>
  <c r="BK183" i="8"/>
  <c r="BM181" i="8"/>
  <c r="AO181" i="8"/>
  <c r="AO180" i="8"/>
  <c r="BH175" i="8"/>
  <c r="BI173" i="8"/>
  <c r="BI171" i="8"/>
  <c r="BG168" i="8"/>
  <c r="BF168" i="8"/>
  <c r="AN166" i="8"/>
  <c r="BC166" i="8"/>
  <c r="BD163" i="8"/>
  <c r="AN162" i="8"/>
  <c r="BD162" i="8"/>
  <c r="BJ162" i="8"/>
  <c r="BC162" i="8"/>
  <c r="BK162" i="8"/>
  <c r="BC161" i="8"/>
  <c r="AM161" i="8"/>
  <c r="AQ161" i="8" s="1"/>
  <c r="BB161" i="8"/>
  <c r="AN160" i="8"/>
  <c r="BL156" i="8"/>
  <c r="AP156" i="8"/>
  <c r="BB155" i="8"/>
  <c r="BE153" i="8"/>
  <c r="AN153" i="8"/>
  <c r="AN72" i="8"/>
  <c r="BL67" i="8"/>
  <c r="Z65" i="8"/>
  <c r="BF59" i="8"/>
  <c r="AP54" i="8"/>
  <c r="BG93" i="8"/>
  <c r="AO93" i="8"/>
  <c r="BD91" i="8"/>
  <c r="AN91" i="8"/>
  <c r="AR91" i="8" s="1"/>
  <c r="BL90" i="8"/>
  <c r="BH90" i="8"/>
  <c r="AM90" i="8"/>
  <c r="BF90" i="8"/>
  <c r="BB90" i="8"/>
  <c r="BL88" i="8"/>
  <c r="BD88" i="8"/>
  <c r="AP88" i="8"/>
  <c r="AV88" i="8" s="1"/>
  <c r="AV89" i="8" s="1"/>
  <c r="AV90" i="8" s="1"/>
  <c r="BE88" i="8"/>
  <c r="AN87" i="8"/>
  <c r="BI86" i="8"/>
  <c r="BM85" i="8"/>
  <c r="BH85" i="8"/>
  <c r="AP85" i="8"/>
  <c r="AV85" i="8" s="1"/>
  <c r="BC84" i="8"/>
  <c r="Y84" i="8"/>
  <c r="AV83" i="8"/>
  <c r="AV84" i="8" s="1"/>
  <c r="BG81" i="8"/>
  <c r="AO81" i="8"/>
  <c r="AB79" i="8"/>
  <c r="BJ78" i="8"/>
  <c r="BC78" i="8"/>
  <c r="AV77" i="8"/>
  <c r="AV78" i="8" s="1"/>
  <c r="Y77" i="8"/>
  <c r="Z77" i="8"/>
  <c r="BD76" i="8"/>
  <c r="AN76" i="8"/>
  <c r="AR76" i="8" s="1"/>
  <c r="BG75" i="8"/>
  <c r="BL73" i="8"/>
  <c r="AY73" i="8"/>
  <c r="BB127" i="8"/>
  <c r="BI127" i="8"/>
  <c r="BM127" i="8"/>
  <c r="BH125" i="8"/>
  <c r="BF124" i="8"/>
  <c r="BK124" i="8"/>
  <c r="BJ122" i="8"/>
  <c r="AN120" i="8"/>
  <c r="AO117" i="8"/>
  <c r="AM116" i="8"/>
  <c r="AQ116" i="8" s="1"/>
  <c r="BB116" i="8"/>
  <c r="BK116" i="8"/>
  <c r="BI115" i="8"/>
  <c r="AO115" i="8"/>
  <c r="Y151" i="8"/>
  <c r="BG150" i="8"/>
  <c r="BK149" i="8"/>
  <c r="BE149" i="8"/>
  <c r="AP149" i="8"/>
  <c r="AV149" i="8" s="1"/>
  <c r="AV150" i="8" s="1"/>
  <c r="AV151" i="8" s="1"/>
  <c r="AN149" i="8"/>
  <c r="AR149" i="8" s="1"/>
  <c r="AM148" i="8"/>
  <c r="BL146" i="8"/>
  <c r="BF146" i="8"/>
  <c r="AP146" i="8"/>
  <c r="AV146" i="8" s="1"/>
  <c r="AV147" i="8" s="1"/>
  <c r="AV148" i="8" s="1"/>
  <c r="AN146" i="8"/>
  <c r="AR146" i="8" s="1"/>
  <c r="BI144" i="8"/>
  <c r="AP144" i="8"/>
  <c r="AV144" i="8" s="1"/>
  <c r="AV145" i="8" s="1"/>
  <c r="BI141" i="8"/>
  <c r="BM140" i="8"/>
  <c r="BH140" i="8"/>
  <c r="BI138" i="8"/>
  <c r="AY137" i="8"/>
  <c r="BI137" i="8"/>
  <c r="BM137" i="8"/>
  <c r="BK136" i="8"/>
  <c r="AN136" i="8"/>
  <c r="AN135" i="8"/>
  <c r="BD135" i="8"/>
  <c r="BJ135" i="8"/>
  <c r="BK134" i="8"/>
  <c r="AY134" i="8"/>
  <c r="BC134" i="8"/>
  <c r="Y133" i="8"/>
  <c r="BD129" i="8"/>
  <c r="AC128" i="8"/>
  <c r="Y195" i="8"/>
  <c r="AM189" i="8"/>
  <c r="AO183" i="8"/>
  <c r="BI181" i="8"/>
  <c r="AN181" i="8"/>
  <c r="BM180" i="8"/>
  <c r="AY179" i="8"/>
  <c r="BJ179" i="8"/>
  <c r="BB179" i="8"/>
  <c r="AN178" i="8"/>
  <c r="BE178" i="8"/>
  <c r="BI177" i="8"/>
  <c r="BH173" i="8"/>
  <c r="BH171" i="8"/>
  <c r="AV171" i="8"/>
  <c r="BM168" i="8"/>
  <c r="BD168" i="8"/>
  <c r="AV168" i="8"/>
  <c r="BI167" i="8"/>
  <c r="BM167" i="8"/>
  <c r="BF167" i="8"/>
  <c r="BL167" i="8"/>
  <c r="BH166" i="8"/>
  <c r="BI162" i="8"/>
  <c r="AO162" i="8"/>
  <c r="BJ156" i="8"/>
  <c r="Y153" i="8"/>
  <c r="AV153" i="8"/>
  <c r="BE152" i="8"/>
  <c r="BK152" i="8"/>
  <c r="BI152" i="8"/>
  <c r="BB42" i="8"/>
  <c r="BH72" i="8"/>
  <c r="BD66" i="8"/>
  <c r="BC61" i="8"/>
  <c r="AP59" i="8"/>
  <c r="BD56" i="8"/>
  <c r="BK54" i="8"/>
  <c r="BL52" i="8"/>
  <c r="BC48" i="8"/>
  <c r="BD93" i="8"/>
  <c r="AN93" i="8"/>
  <c r="BK90" i="8"/>
  <c r="BG90" i="8"/>
  <c r="BE90" i="8"/>
  <c r="AN89" i="8"/>
  <c r="BK88" i="8"/>
  <c r="AY88" i="8"/>
  <c r="AN88" i="8"/>
  <c r="AR88" i="8" s="1"/>
  <c r="BL87" i="8"/>
  <c r="BH87" i="8"/>
  <c r="BF87" i="8"/>
  <c r="BB87" i="8"/>
  <c r="BH86" i="8"/>
  <c r="AP86" i="8"/>
  <c r="BL85" i="8"/>
  <c r="BC85" i="8"/>
  <c r="BD85" i="8"/>
  <c r="Z85" i="8"/>
  <c r="AO83" i="8"/>
  <c r="AT83" i="8" s="1"/>
  <c r="AT84" i="8" s="1"/>
  <c r="BD83" i="8"/>
  <c r="BK82" i="8"/>
  <c r="BC82" i="8"/>
  <c r="BE81" i="8"/>
  <c r="AN81" i="8"/>
  <c r="BJ79" i="8"/>
  <c r="BE79" i="8"/>
  <c r="BF79" i="8"/>
  <c r="BC79" i="8"/>
  <c r="BH78" i="8"/>
  <c r="BB78" i="8"/>
  <c r="BD77" i="8"/>
  <c r="AO76" i="8"/>
  <c r="AT76" i="8" s="1"/>
  <c r="AT77" i="8" s="1"/>
  <c r="AT78" i="8" s="1"/>
  <c r="BC76" i="8"/>
  <c r="BJ76" i="8"/>
  <c r="AP75" i="8"/>
  <c r="BF75" i="8"/>
  <c r="BJ75" i="8"/>
  <c r="BJ73" i="8"/>
  <c r="BE73" i="8"/>
  <c r="BH127" i="8"/>
  <c r="AO127" i="8"/>
  <c r="BG127" i="8"/>
  <c r="Y126" i="8"/>
  <c r="BG125" i="8"/>
  <c r="BI124" i="8"/>
  <c r="AP124" i="8"/>
  <c r="BG124" i="8"/>
  <c r="BI122" i="8"/>
  <c r="AM121" i="8"/>
  <c r="BH121" i="8"/>
  <c r="BD120" i="8"/>
  <c r="AM119" i="8"/>
  <c r="AQ119" i="8" s="1"/>
  <c r="BL117" i="8"/>
  <c r="BD117" i="8"/>
  <c r="BM116" i="8"/>
  <c r="AY116" i="8"/>
  <c r="BH115" i="8"/>
  <c r="BH114" i="8"/>
  <c r="BM114" i="8"/>
  <c r="AV114" i="8"/>
  <c r="AM112" i="8"/>
  <c r="BG112" i="8"/>
  <c r="BL112" i="8"/>
  <c r="AM151" i="8"/>
  <c r="BC151" i="8"/>
  <c r="BJ151" i="8"/>
  <c r="BD150" i="8"/>
  <c r="BJ150" i="8"/>
  <c r="BJ149" i="8"/>
  <c r="BB149" i="8"/>
  <c r="AO149" i="8"/>
  <c r="AT149" i="8" s="1"/>
  <c r="AT150" i="8" s="1"/>
  <c r="Y149" i="8"/>
  <c r="BK148" i="8"/>
  <c r="AM147" i="8"/>
  <c r="BB147" i="8"/>
  <c r="BH147" i="8"/>
  <c r="BL147" i="8"/>
  <c r="BK146" i="8"/>
  <c r="BD146" i="8"/>
  <c r="AO146" i="8"/>
  <c r="AT146" i="8" s="1"/>
  <c r="AT147" i="8" s="1"/>
  <c r="BF145" i="8"/>
  <c r="BM144" i="8"/>
  <c r="BH144" i="8"/>
  <c r="BE144" i="8"/>
  <c r="AN143" i="8"/>
  <c r="AR143" i="8" s="1"/>
  <c r="BD143" i="8"/>
  <c r="BM141" i="8"/>
  <c r="BG141" i="8"/>
  <c r="BL140" i="8"/>
  <c r="BB140" i="8"/>
  <c r="BM138" i="8"/>
  <c r="BH138" i="8"/>
  <c r="BL137" i="8"/>
  <c r="BF137" i="8"/>
  <c r="AM137" i="8"/>
  <c r="AQ137" i="8" s="1"/>
  <c r="BH136" i="8"/>
  <c r="BM135" i="8"/>
  <c r="BH135" i="8"/>
  <c r="AO135" i="8"/>
  <c r="BI134" i="8"/>
  <c r="BD133" i="8"/>
  <c r="AO132" i="8"/>
  <c r="BG132" i="8"/>
  <c r="BK132" i="8"/>
  <c r="BB131" i="8"/>
  <c r="BE128" i="8"/>
  <c r="BK128" i="8"/>
  <c r="BF196" i="8"/>
  <c r="BG193" i="8"/>
  <c r="AO193" i="8"/>
  <c r="BG191" i="8"/>
  <c r="BB190" i="8"/>
  <c r="BI190" i="8"/>
  <c r="BM190" i="8"/>
  <c r="BF190" i="8"/>
  <c r="BL190" i="8"/>
  <c r="BD183" i="8"/>
  <c r="AM182" i="8"/>
  <c r="AQ182" i="8" s="1"/>
  <c r="BB182" i="8"/>
  <c r="BH181" i="8"/>
  <c r="BE180" i="8"/>
  <c r="BG179" i="8"/>
  <c r="BD178" i="8"/>
  <c r="BM173" i="8"/>
  <c r="AY173" i="8"/>
  <c r="BM171" i="8"/>
  <c r="BG171" i="8"/>
  <c r="AY170" i="8"/>
  <c r="BI170" i="8"/>
  <c r="BM170" i="8"/>
  <c r="BE170" i="8"/>
  <c r="BK170" i="8"/>
  <c r="BK168" i="8"/>
  <c r="AO168" i="8"/>
  <c r="BJ167" i="8"/>
  <c r="BD165" i="8"/>
  <c r="AM165" i="8"/>
  <c r="AP165" i="8"/>
  <c r="BJ165" i="8"/>
  <c r="BI165" i="8"/>
  <c r="AP164" i="8"/>
  <c r="AV164" i="8" s="1"/>
  <c r="BH164" i="8"/>
  <c r="BL164" i="8"/>
  <c r="AM164" i="8"/>
  <c r="AQ164" i="8" s="1"/>
  <c r="BI164" i="8"/>
  <c r="BH162" i="8"/>
  <c r="BE162" i="8"/>
  <c r="BL160" i="8"/>
  <c r="BD159" i="8"/>
  <c r="BJ159" i="8"/>
  <c r="BG159" i="8"/>
  <c r="BL159" i="8"/>
  <c r="BI156" i="8"/>
  <c r="AM155" i="8"/>
  <c r="AQ155" i="8" s="1"/>
  <c r="AP155" i="8"/>
  <c r="AV155" i="8" s="1"/>
  <c r="BH155" i="8"/>
  <c r="BL155" i="8"/>
  <c r="AY155" i="8"/>
  <c r="BK155" i="8"/>
  <c r="BD153" i="8"/>
  <c r="BJ152" i="8"/>
  <c r="BF76" i="8"/>
  <c r="BE75" i="8"/>
  <c r="BF126" i="8"/>
  <c r="Y124" i="8"/>
  <c r="AV123" i="8"/>
  <c r="BC122" i="8"/>
  <c r="AN115" i="8"/>
  <c r="AP111" i="8"/>
  <c r="BE150" i="8"/>
  <c r="BG149" i="8"/>
  <c r="BC149" i="8"/>
  <c r="BG146" i="8"/>
  <c r="BC146" i="8"/>
  <c r="AM144" i="8"/>
  <c r="BC140" i="8"/>
  <c r="BE138" i="8"/>
  <c r="BF135" i="8"/>
  <c r="BF132" i="8"/>
  <c r="AM128" i="8"/>
  <c r="AQ128" i="8" s="1"/>
  <c r="BE196" i="8"/>
  <c r="BJ196" i="8"/>
  <c r="Y192" i="8"/>
  <c r="BG190" i="8"/>
  <c r="BF176" i="8"/>
  <c r="BJ176" i="8"/>
  <c r="BC173" i="8"/>
  <c r="AM169" i="8"/>
  <c r="BD169" i="8"/>
  <c r="AM163" i="8"/>
  <c r="BG163" i="8"/>
  <c r="AV162" i="8"/>
  <c r="Y160" i="8"/>
  <c r="BC158" i="8"/>
  <c r="AM158" i="8"/>
  <c r="AQ158" i="8" s="1"/>
  <c r="Y191" i="8"/>
  <c r="AN184" i="8"/>
  <c r="Y181" i="8"/>
  <c r="AP178" i="8"/>
  <c r="BE171" i="8"/>
  <c r="BE168" i="8"/>
  <c r="BF162" i="8"/>
  <c r="Y159" i="8"/>
  <c r="BG157" i="8"/>
  <c r="AP191" i="8"/>
  <c r="AV191" i="8" s="1"/>
  <c r="AV192" i="8" s="1"/>
  <c r="AV193" i="8" s="1"/>
  <c r="BE191" i="8"/>
  <c r="BI191" i="8"/>
  <c r="BM191" i="8"/>
  <c r="AM191" i="8"/>
  <c r="AQ191" i="8" s="1"/>
  <c r="AQ192" i="8" s="1"/>
  <c r="BB191" i="8"/>
  <c r="BF191" i="8"/>
  <c r="BJ191" i="8"/>
  <c r="AN189" i="8"/>
  <c r="AR189" i="8" s="1"/>
  <c r="BC189" i="8"/>
  <c r="BG189" i="8"/>
  <c r="BK189" i="8"/>
  <c r="AO189" i="8"/>
  <c r="BD189" i="8"/>
  <c r="BH189" i="8"/>
  <c r="BL189" i="8"/>
  <c r="AN187" i="8"/>
  <c r="BD187" i="8"/>
  <c r="AN196" i="8"/>
  <c r="BD196" i="8"/>
  <c r="BL191" i="8"/>
  <c r="BI189" i="8"/>
  <c r="AP188" i="8"/>
  <c r="AV188" i="8" s="1"/>
  <c r="BE188" i="8"/>
  <c r="BI188" i="8"/>
  <c r="BM188" i="8"/>
  <c r="AM188" i="8"/>
  <c r="AQ188" i="8" s="1"/>
  <c r="BB188" i="8"/>
  <c r="BF188" i="8"/>
  <c r="BJ188" i="8"/>
  <c r="AN186" i="8"/>
  <c r="BC186" i="8"/>
  <c r="BG186" i="8"/>
  <c r="BK186" i="8"/>
  <c r="AO186" i="8"/>
  <c r="BD186" i="8"/>
  <c r="BH186" i="8"/>
  <c r="BL186" i="8"/>
  <c r="BC167" i="8"/>
  <c r="BB167" i="8"/>
  <c r="AM167" i="8"/>
  <c r="AQ167" i="8" s="1"/>
  <c r="BF165" i="8"/>
  <c r="AO165" i="8"/>
  <c r="BG165" i="8"/>
  <c r="AB152" i="8"/>
  <c r="AA152" i="8" s="1"/>
  <c r="AO152" i="8"/>
  <c r="AT152" i="8" s="1"/>
  <c r="BG152" i="8"/>
  <c r="BF152" i="8"/>
  <c r="AN195" i="8"/>
  <c r="AR195" i="8" s="1"/>
  <c r="AR196" i="8" s="1"/>
  <c r="BC195" i="8"/>
  <c r="BG195" i="8"/>
  <c r="BK195" i="8"/>
  <c r="AO195" i="8"/>
  <c r="AT195" i="8" s="1"/>
  <c r="BD195" i="8"/>
  <c r="BH195" i="8"/>
  <c r="BL195" i="8"/>
  <c r="AN193" i="8"/>
  <c r="BD193" i="8"/>
  <c r="BK191" i="8"/>
  <c r="BC191" i="8"/>
  <c r="AM190" i="8"/>
  <c r="BC190" i="8"/>
  <c r="BF189" i="8"/>
  <c r="BL188" i="8"/>
  <c r="BD188" i="8"/>
  <c r="BI186" i="8"/>
  <c r="AP185" i="8"/>
  <c r="AV185" i="8" s="1"/>
  <c r="AV186" i="8" s="1"/>
  <c r="AV187" i="8" s="1"/>
  <c r="BE185" i="8"/>
  <c r="BI185" i="8"/>
  <c r="BM185" i="8"/>
  <c r="AM185" i="8"/>
  <c r="AQ185" i="8" s="1"/>
  <c r="AQ186" i="8" s="1"/>
  <c r="BB185" i="8"/>
  <c r="BF185" i="8"/>
  <c r="BJ185" i="8"/>
  <c r="BM184" i="8"/>
  <c r="BC184" i="8"/>
  <c r="AN176" i="8"/>
  <c r="AR176" i="8" s="1"/>
  <c r="AR177" i="8" s="1"/>
  <c r="BD176" i="8"/>
  <c r="BE176" i="8"/>
  <c r="AN167" i="8"/>
  <c r="AR167" i="8" s="1"/>
  <c r="AR168" i="8" s="1"/>
  <c r="AR169" i="8" s="1"/>
  <c r="BD167" i="8"/>
  <c r="BE167" i="8"/>
  <c r="BD155" i="8"/>
  <c r="AN155" i="8"/>
  <c r="AR155" i="8" s="1"/>
  <c r="BE155" i="8"/>
  <c r="BF153" i="8"/>
  <c r="AO153" i="8"/>
  <c r="BG153" i="8"/>
  <c r="AM153" i="8"/>
  <c r="BB153" i="8"/>
  <c r="BC153" i="8"/>
  <c r="AM196" i="8"/>
  <c r="BC196" i="8"/>
  <c r="AM193" i="8"/>
  <c r="BC193" i="8"/>
  <c r="BD191" i="8"/>
  <c r="AP184" i="8"/>
  <c r="BB184" i="8"/>
  <c r="BF184" i="8"/>
  <c r="BJ184" i="8"/>
  <c r="BE184" i="8"/>
  <c r="BK184" i="8"/>
  <c r="AM184" i="8"/>
  <c r="BG184" i="8"/>
  <c r="BL184" i="8"/>
  <c r="AO172" i="8"/>
  <c r="BE172" i="8"/>
  <c r="BI172" i="8"/>
  <c r="BM172" i="8"/>
  <c r="AP172" i="8"/>
  <c r="BB172" i="8"/>
  <c r="BF172" i="8"/>
  <c r="BJ172" i="8"/>
  <c r="AM172" i="8"/>
  <c r="BG172" i="8"/>
  <c r="BD172" i="8"/>
  <c r="BL172" i="8"/>
  <c r="BC172" i="8"/>
  <c r="AN172" i="8"/>
  <c r="BH172" i="8"/>
  <c r="AB167" i="8"/>
  <c r="AO167" i="8"/>
  <c r="AT167" i="8" s="1"/>
  <c r="BG167" i="8"/>
  <c r="BB165" i="8"/>
  <c r="BC165" i="8"/>
  <c r="BC152" i="8"/>
  <c r="BB152" i="8"/>
  <c r="AM152" i="8"/>
  <c r="AQ152" i="8" s="1"/>
  <c r="AO196" i="8"/>
  <c r="BI195" i="8"/>
  <c r="AB194" i="8"/>
  <c r="AP194" i="8"/>
  <c r="AV194" i="8" s="1"/>
  <c r="AV195" i="8" s="1"/>
  <c r="AV196" i="8" s="1"/>
  <c r="BE194" i="8"/>
  <c r="BI194" i="8"/>
  <c r="BM194" i="8"/>
  <c r="AM194" i="8"/>
  <c r="AQ194" i="8" s="1"/>
  <c r="AQ195" i="8" s="1"/>
  <c r="AQ196" i="8" s="1"/>
  <c r="BB194" i="8"/>
  <c r="BF194" i="8"/>
  <c r="BJ194" i="8"/>
  <c r="BB193" i="8"/>
  <c r="AN192" i="8"/>
  <c r="BC192" i="8"/>
  <c r="BG192" i="8"/>
  <c r="BK192" i="8"/>
  <c r="AO192" i="8"/>
  <c r="BD192" i="8"/>
  <c r="BH192" i="8"/>
  <c r="BL192" i="8"/>
  <c r="BH191" i="8"/>
  <c r="AO191" i="8"/>
  <c r="AT191" i="8" s="1"/>
  <c r="AN190" i="8"/>
  <c r="BD190" i="8"/>
  <c r="BM189" i="8"/>
  <c r="BE189" i="8"/>
  <c r="AP189" i="8"/>
  <c r="BK188" i="8"/>
  <c r="BC188" i="8"/>
  <c r="AM187" i="8"/>
  <c r="BC187" i="8"/>
  <c r="BF186" i="8"/>
  <c r="BL185" i="8"/>
  <c r="BD185" i="8"/>
  <c r="BI184" i="8"/>
  <c r="BE183" i="8"/>
  <c r="AN183" i="8"/>
  <c r="AN177" i="8"/>
  <c r="BC177" i="8"/>
  <c r="BG177" i="8"/>
  <c r="BK177" i="8"/>
  <c r="AM177" i="8"/>
  <c r="BB177" i="8"/>
  <c r="BF177" i="8"/>
  <c r="BJ177" i="8"/>
  <c r="AO177" i="8"/>
  <c r="BD177" i="8"/>
  <c r="BL177" i="8"/>
  <c r="AP177" i="8"/>
  <c r="AV177" i="8" s="1"/>
  <c r="AV178" i="8" s="1"/>
  <c r="BE177" i="8"/>
  <c r="BM177" i="8"/>
  <c r="AM183" i="8"/>
  <c r="BB183" i="8"/>
  <c r="BF183" i="8"/>
  <c r="BJ183" i="8"/>
  <c r="AO182" i="8"/>
  <c r="AT182" i="8" s="1"/>
  <c r="BD182" i="8"/>
  <c r="BH182" i="8"/>
  <c r="BL182" i="8"/>
  <c r="AP181" i="8"/>
  <c r="BB181" i="8"/>
  <c r="BF181" i="8"/>
  <c r="BJ181" i="8"/>
  <c r="AN180" i="8"/>
  <c r="AR180" i="8" s="1"/>
  <c r="AR181" i="8" s="1"/>
  <c r="BC180" i="8"/>
  <c r="BG180" i="8"/>
  <c r="BK180" i="8"/>
  <c r="AM180" i="8"/>
  <c r="BB180" i="8"/>
  <c r="BF180" i="8"/>
  <c r="BJ180" i="8"/>
  <c r="AP179" i="8"/>
  <c r="AV179" i="8" s="1"/>
  <c r="BE179" i="8"/>
  <c r="BI179" i="8"/>
  <c r="BM179" i="8"/>
  <c r="AO179" i="8"/>
  <c r="AT179" i="8" s="1"/>
  <c r="BD179" i="8"/>
  <c r="BH179" i="8"/>
  <c r="BL179" i="8"/>
  <c r="AO175" i="8"/>
  <c r="BE175" i="8"/>
  <c r="BI175" i="8"/>
  <c r="BM175" i="8"/>
  <c r="AP175" i="8"/>
  <c r="BB175" i="8"/>
  <c r="BF175" i="8"/>
  <c r="BJ175" i="8"/>
  <c r="BD175" i="8"/>
  <c r="BL175" i="8"/>
  <c r="BC175" i="8"/>
  <c r="BK175" i="8"/>
  <c r="BF174" i="8"/>
  <c r="AO174" i="8"/>
  <c r="AM174" i="8"/>
  <c r="BB174" i="8"/>
  <c r="BC174" i="8"/>
  <c r="BG173" i="8"/>
  <c r="AB173" i="8"/>
  <c r="AA173" i="8" s="1"/>
  <c r="AO173" i="8"/>
  <c r="AT173" i="8" s="1"/>
  <c r="BF173" i="8"/>
  <c r="BG170" i="8"/>
  <c r="AB170" i="8"/>
  <c r="AO170" i="8"/>
  <c r="AT170" i="8" s="1"/>
  <c r="BC170" i="8"/>
  <c r="BB170" i="8"/>
  <c r="AB164" i="8"/>
  <c r="AA164" i="8" s="1"/>
  <c r="BG164" i="8"/>
  <c r="BC164" i="8"/>
  <c r="BB164" i="8"/>
  <c r="BF156" i="8"/>
  <c r="AO156" i="8"/>
  <c r="AM156" i="8"/>
  <c r="BB156" i="8"/>
  <c r="BC156" i="8"/>
  <c r="BM183" i="8"/>
  <c r="BH183" i="8"/>
  <c r="BC183" i="8"/>
  <c r="AP183" i="8"/>
  <c r="BI182" i="8"/>
  <c r="BC182" i="8"/>
  <c r="AP182" i="8"/>
  <c r="AV182" i="8" s="1"/>
  <c r="AB182" i="8"/>
  <c r="BL181" i="8"/>
  <c r="BG181" i="8"/>
  <c r="AM181" i="8"/>
  <c r="BH180" i="8"/>
  <c r="BF179" i="8"/>
  <c r="AM179" i="8"/>
  <c r="AQ179" i="8" s="1"/>
  <c r="AB179" i="8"/>
  <c r="AA179" i="8" s="1"/>
  <c r="Y178" i="8"/>
  <c r="BG175" i="8"/>
  <c r="AM175" i="8"/>
  <c r="BE174" i="8"/>
  <c r="AN174" i="8"/>
  <c r="AM173" i="8"/>
  <c r="AQ173" i="8" s="1"/>
  <c r="AN173" i="8"/>
  <c r="AR173" i="8" s="1"/>
  <c r="BD173" i="8"/>
  <c r="BF171" i="8"/>
  <c r="AO171" i="8"/>
  <c r="AM171" i="8"/>
  <c r="BB171" i="8"/>
  <c r="BC171" i="8"/>
  <c r="AM170" i="8"/>
  <c r="AQ170" i="8" s="1"/>
  <c r="AP157" i="8"/>
  <c r="BB157" i="8"/>
  <c r="BF157" i="8"/>
  <c r="BJ157" i="8"/>
  <c r="AO157" i="8"/>
  <c r="BE157" i="8"/>
  <c r="BI157" i="8"/>
  <c r="BM157" i="8"/>
  <c r="BC157" i="8"/>
  <c r="BK157" i="8"/>
  <c r="BD157" i="8"/>
  <c r="BL157" i="8"/>
  <c r="BE156" i="8"/>
  <c r="AN156" i="8"/>
  <c r="AB155" i="8"/>
  <c r="AO155" i="8"/>
  <c r="AT155" i="8" s="1"/>
  <c r="BG155" i="8"/>
  <c r="BF155" i="8"/>
  <c r="BJ178" i="8"/>
  <c r="BF178" i="8"/>
  <c r="BB178" i="8"/>
  <c r="AB176" i="8"/>
  <c r="AO176" i="8"/>
  <c r="AT176" i="8" s="1"/>
  <c r="AT177" i="8" s="1"/>
  <c r="AT178" i="8" s="1"/>
  <c r="BG169" i="8"/>
  <c r="AP166" i="8"/>
  <c r="BB166" i="8"/>
  <c r="BF166" i="8"/>
  <c r="BJ166" i="8"/>
  <c r="AO166" i="8"/>
  <c r="BE166" i="8"/>
  <c r="BI166" i="8"/>
  <c r="BM166" i="8"/>
  <c r="BD166" i="8"/>
  <c r="BL166" i="8"/>
  <c r="AM166" i="8"/>
  <c r="BG166" i="8"/>
  <c r="AO164" i="8"/>
  <c r="AT164" i="8" s="1"/>
  <c r="AP154" i="8"/>
  <c r="BB154" i="8"/>
  <c r="BF154" i="8"/>
  <c r="BJ154" i="8"/>
  <c r="AO154" i="8"/>
  <c r="BE154" i="8"/>
  <c r="BI154" i="8"/>
  <c r="BM154" i="8"/>
  <c r="BD154" i="8"/>
  <c r="BL154" i="8"/>
  <c r="AM154" i="8"/>
  <c r="BG154" i="8"/>
  <c r="AN170" i="8"/>
  <c r="AR170" i="8" s="1"/>
  <c r="AR171" i="8" s="1"/>
  <c r="AR172" i="8" s="1"/>
  <c r="BD170" i="8"/>
  <c r="AO169" i="8"/>
  <c r="BE169" i="8"/>
  <c r="BI169" i="8"/>
  <c r="BM169" i="8"/>
  <c r="AP169" i="8"/>
  <c r="BB169" i="8"/>
  <c r="BF169" i="8"/>
  <c r="BJ169" i="8"/>
  <c r="AM168" i="8"/>
  <c r="BB168" i="8"/>
  <c r="BE159" i="8"/>
  <c r="AN159" i="8"/>
  <c r="BD158" i="8"/>
  <c r="AN158" i="8"/>
  <c r="AR158" i="8" s="1"/>
  <c r="BE158" i="8"/>
  <c r="BD164" i="8"/>
  <c r="AN164" i="8"/>
  <c r="AR164" i="8" s="1"/>
  <c r="AR165" i="8" s="1"/>
  <c r="AP163" i="8"/>
  <c r="AV163" i="8" s="1"/>
  <c r="BB163" i="8"/>
  <c r="BF163" i="8"/>
  <c r="BJ163" i="8"/>
  <c r="AO163" i="8"/>
  <c r="BE163" i="8"/>
  <c r="BI163" i="8"/>
  <c r="BM163" i="8"/>
  <c r="AM162" i="8"/>
  <c r="AQ162" i="8" s="1"/>
  <c r="BB162" i="8"/>
  <c r="AB161" i="8"/>
  <c r="AO161" i="8"/>
  <c r="AT161" i="8" s="1"/>
  <c r="BG161" i="8"/>
  <c r="BK160" i="8"/>
  <c r="BD152" i="8"/>
  <c r="AN152" i="8"/>
  <c r="AR152" i="8" s="1"/>
  <c r="AR153" i="8" s="1"/>
  <c r="AR154" i="8" s="1"/>
  <c r="BD161" i="8"/>
  <c r="AN161" i="8"/>
  <c r="AR161" i="8" s="1"/>
  <c r="AP160" i="8"/>
  <c r="BB160" i="8"/>
  <c r="BF160" i="8"/>
  <c r="BJ160" i="8"/>
  <c r="AO160" i="8"/>
  <c r="BE160" i="8"/>
  <c r="BI160" i="8"/>
  <c r="BM160" i="8"/>
  <c r="AM159" i="8"/>
  <c r="BB159" i="8"/>
  <c r="AB158" i="8"/>
  <c r="AA158" i="8" s="1"/>
  <c r="AO158" i="8"/>
  <c r="AT158" i="8" s="1"/>
  <c r="BG158" i="8"/>
  <c r="AB143" i="8"/>
  <c r="AO142" i="8"/>
  <c r="BE142" i="8"/>
  <c r="BI142" i="8"/>
  <c r="BM142" i="8"/>
  <c r="AP142" i="8"/>
  <c r="BD142" i="8"/>
  <c r="BJ142" i="8"/>
  <c r="AN142" i="8"/>
  <c r="BC142" i="8"/>
  <c r="BH142" i="8"/>
  <c r="BF141" i="8"/>
  <c r="AO141" i="8"/>
  <c r="AM141" i="8"/>
  <c r="BB141" i="8"/>
  <c r="BC141" i="8"/>
  <c r="AB137" i="8"/>
  <c r="AO137" i="8"/>
  <c r="AT137" i="8" s="1"/>
  <c r="BG137" i="8"/>
  <c r="AB128" i="8"/>
  <c r="AA128" i="8" s="1"/>
  <c r="AO128" i="8"/>
  <c r="AT128" i="8" s="1"/>
  <c r="BG128" i="8"/>
  <c r="BF128" i="8"/>
  <c r="BC148" i="8"/>
  <c r="BE147" i="8"/>
  <c r="BD147" i="8"/>
  <c r="BD144" i="8"/>
  <c r="BG143" i="8"/>
  <c r="AO143" i="8"/>
  <c r="AT143" i="8" s="1"/>
  <c r="BF143" i="8"/>
  <c r="BC143" i="8"/>
  <c r="AM143" i="8"/>
  <c r="AQ143" i="8" s="1"/>
  <c r="BK142" i="8"/>
  <c r="BE141" i="8"/>
  <c r="AN141" i="8"/>
  <c r="AM140" i="8"/>
  <c r="AQ140" i="8" s="1"/>
  <c r="BD140" i="8"/>
  <c r="AN140" i="8"/>
  <c r="AR140" i="8" s="1"/>
  <c r="BF138" i="8"/>
  <c r="AO138" i="8"/>
  <c r="AM138" i="8"/>
  <c r="BB138" i="8"/>
  <c r="BC138" i="8"/>
  <c r="BD131" i="8"/>
  <c r="AN131" i="8"/>
  <c r="AR131" i="8" s="1"/>
  <c r="BE131" i="8"/>
  <c r="AO151" i="8"/>
  <c r="BE151" i="8"/>
  <c r="BI151" i="8"/>
  <c r="BM151" i="8"/>
  <c r="AB149" i="8"/>
  <c r="AA149" i="8" s="1"/>
  <c r="BB148" i="8"/>
  <c r="BC145" i="8"/>
  <c r="BG142" i="8"/>
  <c r="BE132" i="8"/>
  <c r="AN132" i="8"/>
  <c r="AP130" i="8"/>
  <c r="AV130" i="8" s="1"/>
  <c r="BB130" i="8"/>
  <c r="BF130" i="8"/>
  <c r="BJ130" i="8"/>
  <c r="AO130" i="8"/>
  <c r="BE130" i="8"/>
  <c r="BI130" i="8"/>
  <c r="BM130" i="8"/>
  <c r="BD130" i="8"/>
  <c r="BL130" i="8"/>
  <c r="AM130" i="8"/>
  <c r="BC130" i="8"/>
  <c r="BK130" i="8"/>
  <c r="BF129" i="8"/>
  <c r="AO129" i="8"/>
  <c r="AM129" i="8"/>
  <c r="BB129" i="8"/>
  <c r="BC129" i="8"/>
  <c r="BK151" i="8"/>
  <c r="BF151" i="8"/>
  <c r="BF150" i="8"/>
  <c r="BG148" i="8"/>
  <c r="AO148" i="8"/>
  <c r="BE148" i="8"/>
  <c r="BI148" i="8"/>
  <c r="BM148" i="8"/>
  <c r="AN148" i="8"/>
  <c r="BD148" i="8"/>
  <c r="BH148" i="8"/>
  <c r="BL148" i="8"/>
  <c r="AN147" i="8"/>
  <c r="BB145" i="8"/>
  <c r="AN144" i="8"/>
  <c r="BF142" i="8"/>
  <c r="BE140" i="8"/>
  <c r="AP139" i="8"/>
  <c r="BB139" i="8"/>
  <c r="BF139" i="8"/>
  <c r="BJ139" i="8"/>
  <c r="AO139" i="8"/>
  <c r="BE139" i="8"/>
  <c r="BI139" i="8"/>
  <c r="BM139" i="8"/>
  <c r="AM139" i="8"/>
  <c r="BG139" i="8"/>
  <c r="BD139" i="8"/>
  <c r="BL139" i="8"/>
  <c r="BG138" i="8"/>
  <c r="BH130" i="8"/>
  <c r="AN130" i="8"/>
  <c r="AB140" i="8"/>
  <c r="AO140" i="8"/>
  <c r="AT140" i="8" s="1"/>
  <c r="BG140" i="8"/>
  <c r="BF140" i="8"/>
  <c r="BC137" i="8"/>
  <c r="BB137" i="8"/>
  <c r="BC128" i="8"/>
  <c r="BB128" i="8"/>
  <c r="AO145" i="8"/>
  <c r="BD134" i="8"/>
  <c r="AN134" i="8"/>
  <c r="AR134" i="8" s="1"/>
  <c r="AP133" i="8"/>
  <c r="AV133" i="8" s="1"/>
  <c r="BB133" i="8"/>
  <c r="BF133" i="8"/>
  <c r="BJ133" i="8"/>
  <c r="AO133" i="8"/>
  <c r="BE133" i="8"/>
  <c r="BI133" i="8"/>
  <c r="BM133" i="8"/>
  <c r="AM132" i="8"/>
  <c r="AQ132" i="8" s="1"/>
  <c r="AQ133" i="8" s="1"/>
  <c r="BB132" i="8"/>
  <c r="AB131" i="8"/>
  <c r="AA131" i="8" s="1"/>
  <c r="AO131" i="8"/>
  <c r="AT131" i="8" s="1"/>
  <c r="AT132" i="8" s="1"/>
  <c r="AT133" i="8" s="1"/>
  <c r="BG131" i="8"/>
  <c r="AN129" i="8"/>
  <c r="BD128" i="8"/>
  <c r="AN128" i="8"/>
  <c r="AR128" i="8" s="1"/>
  <c r="BM145" i="8"/>
  <c r="BI145" i="8"/>
  <c r="BE145" i="8"/>
  <c r="AN145" i="8"/>
  <c r="BC144" i="8"/>
  <c r="BD137" i="8"/>
  <c r="AN137" i="8"/>
  <c r="AR137" i="8" s="1"/>
  <c r="AP136" i="8"/>
  <c r="BB136" i="8"/>
  <c r="BF136" i="8"/>
  <c r="BJ136" i="8"/>
  <c r="AO136" i="8"/>
  <c r="BE136" i="8"/>
  <c r="BI136" i="8"/>
  <c r="BM136" i="8"/>
  <c r="AM135" i="8"/>
  <c r="BB135" i="8"/>
  <c r="BE134" i="8"/>
  <c r="AB134" i="8"/>
  <c r="AO134" i="8"/>
  <c r="AT134" i="8" s="1"/>
  <c r="BG134" i="8"/>
  <c r="BK133" i="8"/>
  <c r="BC133" i="8"/>
  <c r="BF131" i="8"/>
  <c r="AE128" i="8"/>
  <c r="AC125" i="8"/>
  <c r="AE125" i="8" s="1"/>
  <c r="AN124" i="8"/>
  <c r="BD124" i="8"/>
  <c r="AP118" i="8"/>
  <c r="BB118" i="8"/>
  <c r="BF118" i="8"/>
  <c r="BJ118" i="8"/>
  <c r="BE118" i="8"/>
  <c r="BK118" i="8"/>
  <c r="AM118" i="8"/>
  <c r="BG118" i="8"/>
  <c r="BL118" i="8"/>
  <c r="AN112" i="8"/>
  <c r="BD112" i="8"/>
  <c r="BC110" i="8"/>
  <c r="AP110" i="8"/>
  <c r="AV110" i="8" s="1"/>
  <c r="AV111" i="8" s="1"/>
  <c r="AV112" i="8" s="1"/>
  <c r="BI126" i="8"/>
  <c r="AP125" i="8"/>
  <c r="AV125" i="8" s="1"/>
  <c r="BE125" i="8"/>
  <c r="BI125" i="8"/>
  <c r="BM125" i="8"/>
  <c r="AM125" i="8"/>
  <c r="AQ125" i="8" s="1"/>
  <c r="AQ126" i="8" s="1"/>
  <c r="BB125" i="8"/>
  <c r="BF125" i="8"/>
  <c r="BJ125" i="8"/>
  <c r="AM123" i="8"/>
  <c r="AN123" i="8"/>
  <c r="BC123" i="8"/>
  <c r="BG123" i="8"/>
  <c r="BK123" i="8"/>
  <c r="AO123" i="8"/>
  <c r="BD123" i="8"/>
  <c r="BH123" i="8"/>
  <c r="BL123" i="8"/>
  <c r="AO119" i="8"/>
  <c r="AT119" i="8" s="1"/>
  <c r="BD119" i="8"/>
  <c r="BH119" i="8"/>
  <c r="BL119" i="8"/>
  <c r="AN119" i="8"/>
  <c r="AR119" i="8" s="1"/>
  <c r="BB119" i="8"/>
  <c r="BG119" i="8"/>
  <c r="BM119" i="8"/>
  <c r="AP119" i="8"/>
  <c r="AV119" i="8" s="1"/>
  <c r="BC119" i="8"/>
  <c r="BI119" i="8"/>
  <c r="BM118" i="8"/>
  <c r="BC118" i="8"/>
  <c r="AN118" i="8"/>
  <c r="BD114" i="8"/>
  <c r="AN114" i="8"/>
  <c r="BE114" i="8"/>
  <c r="BJ110" i="8"/>
  <c r="AY110" i="8"/>
  <c r="AM127" i="8"/>
  <c r="BC127" i="8"/>
  <c r="BL125" i="8"/>
  <c r="BD125" i="8"/>
  <c r="AO124" i="8"/>
  <c r="BI123" i="8"/>
  <c r="AO122" i="8"/>
  <c r="AT122" i="8" s="1"/>
  <c r="BD122" i="8"/>
  <c r="BH122" i="8"/>
  <c r="BL122" i="8"/>
  <c r="AM122" i="8"/>
  <c r="AQ122" i="8" s="1"/>
  <c r="BF122" i="8"/>
  <c r="BK122" i="8"/>
  <c r="AN122" i="8"/>
  <c r="AR122" i="8" s="1"/>
  <c r="AR123" i="8" s="1"/>
  <c r="BB122" i="8"/>
  <c r="BG122" i="8"/>
  <c r="BM122" i="8"/>
  <c r="AP121" i="8"/>
  <c r="BB121" i="8"/>
  <c r="BF121" i="8"/>
  <c r="BJ121" i="8"/>
  <c r="AO121" i="8"/>
  <c r="BD121" i="8"/>
  <c r="BI121" i="8"/>
  <c r="BE121" i="8"/>
  <c r="BK121" i="8"/>
  <c r="BE120" i="8"/>
  <c r="BJ119" i="8"/>
  <c r="AY119" i="8"/>
  <c r="BI118" i="8"/>
  <c r="BE117" i="8"/>
  <c r="AN117" i="8"/>
  <c r="AR117" i="8" s="1"/>
  <c r="BC113" i="8"/>
  <c r="BH111" i="8"/>
  <c r="AN126" i="8"/>
  <c r="AR126" i="8" s="1"/>
  <c r="AR127" i="8" s="1"/>
  <c r="BC126" i="8"/>
  <c r="BG126" i="8"/>
  <c r="BK126" i="8"/>
  <c r="AO126" i="8"/>
  <c r="AT126" i="8" s="1"/>
  <c r="AT127" i="8" s="1"/>
  <c r="BD126" i="8"/>
  <c r="BH126" i="8"/>
  <c r="BL126" i="8"/>
  <c r="AO110" i="8"/>
  <c r="AT110" i="8" s="1"/>
  <c r="BD110" i="8"/>
  <c r="BH110" i="8"/>
  <c r="BL110" i="8"/>
  <c r="AM110" i="8"/>
  <c r="AQ110" i="8" s="1"/>
  <c r="BF110" i="8"/>
  <c r="BK110" i="8"/>
  <c r="AN110" i="8"/>
  <c r="AR110" i="8" s="1"/>
  <c r="BB110" i="8"/>
  <c r="BG110" i="8"/>
  <c r="BM110" i="8"/>
  <c r="AN127" i="8"/>
  <c r="BD127" i="8"/>
  <c r="BM126" i="8"/>
  <c r="BE126" i="8"/>
  <c r="AP126" i="8"/>
  <c r="BK125" i="8"/>
  <c r="BC125" i="8"/>
  <c r="AM124" i="8"/>
  <c r="BC124" i="8"/>
  <c r="BF123" i="8"/>
  <c r="AC122" i="8"/>
  <c r="AE122" i="8" s="1"/>
  <c r="AB122" i="8"/>
  <c r="AA122" i="8" s="1"/>
  <c r="AM120" i="8"/>
  <c r="AQ120" i="8" s="1"/>
  <c r="AQ121" i="8" s="1"/>
  <c r="BB120" i="8"/>
  <c r="BF120" i="8"/>
  <c r="BJ120" i="8"/>
  <c r="AO120" i="8"/>
  <c r="BG120" i="8"/>
  <c r="BL120" i="8"/>
  <c r="AP120" i="8"/>
  <c r="BC120" i="8"/>
  <c r="BH120" i="8"/>
  <c r="BM120" i="8"/>
  <c r="BF119" i="8"/>
  <c r="BH118" i="8"/>
  <c r="BG114" i="8"/>
  <c r="AB113" i="8"/>
  <c r="AA113" i="8" s="1"/>
  <c r="BF113" i="8"/>
  <c r="AM111" i="8"/>
  <c r="BB111" i="8"/>
  <c r="BF111" i="8"/>
  <c r="BJ111" i="8"/>
  <c r="AN111" i="8"/>
  <c r="BE111" i="8"/>
  <c r="BK111" i="8"/>
  <c r="AO111" i="8"/>
  <c r="BG111" i="8"/>
  <c r="BL111" i="8"/>
  <c r="BE110" i="8"/>
  <c r="AB110" i="8"/>
  <c r="AB119" i="8"/>
  <c r="AA119" i="8" s="1"/>
  <c r="AM117" i="8"/>
  <c r="BB117" i="8"/>
  <c r="BF117" i="8"/>
  <c r="BJ117" i="8"/>
  <c r="AO116" i="8"/>
  <c r="AT116" i="8" s="1"/>
  <c r="BD116" i="8"/>
  <c r="BH116" i="8"/>
  <c r="BL116" i="8"/>
  <c r="AP115" i="8"/>
  <c r="BB115" i="8"/>
  <c r="BF115" i="8"/>
  <c r="BJ115" i="8"/>
  <c r="Y112" i="8"/>
  <c r="Y121" i="8"/>
  <c r="BM117" i="8"/>
  <c r="BH117" i="8"/>
  <c r="BC117" i="8"/>
  <c r="AP117" i="8"/>
  <c r="BI116" i="8"/>
  <c r="BC116" i="8"/>
  <c r="AP116" i="8"/>
  <c r="AV116" i="8" s="1"/>
  <c r="AB116" i="8"/>
  <c r="BL115" i="8"/>
  <c r="BG115" i="8"/>
  <c r="AM115" i="8"/>
  <c r="AM114" i="8"/>
  <c r="BB114" i="8"/>
  <c r="BF114" i="8"/>
  <c r="BJ114" i="8"/>
  <c r="AO113" i="8"/>
  <c r="AT113" i="8" s="1"/>
  <c r="AT114" i="8" s="1"/>
  <c r="AT115" i="8" s="1"/>
  <c r="BD113" i="8"/>
  <c r="BH113" i="8"/>
  <c r="BL113" i="8"/>
  <c r="AP112" i="8"/>
  <c r="BB112" i="8"/>
  <c r="BF112" i="8"/>
  <c r="BJ112" i="8"/>
  <c r="Z81" i="8"/>
  <c r="Y81" i="8"/>
  <c r="Y89" i="8"/>
  <c r="Z89" i="8"/>
  <c r="AN92" i="8"/>
  <c r="BC92" i="8"/>
  <c r="BG92" i="8"/>
  <c r="BK92" i="8"/>
  <c r="AM92" i="8"/>
  <c r="BB92" i="8"/>
  <c r="BF92" i="8"/>
  <c r="BJ92" i="8"/>
  <c r="AO91" i="8"/>
  <c r="AT91" i="8" s="1"/>
  <c r="AB88" i="8"/>
  <c r="BG88" i="8"/>
  <c r="AB85" i="8"/>
  <c r="BG85" i="8"/>
  <c r="Y83" i="8"/>
  <c r="Z83" i="8"/>
  <c r="AN80" i="8"/>
  <c r="BC80" i="8"/>
  <c r="BG80" i="8"/>
  <c r="BK80" i="8"/>
  <c r="BD80" i="8"/>
  <c r="BI80" i="8"/>
  <c r="AM80" i="8"/>
  <c r="BE80" i="8"/>
  <c r="BJ80" i="8"/>
  <c r="AP80" i="8"/>
  <c r="AV80" i="8" s="1"/>
  <c r="AV81" i="8" s="1"/>
  <c r="BB80" i="8"/>
  <c r="BH80" i="8"/>
  <c r="BM80" i="8"/>
  <c r="AR80" i="8"/>
  <c r="Z75" i="8"/>
  <c r="Y75" i="8"/>
  <c r="BF73" i="8"/>
  <c r="BG73" i="8"/>
  <c r="AB73" i="8"/>
  <c r="AO73" i="8"/>
  <c r="AT73" i="8" s="1"/>
  <c r="AT74" i="8" s="1"/>
  <c r="AT75" i="8" s="1"/>
  <c r="AM73" i="8"/>
  <c r="AQ73" i="8" s="1"/>
  <c r="BB73" i="8"/>
  <c r="BM92" i="8"/>
  <c r="BE92" i="8"/>
  <c r="AP92" i="8"/>
  <c r="AV92" i="8" s="1"/>
  <c r="AV93" i="8" s="1"/>
  <c r="BD82" i="8"/>
  <c r="BE82" i="8"/>
  <c r="Z82" i="8"/>
  <c r="Y82" i="8"/>
  <c r="AC82" i="8" s="1"/>
  <c r="AE82" i="8" s="1"/>
  <c r="AO80" i="8"/>
  <c r="BL92" i="8"/>
  <c r="BD92" i="8"/>
  <c r="AO92" i="8"/>
  <c r="AM91" i="8"/>
  <c r="AQ91" i="8" s="1"/>
  <c r="AO88" i="8"/>
  <c r="AT88" i="8" s="1"/>
  <c r="BE84" i="8"/>
  <c r="AN84" i="8"/>
  <c r="BD84" i="8"/>
  <c r="BL80" i="8"/>
  <c r="AN78" i="8"/>
  <c r="BD78" i="8"/>
  <c r="BJ89" i="8"/>
  <c r="BF89" i="8"/>
  <c r="BB89" i="8"/>
  <c r="AM89" i="8"/>
  <c r="Y87" i="8"/>
  <c r="BJ86" i="8"/>
  <c r="BF86" i="8"/>
  <c r="BB86" i="8"/>
  <c r="AM86" i="8"/>
  <c r="AM85" i="8"/>
  <c r="AQ85" i="8" s="1"/>
  <c r="BB85" i="8"/>
  <c r="BF85" i="8"/>
  <c r="BI83" i="8"/>
  <c r="AO79" i="8"/>
  <c r="AT79" i="8" s="1"/>
  <c r="AN77" i="8"/>
  <c r="BC77" i="8"/>
  <c r="BG77" i="8"/>
  <c r="BK77" i="8"/>
  <c r="AM77" i="8"/>
  <c r="BB77" i="8"/>
  <c r="BF77" i="8"/>
  <c r="BJ77" i="8"/>
  <c r="BG76" i="8"/>
  <c r="BD73" i="8"/>
  <c r="Z84" i="8"/>
  <c r="AN83" i="8"/>
  <c r="AR83" i="8" s="1"/>
  <c r="BC83" i="8"/>
  <c r="BG83" i="8"/>
  <c r="BK83" i="8"/>
  <c r="AM79" i="8"/>
  <c r="AQ79" i="8" s="1"/>
  <c r="AQ80" i="8" s="1"/>
  <c r="AQ81" i="8" s="1"/>
  <c r="BB79" i="8"/>
  <c r="Z78" i="8"/>
  <c r="Y78" i="8"/>
  <c r="AM76" i="8"/>
  <c r="AQ76" i="8" s="1"/>
  <c r="AQ77" i="8" s="1"/>
  <c r="AQ78" i="8" s="1"/>
  <c r="BB76" i="8"/>
  <c r="BJ91" i="8"/>
  <c r="BF91" i="8"/>
  <c r="BB91" i="8"/>
  <c r="BK89" i="8"/>
  <c r="BG89" i="8"/>
  <c r="BC89" i="8"/>
  <c r="BJ88" i="8"/>
  <c r="BF88" i="8"/>
  <c r="BB88" i="8"/>
  <c r="BK86" i="8"/>
  <c r="BG86" i="8"/>
  <c r="BC86" i="8"/>
  <c r="BJ85" i="8"/>
  <c r="BE85" i="8"/>
  <c r="AM84" i="8"/>
  <c r="BJ83" i="8"/>
  <c r="BE83" i="8"/>
  <c r="AM83" i="8"/>
  <c r="AM82" i="8"/>
  <c r="AQ82" i="8" s="1"/>
  <c r="BB82" i="8"/>
  <c r="BF82" i="8"/>
  <c r="BJ82" i="8"/>
  <c r="BI77" i="8"/>
  <c r="AN74" i="8"/>
  <c r="AR74" i="8" s="1"/>
  <c r="AR75" i="8" s="1"/>
  <c r="BC74" i="8"/>
  <c r="BG74" i="8"/>
  <c r="BK74" i="8"/>
  <c r="AM74" i="8"/>
  <c r="BB74" i="8"/>
  <c r="BF74" i="8"/>
  <c r="BJ74" i="8"/>
  <c r="BM78" i="8"/>
  <c r="BI78" i="8"/>
  <c r="BE78" i="8"/>
  <c r="BL44" i="8"/>
  <c r="Y71" i="8"/>
  <c r="BL68" i="8"/>
  <c r="BL65" i="8"/>
  <c r="AP60" i="8"/>
  <c r="BL58" i="8"/>
  <c r="BM46" i="8"/>
  <c r="BJ42" i="8"/>
  <c r="AP42" i="8"/>
  <c r="AP69" i="8"/>
  <c r="Z66" i="8"/>
  <c r="Y63" i="8"/>
  <c r="BF62" i="8"/>
  <c r="BC60" i="8"/>
  <c r="BK58" i="8"/>
  <c r="BE58" i="8"/>
  <c r="AB52" i="8"/>
  <c r="BB48" i="8"/>
  <c r="BI46" i="8"/>
  <c r="AN46" i="8"/>
  <c r="AR46" i="8" s="1"/>
  <c r="Y43" i="8"/>
  <c r="BI42" i="8"/>
  <c r="BE42" i="8"/>
  <c r="BM41" i="8"/>
  <c r="BK40" i="8"/>
  <c r="BL72" i="8"/>
  <c r="BF72" i="8"/>
  <c r="BB72" i="8"/>
  <c r="BM68" i="8"/>
  <c r="BE68" i="8"/>
  <c r="AM66" i="8"/>
  <c r="BE65" i="8"/>
  <c r="BM64" i="8"/>
  <c r="AM63" i="8"/>
  <c r="BB62" i="8"/>
  <c r="BM59" i="8"/>
  <c r="BG58" i="8"/>
  <c r="BF54" i="8"/>
  <c r="BG51" i="8"/>
  <c r="BL49" i="8"/>
  <c r="BK48" i="8"/>
  <c r="BG44" i="8"/>
  <c r="BH40" i="8"/>
  <c r="BK70" i="8"/>
  <c r="BF70" i="8"/>
  <c r="BJ69" i="8"/>
  <c r="BF69" i="8"/>
  <c r="BD65" i="8"/>
  <c r="BH64" i="8"/>
  <c r="BE62" i="8"/>
  <c r="BJ60" i="8"/>
  <c r="BL42" i="8"/>
  <c r="BH42" i="8"/>
  <c r="BF42" i="8"/>
  <c r="BC42" i="8"/>
  <c r="BE41" i="8"/>
  <c r="BL40" i="8"/>
  <c r="AP40" i="8"/>
  <c r="AV40" i="8" s="1"/>
  <c r="AV41" i="8" s="1"/>
  <c r="BD72" i="8"/>
  <c r="BE71" i="8"/>
  <c r="BM70" i="8"/>
  <c r="BI70" i="8"/>
  <c r="AP70" i="8"/>
  <c r="AV70" i="8" s="1"/>
  <c r="BM69" i="8"/>
  <c r="BG69" i="8"/>
  <c r="BG67" i="8"/>
  <c r="BL66" i="8"/>
  <c r="BH66" i="8"/>
  <c r="AO65" i="8"/>
  <c r="AP64" i="8"/>
  <c r="AV64" i="8" s="1"/>
  <c r="BK63" i="8"/>
  <c r="BM62" i="8"/>
  <c r="BH62" i="8"/>
  <c r="AP62" i="8"/>
  <c r="AV62" i="8" s="1"/>
  <c r="Y62" i="8"/>
  <c r="BL61" i="8"/>
  <c r="AY61" i="8"/>
  <c r="BM60" i="8"/>
  <c r="BD60" i="8"/>
  <c r="BC58" i="8"/>
  <c r="BB55" i="8"/>
  <c r="AM54" i="8"/>
  <c r="BG50" i="8"/>
  <c r="BM49" i="8"/>
  <c r="BI49" i="8"/>
  <c r="BL48" i="8"/>
  <c r="BF48" i="8"/>
  <c r="AN48" i="8"/>
  <c r="Z48" i="8"/>
  <c r="BI44" i="8"/>
  <c r="BM43" i="8"/>
  <c r="BD70" i="8"/>
  <c r="BB70" i="8"/>
  <c r="AM69" i="8"/>
  <c r="BB69" i="8"/>
  <c r="BJ62" i="8"/>
  <c r="AM62" i="8"/>
  <c r="BH61" i="8"/>
  <c r="AN60" i="8"/>
  <c r="BK49" i="8"/>
  <c r="BD49" i="8"/>
  <c r="BB49" i="8"/>
  <c r="AO41" i="8"/>
  <c r="AT41" i="8" s="1"/>
  <c r="AT42" i="8" s="1"/>
  <c r="AY40" i="8"/>
  <c r="BE40" i="8"/>
  <c r="BH71" i="8"/>
  <c r="BJ70" i="8"/>
  <c r="BD69" i="8"/>
  <c r="BM66" i="8"/>
  <c r="BI66" i="8"/>
  <c r="BG66" i="8"/>
  <c r="BC64" i="8"/>
  <c r="BE64" i="8"/>
  <c r="AO63" i="8"/>
  <c r="BI62" i="8"/>
  <c r="BD62" i="8"/>
  <c r="BM61" i="8"/>
  <c r="AN61" i="8"/>
  <c r="AR61" i="8" s="1"/>
  <c r="BI60" i="8"/>
  <c r="BE60" i="8"/>
  <c r="AP58" i="8"/>
  <c r="AV58" i="8" s="1"/>
  <c r="AV59" i="8" s="1"/>
  <c r="Z54" i="8"/>
  <c r="AP52" i="8"/>
  <c r="AV52" i="8" s="1"/>
  <c r="AN51" i="8"/>
  <c r="BJ49" i="8"/>
  <c r="BE49" i="8"/>
  <c r="BG48" i="8"/>
  <c r="AP48" i="8"/>
  <c r="AB46" i="8"/>
  <c r="AA46" i="8" s="1"/>
  <c r="BB46" i="8"/>
  <c r="BD40" i="8"/>
  <c r="AP56" i="8"/>
  <c r="BI56" i="8"/>
  <c r="AO56" i="8"/>
  <c r="BG56" i="8"/>
  <c r="BK52" i="8"/>
  <c r="AY52" i="8"/>
  <c r="AN42" i="8"/>
  <c r="AO42" i="8"/>
  <c r="AN41" i="8"/>
  <c r="BI41" i="8"/>
  <c r="BF40" i="8"/>
  <c r="AM40" i="8"/>
  <c r="AQ40" i="8" s="1"/>
  <c r="AO72" i="8"/>
  <c r="AP72" i="8"/>
  <c r="BI72" i="8"/>
  <c r="BM72" i="8"/>
  <c r="BE70" i="8"/>
  <c r="AN70" i="8"/>
  <c r="AR70" i="8" s="1"/>
  <c r="AN69" i="8"/>
  <c r="AO69" i="8"/>
  <c r="BH69" i="8"/>
  <c r="BL69" i="8"/>
  <c r="AB67" i="8"/>
  <c r="AA67" i="8" s="1"/>
  <c r="AN66" i="8"/>
  <c r="BE66" i="8"/>
  <c r="AM65" i="8"/>
  <c r="BJ63" i="8"/>
  <c r="Z61" i="8"/>
  <c r="BD59" i="8"/>
  <c r="BL59" i="8"/>
  <c r="BB59" i="8"/>
  <c r="BI59" i="8"/>
  <c r="Y58" i="8"/>
  <c r="AB58" i="8"/>
  <c r="AO58" i="8"/>
  <c r="AT58" i="8" s="1"/>
  <c r="AT59" i="8" s="1"/>
  <c r="BE56" i="8"/>
  <c r="AM55" i="8"/>
  <c r="AQ55" i="8" s="1"/>
  <c r="BI55" i="8"/>
  <c r="BM55" i="8"/>
  <c r="AP55" i="8"/>
  <c r="AV55" i="8" s="1"/>
  <c r="BH55" i="8"/>
  <c r="BL55" i="8"/>
  <c r="BJ54" i="8"/>
  <c r="Z53" i="8"/>
  <c r="BG52" i="8"/>
  <c r="Y49" i="8"/>
  <c r="Z47" i="8"/>
  <c r="Y47" i="8"/>
  <c r="BL46" i="8"/>
  <c r="BD44" i="8"/>
  <c r="AB64" i="8"/>
  <c r="AA64" i="8" s="1"/>
  <c r="AO52" i="8"/>
  <c r="AT52" i="8" s="1"/>
  <c r="BF52" i="8"/>
  <c r="BJ52" i="8"/>
  <c r="AN52" i="8"/>
  <c r="AR52" i="8" s="1"/>
  <c r="BD52" i="8"/>
  <c r="BI52" i="8"/>
  <c r="BM52" i="8"/>
  <c r="AN71" i="8"/>
  <c r="AP71" i="8"/>
  <c r="BF71" i="8"/>
  <c r="BL71" i="8"/>
  <c r="BC69" i="8"/>
  <c r="AN58" i="8"/>
  <c r="AR58" i="8" s="1"/>
  <c r="BD57" i="8"/>
  <c r="AN57" i="8"/>
  <c r="AN56" i="8"/>
  <c r="BC55" i="8"/>
  <c r="AM52" i="8"/>
  <c r="AQ52" i="8" s="1"/>
  <c r="BC51" i="8"/>
  <c r="BB51" i="8"/>
  <c r="BL51" i="8"/>
  <c r="BL45" i="8"/>
  <c r="AN44" i="8"/>
  <c r="BE44" i="8"/>
  <c r="AY43" i="8"/>
  <c r="BK43" i="8"/>
  <c r="BJ43" i="8"/>
  <c r="BD42" i="8"/>
  <c r="Z42" i="8"/>
  <c r="AN40" i="8"/>
  <c r="AR40" i="8" s="1"/>
  <c r="BI40" i="8"/>
  <c r="BM40" i="8"/>
  <c r="BJ71" i="8"/>
  <c r="BB71" i="8"/>
  <c r="AO64" i="8"/>
  <c r="AT64" i="8" s="1"/>
  <c r="BC63" i="8"/>
  <c r="BI63" i="8"/>
  <c r="BM63" i="8"/>
  <c r="AP63" i="8"/>
  <c r="BH63" i="8"/>
  <c r="BL63" i="8"/>
  <c r="BF60" i="8"/>
  <c r="AO60" i="8"/>
  <c r="BG60" i="8"/>
  <c r="BK56" i="8"/>
  <c r="BC54" i="8"/>
  <c r="BH54" i="8"/>
  <c r="BB54" i="8"/>
  <c r="BG54" i="8"/>
  <c r="BL54" i="8"/>
  <c r="BD53" i="8"/>
  <c r="AP53" i="8"/>
  <c r="BM53" i="8"/>
  <c r="BH52" i="8"/>
  <c r="AM51" i="8"/>
  <c r="AP50" i="8"/>
  <c r="AV50" i="8" s="1"/>
  <c r="BE50" i="8"/>
  <c r="BL50" i="8"/>
  <c r="BD50" i="8"/>
  <c r="BK50" i="8"/>
  <c r="AP46" i="8"/>
  <c r="AV46" i="8" s="1"/>
  <c r="AY46" i="8"/>
  <c r="BG46" i="8"/>
  <c r="BK46" i="8"/>
  <c r="AO46" i="8"/>
  <c r="AT46" i="8" s="1"/>
  <c r="BF46" i="8"/>
  <c r="BJ46" i="8"/>
  <c r="AN45" i="8"/>
  <c r="BL43" i="8"/>
  <c r="AN63" i="8"/>
  <c r="AN54" i="8"/>
  <c r="BJ48" i="8"/>
  <c r="BD48" i="8"/>
  <c r="BE46" i="8"/>
  <c r="BK44" i="8"/>
  <c r="Z40" i="8"/>
  <c r="Z72" i="8"/>
  <c r="BD71" i="8"/>
  <c r="BI65" i="8"/>
  <c r="BI64" i="8"/>
  <c r="BB63" i="8"/>
  <c r="BL60" i="8"/>
  <c r="BH60" i="8"/>
  <c r="Z60" i="8"/>
  <c r="BI58" i="8"/>
  <c r="BD58" i="8"/>
  <c r="Y55" i="8"/>
  <c r="BC53" i="8"/>
  <c r="BE52" i="8"/>
  <c r="BC49" i="8"/>
  <c r="AM49" i="8"/>
  <c r="AQ49" i="8" s="1"/>
  <c r="BM47" i="8"/>
  <c r="AM46" i="8"/>
  <c r="AQ46" i="8" s="1"/>
  <c r="AP44" i="8"/>
  <c r="AV44" i="8" s="1"/>
  <c r="AN68" i="8"/>
  <c r="BC68" i="8"/>
  <c r="BG68" i="8"/>
  <c r="BK68" i="8"/>
  <c r="BD68" i="8"/>
  <c r="BI68" i="8"/>
  <c r="AN65" i="8"/>
  <c r="BC65" i="8"/>
  <c r="BG65" i="8"/>
  <c r="BK65" i="8"/>
  <c r="AP65" i="8"/>
  <c r="BB65" i="8"/>
  <c r="BH65" i="8"/>
  <c r="BM65" i="8"/>
  <c r="BD61" i="8"/>
  <c r="Y61" i="8"/>
  <c r="AB61" i="8"/>
  <c r="AA61" i="8" s="1"/>
  <c r="BE55" i="8"/>
  <c r="AN55" i="8"/>
  <c r="AR55" i="8" s="1"/>
  <c r="BD55" i="8"/>
  <c r="Y45" i="8"/>
  <c r="Z45" i="8"/>
  <c r="AO57" i="8"/>
  <c r="BC57" i="8"/>
  <c r="BG57" i="8"/>
  <c r="BK57" i="8"/>
  <c r="AP57" i="8"/>
  <c r="BB57" i="8"/>
  <c r="BF57" i="8"/>
  <c r="BJ57" i="8"/>
  <c r="BE57" i="8"/>
  <c r="BM57" i="8"/>
  <c r="AM47" i="8"/>
  <c r="BB47" i="8"/>
  <c r="BF47" i="8"/>
  <c r="BJ47" i="8"/>
  <c r="AO47" i="8"/>
  <c r="BG47" i="8"/>
  <c r="BL47" i="8"/>
  <c r="AN47" i="8"/>
  <c r="BE47" i="8"/>
  <c r="BK47" i="8"/>
  <c r="AP47" i="8"/>
  <c r="AV47" i="8" s="1"/>
  <c r="BH47" i="8"/>
  <c r="AO45" i="8"/>
  <c r="BE45" i="8"/>
  <c r="BI45" i="8"/>
  <c r="BM45" i="8"/>
  <c r="BF45" i="8"/>
  <c r="BK45" i="8"/>
  <c r="AP45" i="8"/>
  <c r="BD45" i="8"/>
  <c r="BJ45" i="8"/>
  <c r="BH45" i="8"/>
  <c r="AB43" i="8"/>
  <c r="BG43" i="8"/>
  <c r="AO43" i="8"/>
  <c r="AT43" i="8" s="1"/>
  <c r="AT44" i="8" s="1"/>
  <c r="BF43" i="8"/>
  <c r="BB43" i="8"/>
  <c r="AM43" i="8"/>
  <c r="AQ43" i="8" s="1"/>
  <c r="BG72" i="8"/>
  <c r="BC72" i="8"/>
  <c r="AM72" i="8"/>
  <c r="Z71" i="8"/>
  <c r="BG70" i="8"/>
  <c r="BC70" i="8"/>
  <c r="AB70" i="8"/>
  <c r="AA70" i="8" s="1"/>
  <c r="BE69" i="8"/>
  <c r="BJ68" i="8"/>
  <c r="BB68" i="8"/>
  <c r="AO68" i="8"/>
  <c r="BE67" i="8"/>
  <c r="AM67" i="8"/>
  <c r="AQ67" i="8" s="1"/>
  <c r="BB67" i="8"/>
  <c r="BF67" i="8"/>
  <c r="BJ67" i="8"/>
  <c r="AO67" i="8"/>
  <c r="AT67" i="8" s="1"/>
  <c r="BC67" i="8"/>
  <c r="BH67" i="8"/>
  <c r="BM67" i="8"/>
  <c r="AM64" i="8"/>
  <c r="AQ64" i="8" s="1"/>
  <c r="BB64" i="8"/>
  <c r="BF64" i="8"/>
  <c r="BJ64" i="8"/>
  <c r="AN64" i="8"/>
  <c r="AR64" i="8" s="1"/>
  <c r="BG64" i="8"/>
  <c r="BL64" i="8"/>
  <c r="BF63" i="8"/>
  <c r="BG63" i="8"/>
  <c r="Z62" i="8"/>
  <c r="Y59" i="8"/>
  <c r="BL57" i="8"/>
  <c r="AM57" i="8"/>
  <c r="BD47" i="8"/>
  <c r="BC45" i="8"/>
  <c r="AM45" i="8"/>
  <c r="Y44" i="8"/>
  <c r="BE43" i="8"/>
  <c r="AN43" i="8"/>
  <c r="AR43" i="8" s="1"/>
  <c r="BD43" i="8"/>
  <c r="BK71" i="8"/>
  <c r="BG71" i="8"/>
  <c r="BC71" i="8"/>
  <c r="AM70" i="8"/>
  <c r="AQ70" i="8" s="1"/>
  <c r="AQ71" i="8" s="1"/>
  <c r="BH68" i="8"/>
  <c r="AM68" i="8"/>
  <c r="BK67" i="8"/>
  <c r="BD67" i="8"/>
  <c r="Y66" i="8"/>
  <c r="BF66" i="8"/>
  <c r="AO66" i="8"/>
  <c r="BB66" i="8"/>
  <c r="BC66" i="8"/>
  <c r="BF65" i="8"/>
  <c r="BK64" i="8"/>
  <c r="BD64" i="8"/>
  <c r="BG61" i="8"/>
  <c r="AO61" i="8"/>
  <c r="AT61" i="8" s="1"/>
  <c r="AT62" i="8" s="1"/>
  <c r="AM61" i="8"/>
  <c r="AQ61" i="8" s="1"/>
  <c r="AQ62" i="8" s="1"/>
  <c r="AQ63" i="8" s="1"/>
  <c r="BB61" i="8"/>
  <c r="BF61" i="8"/>
  <c r="BJ61" i="8"/>
  <c r="BE61" i="8"/>
  <c r="BK61" i="8"/>
  <c r="Y60" i="8"/>
  <c r="BB60" i="8"/>
  <c r="AM60" i="8"/>
  <c r="AN59" i="8"/>
  <c r="BC59" i="8"/>
  <c r="BG59" i="8"/>
  <c r="BK59" i="8"/>
  <c r="AM59" i="8"/>
  <c r="BE59" i="8"/>
  <c r="BJ59" i="8"/>
  <c r="BI57" i="8"/>
  <c r="AB55" i="8"/>
  <c r="BG55" i="8"/>
  <c r="AO55" i="8"/>
  <c r="AT55" i="8" s="1"/>
  <c r="BF55" i="8"/>
  <c r="AN49" i="8"/>
  <c r="AR49" i="8" s="1"/>
  <c r="AR50" i="8" s="1"/>
  <c r="BC47" i="8"/>
  <c r="BB45" i="8"/>
  <c r="BC43" i="8"/>
  <c r="Y65" i="8"/>
  <c r="Z63" i="8"/>
  <c r="AN62" i="8"/>
  <c r="BC62" i="8"/>
  <c r="BG62" i="8"/>
  <c r="BK62" i="8"/>
  <c r="AM58" i="8"/>
  <c r="AQ58" i="8" s="1"/>
  <c r="BB58" i="8"/>
  <c r="BF58" i="8"/>
  <c r="BJ58" i="8"/>
  <c r="AM53" i="8"/>
  <c r="BB53" i="8"/>
  <c r="BF53" i="8"/>
  <c r="BJ53" i="8"/>
  <c r="AO53" i="8"/>
  <c r="BG53" i="8"/>
  <c r="BL53" i="8"/>
  <c r="AN53" i="8"/>
  <c r="BE53" i="8"/>
  <c r="BK53" i="8"/>
  <c r="Z52" i="8"/>
  <c r="Y52" i="8"/>
  <c r="AO51" i="8"/>
  <c r="BE51" i="8"/>
  <c r="BI51" i="8"/>
  <c r="BM51" i="8"/>
  <c r="BF51" i="8"/>
  <c r="BK51" i="8"/>
  <c r="AP51" i="8"/>
  <c r="BD51" i="8"/>
  <c r="BJ51" i="8"/>
  <c r="AB49" i="8"/>
  <c r="BG49" i="8"/>
  <c r="AO49" i="8"/>
  <c r="AT49" i="8" s="1"/>
  <c r="AT50" i="8" s="1"/>
  <c r="BF49" i="8"/>
  <c r="BM56" i="8"/>
  <c r="BH56" i="8"/>
  <c r="BC56" i="8"/>
  <c r="AO54" i="8"/>
  <c r="BE54" i="8"/>
  <c r="BI54" i="8"/>
  <c r="BM54" i="8"/>
  <c r="BC52" i="8"/>
  <c r="BM50" i="8"/>
  <c r="BH50" i="8"/>
  <c r="BC50" i="8"/>
  <c r="AO48" i="8"/>
  <c r="BE48" i="8"/>
  <c r="BI48" i="8"/>
  <c r="BM48" i="8"/>
  <c r="BC46" i="8"/>
  <c r="BM44" i="8"/>
  <c r="BH44" i="8"/>
  <c r="BC44" i="8"/>
  <c r="AM56" i="8"/>
  <c r="BB56" i="8"/>
  <c r="BF56" i="8"/>
  <c r="BJ56" i="8"/>
  <c r="AM50" i="8"/>
  <c r="BB50" i="8"/>
  <c r="BF50" i="8"/>
  <c r="BJ50" i="8"/>
  <c r="AM44" i="8"/>
  <c r="BB44" i="8"/>
  <c r="BF44" i="8"/>
  <c r="BJ44" i="8"/>
  <c r="Y42" i="8"/>
  <c r="BJ41" i="8"/>
  <c r="BF41" i="8"/>
  <c r="BB41" i="8"/>
  <c r="AM41" i="8"/>
  <c r="BG40" i="8"/>
  <c r="BC40" i="8"/>
  <c r="AB40" i="8"/>
  <c r="BK41" i="8"/>
  <c r="BG41" i="8"/>
  <c r="BC41" i="8"/>
  <c r="BB40" i="8"/>
  <c r="O22" i="3"/>
  <c r="K22" i="3"/>
  <c r="K32" i="3"/>
  <c r="M31" i="3"/>
  <c r="N30" i="3"/>
  <c r="N22" i="3"/>
  <c r="O28" i="3"/>
  <c r="N23" i="3"/>
  <c r="M22" i="3"/>
  <c r="N24" i="3"/>
  <c r="K26" i="3"/>
  <c r="M38" i="3"/>
  <c r="L32" i="3"/>
  <c r="K28" i="3"/>
  <c r="M21" i="3"/>
  <c r="M27" i="3"/>
  <c r="K29" i="3"/>
  <c r="O32" i="3"/>
  <c r="O33" i="3"/>
  <c r="N36" i="3"/>
  <c r="N38" i="3"/>
  <c r="N37" i="3"/>
  <c r="M37" i="3"/>
  <c r="O37" i="3"/>
  <c r="K37" i="3"/>
  <c r="M36" i="3"/>
  <c r="L36" i="3"/>
  <c r="O36" i="3"/>
  <c r="J36" i="3" s="1"/>
  <c r="N34" i="3"/>
  <c r="M34" i="3"/>
  <c r="N33" i="3"/>
  <c r="M33" i="3"/>
  <c r="K33" i="3"/>
  <c r="N32" i="3"/>
  <c r="N28" i="3"/>
  <c r="L28" i="3"/>
  <c r="N29" i="3"/>
  <c r="N26" i="3"/>
  <c r="O26" i="3"/>
  <c r="M26" i="3"/>
  <c r="L35" i="3"/>
  <c r="L31" i="3"/>
  <c r="L27" i="3"/>
  <c r="L38" i="3"/>
  <c r="O35" i="3"/>
  <c r="K35" i="3"/>
  <c r="L34" i="3"/>
  <c r="O31" i="3"/>
  <c r="K31" i="3"/>
  <c r="L30" i="3"/>
  <c r="O27" i="3"/>
  <c r="K27" i="3"/>
  <c r="O38" i="3"/>
  <c r="J38" i="3" s="1"/>
  <c r="O34" i="3"/>
  <c r="J34" i="3" s="1"/>
  <c r="O30" i="3"/>
  <c r="L25" i="3"/>
  <c r="M24" i="3"/>
  <c r="O25" i="3"/>
  <c r="K25" i="3"/>
  <c r="L24" i="3"/>
  <c r="M25" i="3"/>
  <c r="O24" i="3"/>
  <c r="J24" i="3" s="1"/>
  <c r="N21" i="3"/>
  <c r="L21" i="3"/>
  <c r="J21" i="3" s="1"/>
  <c r="O21" i="3"/>
  <c r="D106" i="6"/>
  <c r="D103" i="6"/>
  <c r="D100" i="6"/>
  <c r="D97" i="6"/>
  <c r="D94" i="6"/>
  <c r="C106" i="6"/>
  <c r="C103" i="6"/>
  <c r="C100" i="6"/>
  <c r="C97" i="6"/>
  <c r="C94" i="6"/>
  <c r="AG114" i="8" l="1"/>
  <c r="N112" i="6" s="1"/>
  <c r="M112" i="6"/>
  <c r="X88" i="8"/>
  <c r="AA91" i="8"/>
  <c r="X91" i="8"/>
  <c r="AT89" i="8"/>
  <c r="AT90" i="8" s="1"/>
  <c r="AA88" i="8"/>
  <c r="Y90" i="8"/>
  <c r="AR89" i="8"/>
  <c r="AR90" i="8" s="1"/>
  <c r="AR92" i="8"/>
  <c r="AR93" i="8" s="1"/>
  <c r="Z91" i="8"/>
  <c r="AC92" i="8" s="1"/>
  <c r="AE92" i="8" s="1"/>
  <c r="Z88" i="8"/>
  <c r="AC89" i="8" s="1"/>
  <c r="AE89" i="8" s="1"/>
  <c r="AA194" i="8"/>
  <c r="AA191" i="8"/>
  <c r="AC191" i="8"/>
  <c r="AE191" i="8" s="1"/>
  <c r="AZ191" i="8" s="1"/>
  <c r="AA188" i="8"/>
  <c r="X190" i="8"/>
  <c r="Y188" i="8"/>
  <c r="AC188" i="8" s="1"/>
  <c r="AE188" i="8" s="1"/>
  <c r="AF188" i="8" s="1"/>
  <c r="AG188" i="8" s="1"/>
  <c r="AT189" i="8"/>
  <c r="AT190" i="8" s="1"/>
  <c r="X185" i="8"/>
  <c r="AA185" i="8"/>
  <c r="AT186" i="8"/>
  <c r="AT187" i="8" s="1"/>
  <c r="AR186" i="8"/>
  <c r="AR187" i="8" s="1"/>
  <c r="AA182" i="8"/>
  <c r="X182" i="8"/>
  <c r="AT183" i="8"/>
  <c r="AT184" i="8" s="1"/>
  <c r="AR183" i="8"/>
  <c r="AR184" i="8" s="1"/>
  <c r="AQ183" i="8"/>
  <c r="AC182" i="8"/>
  <c r="AE182" i="8" s="1"/>
  <c r="AF182" i="8" s="1"/>
  <c r="AG182" i="8" s="1"/>
  <c r="AC179" i="8"/>
  <c r="AE179" i="8" s="1"/>
  <c r="AA176" i="8"/>
  <c r="AV175" i="8"/>
  <c r="AA85" i="8"/>
  <c r="Z86" i="8"/>
  <c r="AC86" i="8" s="1"/>
  <c r="AE86" i="8" s="1"/>
  <c r="AV86" i="8"/>
  <c r="AV87" i="8" s="1"/>
  <c r="AC85" i="8"/>
  <c r="AE85" i="8" s="1"/>
  <c r="X80" i="8"/>
  <c r="Z80" i="8"/>
  <c r="AC80" i="8" s="1"/>
  <c r="AE80" i="8" s="1"/>
  <c r="AC79" i="8"/>
  <c r="AE79" i="8" s="1"/>
  <c r="Y79" i="8"/>
  <c r="AA79" i="8"/>
  <c r="Z79" i="8"/>
  <c r="X76" i="8"/>
  <c r="AA76" i="8"/>
  <c r="AA73" i="8"/>
  <c r="Z74" i="8"/>
  <c r="AQ74" i="8"/>
  <c r="AQ75" i="8" s="1"/>
  <c r="AC73" i="8"/>
  <c r="AE73" i="8" s="1"/>
  <c r="X73" i="8"/>
  <c r="Z73" i="8"/>
  <c r="Y171" i="8"/>
  <c r="AC170" i="8" s="1"/>
  <c r="AE170" i="8" s="1"/>
  <c r="X171" i="8"/>
  <c r="AA170" i="8"/>
  <c r="AA167" i="8"/>
  <c r="X168" i="8"/>
  <c r="AC167" i="8"/>
  <c r="AE167" i="8" s="1"/>
  <c r="AF167" i="8" s="1"/>
  <c r="AG167" i="8" s="1"/>
  <c r="AT165" i="8"/>
  <c r="AT166" i="8" s="1"/>
  <c r="X163" i="8"/>
  <c r="AC161" i="8"/>
  <c r="AE161" i="8" s="1"/>
  <c r="AZ161" i="8" s="1"/>
  <c r="X161" i="8"/>
  <c r="AA161" i="8"/>
  <c r="AC158" i="8"/>
  <c r="AE158" i="8" s="1"/>
  <c r="AZ158" i="8" s="1"/>
  <c r="AV160" i="8"/>
  <c r="AQ159" i="8"/>
  <c r="AQ160" i="8" s="1"/>
  <c r="AC155" i="8"/>
  <c r="AE155" i="8" s="1"/>
  <c r="AF155" i="8" s="1"/>
  <c r="AG155" i="8" s="1"/>
  <c r="AV156" i="8"/>
  <c r="AA155" i="8"/>
  <c r="X155" i="8"/>
  <c r="AQ156" i="8"/>
  <c r="AQ157" i="8" s="1"/>
  <c r="Y69" i="8"/>
  <c r="AC67" i="8" s="1"/>
  <c r="AE67" i="8" s="1"/>
  <c r="X69" i="8"/>
  <c r="AV69" i="8"/>
  <c r="X67" i="8"/>
  <c r="Z68" i="8"/>
  <c r="Z70" i="8"/>
  <c r="AT72" i="8"/>
  <c r="AR68" i="8"/>
  <c r="AR69" i="8" s="1"/>
  <c r="Z67" i="8"/>
  <c r="AC68" i="8" s="1"/>
  <c r="AE68" i="8" s="1"/>
  <c r="AR147" i="8"/>
  <c r="AR148" i="8" s="1"/>
  <c r="AQ147" i="8"/>
  <c r="AQ148" i="8" s="1"/>
  <c r="AA146" i="8"/>
  <c r="AR150" i="8"/>
  <c r="AR151" i="8" s="1"/>
  <c r="AC143" i="8"/>
  <c r="AE143" i="8" s="1"/>
  <c r="AF143" i="8" s="1"/>
  <c r="AG143" i="8" s="1"/>
  <c r="AC140" i="8"/>
  <c r="AE140" i="8" s="1"/>
  <c r="AZ140" i="8" s="1"/>
  <c r="AA140" i="8"/>
  <c r="AQ141" i="8"/>
  <c r="AQ142" i="8" s="1"/>
  <c r="AR144" i="8"/>
  <c r="AR145" i="8" s="1"/>
  <c r="AA143" i="8"/>
  <c r="AC149" i="8"/>
  <c r="AE149" i="8" s="1"/>
  <c r="AF149" i="8" s="1"/>
  <c r="AG149" i="8" s="1"/>
  <c r="X139" i="8"/>
  <c r="X64" i="8"/>
  <c r="Y64" i="8"/>
  <c r="AC64" i="8" s="1"/>
  <c r="AE64" i="8" s="1"/>
  <c r="AC65" i="8"/>
  <c r="AE65" i="8" s="1"/>
  <c r="AA58" i="8"/>
  <c r="AQ138" i="8"/>
  <c r="AQ139" i="8" s="1"/>
  <c r="AC137" i="8"/>
  <c r="AE137" i="8" s="1"/>
  <c r="AF137" i="8" s="1"/>
  <c r="AG137" i="8" s="1"/>
  <c r="AA137" i="8"/>
  <c r="AA134" i="8"/>
  <c r="AC134" i="8"/>
  <c r="AE134" i="8" s="1"/>
  <c r="AF134" i="8" s="1"/>
  <c r="AG134" i="8" s="1"/>
  <c r="Z55" i="8"/>
  <c r="X55" i="8"/>
  <c r="AA55" i="8"/>
  <c r="X56" i="8"/>
  <c r="X57" i="8"/>
  <c r="Z56" i="8"/>
  <c r="AR56" i="8"/>
  <c r="AR57" i="8" s="1"/>
  <c r="AS57" i="8" s="1"/>
  <c r="AQ56" i="8"/>
  <c r="AQ57" i="8" s="1"/>
  <c r="Z57" i="8"/>
  <c r="AA52" i="8"/>
  <c r="X50" i="8"/>
  <c r="Z51" i="8"/>
  <c r="X51" i="8"/>
  <c r="AA49" i="8"/>
  <c r="Y50" i="8"/>
  <c r="AC49" i="8" s="1"/>
  <c r="AE49" i="8" s="1"/>
  <c r="X49" i="8"/>
  <c r="Y46" i="8"/>
  <c r="AC46" i="8" s="1"/>
  <c r="AE46" i="8" s="1"/>
  <c r="AA43" i="8"/>
  <c r="X41" i="8"/>
  <c r="AR41" i="8"/>
  <c r="AR42" i="8" s="1"/>
  <c r="AA40" i="8"/>
  <c r="Z41" i="8"/>
  <c r="AC40" i="8"/>
  <c r="AE40" i="8" s="1"/>
  <c r="X119" i="8"/>
  <c r="AC119" i="8"/>
  <c r="AE119" i="8" s="1"/>
  <c r="AZ119" i="8" s="1"/>
  <c r="AT117" i="8"/>
  <c r="AT118" i="8" s="1"/>
  <c r="AC116" i="8"/>
  <c r="AE116" i="8" s="1"/>
  <c r="AZ116" i="8" s="1"/>
  <c r="AA116" i="8"/>
  <c r="AQ117" i="8"/>
  <c r="AQ118" i="8" s="1"/>
  <c r="AV115" i="8"/>
  <c r="X110" i="8"/>
  <c r="AA110" i="8"/>
  <c r="AC110" i="8"/>
  <c r="AE110" i="8" s="1"/>
  <c r="AF110" i="8" s="1"/>
  <c r="AG110" i="8" s="1"/>
  <c r="AR192" i="8"/>
  <c r="AR193" i="8" s="1"/>
  <c r="AQ184" i="8"/>
  <c r="AV183" i="8"/>
  <c r="AV184" i="8" s="1"/>
  <c r="AT180" i="8"/>
  <c r="AT181" i="8" s="1"/>
  <c r="AV180" i="8"/>
  <c r="AV181" i="8" s="1"/>
  <c r="AT168" i="8"/>
  <c r="AQ168" i="8"/>
  <c r="AQ169" i="8" s="1"/>
  <c r="AS169" i="8" s="1"/>
  <c r="AV165" i="8"/>
  <c r="AV166" i="8" s="1"/>
  <c r="AQ165" i="8"/>
  <c r="AQ166" i="8" s="1"/>
  <c r="AQ163" i="8"/>
  <c r="AT162" i="8"/>
  <c r="AT163" i="8" s="1"/>
  <c r="AT159" i="8"/>
  <c r="AT160" i="8" s="1"/>
  <c r="AT156" i="8"/>
  <c r="AT157" i="8" s="1"/>
  <c r="AV157" i="8"/>
  <c r="AV154" i="8"/>
  <c r="AT151" i="8"/>
  <c r="AT148" i="8"/>
  <c r="AR138" i="8"/>
  <c r="AR139" i="8" s="1"/>
  <c r="AV139" i="8"/>
  <c r="AT135" i="8"/>
  <c r="AT136" i="8" s="1"/>
  <c r="AV136" i="8"/>
  <c r="AR135" i="8"/>
  <c r="AR136" i="8" s="1"/>
  <c r="AQ135" i="8"/>
  <c r="AQ136" i="8" s="1"/>
  <c r="AC131" i="8"/>
  <c r="AE131" i="8" s="1"/>
  <c r="AZ131" i="8" s="1"/>
  <c r="AQ129" i="8"/>
  <c r="AQ130" i="8" s="1"/>
  <c r="AZ113" i="8"/>
  <c r="Y93" i="8"/>
  <c r="AQ89" i="8"/>
  <c r="AQ90" i="8" s="1"/>
  <c r="AR77" i="8"/>
  <c r="AR78" i="8" s="1"/>
  <c r="AS78" i="8" s="1"/>
  <c r="AU78" i="8" s="1"/>
  <c r="AW78" i="8" s="1"/>
  <c r="AX76" i="8" s="1"/>
  <c r="Y76" i="8"/>
  <c r="AC76" i="8" s="1"/>
  <c r="AE76" i="8" s="1"/>
  <c r="AV65" i="8"/>
  <c r="AV66" i="8" s="1"/>
  <c r="AV51" i="8"/>
  <c r="AV48" i="8"/>
  <c r="J22" i="3"/>
  <c r="J29" i="3"/>
  <c r="J30" i="3"/>
  <c r="J26" i="3"/>
  <c r="J23" i="3"/>
  <c r="AV63" i="8"/>
  <c r="AT80" i="8"/>
  <c r="AT81" i="8" s="1"/>
  <c r="AC91" i="8"/>
  <c r="AE91" i="8" s="1"/>
  <c r="AR81" i="8"/>
  <c r="AS81" i="8" s="1"/>
  <c r="AR124" i="8"/>
  <c r="AR120" i="8"/>
  <c r="AR121" i="8" s="1"/>
  <c r="AS121" i="8" s="1"/>
  <c r="AT120" i="8"/>
  <c r="AR162" i="8"/>
  <c r="AR163" i="8" s="1"/>
  <c r="AR166" i="8"/>
  <c r="AQ180" i="8"/>
  <c r="AQ181" i="8" s="1"/>
  <c r="AS181" i="8" s="1"/>
  <c r="AQ153" i="8"/>
  <c r="AQ154" i="8" s="1"/>
  <c r="AS154" i="8" s="1"/>
  <c r="AR190" i="8"/>
  <c r="AQ193" i="8"/>
  <c r="AR62" i="8"/>
  <c r="AR63" i="8" s="1"/>
  <c r="AS63" i="8" s="1"/>
  <c r="AR51" i="8"/>
  <c r="AR59" i="8"/>
  <c r="AR60" i="8" s="1"/>
  <c r="AC61" i="8"/>
  <c r="AE61" i="8" s="1"/>
  <c r="AC77" i="8"/>
  <c r="AE77" i="8" s="1"/>
  <c r="AQ86" i="8"/>
  <c r="AQ87" i="8" s="1"/>
  <c r="AS87" i="8" s="1"/>
  <c r="AU87" i="8" s="1"/>
  <c r="AW87" i="8" s="1"/>
  <c r="AX85" i="8" s="1"/>
  <c r="AV117" i="8"/>
  <c r="AV118" i="8" s="1"/>
  <c r="AV126" i="8"/>
  <c r="AV127" i="8" s="1"/>
  <c r="AT141" i="8"/>
  <c r="AT142" i="8" s="1"/>
  <c r="AT144" i="8"/>
  <c r="AT145" i="8" s="1"/>
  <c r="AV142" i="8"/>
  <c r="AR159" i="8"/>
  <c r="AR160" i="8" s="1"/>
  <c r="AQ189" i="8"/>
  <c r="AQ190" i="8" s="1"/>
  <c r="AV124" i="8"/>
  <c r="AC152" i="8"/>
  <c r="AE152" i="8" s="1"/>
  <c r="AZ152" i="8" s="1"/>
  <c r="AQ151" i="8"/>
  <c r="AT196" i="8"/>
  <c r="AQ47" i="8"/>
  <c r="AQ48" i="8" s="1"/>
  <c r="AR129" i="8"/>
  <c r="AR130" i="8" s="1"/>
  <c r="AS130" i="8" s="1"/>
  <c r="AQ144" i="8"/>
  <c r="AQ145" i="8" s="1"/>
  <c r="AV169" i="8"/>
  <c r="AV172" i="8"/>
  <c r="AR178" i="8"/>
  <c r="AS178" i="8" s="1"/>
  <c r="AU178" i="8" s="1"/>
  <c r="AW178" i="8" s="1"/>
  <c r="AX176" i="8" s="1"/>
  <c r="AF173" i="8"/>
  <c r="AG173" i="8" s="1"/>
  <c r="AZ173" i="8"/>
  <c r="AF176" i="8"/>
  <c r="AG176" i="8" s="1"/>
  <c r="AZ176" i="8"/>
  <c r="AF179" i="8"/>
  <c r="AG179" i="8" s="1"/>
  <c r="AZ179" i="8"/>
  <c r="AF164" i="8"/>
  <c r="AG164" i="8" s="1"/>
  <c r="AZ164" i="8"/>
  <c r="AF161" i="8"/>
  <c r="AG161" i="8" s="1"/>
  <c r="AF158" i="8"/>
  <c r="AG158" i="8" s="1"/>
  <c r="AQ171" i="8"/>
  <c r="AQ172" i="8" s="1"/>
  <c r="AS172" i="8" s="1"/>
  <c r="AQ174" i="8"/>
  <c r="AQ175" i="8" s="1"/>
  <c r="AT192" i="8"/>
  <c r="AT193" i="8" s="1"/>
  <c r="AT169" i="8"/>
  <c r="AR156" i="8"/>
  <c r="AR157" i="8" s="1"/>
  <c r="AT153" i="8"/>
  <c r="AT154" i="8" s="1"/>
  <c r="AV189" i="8"/>
  <c r="AV190" i="8" s="1"/>
  <c r="AS196" i="8"/>
  <c r="AF194" i="8"/>
  <c r="AG194" i="8" s="1"/>
  <c r="AZ194" i="8"/>
  <c r="AR174" i="8"/>
  <c r="AR175" i="8" s="1"/>
  <c r="AT171" i="8"/>
  <c r="AT172" i="8" s="1"/>
  <c r="AT174" i="8"/>
  <c r="AT175" i="8" s="1"/>
  <c r="AF185" i="8"/>
  <c r="AG185" i="8" s="1"/>
  <c r="AZ185" i="8"/>
  <c r="AQ187" i="8"/>
  <c r="AF146" i="8"/>
  <c r="AG146" i="8" s="1"/>
  <c r="AZ146" i="8"/>
  <c r="AZ143" i="8"/>
  <c r="AF128" i="8"/>
  <c r="AG128" i="8" s="1"/>
  <c r="AZ128" i="8"/>
  <c r="AT129" i="8"/>
  <c r="AT130" i="8" s="1"/>
  <c r="AR132" i="8"/>
  <c r="AR133" i="8" s="1"/>
  <c r="AS133" i="8" s="1"/>
  <c r="AU133" i="8" s="1"/>
  <c r="AW133" i="8" s="1"/>
  <c r="AX131" i="8" s="1"/>
  <c r="AR141" i="8"/>
  <c r="AR142" i="8" s="1"/>
  <c r="AT138" i="8"/>
  <c r="AT139" i="8" s="1"/>
  <c r="AU127" i="8"/>
  <c r="AF122" i="8"/>
  <c r="AG122" i="8" s="1"/>
  <c r="AZ122" i="8"/>
  <c r="AV120" i="8"/>
  <c r="AV121" i="8" s="1"/>
  <c r="AT121" i="8"/>
  <c r="AR118" i="8"/>
  <c r="AQ115" i="8"/>
  <c r="AS115" i="8" s="1"/>
  <c r="AU115" i="8" s="1"/>
  <c r="AF116" i="8"/>
  <c r="AG116" i="8" s="1"/>
  <c r="AQ111" i="8"/>
  <c r="AQ112" i="8" s="1"/>
  <c r="AT111" i="8"/>
  <c r="AT112" i="8" s="1"/>
  <c r="AQ127" i="8"/>
  <c r="AS127" i="8" s="1"/>
  <c r="AW127" i="8"/>
  <c r="AX125" i="8" s="1"/>
  <c r="AZ125" i="8"/>
  <c r="AF125" i="8"/>
  <c r="AG125" i="8" s="1"/>
  <c r="AR111" i="8"/>
  <c r="AR112" i="8" s="1"/>
  <c r="AQ123" i="8"/>
  <c r="AQ124" i="8" s="1"/>
  <c r="AT123" i="8"/>
  <c r="AT124" i="8" s="1"/>
  <c r="AT92" i="8"/>
  <c r="AT93" i="8" s="1"/>
  <c r="AC88" i="8"/>
  <c r="AE88" i="8" s="1"/>
  <c r="AC83" i="8"/>
  <c r="AE83" i="8" s="1"/>
  <c r="AS75" i="8"/>
  <c r="AU75" i="8" s="1"/>
  <c r="AW75" i="8" s="1"/>
  <c r="AX73" i="8" s="1"/>
  <c r="AC74" i="8"/>
  <c r="AE74" i="8" s="1"/>
  <c r="AR84" i="8"/>
  <c r="AQ83" i="8"/>
  <c r="AQ84" i="8" s="1"/>
  <c r="AQ92" i="8"/>
  <c r="AQ93" i="8" s="1"/>
  <c r="AQ53" i="8"/>
  <c r="AQ54" i="8" s="1"/>
  <c r="AV60" i="8"/>
  <c r="AQ41" i="8"/>
  <c r="AQ42" i="8" s="1"/>
  <c r="AV71" i="8"/>
  <c r="AV72" i="8" s="1"/>
  <c r="AV42" i="8"/>
  <c r="AC41" i="8"/>
  <c r="AE41" i="8" s="1"/>
  <c r="AT56" i="8"/>
  <c r="AT57" i="8" s="1"/>
  <c r="AR47" i="8"/>
  <c r="AR48" i="8" s="1"/>
  <c r="AQ50" i="8"/>
  <c r="AQ51" i="8" s="1"/>
  <c r="AQ65" i="8"/>
  <c r="AQ66" i="8" s="1"/>
  <c r="AT47" i="8"/>
  <c r="AT48" i="8" s="1"/>
  <c r="AV53" i="8"/>
  <c r="AV54" i="8" s="1"/>
  <c r="AV45" i="8"/>
  <c r="AR53" i="8"/>
  <c r="AR54" i="8" s="1"/>
  <c r="AT63" i="8"/>
  <c r="AC55" i="8"/>
  <c r="AE55" i="8" s="1"/>
  <c r="AC59" i="8"/>
  <c r="AE59" i="8" s="1"/>
  <c r="AC71" i="8"/>
  <c r="AE71" i="8" s="1"/>
  <c r="AZ70" i="8" s="1"/>
  <c r="AT65" i="8"/>
  <c r="AT66" i="8" s="1"/>
  <c r="AT53" i="8"/>
  <c r="AT54" i="8" s="1"/>
  <c r="AV56" i="8"/>
  <c r="AV57" i="8" s="1"/>
  <c r="AC53" i="8"/>
  <c r="AE53" i="8" s="1"/>
  <c r="AC44" i="8"/>
  <c r="AE44" i="8" s="1"/>
  <c r="AC43" i="8"/>
  <c r="AE43" i="8" s="1"/>
  <c r="AQ68" i="8"/>
  <c r="AQ69" i="8" s="1"/>
  <c r="AR71" i="8"/>
  <c r="AR72" i="8" s="1"/>
  <c r="AR44" i="8"/>
  <c r="AR45" i="8" s="1"/>
  <c r="AC58" i="8"/>
  <c r="AE58" i="8" s="1"/>
  <c r="AT60" i="8"/>
  <c r="AC47" i="8"/>
  <c r="AE47" i="8" s="1"/>
  <c r="AC62" i="8"/>
  <c r="AE62" i="8" s="1"/>
  <c r="AZ61" i="8" s="1"/>
  <c r="AC56" i="8"/>
  <c r="AE56" i="8" s="1"/>
  <c r="AQ59" i="8"/>
  <c r="AQ60" i="8" s="1"/>
  <c r="AC50" i="8"/>
  <c r="AE50" i="8" s="1"/>
  <c r="AT51" i="8"/>
  <c r="AC52" i="8"/>
  <c r="AE52" i="8" s="1"/>
  <c r="AQ44" i="8"/>
  <c r="AQ45" i="8" s="1"/>
  <c r="AQ72" i="8"/>
  <c r="AR65" i="8"/>
  <c r="AR66" i="8" s="1"/>
  <c r="AT68" i="8"/>
  <c r="AT69" i="8" s="1"/>
  <c r="AT45" i="8"/>
  <c r="J32" i="3"/>
  <c r="J27" i="3"/>
  <c r="J28" i="3"/>
  <c r="J25" i="3"/>
  <c r="J31" i="3"/>
  <c r="J33" i="3"/>
  <c r="J35" i="3"/>
  <c r="J37" i="3"/>
  <c r="N10" i="11"/>
  <c r="N11" i="11"/>
  <c r="N12" i="11"/>
  <c r="N13" i="11"/>
  <c r="N14" i="11"/>
  <c r="N16" i="11"/>
  <c r="N17" i="11"/>
  <c r="N18" i="11"/>
  <c r="G11" i="12" l="1"/>
  <c r="G17" i="12"/>
  <c r="G10" i="12"/>
  <c r="G13" i="12"/>
  <c r="G16" i="12"/>
  <c r="G14" i="12"/>
  <c r="AG195" i="8"/>
  <c r="N193" i="6" s="1"/>
  <c r="M193" i="6"/>
  <c r="AG189" i="8"/>
  <c r="N187" i="6" s="1"/>
  <c r="M187" i="6"/>
  <c r="AG186" i="8"/>
  <c r="N184" i="6" s="1"/>
  <c r="M184" i="6"/>
  <c r="AG183" i="8"/>
  <c r="N181" i="6" s="1"/>
  <c r="M181" i="6"/>
  <c r="AG180" i="8"/>
  <c r="N178" i="6" s="1"/>
  <c r="M178" i="6"/>
  <c r="AG177" i="8"/>
  <c r="N175" i="6" s="1"/>
  <c r="M175" i="6"/>
  <c r="AG174" i="8"/>
  <c r="N172" i="6" s="1"/>
  <c r="M172" i="6"/>
  <c r="AG168" i="8"/>
  <c r="N166" i="6" s="1"/>
  <c r="M166" i="6"/>
  <c r="AG165" i="8"/>
  <c r="N163" i="6" s="1"/>
  <c r="M163" i="6"/>
  <c r="AG162" i="8"/>
  <c r="N160" i="6" s="1"/>
  <c r="M160" i="6"/>
  <c r="AG159" i="8"/>
  <c r="N157" i="6" s="1"/>
  <c r="M157" i="6"/>
  <c r="AG156" i="8"/>
  <c r="N154" i="6" s="1"/>
  <c r="M154" i="6"/>
  <c r="AG150" i="8"/>
  <c r="N148" i="6" s="1"/>
  <c r="M148" i="6"/>
  <c r="AG147" i="8"/>
  <c r="N145" i="6" s="1"/>
  <c r="M145" i="6"/>
  <c r="AG144" i="8"/>
  <c r="N142" i="6" s="1"/>
  <c r="M142" i="6"/>
  <c r="AF140" i="8"/>
  <c r="AG140" i="8" s="1"/>
  <c r="AG138" i="8"/>
  <c r="N136" i="6" s="1"/>
  <c r="M136" i="6"/>
  <c r="AG135" i="8"/>
  <c r="N133" i="6" s="1"/>
  <c r="M133" i="6"/>
  <c r="AG129" i="8"/>
  <c r="N127" i="6" s="1"/>
  <c r="M127" i="6"/>
  <c r="AG126" i="8"/>
  <c r="N124" i="6" s="1"/>
  <c r="M124" i="6"/>
  <c r="AG123" i="8"/>
  <c r="N121" i="6" s="1"/>
  <c r="M121" i="6"/>
  <c r="AF119" i="8"/>
  <c r="AG119" i="8" s="1"/>
  <c r="AG117" i="8"/>
  <c r="N115" i="6" s="1"/>
  <c r="M115" i="6"/>
  <c r="AG111" i="8"/>
  <c r="N109" i="6" s="1"/>
  <c r="M109" i="6"/>
  <c r="AZ79" i="8"/>
  <c r="AS90" i="8"/>
  <c r="AU90" i="8" s="1"/>
  <c r="AW90" i="8" s="1"/>
  <c r="AX88" i="8" s="1"/>
  <c r="AS93" i="8"/>
  <c r="AU93" i="8" s="1"/>
  <c r="AW93" i="8" s="1"/>
  <c r="AX91" i="8" s="1"/>
  <c r="AU196" i="8"/>
  <c r="AW196" i="8" s="1"/>
  <c r="AX194" i="8" s="1"/>
  <c r="BA194" i="8" s="1"/>
  <c r="O193" i="6" s="1"/>
  <c r="AF191" i="8"/>
  <c r="AG191" i="8" s="1"/>
  <c r="AS193" i="8"/>
  <c r="AS190" i="8"/>
  <c r="AU190" i="8" s="1"/>
  <c r="AW190" i="8" s="1"/>
  <c r="AX188" i="8" s="1"/>
  <c r="AZ188" i="8"/>
  <c r="AS184" i="8"/>
  <c r="AU184" i="8" s="1"/>
  <c r="AW184" i="8" s="1"/>
  <c r="AX182" i="8" s="1"/>
  <c r="AZ182" i="8"/>
  <c r="AU181" i="8"/>
  <c r="AW181" i="8" s="1"/>
  <c r="AX179" i="8" s="1"/>
  <c r="BA179" i="8" s="1"/>
  <c r="O178" i="6" s="1"/>
  <c r="BA176" i="8"/>
  <c r="O175" i="6" s="1"/>
  <c r="AF85" i="8"/>
  <c r="AJ86" i="8" s="1"/>
  <c r="AZ85" i="8"/>
  <c r="BA85" i="8" s="1"/>
  <c r="O84" i="6" s="1"/>
  <c r="AU81" i="8"/>
  <c r="AW81" i="8" s="1"/>
  <c r="AX79" i="8" s="1"/>
  <c r="AF79" i="8"/>
  <c r="AK79" i="8" s="1"/>
  <c r="AF76" i="8"/>
  <c r="AJ77" i="8" s="1"/>
  <c r="AF170" i="8"/>
  <c r="AG170" i="8" s="1"/>
  <c r="AZ170" i="8"/>
  <c r="AZ167" i="8"/>
  <c r="AS166" i="8"/>
  <c r="AU166" i="8" s="1"/>
  <c r="AW166" i="8" s="1"/>
  <c r="AX164" i="8" s="1"/>
  <c r="BA164" i="8" s="1"/>
  <c r="O163" i="6" s="1"/>
  <c r="AS160" i="8"/>
  <c r="AS157" i="8"/>
  <c r="AU157" i="8" s="1"/>
  <c r="AW157" i="8" s="1"/>
  <c r="AX155" i="8" s="1"/>
  <c r="AZ155" i="8"/>
  <c r="AS69" i="8"/>
  <c r="AU69" i="8" s="1"/>
  <c r="AW69" i="8" s="1"/>
  <c r="AX67" i="8" s="1"/>
  <c r="AZ67" i="8"/>
  <c r="AF67" i="8"/>
  <c r="AI67" i="8" s="1"/>
  <c r="AS148" i="8"/>
  <c r="AU148" i="8" s="1"/>
  <c r="AW148" i="8" s="1"/>
  <c r="AX146" i="8" s="1"/>
  <c r="BA146" i="8" s="1"/>
  <c r="O145" i="6" s="1"/>
  <c r="AS151" i="8"/>
  <c r="AU151" i="8" s="1"/>
  <c r="AW151" i="8" s="1"/>
  <c r="AX149" i="8" s="1"/>
  <c r="AS142" i="8"/>
  <c r="AU142" i="8" s="1"/>
  <c r="AW142" i="8" s="1"/>
  <c r="AX140" i="8" s="1"/>
  <c r="BA140" i="8" s="1"/>
  <c r="O139" i="6" s="1"/>
  <c r="AS145" i="8"/>
  <c r="AZ149" i="8"/>
  <c r="AZ137" i="8"/>
  <c r="AZ64" i="8"/>
  <c r="AZ58" i="8"/>
  <c r="AZ134" i="8"/>
  <c r="AS136" i="8"/>
  <c r="AU136" i="8" s="1"/>
  <c r="AW136" i="8" s="1"/>
  <c r="AX134" i="8" s="1"/>
  <c r="AF131" i="8"/>
  <c r="AG131" i="8" s="1"/>
  <c r="AS45" i="8"/>
  <c r="AU45" i="8" s="1"/>
  <c r="AW45" i="8" s="1"/>
  <c r="AX43" i="8" s="1"/>
  <c r="AS42" i="8"/>
  <c r="AU42" i="8" s="1"/>
  <c r="AZ40" i="8"/>
  <c r="AU121" i="8"/>
  <c r="AW121" i="8" s="1"/>
  <c r="AX119" i="8" s="1"/>
  <c r="BA119" i="8" s="1"/>
  <c r="O118" i="6" s="1"/>
  <c r="AS118" i="8"/>
  <c r="AU118" i="8" s="1"/>
  <c r="AW118" i="8" s="1"/>
  <c r="AX116" i="8" s="1"/>
  <c r="BA116" i="8" s="1"/>
  <c r="O115" i="6" s="1"/>
  <c r="AW115" i="8"/>
  <c r="AX113" i="8" s="1"/>
  <c r="BA113" i="8" s="1"/>
  <c r="O112" i="6" s="1"/>
  <c r="AZ110" i="8"/>
  <c r="AS187" i="8"/>
  <c r="AU187" i="8" s="1"/>
  <c r="AW187" i="8" s="1"/>
  <c r="AX185" i="8" s="1"/>
  <c r="BA185" i="8" s="1"/>
  <c r="O184" i="6" s="1"/>
  <c r="AU169" i="8"/>
  <c r="AW169" i="8" s="1"/>
  <c r="AX167" i="8" s="1"/>
  <c r="AS163" i="8"/>
  <c r="AU163" i="8" s="1"/>
  <c r="AW163" i="8" s="1"/>
  <c r="AX161" i="8" s="1"/>
  <c r="BA161" i="8" s="1"/>
  <c r="O160" i="6" s="1"/>
  <c r="AU154" i="8"/>
  <c r="AW154" i="8" s="1"/>
  <c r="AX152" i="8" s="1"/>
  <c r="BA152" i="8" s="1"/>
  <c r="O151" i="6" s="1"/>
  <c r="AF152" i="8"/>
  <c r="AG152" i="8" s="1"/>
  <c r="AS139" i="8"/>
  <c r="AU139" i="8" s="1"/>
  <c r="AW139" i="8" s="1"/>
  <c r="AX137" i="8" s="1"/>
  <c r="BA131" i="8"/>
  <c r="O130" i="6" s="1"/>
  <c r="AS124" i="8"/>
  <c r="AU124" i="8" s="1"/>
  <c r="AW124" i="8" s="1"/>
  <c r="AX122" i="8" s="1"/>
  <c r="BA122" i="8" s="1"/>
  <c r="O121" i="6" s="1"/>
  <c r="AU63" i="8"/>
  <c r="AW63" i="8" s="1"/>
  <c r="AX61" i="8" s="1"/>
  <c r="BA61" i="8" s="1"/>
  <c r="O60" i="6" s="1"/>
  <c r="AS54" i="8"/>
  <c r="AU54" i="8" s="1"/>
  <c r="AW54" i="8" s="1"/>
  <c r="AX52" i="8" s="1"/>
  <c r="AS51" i="8"/>
  <c r="AU51" i="8" s="1"/>
  <c r="AW51" i="8" s="1"/>
  <c r="AX49" i="8" s="1"/>
  <c r="AZ46" i="8"/>
  <c r="AS48" i="8"/>
  <c r="AU48" i="8" s="1"/>
  <c r="AW48" i="8" s="1"/>
  <c r="AX46" i="8" s="1"/>
  <c r="AF43" i="8"/>
  <c r="AK43" i="8" s="1"/>
  <c r="BA125" i="8"/>
  <c r="O124" i="6" s="1"/>
  <c r="AF40" i="8"/>
  <c r="AI40" i="8" s="1"/>
  <c r="AU160" i="8"/>
  <c r="AW160" i="8" s="1"/>
  <c r="AX158" i="8" s="1"/>
  <c r="BA158" i="8" s="1"/>
  <c r="O157" i="6" s="1"/>
  <c r="AZ55" i="8"/>
  <c r="AW42" i="8"/>
  <c r="AX40" i="8" s="1"/>
  <c r="AZ88" i="8"/>
  <c r="AU172" i="8"/>
  <c r="AW172" i="8" s="1"/>
  <c r="AX170" i="8" s="1"/>
  <c r="AZ76" i="8"/>
  <c r="BA76" i="8" s="1"/>
  <c r="O75" i="6" s="1"/>
  <c r="AS60" i="8"/>
  <c r="AU60" i="8" s="1"/>
  <c r="AW60" i="8" s="1"/>
  <c r="AX58" i="8" s="1"/>
  <c r="AS66" i="8"/>
  <c r="AU66" i="8" s="1"/>
  <c r="AW66" i="8" s="1"/>
  <c r="AX64" i="8" s="1"/>
  <c r="AS112" i="8"/>
  <c r="AU112" i="8" s="1"/>
  <c r="AW112" i="8" s="1"/>
  <c r="AX110" i="8" s="1"/>
  <c r="AU130" i="8"/>
  <c r="AW130" i="8" s="1"/>
  <c r="AX128" i="8" s="1"/>
  <c r="AS175" i="8"/>
  <c r="AU175" i="8" s="1"/>
  <c r="AW175" i="8" s="1"/>
  <c r="AX173" i="8" s="1"/>
  <c r="BA173" i="8" s="1"/>
  <c r="O172" i="6" s="1"/>
  <c r="AU193" i="8"/>
  <c r="AW193" i="8" s="1"/>
  <c r="AX191" i="8" s="1"/>
  <c r="BA191" i="8" s="1"/>
  <c r="O190" i="6" s="1"/>
  <c r="BA128" i="8"/>
  <c r="O127" i="6" s="1"/>
  <c r="AU145" i="8"/>
  <c r="AW145" i="8" s="1"/>
  <c r="AX143" i="8" s="1"/>
  <c r="BA143" i="8" s="1"/>
  <c r="O142" i="6" s="1"/>
  <c r="AF82" i="8"/>
  <c r="AZ82" i="8"/>
  <c r="AF73" i="8"/>
  <c r="AF91" i="8"/>
  <c r="AZ91" i="8"/>
  <c r="AZ73" i="8"/>
  <c r="BA73" i="8" s="1"/>
  <c r="O72" i="6" s="1"/>
  <c r="AF88" i="8"/>
  <c r="AS84" i="8"/>
  <c r="AU84" i="8" s="1"/>
  <c r="AW84" i="8" s="1"/>
  <c r="AX82" i="8" s="1"/>
  <c r="AI76" i="8"/>
  <c r="AU57" i="8"/>
  <c r="AW57" i="8" s="1"/>
  <c r="AX55" i="8" s="1"/>
  <c r="AF58" i="8"/>
  <c r="AK58" i="8" s="1"/>
  <c r="AF46" i="8"/>
  <c r="AI47" i="8" s="1"/>
  <c r="AF70" i="8"/>
  <c r="AL70" i="8" s="1"/>
  <c r="AZ43" i="8"/>
  <c r="AF52" i="8"/>
  <c r="AI52" i="8" s="1"/>
  <c r="AS72" i="8"/>
  <c r="AU72" i="8" s="1"/>
  <c r="AW72" i="8" s="1"/>
  <c r="AX70" i="8" s="1"/>
  <c r="BA70" i="8" s="1"/>
  <c r="O69" i="6" s="1"/>
  <c r="AF64" i="8"/>
  <c r="AI64" i="8" s="1"/>
  <c r="AF61" i="8"/>
  <c r="AI61" i="8" s="1"/>
  <c r="AZ52" i="8"/>
  <c r="AF49" i="8"/>
  <c r="AI44" i="8"/>
  <c r="AF55" i="8"/>
  <c r="AZ49" i="8"/>
  <c r="E8" i="28"/>
  <c r="D8" i="28"/>
  <c r="C8" i="28"/>
  <c r="A6" i="28"/>
  <c r="J41" i="3"/>
  <c r="J42" i="3"/>
  <c r="J43" i="3"/>
  <c r="J44" i="3"/>
  <c r="J40" i="3"/>
  <c r="AG192" i="8" l="1"/>
  <c r="N190" i="6" s="1"/>
  <c r="M190" i="6"/>
  <c r="AG171" i="8"/>
  <c r="N169" i="6" s="1"/>
  <c r="M169" i="6"/>
  <c r="AG153" i="8"/>
  <c r="N151" i="6" s="1"/>
  <c r="M151" i="6"/>
  <c r="AG141" i="8"/>
  <c r="N139" i="6" s="1"/>
  <c r="M139" i="6"/>
  <c r="BA137" i="8"/>
  <c r="O136" i="6" s="1"/>
  <c r="AG132" i="8"/>
  <c r="N130" i="6" s="1"/>
  <c r="M130" i="6"/>
  <c r="AG120" i="8"/>
  <c r="N118" i="6" s="1"/>
  <c r="M118" i="6"/>
  <c r="BA110" i="8"/>
  <c r="O109" i="6" s="1"/>
  <c r="AI85" i="8"/>
  <c r="BA82" i="8"/>
  <c r="O81" i="6" s="1"/>
  <c r="BA79" i="8"/>
  <c r="O78" i="6" s="1"/>
  <c r="AI62" i="8"/>
  <c r="BA55" i="8"/>
  <c r="O54" i="6" s="1"/>
  <c r="BA40" i="8"/>
  <c r="O39" i="6" s="1"/>
  <c r="BA88" i="8"/>
  <c r="O87" i="6" s="1"/>
  <c r="BA188" i="8"/>
  <c r="O187" i="6" s="1"/>
  <c r="BA182" i="8"/>
  <c r="O181" i="6" s="1"/>
  <c r="AL85" i="8"/>
  <c r="AL86" i="8"/>
  <c r="AH86" i="8"/>
  <c r="AG86" i="8" s="1"/>
  <c r="N84" i="6" s="1"/>
  <c r="AK85" i="8"/>
  <c r="AK86" i="8"/>
  <c r="AJ85" i="8"/>
  <c r="AH85" i="8"/>
  <c r="AG85" i="8" s="1"/>
  <c r="M84" i="6" s="1"/>
  <c r="AI86" i="8"/>
  <c r="AH80" i="8"/>
  <c r="AG80" i="8" s="1"/>
  <c r="N78" i="6" s="1"/>
  <c r="AH79" i="8"/>
  <c r="AG79" i="8" s="1"/>
  <c r="M78" i="6" s="1"/>
  <c r="AI80" i="8"/>
  <c r="AL79" i="8"/>
  <c r="AJ80" i="8"/>
  <c r="AK80" i="8"/>
  <c r="AL80" i="8"/>
  <c r="AI79" i="8"/>
  <c r="AJ79" i="8"/>
  <c r="AK77" i="8"/>
  <c r="AI77" i="8"/>
  <c r="AJ76" i="8"/>
  <c r="AL76" i="8"/>
  <c r="AL77" i="8"/>
  <c r="AH76" i="8"/>
  <c r="AG76" i="8" s="1"/>
  <c r="M75" i="6" s="1"/>
  <c r="AH77" i="8"/>
  <c r="AK76" i="8"/>
  <c r="BA170" i="8"/>
  <c r="O169" i="6" s="1"/>
  <c r="BA167" i="8"/>
  <c r="O166" i="6" s="1"/>
  <c r="BA155" i="8"/>
  <c r="O154" i="6" s="1"/>
  <c r="BA67" i="8"/>
  <c r="O66" i="6" s="1"/>
  <c r="AK68" i="8"/>
  <c r="AL68" i="8"/>
  <c r="AK67" i="8"/>
  <c r="AJ67" i="8"/>
  <c r="AI68" i="8"/>
  <c r="AH68" i="8"/>
  <c r="AJ68" i="8"/>
  <c r="AH67" i="8"/>
  <c r="AG67" i="8" s="1"/>
  <c r="M66" i="6" s="1"/>
  <c r="AL67" i="8"/>
  <c r="BA149" i="8"/>
  <c r="O148" i="6" s="1"/>
  <c r="BA64" i="8"/>
  <c r="O63" i="6" s="1"/>
  <c r="BA58" i="8"/>
  <c r="O57" i="6" s="1"/>
  <c r="AL59" i="8"/>
  <c r="BA134" i="8"/>
  <c r="O133" i="6" s="1"/>
  <c r="BA46" i="8"/>
  <c r="O45" i="6" s="1"/>
  <c r="AJ47" i="8"/>
  <c r="AK44" i="8"/>
  <c r="AL40" i="8"/>
  <c r="AJ44" i="8"/>
  <c r="AJ43" i="8"/>
  <c r="AL43" i="8"/>
  <c r="AH44" i="8"/>
  <c r="AL44" i="8"/>
  <c r="AH43" i="8"/>
  <c r="AG43" i="8" s="1"/>
  <c r="M42" i="6" s="1"/>
  <c r="AI43" i="8"/>
  <c r="AH41" i="8"/>
  <c r="AK41" i="8"/>
  <c r="AI41" i="8"/>
  <c r="AJ59" i="8"/>
  <c r="AJ71" i="8"/>
  <c r="AK59" i="8"/>
  <c r="AK40" i="8"/>
  <c r="AH40" i="8"/>
  <c r="AJ41" i="8"/>
  <c r="AJ40" i="8"/>
  <c r="AL41" i="8"/>
  <c r="AL46" i="8"/>
  <c r="AL47" i="8"/>
  <c r="AH46" i="8"/>
  <c r="AK46" i="8"/>
  <c r="AJ58" i="8"/>
  <c r="AL58" i="8"/>
  <c r="AI58" i="8"/>
  <c r="AK64" i="8"/>
  <c r="AI59" i="8"/>
  <c r="AH59" i="8"/>
  <c r="BA43" i="8"/>
  <c r="O42" i="6" s="1"/>
  <c r="AI71" i="8"/>
  <c r="AH64" i="8"/>
  <c r="AG64" i="8" s="1"/>
  <c r="M63" i="6" s="1"/>
  <c r="AH58" i="8"/>
  <c r="AG58" i="8" s="1"/>
  <c r="M57" i="6" s="1"/>
  <c r="AI88" i="8"/>
  <c r="AJ89" i="8"/>
  <c r="AJ88" i="8"/>
  <c r="AK89" i="8"/>
  <c r="AH88" i="8"/>
  <c r="AL88" i="8"/>
  <c r="AI89" i="8"/>
  <c r="AL89" i="8"/>
  <c r="AK88" i="8"/>
  <c r="AH89" i="8"/>
  <c r="AI73" i="8"/>
  <c r="AJ74" i="8"/>
  <c r="AH73" i="8"/>
  <c r="AL73" i="8"/>
  <c r="AI74" i="8"/>
  <c r="AJ73" i="8"/>
  <c r="AK74" i="8"/>
  <c r="AK73" i="8"/>
  <c r="AL74" i="8"/>
  <c r="AH74" i="8"/>
  <c r="AG74" i="8" s="1"/>
  <c r="N72" i="6" s="1"/>
  <c r="BA91" i="8"/>
  <c r="O90" i="6" s="1"/>
  <c r="AI82" i="8"/>
  <c r="AJ83" i="8"/>
  <c r="AK82" i="8"/>
  <c r="AH83" i="8"/>
  <c r="AL82" i="8"/>
  <c r="AI83" i="8"/>
  <c r="AJ82" i="8"/>
  <c r="AL83" i="8"/>
  <c r="AH82" i="8"/>
  <c r="AK83" i="8"/>
  <c r="AI91" i="8"/>
  <c r="AJ92" i="8"/>
  <c r="AH91" i="8"/>
  <c r="AL91" i="8"/>
  <c r="AI92" i="8"/>
  <c r="AK91" i="8"/>
  <c r="AH92" i="8"/>
  <c r="AK92" i="8"/>
  <c r="AJ91" i="8"/>
  <c r="AL92" i="8"/>
  <c r="AL71" i="8"/>
  <c r="AJ70" i="8"/>
  <c r="AK70" i="8"/>
  <c r="AH71" i="8"/>
  <c r="AK71" i="8"/>
  <c r="AI70" i="8"/>
  <c r="AK52" i="8"/>
  <c r="AH70" i="8"/>
  <c r="AK62" i="8"/>
  <c r="AH47" i="8"/>
  <c r="AI53" i="8"/>
  <c r="BA52" i="8"/>
  <c r="O51" i="6" s="1"/>
  <c r="AJ61" i="8"/>
  <c r="AJ52" i="8"/>
  <c r="AL62" i="8"/>
  <c r="AH62" i="8"/>
  <c r="AJ62" i="8"/>
  <c r="AK47" i="8"/>
  <c r="AI46" i="8"/>
  <c r="AL53" i="8"/>
  <c r="AJ53" i="8"/>
  <c r="AH52" i="8"/>
  <c r="AG52" i="8" s="1"/>
  <c r="M51" i="6" s="1"/>
  <c r="AL61" i="8"/>
  <c r="AH53" i="8"/>
  <c r="AL52" i="8"/>
  <c r="AK61" i="8"/>
  <c r="AH61" i="8"/>
  <c r="AJ46" i="8"/>
  <c r="BA49" i="8"/>
  <c r="O48" i="6" s="1"/>
  <c r="AK53" i="8"/>
  <c r="AJ65" i="8"/>
  <c r="AI65" i="8"/>
  <c r="AK65" i="8"/>
  <c r="AH65" i="8"/>
  <c r="AG65" i="8" s="1"/>
  <c r="N63" i="6" s="1"/>
  <c r="AL65" i="8"/>
  <c r="AJ64" i="8"/>
  <c r="AL64" i="8"/>
  <c r="AH55" i="8"/>
  <c r="AG55" i="8" s="1"/>
  <c r="M54" i="6" s="1"/>
  <c r="AL55" i="8"/>
  <c r="AI56" i="8"/>
  <c r="AK55" i="8"/>
  <c r="AL56" i="8"/>
  <c r="AJ55" i="8"/>
  <c r="AK56" i="8"/>
  <c r="AI55" i="8"/>
  <c r="AH56" i="8"/>
  <c r="AG56" i="8" s="1"/>
  <c r="N54" i="6" s="1"/>
  <c r="AJ56" i="8"/>
  <c r="AH49" i="8"/>
  <c r="AL49" i="8"/>
  <c r="AI50" i="8"/>
  <c r="AK49" i="8"/>
  <c r="AL50" i="8"/>
  <c r="AJ49" i="8"/>
  <c r="AK50" i="8"/>
  <c r="AI49" i="8"/>
  <c r="AJ50" i="8"/>
  <c r="AH50" i="8"/>
  <c r="AG50" i="8" s="1"/>
  <c r="N48" i="6" s="1"/>
  <c r="A6" i="27"/>
  <c r="AG92" i="8" l="1"/>
  <c r="N90" i="6" s="1"/>
  <c r="AG91" i="8"/>
  <c r="M90" i="6" s="1"/>
  <c r="AG88" i="8"/>
  <c r="M87" i="6" s="1"/>
  <c r="AG89" i="8"/>
  <c r="N87" i="6" s="1"/>
  <c r="AG83" i="8"/>
  <c r="N81" i="6" s="1"/>
  <c r="AG82" i="8"/>
  <c r="M81" i="6" s="1"/>
  <c r="AG77" i="8"/>
  <c r="N75" i="6" s="1"/>
  <c r="AG73" i="8"/>
  <c r="M72" i="6" s="1"/>
  <c r="AG70" i="8"/>
  <c r="M69" i="6" s="1"/>
  <c r="AG71" i="8"/>
  <c r="N69" i="6" s="1"/>
  <c r="AG68" i="8"/>
  <c r="N66" i="6" s="1"/>
  <c r="AG62" i="8"/>
  <c r="N60" i="6" s="1"/>
  <c r="AG61" i="8"/>
  <c r="M60" i="6" s="1"/>
  <c r="AG59" i="8"/>
  <c r="N57" i="6" s="1"/>
  <c r="AG41" i="8"/>
  <c r="N39" i="6" s="1"/>
  <c r="AG40" i="8"/>
  <c r="M39" i="6" s="1"/>
  <c r="AG44" i="8"/>
  <c r="N42" i="6" s="1"/>
  <c r="AG47" i="8"/>
  <c r="N45" i="6" s="1"/>
  <c r="AG49" i="8"/>
  <c r="M48" i="6" s="1"/>
  <c r="AG53" i="8"/>
  <c r="N51" i="6" s="1"/>
  <c r="AG46" i="8"/>
  <c r="M45" i="6" s="1"/>
  <c r="A6" i="26"/>
  <c r="A15" i="25"/>
  <c r="A14" i="25"/>
  <c r="B13" i="25"/>
  <c r="A13" i="25"/>
  <c r="B12" i="25"/>
  <c r="A12" i="25"/>
  <c r="B11" i="25"/>
  <c r="A11" i="25"/>
  <c r="B10" i="25"/>
  <c r="A10" i="25"/>
  <c r="E8" i="25"/>
  <c r="D8" i="25"/>
  <c r="C8" i="25"/>
  <c r="A6" i="25"/>
  <c r="A44" i="24"/>
  <c r="A43" i="24"/>
  <c r="B13" i="24"/>
  <c r="A13" i="24"/>
  <c r="B12" i="24"/>
  <c r="A12" i="24"/>
  <c r="B11" i="24"/>
  <c r="A11" i="24"/>
  <c r="B10" i="24"/>
  <c r="A10" i="24"/>
  <c r="B9" i="24"/>
  <c r="A9" i="24"/>
  <c r="E8" i="24"/>
  <c r="D8" i="24"/>
  <c r="C8" i="24"/>
  <c r="A6" i="24"/>
  <c r="B8" i="18" l="1"/>
  <c r="B8" i="21"/>
  <c r="A44" i="23"/>
  <c r="A43" i="23"/>
  <c r="A10" i="23"/>
  <c r="B10" i="23"/>
  <c r="A11" i="23"/>
  <c r="B11" i="23"/>
  <c r="A12" i="23"/>
  <c r="B12" i="23"/>
  <c r="A13" i="23"/>
  <c r="B13" i="23"/>
  <c r="B9" i="23"/>
  <c r="A9" i="23"/>
  <c r="E8" i="23"/>
  <c r="D8" i="23"/>
  <c r="C8" i="23"/>
  <c r="A6" i="23"/>
  <c r="A112" i="22"/>
  <c r="A111" i="22"/>
  <c r="A6" i="22" l="1"/>
  <c r="A20" i="21"/>
  <c r="A19" i="21"/>
  <c r="B18" i="21"/>
  <c r="A18" i="21"/>
  <c r="B17" i="21"/>
  <c r="A17" i="21"/>
  <c r="B16" i="21"/>
  <c r="A16" i="21"/>
  <c r="B15" i="21"/>
  <c r="A15" i="21"/>
  <c r="B14" i="21"/>
  <c r="A14" i="21"/>
  <c r="B13" i="21"/>
  <c r="A13" i="21"/>
  <c r="B12" i="21"/>
  <c r="A12" i="21"/>
  <c r="B11" i="21"/>
  <c r="A11" i="21"/>
  <c r="B10" i="21"/>
  <c r="A10" i="21"/>
  <c r="E8" i="21"/>
  <c r="D8" i="21"/>
  <c r="C8" i="21"/>
  <c r="A6" i="21"/>
  <c r="AH109" i="11" l="1"/>
  <c r="K23" i="22" s="1"/>
  <c r="X109" i="11"/>
  <c r="N109" i="11"/>
  <c r="G23" i="22" s="1"/>
  <c r="H109" i="11"/>
  <c r="G109" i="11"/>
  <c r="F109" i="11"/>
  <c r="E109" i="11"/>
  <c r="D23" i="22" s="1"/>
  <c r="AH108" i="11"/>
  <c r="K22" i="22" s="1"/>
  <c r="X108" i="11"/>
  <c r="N108" i="11"/>
  <c r="G22" i="22" s="1"/>
  <c r="H108" i="11"/>
  <c r="G108" i="11"/>
  <c r="F108" i="11"/>
  <c r="E108" i="11"/>
  <c r="D22" i="22" s="1"/>
  <c r="AH107" i="11"/>
  <c r="K21" i="22" s="1"/>
  <c r="X107" i="11"/>
  <c r="N107" i="11"/>
  <c r="G21" i="22" s="1"/>
  <c r="H107" i="11"/>
  <c r="G107" i="11"/>
  <c r="F107" i="11"/>
  <c r="E107" i="11"/>
  <c r="D21" i="22" s="1"/>
  <c r="AH106" i="11"/>
  <c r="K20" i="22" s="1"/>
  <c r="X106" i="11"/>
  <c r="N106" i="11"/>
  <c r="G20" i="22" s="1"/>
  <c r="H106" i="11"/>
  <c r="G106" i="11"/>
  <c r="F106" i="11"/>
  <c r="E106" i="11"/>
  <c r="D20" i="22" s="1"/>
  <c r="AH105" i="11"/>
  <c r="K19" i="22" s="1"/>
  <c r="X105" i="11"/>
  <c r="N105" i="11"/>
  <c r="G19" i="22" s="1"/>
  <c r="H105" i="11"/>
  <c r="G105" i="11"/>
  <c r="E19" i="22" s="1"/>
  <c r="F105" i="11"/>
  <c r="E105" i="11"/>
  <c r="D19" i="22" s="1"/>
  <c r="AH104" i="11"/>
  <c r="K18" i="22" s="1"/>
  <c r="X104" i="11"/>
  <c r="N104" i="11"/>
  <c r="G18" i="22" s="1"/>
  <c r="H104" i="11"/>
  <c r="G104" i="11"/>
  <c r="F104" i="11"/>
  <c r="E104" i="11"/>
  <c r="D18" i="22" s="1"/>
  <c r="AH103" i="11"/>
  <c r="K17" i="22" s="1"/>
  <c r="X103" i="11"/>
  <c r="N103" i="11"/>
  <c r="G17" i="22" s="1"/>
  <c r="H103" i="11"/>
  <c r="G103" i="11"/>
  <c r="F103" i="11"/>
  <c r="E103" i="11"/>
  <c r="D17" i="22" s="1"/>
  <c r="AH102" i="11"/>
  <c r="K16" i="22" s="1"/>
  <c r="X102" i="11"/>
  <c r="N102" i="11"/>
  <c r="G16" i="22" s="1"/>
  <c r="H102" i="11"/>
  <c r="G102" i="11"/>
  <c r="F102" i="11"/>
  <c r="E102" i="11"/>
  <c r="D16" i="22" s="1"/>
  <c r="AH101" i="11"/>
  <c r="K15" i="22" s="1"/>
  <c r="X101" i="11"/>
  <c r="N101" i="11"/>
  <c r="G15" i="22" s="1"/>
  <c r="H101" i="11"/>
  <c r="G101" i="11"/>
  <c r="F101" i="11"/>
  <c r="E101" i="11"/>
  <c r="D15" i="22" s="1"/>
  <c r="AH100" i="11"/>
  <c r="K14" i="22" s="1"/>
  <c r="X100" i="11"/>
  <c r="N100" i="11"/>
  <c r="G14" i="22" s="1"/>
  <c r="H100" i="11"/>
  <c r="G100" i="11"/>
  <c r="F100" i="11"/>
  <c r="E100" i="11"/>
  <c r="D14" i="22" s="1"/>
  <c r="AH99" i="11"/>
  <c r="K13" i="22" s="1"/>
  <c r="X99" i="11"/>
  <c r="N99" i="11"/>
  <c r="G13" i="22" s="1"/>
  <c r="H99" i="11"/>
  <c r="G99" i="11"/>
  <c r="F99" i="11"/>
  <c r="E99" i="11"/>
  <c r="D13" i="22" s="1"/>
  <c r="AH98" i="11"/>
  <c r="H98" i="11"/>
  <c r="G98" i="11"/>
  <c r="F98" i="11"/>
  <c r="X98" i="11" s="1"/>
  <c r="E98" i="11"/>
  <c r="D12" i="22" s="1"/>
  <c r="AH97" i="11"/>
  <c r="X97" i="11"/>
  <c r="N97" i="11"/>
  <c r="H97" i="11"/>
  <c r="G97" i="11"/>
  <c r="F97" i="11"/>
  <c r="E97" i="11"/>
  <c r="D11" i="22" s="1"/>
  <c r="AH96" i="11"/>
  <c r="K10" i="22" s="1"/>
  <c r="X96" i="11"/>
  <c r="N96" i="11"/>
  <c r="G10" i="22" s="1"/>
  <c r="H96" i="11"/>
  <c r="G96" i="11"/>
  <c r="F96" i="11"/>
  <c r="E96" i="11"/>
  <c r="D10" i="22" s="1"/>
  <c r="AH95" i="11"/>
  <c r="X95" i="11"/>
  <c r="H95" i="11"/>
  <c r="G95" i="11"/>
  <c r="F95" i="11"/>
  <c r="N95" i="11" s="1"/>
  <c r="E95" i="11"/>
  <c r="D9" i="22" s="1"/>
  <c r="A94" i="11"/>
  <c r="J108" i="13"/>
  <c r="E108" i="13"/>
  <c r="D108" i="13"/>
  <c r="D109" i="11" s="1"/>
  <c r="C23" i="22" s="1"/>
  <c r="C108" i="13"/>
  <c r="J107" i="13"/>
  <c r="E107" i="13"/>
  <c r="D107" i="13"/>
  <c r="D108" i="11" s="1"/>
  <c r="C22" i="22" s="1"/>
  <c r="C107" i="13"/>
  <c r="J106" i="13"/>
  <c r="E106" i="13"/>
  <c r="D106" i="13"/>
  <c r="D107" i="11" s="1"/>
  <c r="C21" i="22" s="1"/>
  <c r="C106" i="13"/>
  <c r="J105" i="13"/>
  <c r="E105" i="13"/>
  <c r="D105" i="13"/>
  <c r="D106" i="11" s="1"/>
  <c r="C20" i="22" s="1"/>
  <c r="C105" i="13"/>
  <c r="J104" i="13"/>
  <c r="E104" i="13"/>
  <c r="D104" i="13"/>
  <c r="D105" i="11" s="1"/>
  <c r="C19" i="22" s="1"/>
  <c r="C104" i="13"/>
  <c r="J103" i="13"/>
  <c r="E103" i="13"/>
  <c r="D103" i="13"/>
  <c r="D104" i="11" s="1"/>
  <c r="C18" i="22" s="1"/>
  <c r="C103" i="13"/>
  <c r="J102" i="13"/>
  <c r="E102" i="13"/>
  <c r="D102" i="13"/>
  <c r="D103" i="11" s="1"/>
  <c r="C17" i="22" s="1"/>
  <c r="C102" i="13"/>
  <c r="J101" i="13"/>
  <c r="E101" i="13"/>
  <c r="D101" i="13"/>
  <c r="D102" i="11" s="1"/>
  <c r="C16" i="22" s="1"/>
  <c r="C101" i="13"/>
  <c r="J100" i="13"/>
  <c r="E100" i="13"/>
  <c r="D100" i="13"/>
  <c r="D101" i="11" s="1"/>
  <c r="C15" i="22" s="1"/>
  <c r="C100" i="13"/>
  <c r="J99" i="13"/>
  <c r="E99" i="13"/>
  <c r="D99" i="13"/>
  <c r="D100" i="11" s="1"/>
  <c r="C14" i="22" s="1"/>
  <c r="C99" i="13"/>
  <c r="J98" i="13"/>
  <c r="E98" i="13"/>
  <c r="D98" i="13"/>
  <c r="D99" i="11" s="1"/>
  <c r="C13" i="22" s="1"/>
  <c r="C98" i="13"/>
  <c r="J97" i="13"/>
  <c r="E97" i="13"/>
  <c r="D97" i="13"/>
  <c r="D98" i="11" s="1"/>
  <c r="C12" i="22" s="1"/>
  <c r="C97" i="13"/>
  <c r="J96" i="13"/>
  <c r="E96" i="13"/>
  <c r="D96" i="13"/>
  <c r="D97" i="11" s="1"/>
  <c r="C11" i="22" s="1"/>
  <c r="C96" i="13"/>
  <c r="J95" i="13"/>
  <c r="E95" i="13"/>
  <c r="D95" i="13"/>
  <c r="D96" i="11" s="1"/>
  <c r="C10" i="22" s="1"/>
  <c r="C95" i="13"/>
  <c r="J94" i="13"/>
  <c r="E94" i="13"/>
  <c r="D94" i="13"/>
  <c r="D95" i="11" s="1"/>
  <c r="C9" i="22" s="1"/>
  <c r="A93" i="13"/>
  <c r="I97" i="6"/>
  <c r="E106" i="6"/>
  <c r="E103" i="6"/>
  <c r="E100" i="6"/>
  <c r="E97" i="6"/>
  <c r="E94" i="6"/>
  <c r="K108" i="6"/>
  <c r="J108" i="6"/>
  <c r="K107" i="6"/>
  <c r="J107" i="6"/>
  <c r="K106" i="6"/>
  <c r="J106" i="6"/>
  <c r="K105" i="6"/>
  <c r="J105" i="6"/>
  <c r="K104" i="6"/>
  <c r="J104" i="6"/>
  <c r="K103" i="6"/>
  <c r="J103" i="6"/>
  <c r="K102" i="6"/>
  <c r="J102" i="6"/>
  <c r="K101" i="6"/>
  <c r="J101" i="6"/>
  <c r="K100" i="6"/>
  <c r="J100" i="6"/>
  <c r="K99" i="6"/>
  <c r="J99" i="6"/>
  <c r="K98" i="6"/>
  <c r="J98" i="6"/>
  <c r="K97" i="6"/>
  <c r="J97" i="6"/>
  <c r="AD107" i="8"/>
  <c r="AD104" i="8"/>
  <c r="AD101" i="8"/>
  <c r="B104" i="8"/>
  <c r="B107" i="8"/>
  <c r="B106" i="6" s="1"/>
  <c r="B106" i="13" s="1"/>
  <c r="B107" i="11" s="1"/>
  <c r="B21" i="22" s="1"/>
  <c r="A107" i="8"/>
  <c r="A106" i="6" s="1"/>
  <c r="A106" i="13" s="1"/>
  <c r="A107" i="11" s="1"/>
  <c r="A21" i="22" s="1"/>
  <c r="A104" i="8"/>
  <c r="A103" i="6" s="1"/>
  <c r="A103" i="13" s="1"/>
  <c r="A104" i="11" s="1"/>
  <c r="A18" i="22" s="1"/>
  <c r="AP109" i="8"/>
  <c r="X109" i="8"/>
  <c r="W109" i="8"/>
  <c r="V109" i="8"/>
  <c r="T109" i="8"/>
  <c r="BF109" i="8" s="1"/>
  <c r="R109" i="8"/>
  <c r="P109" i="8"/>
  <c r="N109" i="8"/>
  <c r="BM109" i="8" s="1"/>
  <c r="L109" i="8"/>
  <c r="BB109" i="8" s="1"/>
  <c r="J109" i="8"/>
  <c r="I109" i="8"/>
  <c r="G109" i="8"/>
  <c r="E109" i="8"/>
  <c r="V108" i="8"/>
  <c r="T108" i="8"/>
  <c r="R108" i="8"/>
  <c r="P108" i="8"/>
  <c r="N108" i="8"/>
  <c r="BM108" i="8" s="1"/>
  <c r="L108" i="8"/>
  <c r="J108" i="8"/>
  <c r="I108" i="8"/>
  <c r="G108" i="8"/>
  <c r="E108" i="8"/>
  <c r="V107" i="8"/>
  <c r="T107" i="8"/>
  <c r="R107" i="8"/>
  <c r="P107" i="8"/>
  <c r="N107" i="8"/>
  <c r="BK107" i="8" s="1"/>
  <c r="L107" i="8"/>
  <c r="J107" i="8"/>
  <c r="I107" i="8"/>
  <c r="G107" i="8"/>
  <c r="E107" i="8"/>
  <c r="BM106" i="8"/>
  <c r="BJ106" i="8"/>
  <c r="BI106" i="8"/>
  <c r="X106" i="8"/>
  <c r="W106" i="8"/>
  <c r="V106" i="8"/>
  <c r="T106" i="8"/>
  <c r="BF106" i="8" s="1"/>
  <c r="R106" i="8"/>
  <c r="BE106" i="8" s="1"/>
  <c r="P106" i="8"/>
  <c r="N106" i="8"/>
  <c r="BL106" i="8" s="1"/>
  <c r="L106" i="8"/>
  <c r="BB106" i="8" s="1"/>
  <c r="J106" i="8"/>
  <c r="I106" i="8"/>
  <c r="G106" i="8"/>
  <c r="E106" i="8"/>
  <c r="X105" i="8"/>
  <c r="W105" i="8"/>
  <c r="Y105" i="8" s="1"/>
  <c r="V105" i="8"/>
  <c r="T105" i="8"/>
  <c r="R105" i="8"/>
  <c r="P105" i="8"/>
  <c r="N105" i="8"/>
  <c r="BL105" i="8" s="1"/>
  <c r="L105" i="8"/>
  <c r="J105" i="8"/>
  <c r="I105" i="8"/>
  <c r="G105" i="8"/>
  <c r="E105" i="8"/>
  <c r="V104" i="8"/>
  <c r="T104" i="8"/>
  <c r="AB104" i="8" s="1"/>
  <c r="R104" i="8"/>
  <c r="P104" i="8"/>
  <c r="N104" i="8"/>
  <c r="BJ104" i="8" s="1"/>
  <c r="L104" i="8"/>
  <c r="J104" i="8"/>
  <c r="I104" i="8"/>
  <c r="G104" i="8"/>
  <c r="E104" i="8"/>
  <c r="B101" i="8"/>
  <c r="A101" i="8"/>
  <c r="A100" i="6" s="1"/>
  <c r="A100" i="13" s="1"/>
  <c r="A101" i="11" s="1"/>
  <c r="A15" i="22" s="1"/>
  <c r="B98" i="8"/>
  <c r="A98" i="8"/>
  <c r="A97" i="6" s="1"/>
  <c r="A97" i="13" s="1"/>
  <c r="A98" i="11" s="1"/>
  <c r="A12" i="22" s="1"/>
  <c r="AP103" i="8"/>
  <c r="X103" i="8"/>
  <c r="W103" i="8"/>
  <c r="V103" i="8"/>
  <c r="T103" i="8"/>
  <c r="R103" i="8"/>
  <c r="P103" i="8"/>
  <c r="N103" i="8"/>
  <c r="BL103" i="8" s="1"/>
  <c r="L103" i="8"/>
  <c r="J103" i="8"/>
  <c r="I103" i="8"/>
  <c r="G103" i="8"/>
  <c r="E103" i="8"/>
  <c r="X102" i="8"/>
  <c r="W102" i="8"/>
  <c r="Y102" i="8" s="1"/>
  <c r="V102" i="8"/>
  <c r="T102" i="8"/>
  <c r="R102" i="8"/>
  <c r="P102" i="8"/>
  <c r="N102" i="8"/>
  <c r="BL102" i="8" s="1"/>
  <c r="L102" i="8"/>
  <c r="J102" i="8"/>
  <c r="I102" i="8"/>
  <c r="G102" i="8"/>
  <c r="E102" i="8"/>
  <c r="V101" i="8"/>
  <c r="T101" i="8"/>
  <c r="AB101" i="8" s="1"/>
  <c r="R101" i="8"/>
  <c r="P101" i="8"/>
  <c r="N101" i="8"/>
  <c r="BJ101" i="8" s="1"/>
  <c r="L101" i="8"/>
  <c r="J101" i="8"/>
  <c r="I101" i="8"/>
  <c r="G101" i="8"/>
  <c r="E101" i="8"/>
  <c r="AD98" i="8"/>
  <c r="AP100" i="8"/>
  <c r="X100" i="8"/>
  <c r="W100" i="8"/>
  <c r="Y100" i="8" s="1"/>
  <c r="V100" i="8"/>
  <c r="T100" i="8"/>
  <c r="BF100" i="8" s="1"/>
  <c r="R100" i="8"/>
  <c r="P100" i="8"/>
  <c r="N100" i="8"/>
  <c r="BM100" i="8" s="1"/>
  <c r="L100" i="8"/>
  <c r="BB100" i="8" s="1"/>
  <c r="J100" i="8"/>
  <c r="I100" i="8"/>
  <c r="G100" i="8"/>
  <c r="E100" i="8"/>
  <c r="V99" i="8"/>
  <c r="T99" i="8"/>
  <c r="R99" i="8"/>
  <c r="P99" i="8"/>
  <c r="W99" i="8" s="1"/>
  <c r="Y99" i="8" s="1"/>
  <c r="N99" i="8"/>
  <c r="BM99" i="8" s="1"/>
  <c r="L99" i="8"/>
  <c r="BC99" i="8" s="1"/>
  <c r="J99" i="8"/>
  <c r="I99" i="8"/>
  <c r="G99" i="8"/>
  <c r="E99" i="8"/>
  <c r="V98" i="8"/>
  <c r="T98" i="8"/>
  <c r="R98" i="8"/>
  <c r="P98" i="8"/>
  <c r="N98" i="8"/>
  <c r="L98" i="8"/>
  <c r="J98" i="8"/>
  <c r="I98" i="8"/>
  <c r="G98" i="8"/>
  <c r="E98" i="8"/>
  <c r="J97" i="8"/>
  <c r="I94" i="6"/>
  <c r="J96" i="8"/>
  <c r="X97" i="8"/>
  <c r="I100" i="6"/>
  <c r="I103" i="6"/>
  <c r="I106" i="6"/>
  <c r="E41" i="3"/>
  <c r="F97" i="6" s="1"/>
  <c r="E42" i="3"/>
  <c r="F100" i="6" s="1"/>
  <c r="E43" i="3"/>
  <c r="F103" i="6" s="1"/>
  <c r="E44" i="3"/>
  <c r="F106" i="6" s="1"/>
  <c r="E40" i="3"/>
  <c r="F94" i="6" s="1"/>
  <c r="K96" i="6"/>
  <c r="J96" i="6"/>
  <c r="K95" i="6"/>
  <c r="J95" i="6"/>
  <c r="K94" i="6"/>
  <c r="J94" i="6"/>
  <c r="A93" i="6"/>
  <c r="AD95" i="8"/>
  <c r="J95" i="8"/>
  <c r="B95" i="8"/>
  <c r="B94" i="6" s="1"/>
  <c r="B94" i="13" s="1"/>
  <c r="B95" i="11" s="1"/>
  <c r="B9" i="22" s="1"/>
  <c r="A95" i="8"/>
  <c r="A94" i="6" s="1"/>
  <c r="A94" i="13" s="1"/>
  <c r="A95" i="11" s="1"/>
  <c r="A9" i="22" s="1"/>
  <c r="W97" i="8"/>
  <c r="V97" i="8"/>
  <c r="T97" i="8"/>
  <c r="R97" i="8"/>
  <c r="P97" i="8"/>
  <c r="N97" i="8"/>
  <c r="BM97" i="8" s="1"/>
  <c r="L97" i="8"/>
  <c r="I97" i="8"/>
  <c r="G97" i="8"/>
  <c r="E97" i="8"/>
  <c r="V96" i="8"/>
  <c r="T96" i="8"/>
  <c r="R96" i="8"/>
  <c r="P96" i="8"/>
  <c r="N96" i="8"/>
  <c r="BJ96" i="8" s="1"/>
  <c r="L96" i="8"/>
  <c r="I96" i="8"/>
  <c r="G96" i="8"/>
  <c r="E96" i="8"/>
  <c r="V95" i="8"/>
  <c r="T95" i="8"/>
  <c r="R95" i="8"/>
  <c r="P95" i="8"/>
  <c r="N95" i="8"/>
  <c r="L95" i="8"/>
  <c r="I95" i="8"/>
  <c r="G95" i="8"/>
  <c r="E95" i="8"/>
  <c r="A94" i="8"/>
  <c r="A37" i="8"/>
  <c r="AL96" i="11" l="1"/>
  <c r="I10" i="22"/>
  <c r="AL99" i="11"/>
  <c r="I13" i="22"/>
  <c r="AL100" i="11"/>
  <c r="I14" i="22"/>
  <c r="AL101" i="11"/>
  <c r="I15" i="22"/>
  <c r="AL102" i="11"/>
  <c r="I16" i="22"/>
  <c r="AL103" i="11"/>
  <c r="I17" i="22"/>
  <c r="AL104" i="11"/>
  <c r="I18" i="22"/>
  <c r="AL105" i="11"/>
  <c r="I19" i="22"/>
  <c r="AL106" i="11"/>
  <c r="I20" i="22"/>
  <c r="I21" i="22"/>
  <c r="AL108" i="11"/>
  <c r="I22" i="22"/>
  <c r="AL109" i="11"/>
  <c r="I23" i="22"/>
  <c r="AL97" i="11"/>
  <c r="BL108" i="8"/>
  <c r="AM108" i="8"/>
  <c r="AO108" i="8"/>
  <c r="W108" i="8"/>
  <c r="X108" i="8"/>
  <c r="W107" i="8"/>
  <c r="Y107" i="8" s="1"/>
  <c r="X107" i="8"/>
  <c r="Y108" i="8"/>
  <c r="W104" i="8"/>
  <c r="AA104" i="8" s="1"/>
  <c r="L103" i="6" s="1"/>
  <c r="Y104" i="8"/>
  <c r="W101" i="8"/>
  <c r="Y101" i="8" s="1"/>
  <c r="W98" i="8"/>
  <c r="Y98" i="8" s="1"/>
  <c r="AC98" i="8" s="1"/>
  <c r="AE98" i="8" s="1"/>
  <c r="AZ98" i="8" s="1"/>
  <c r="AO107" i="8"/>
  <c r="AT107" i="8" s="1"/>
  <c r="AT108" i="8" s="1"/>
  <c r="BI107" i="8"/>
  <c r="BG108" i="8"/>
  <c r="BI103" i="8"/>
  <c r="AP107" i="8"/>
  <c r="AV107" i="8" s="1"/>
  <c r="BJ107" i="8"/>
  <c r="BB108" i="8"/>
  <c r="BH108" i="8"/>
  <c r="Y97" i="8"/>
  <c r="BE103" i="8"/>
  <c r="BJ103" i="8"/>
  <c r="AO106" i="8"/>
  <c r="BE107" i="8"/>
  <c r="BD107" i="8"/>
  <c r="BL107" i="8"/>
  <c r="BC108" i="8"/>
  <c r="BJ108" i="8"/>
  <c r="BJ109" i="8"/>
  <c r="BJ100" i="8"/>
  <c r="BB103" i="8"/>
  <c r="BF103" i="8"/>
  <c r="AO103" i="8"/>
  <c r="BM103" i="8"/>
  <c r="AP106" i="8"/>
  <c r="BB107" i="8"/>
  <c r="BF107" i="8"/>
  <c r="AB107" i="8"/>
  <c r="BH107" i="8"/>
  <c r="BM107" i="8"/>
  <c r="BD108" i="8"/>
  <c r="BF108" i="8"/>
  <c r="BK108" i="8"/>
  <c r="Y109" i="8"/>
  <c r="Y103" i="8"/>
  <c r="Y106" i="8"/>
  <c r="AG32" i="5"/>
  <c r="AG34" i="5"/>
  <c r="AG35" i="5"/>
  <c r="B100" i="6"/>
  <c r="B103" i="6"/>
  <c r="I12" i="22"/>
  <c r="K12" i="22"/>
  <c r="AL98" i="11"/>
  <c r="K9" i="22"/>
  <c r="I9" i="22"/>
  <c r="G9" i="22"/>
  <c r="K11" i="22"/>
  <c r="I11" i="22"/>
  <c r="G11" i="22"/>
  <c r="BC96" i="8"/>
  <c r="AG33" i="5"/>
  <c r="B97" i="6"/>
  <c r="B97" i="13" s="1"/>
  <c r="B98" i="11" s="1"/>
  <c r="B12" i="22" s="1"/>
  <c r="AB106" i="11"/>
  <c r="AB101" i="11"/>
  <c r="AB105" i="11"/>
  <c r="Q97" i="11"/>
  <c r="R97" i="11" s="1"/>
  <c r="AK97" i="11"/>
  <c r="N98" i="11"/>
  <c r="Q99" i="11"/>
  <c r="R99" i="11" s="1"/>
  <c r="AK99" i="11"/>
  <c r="Q100" i="11"/>
  <c r="R100" i="11" s="1"/>
  <c r="AK100" i="11"/>
  <c r="F15" i="22"/>
  <c r="AA101" i="11"/>
  <c r="F16" i="22"/>
  <c r="AA102" i="11"/>
  <c r="AB102" i="11" s="1"/>
  <c r="F17" i="22"/>
  <c r="AA103" i="11"/>
  <c r="AB103" i="11" s="1"/>
  <c r="Q104" i="11"/>
  <c r="R104" i="11" s="1"/>
  <c r="AK104" i="11"/>
  <c r="I107" i="11"/>
  <c r="E21" i="22"/>
  <c r="I108" i="11"/>
  <c r="E22" i="22"/>
  <c r="I109" i="11"/>
  <c r="E23" i="22"/>
  <c r="Q96" i="11"/>
  <c r="R96" i="11" s="1"/>
  <c r="AK96" i="11"/>
  <c r="I97" i="11"/>
  <c r="E11" i="22"/>
  <c r="I99" i="11"/>
  <c r="E13" i="22"/>
  <c r="I100" i="11"/>
  <c r="E14" i="22"/>
  <c r="I104" i="11"/>
  <c r="E18" i="22"/>
  <c r="Q105" i="11"/>
  <c r="R105" i="11" s="1"/>
  <c r="AK105" i="11"/>
  <c r="Q106" i="11"/>
  <c r="AK106" i="11"/>
  <c r="F21" i="22"/>
  <c r="AA107" i="11"/>
  <c r="F22" i="22"/>
  <c r="AA108" i="11"/>
  <c r="AB108" i="11" s="1"/>
  <c r="F23" i="22"/>
  <c r="AA109" i="11"/>
  <c r="AB109" i="11" s="1"/>
  <c r="I96" i="11"/>
  <c r="E10" i="22"/>
  <c r="F11" i="22"/>
  <c r="AA97" i="11"/>
  <c r="AB97" i="11" s="1"/>
  <c r="F13" i="22"/>
  <c r="AA99" i="11"/>
  <c r="AB99" i="11" s="1"/>
  <c r="F14" i="22"/>
  <c r="AA100" i="11"/>
  <c r="AB100" i="11" s="1"/>
  <c r="Q101" i="11"/>
  <c r="R101" i="11" s="1"/>
  <c r="AK101" i="11"/>
  <c r="Q102" i="11"/>
  <c r="AK102" i="11"/>
  <c r="Q103" i="11"/>
  <c r="R103" i="11" s="1"/>
  <c r="AK103" i="11"/>
  <c r="F18" i="22"/>
  <c r="AA104" i="11"/>
  <c r="AB104" i="11" s="1"/>
  <c r="F19" i="22"/>
  <c r="I106" i="11"/>
  <c r="E20" i="22"/>
  <c r="F10" i="22"/>
  <c r="AA96" i="11"/>
  <c r="AB96" i="11" s="1"/>
  <c r="I101" i="11"/>
  <c r="E15" i="22"/>
  <c r="I102" i="11"/>
  <c r="E16" i="22"/>
  <c r="I103" i="11"/>
  <c r="E17" i="22"/>
  <c r="I105" i="11"/>
  <c r="AA105" i="11"/>
  <c r="F20" i="22"/>
  <c r="AA106" i="11"/>
  <c r="Q107" i="11"/>
  <c r="R107" i="11" s="1"/>
  <c r="AK107" i="11"/>
  <c r="Q108" i="11"/>
  <c r="AK108" i="11"/>
  <c r="Q109" i="11"/>
  <c r="R109" i="11" s="1"/>
  <c r="AK109" i="11"/>
  <c r="F12" i="22"/>
  <c r="I98" i="11"/>
  <c r="AA98" i="11" s="1"/>
  <c r="E12" i="22"/>
  <c r="AK98" i="11"/>
  <c r="F9" i="22"/>
  <c r="I95" i="11"/>
  <c r="Q95" i="11" s="1"/>
  <c r="E9" i="22"/>
  <c r="AK95" i="11"/>
  <c r="X99" i="8"/>
  <c r="AO99" i="8"/>
  <c r="BD99" i="8"/>
  <c r="BL99" i="8"/>
  <c r="BB99" i="8"/>
  <c r="BG99" i="8"/>
  <c r="X98" i="8"/>
  <c r="BK98" i="8"/>
  <c r="AN108" i="8"/>
  <c r="AM109" i="8"/>
  <c r="BC109" i="8"/>
  <c r="BG109" i="8"/>
  <c r="BK109" i="8"/>
  <c r="AM107" i="8"/>
  <c r="AQ107" i="8" s="1"/>
  <c r="AQ108" i="8" s="1"/>
  <c r="AQ109" i="8" s="1"/>
  <c r="AN109" i="8"/>
  <c r="BD109" i="8"/>
  <c r="BH109" i="8"/>
  <c r="BL109" i="8"/>
  <c r="AN107" i="8"/>
  <c r="AR107" i="8" s="1"/>
  <c r="AY107" i="8"/>
  <c r="BC107" i="8"/>
  <c r="BG107" i="8"/>
  <c r="AP108" i="8"/>
  <c r="BE108" i="8"/>
  <c r="BI108" i="8"/>
  <c r="AO109" i="8"/>
  <c r="BE109" i="8"/>
  <c r="BI109" i="8"/>
  <c r="AN104" i="8"/>
  <c r="AR104" i="8" s="1"/>
  <c r="AY104" i="8"/>
  <c r="BC104" i="8"/>
  <c r="BG104" i="8"/>
  <c r="BK104" i="8"/>
  <c r="AP105" i="8"/>
  <c r="BE105" i="8"/>
  <c r="BI105" i="8"/>
  <c r="BM105" i="8"/>
  <c r="AO104" i="8"/>
  <c r="AT104" i="8" s="1"/>
  <c r="BD104" i="8"/>
  <c r="BH104" i="8"/>
  <c r="BL104" i="8"/>
  <c r="AM105" i="8"/>
  <c r="BB105" i="8"/>
  <c r="BF105" i="8"/>
  <c r="BJ105" i="8"/>
  <c r="AP104" i="8"/>
  <c r="AV104" i="8" s="1"/>
  <c r="AV105" i="8" s="1"/>
  <c r="AV106" i="8" s="1"/>
  <c r="BE104" i="8"/>
  <c r="BI104" i="8"/>
  <c r="BM104" i="8"/>
  <c r="AN105" i="8"/>
  <c r="BC105" i="8"/>
  <c r="BG105" i="8"/>
  <c r="BK105" i="8"/>
  <c r="AM106" i="8"/>
  <c r="BC106" i="8"/>
  <c r="BG106" i="8"/>
  <c r="BK106" i="8"/>
  <c r="AM104" i="8"/>
  <c r="AQ104" i="8" s="1"/>
  <c r="AQ105" i="8" s="1"/>
  <c r="AQ106" i="8" s="1"/>
  <c r="BB104" i="8"/>
  <c r="BF104" i="8"/>
  <c r="AO105" i="8"/>
  <c r="BD105" i="8"/>
  <c r="BH105" i="8"/>
  <c r="AN106" i="8"/>
  <c r="BD106" i="8"/>
  <c r="BH106" i="8"/>
  <c r="AN101" i="8"/>
  <c r="AR101" i="8" s="1"/>
  <c r="AY101" i="8"/>
  <c r="BC101" i="8"/>
  <c r="BG101" i="8"/>
  <c r="BK101" i="8"/>
  <c r="AP102" i="8"/>
  <c r="BE102" i="8"/>
  <c r="BI102" i="8"/>
  <c r="BM102" i="8"/>
  <c r="AO101" i="8"/>
  <c r="AT101" i="8" s="1"/>
  <c r="BD101" i="8"/>
  <c r="BH101" i="8"/>
  <c r="BL101" i="8"/>
  <c r="AM102" i="8"/>
  <c r="BB102" i="8"/>
  <c r="BF102" i="8"/>
  <c r="BJ102" i="8"/>
  <c r="AP101" i="8"/>
  <c r="AV101" i="8" s="1"/>
  <c r="AV102" i="8" s="1"/>
  <c r="AV103" i="8" s="1"/>
  <c r="BE101" i="8"/>
  <c r="BI101" i="8"/>
  <c r="BM101" i="8"/>
  <c r="AN102" i="8"/>
  <c r="BC102" i="8"/>
  <c r="BG102" i="8"/>
  <c r="BK102" i="8"/>
  <c r="AM103" i="8"/>
  <c r="BC103" i="8"/>
  <c r="BG103" i="8"/>
  <c r="BK103" i="8"/>
  <c r="AM101" i="8"/>
  <c r="AQ101" i="8" s="1"/>
  <c r="AQ102" i="8" s="1"/>
  <c r="AQ103" i="8" s="1"/>
  <c r="BB101" i="8"/>
  <c r="BF101" i="8"/>
  <c r="AO102" i="8"/>
  <c r="BD102" i="8"/>
  <c r="BH102" i="8"/>
  <c r="AN103" i="8"/>
  <c r="BD103" i="8"/>
  <c r="BH103" i="8"/>
  <c r="BM98" i="8"/>
  <c r="BE98" i="8"/>
  <c r="BH98" i="8"/>
  <c r="BH99" i="8"/>
  <c r="BB98" i="8"/>
  <c r="BF98" i="8"/>
  <c r="BI98" i="8"/>
  <c r="AM99" i="8"/>
  <c r="BJ99" i="8"/>
  <c r="BF99" i="8"/>
  <c r="BK99" i="8"/>
  <c r="AB98" i="8"/>
  <c r="AA98" i="8" s="1"/>
  <c r="L97" i="6" s="1"/>
  <c r="BD98" i="8"/>
  <c r="BL98" i="8"/>
  <c r="AO98" i="8"/>
  <c r="AT98" i="8" s="1"/>
  <c r="AP98" i="8"/>
  <c r="AV98" i="8" s="1"/>
  <c r="BJ98" i="8"/>
  <c r="AN99" i="8"/>
  <c r="AM100" i="8"/>
  <c r="BC100" i="8"/>
  <c r="BG100" i="8"/>
  <c r="BK100" i="8"/>
  <c r="AM98" i="8"/>
  <c r="AQ98" i="8" s="1"/>
  <c r="AN100" i="8"/>
  <c r="BD100" i="8"/>
  <c r="BH100" i="8"/>
  <c r="BL100" i="8"/>
  <c r="AN98" i="8"/>
  <c r="AR98" i="8" s="1"/>
  <c r="AY98" i="8"/>
  <c r="BC98" i="8"/>
  <c r="BG98" i="8"/>
  <c r="AP99" i="8"/>
  <c r="BE99" i="8"/>
  <c r="BI99" i="8"/>
  <c r="AO100" i="8"/>
  <c r="BE100" i="8"/>
  <c r="BI100" i="8"/>
  <c r="W96" i="8"/>
  <c r="Y96" i="8" s="1"/>
  <c r="BK96" i="8"/>
  <c r="AN96" i="8"/>
  <c r="BM95" i="8"/>
  <c r="AB95" i="8"/>
  <c r="W95" i="8"/>
  <c r="BF95" i="8"/>
  <c r="AY95" i="8"/>
  <c r="BG95" i="8"/>
  <c r="AN95" i="8"/>
  <c r="AR95" i="8" s="1"/>
  <c r="BB95" i="8"/>
  <c r="BJ95" i="8"/>
  <c r="AM95" i="8"/>
  <c r="AQ95" i="8" s="1"/>
  <c r="BC95" i="8"/>
  <c r="BK95" i="8"/>
  <c r="AO96" i="8"/>
  <c r="BD96" i="8"/>
  <c r="BH96" i="8"/>
  <c r="BL96" i="8"/>
  <c r="AM97" i="8"/>
  <c r="BK97" i="8"/>
  <c r="AO95" i="8"/>
  <c r="AT95" i="8" s="1"/>
  <c r="BD95" i="8"/>
  <c r="BH95" i="8"/>
  <c r="BL95" i="8"/>
  <c r="AP96" i="8"/>
  <c r="BE96" i="8"/>
  <c r="BI96" i="8"/>
  <c r="BM96" i="8"/>
  <c r="AN97" i="8"/>
  <c r="BD97" i="8"/>
  <c r="BH97" i="8"/>
  <c r="BL97" i="8"/>
  <c r="BG96" i="8"/>
  <c r="AP97" i="8"/>
  <c r="BB97" i="8"/>
  <c r="BF97" i="8"/>
  <c r="BJ97" i="8"/>
  <c r="BC97" i="8"/>
  <c r="BG97" i="8"/>
  <c r="AP95" i="8"/>
  <c r="AV95" i="8" s="1"/>
  <c r="BE95" i="8"/>
  <c r="BI95" i="8"/>
  <c r="AM96" i="8"/>
  <c r="BB96" i="8"/>
  <c r="BF96" i="8"/>
  <c r="AO97" i="8"/>
  <c r="BE97" i="8"/>
  <c r="BI97" i="8"/>
  <c r="A44" i="3"/>
  <c r="B44" i="3"/>
  <c r="C44" i="3"/>
  <c r="A41" i="3"/>
  <c r="B41" i="3"/>
  <c r="C41" i="3"/>
  <c r="A42" i="3"/>
  <c r="B42" i="3"/>
  <c r="C42" i="3"/>
  <c r="A43" i="3"/>
  <c r="B43" i="3"/>
  <c r="C43" i="3"/>
  <c r="A40" i="3"/>
  <c r="B40" i="3"/>
  <c r="C40" i="3"/>
  <c r="AB107" i="11" l="1"/>
  <c r="AL107" i="11" s="1"/>
  <c r="AN101" i="11"/>
  <c r="AQ104" i="11"/>
  <c r="AA107" i="8"/>
  <c r="L106" i="6" s="1"/>
  <c r="AC107" i="8"/>
  <c r="AE107" i="8" s="1"/>
  <c r="AI36" i="5" s="1"/>
  <c r="X104" i="8"/>
  <c r="AC104" i="8"/>
  <c r="AE104" i="8" s="1"/>
  <c r="AZ104" i="8" s="1"/>
  <c r="X101" i="8"/>
  <c r="AA101" i="8"/>
  <c r="L100" i="6" s="1"/>
  <c r="AT109" i="8"/>
  <c r="AC101" i="8"/>
  <c r="AE101" i="8" s="1"/>
  <c r="AH34" i="5" s="1"/>
  <c r="AV108" i="8"/>
  <c r="AV109" i="8" s="1"/>
  <c r="AT105" i="8"/>
  <c r="AT106" i="8" s="1"/>
  <c r="AT102" i="8"/>
  <c r="AT103" i="8" s="1"/>
  <c r="AT99" i="8"/>
  <c r="AT100" i="8" s="1"/>
  <c r="AH33" i="5"/>
  <c r="AI33" i="5"/>
  <c r="B103" i="13"/>
  <c r="B104" i="11" s="1"/>
  <c r="B18" i="22" s="1"/>
  <c r="B100" i="13"/>
  <c r="B101" i="11" s="1"/>
  <c r="B15" i="22" s="1"/>
  <c r="G12" i="22"/>
  <c r="AN98" i="11"/>
  <c r="AQ96" i="8"/>
  <c r="AQ97" i="8" s="1"/>
  <c r="AQ98" i="11"/>
  <c r="AP98" i="11"/>
  <c r="AN107" i="11"/>
  <c r="R95" i="11"/>
  <c r="AO101" i="11"/>
  <c r="AQ107" i="11"/>
  <c r="AO104" i="11"/>
  <c r="R102" i="11"/>
  <c r="AQ101" i="11"/>
  <c r="AO107" i="11"/>
  <c r="C13" i="23" s="1"/>
  <c r="C13" i="24" s="1"/>
  <c r="AP104" i="11"/>
  <c r="R108" i="11"/>
  <c r="R106" i="11"/>
  <c r="AM105" i="11"/>
  <c r="AC105" i="11"/>
  <c r="S105" i="11"/>
  <c r="AC103" i="11"/>
  <c r="AM103" i="11"/>
  <c r="S103" i="11"/>
  <c r="AM104" i="11"/>
  <c r="S104" i="11"/>
  <c r="AC104" i="11"/>
  <c r="S107" i="11"/>
  <c r="AC107" i="11"/>
  <c r="AM107" i="11"/>
  <c r="AP107" i="11"/>
  <c r="AN95" i="11"/>
  <c r="AM95" i="11"/>
  <c r="S95" i="11"/>
  <c r="AC95" i="11"/>
  <c r="AM97" i="11"/>
  <c r="S97" i="11"/>
  <c r="AC97" i="11"/>
  <c r="AM108" i="11"/>
  <c r="AC108" i="11"/>
  <c r="S108" i="11"/>
  <c r="AN104" i="11"/>
  <c r="Q98" i="11"/>
  <c r="R98" i="11" s="1"/>
  <c r="AB98" i="11" s="1"/>
  <c r="S101" i="11"/>
  <c r="AM101" i="11"/>
  <c r="AC101" i="11"/>
  <c r="AM106" i="11"/>
  <c r="AC106" i="11"/>
  <c r="S106" i="11"/>
  <c r="AM99" i="11"/>
  <c r="S99" i="11"/>
  <c r="AC99" i="11"/>
  <c r="S109" i="11"/>
  <c r="AM109" i="11"/>
  <c r="AC109" i="11"/>
  <c r="AP101" i="11"/>
  <c r="AD203" i="11"/>
  <c r="AA95" i="11"/>
  <c r="AM98" i="11"/>
  <c r="AC98" i="11"/>
  <c r="S98" i="11"/>
  <c r="AM102" i="11"/>
  <c r="S102" i="11"/>
  <c r="AC102" i="11"/>
  <c r="AM96" i="11"/>
  <c r="S96" i="11"/>
  <c r="AC96" i="11"/>
  <c r="AM100" i="11"/>
  <c r="AC100" i="11"/>
  <c r="S100" i="11"/>
  <c r="AO95" i="11"/>
  <c r="H9" i="22" s="1"/>
  <c r="AQ95" i="11"/>
  <c r="AT96" i="8"/>
  <c r="AT97" i="8" s="1"/>
  <c r="F12" i="26"/>
  <c r="G10" i="26" s="1"/>
  <c r="AV99" i="8"/>
  <c r="AV100" i="8" s="1"/>
  <c r="X96" i="8"/>
  <c r="AV96" i="8"/>
  <c r="AV97" i="8" s="1"/>
  <c r="AZ107" i="8"/>
  <c r="AF107" i="8"/>
  <c r="AG107" i="8" s="1"/>
  <c r="M106" i="6" s="1"/>
  <c r="AR108" i="8"/>
  <c r="AR109" i="8" s="1"/>
  <c r="AS109" i="8" s="1"/>
  <c r="AR105" i="8"/>
  <c r="AR106" i="8" s="1"/>
  <c r="AS106" i="8" s="1"/>
  <c r="AR102" i="8"/>
  <c r="AR103" i="8" s="1"/>
  <c r="AS103" i="8" s="1"/>
  <c r="AQ99" i="8"/>
  <c r="AQ100" i="8" s="1"/>
  <c r="AF98" i="8"/>
  <c r="AG98" i="8" s="1"/>
  <c r="M97" i="6" s="1"/>
  <c r="AR99" i="8"/>
  <c r="AR100" i="8" s="1"/>
  <c r="AR96" i="8"/>
  <c r="AR97" i="8" s="1"/>
  <c r="AS97" i="8" s="1"/>
  <c r="Y95" i="8"/>
  <c r="AC95" i="8" s="1"/>
  <c r="AE95" i="8" s="1"/>
  <c r="X95" i="8"/>
  <c r="AA95" i="8"/>
  <c r="L94" i="6" s="1"/>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10" i="8"/>
  <c r="W18" i="8"/>
  <c r="W30" i="8"/>
  <c r="W33" i="8"/>
  <c r="W36" i="8"/>
  <c r="W38" i="8"/>
  <c r="W39" i="8"/>
  <c r="L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X18" i="8"/>
  <c r="X30" i="8"/>
  <c r="X33" i="8"/>
  <c r="X36" i="8"/>
  <c r="X38" i="8"/>
  <c r="X39" i="8"/>
  <c r="V10" i="8"/>
  <c r="T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10" i="8"/>
  <c r="P10" i="8"/>
  <c r="D19" i="7"/>
  <c r="AP95" i="11" l="1"/>
  <c r="AA197" i="11"/>
  <c r="T203" i="11" s="1"/>
  <c r="D13" i="28" s="1"/>
  <c r="Q197" i="11"/>
  <c r="R197" i="11"/>
  <c r="H21" i="22"/>
  <c r="C13" i="25"/>
  <c r="AH36" i="5"/>
  <c r="AI35" i="5"/>
  <c r="AF104" i="8"/>
  <c r="AG104" i="8" s="1"/>
  <c r="M103" i="6" s="1"/>
  <c r="AH35" i="5"/>
  <c r="AZ101" i="8"/>
  <c r="AI34" i="5"/>
  <c r="AF101" i="8"/>
  <c r="AG101" i="8" s="1"/>
  <c r="M100" i="6" s="1"/>
  <c r="AU109" i="8"/>
  <c r="AW109" i="8" s="1"/>
  <c r="AX107" i="8" s="1"/>
  <c r="BA107" i="8" s="1"/>
  <c r="O106" i="6" s="1"/>
  <c r="AU103" i="8"/>
  <c r="AW103" i="8" s="1"/>
  <c r="AX101" i="8" s="1"/>
  <c r="BA101" i="8" s="1"/>
  <c r="O100" i="6" s="1"/>
  <c r="AU106" i="8"/>
  <c r="AW106" i="8" s="1"/>
  <c r="AX104" i="8" s="1"/>
  <c r="BA104" i="8" s="1"/>
  <c r="O103" i="6" s="1"/>
  <c r="K112" i="22"/>
  <c r="E15" i="25" s="1"/>
  <c r="E13" i="28"/>
  <c r="AB95" i="11"/>
  <c r="AL95" i="11" s="1"/>
  <c r="AL197" i="11" s="1"/>
  <c r="J203" i="11"/>
  <c r="C13" i="28" s="1"/>
  <c r="AO98" i="11"/>
  <c r="C9" i="25"/>
  <c r="C9" i="23"/>
  <c r="C9" i="24" s="1"/>
  <c r="AH32" i="5"/>
  <c r="AI32" i="5"/>
  <c r="G11" i="26"/>
  <c r="N12" i="26"/>
  <c r="P10" i="26" s="1"/>
  <c r="O12" i="26"/>
  <c r="P11" i="26" s="1"/>
  <c r="D12" i="26"/>
  <c r="E11" i="26" s="1"/>
  <c r="I12" i="26"/>
  <c r="J11" i="26" s="1"/>
  <c r="K12" i="26"/>
  <c r="M10" i="26" s="1"/>
  <c r="AS100" i="8"/>
  <c r="AU100" i="8" s="1"/>
  <c r="AW100" i="8" s="1"/>
  <c r="AX98" i="8" s="1"/>
  <c r="BA98" i="8" s="1"/>
  <c r="O97" i="6" s="1"/>
  <c r="L12" i="26"/>
  <c r="M11" i="26" s="1"/>
  <c r="C12" i="26"/>
  <c r="E10" i="26" s="1"/>
  <c r="H12" i="26"/>
  <c r="J10" i="26" s="1"/>
  <c r="T12" i="26"/>
  <c r="V10" i="26" s="1"/>
  <c r="U12" i="26"/>
  <c r="V11" i="26" s="1"/>
  <c r="R12" i="26"/>
  <c r="S11" i="26" s="1"/>
  <c r="Q12" i="26"/>
  <c r="S10" i="26" s="1"/>
  <c r="AG108" i="8"/>
  <c r="N106" i="6" s="1"/>
  <c r="AG105" i="8"/>
  <c r="N103" i="6" s="1"/>
  <c r="AG99" i="8"/>
  <c r="N97" i="6" s="1"/>
  <c r="AZ95" i="8"/>
  <c r="AF95" i="8"/>
  <c r="AG95" i="8" s="1"/>
  <c r="AU97" i="8"/>
  <c r="AW97" i="8" s="1"/>
  <c r="AX95" i="8" s="1"/>
  <c r="A6" i="19"/>
  <c r="AD202" i="11" l="1"/>
  <c r="E10" i="28" s="1"/>
  <c r="AB197" i="11"/>
  <c r="T202" i="11" s="1"/>
  <c r="D10" i="28" s="1"/>
  <c r="AG102" i="8"/>
  <c r="N100" i="6" s="1"/>
  <c r="I112" i="22"/>
  <c r="D15" i="25" s="1"/>
  <c r="G112" i="22"/>
  <c r="C15" i="25" s="1"/>
  <c r="J202" i="11"/>
  <c r="G111" i="22" s="1"/>
  <c r="C14" i="25" s="1"/>
  <c r="AG96" i="8"/>
  <c r="N94" i="6" s="1"/>
  <c r="M94" i="6"/>
  <c r="BA95" i="8"/>
  <c r="O94" i="6" s="1"/>
  <c r="B8" i="19"/>
  <c r="A6" i="18"/>
  <c r="A16" i="7"/>
  <c r="D20" i="7"/>
  <c r="D21" i="7" s="1"/>
  <c r="D22" i="7" s="1"/>
  <c r="D23" i="7" s="1"/>
  <c r="D24" i="7" s="1"/>
  <c r="F12" i="3"/>
  <c r="F13" i="3"/>
  <c r="F14" i="3"/>
  <c r="F15" i="3"/>
  <c r="F16" i="3"/>
  <c r="F17" i="3"/>
  <c r="F18" i="3"/>
  <c r="F19" i="3"/>
  <c r="F20" i="3"/>
  <c r="F11" i="3"/>
  <c r="C11" i="3"/>
  <c r="F10" i="3"/>
  <c r="C12" i="3"/>
  <c r="C13" i="3"/>
  <c r="C14" i="3"/>
  <c r="C15" i="3"/>
  <c r="C16" i="3"/>
  <c r="C17" i="3"/>
  <c r="C18" i="3"/>
  <c r="C19" i="3"/>
  <c r="C20" i="3"/>
  <c r="C10" i="3"/>
  <c r="K111" i="22" l="1"/>
  <c r="E14" i="25" s="1"/>
  <c r="I111" i="22"/>
  <c r="D14" i="25" s="1"/>
  <c r="C10" i="28"/>
  <c r="D25" i="7"/>
  <c r="D26" i="7" l="1"/>
  <c r="D27" i="7" s="1"/>
  <c r="D28" i="7" s="1"/>
  <c r="D29" i="7" s="1"/>
  <c r="D30" i="7" s="1"/>
  <c r="D31" i="7" s="1"/>
  <c r="D32" i="7" s="1"/>
  <c r="A9" i="2" s="1"/>
  <c r="B10" i="16"/>
  <c r="B11" i="16"/>
  <c r="B12" i="16"/>
  <c r="B13" i="16"/>
  <c r="B14" i="16"/>
  <c r="B15" i="16"/>
  <c r="B16" i="16"/>
  <c r="B17" i="16"/>
  <c r="B18" i="16"/>
  <c r="B9" i="16"/>
  <c r="B9" i="15"/>
  <c r="B10" i="15"/>
  <c r="B11" i="15"/>
  <c r="B12" i="15"/>
  <c r="B13" i="15"/>
  <c r="B14" i="15"/>
  <c r="B15" i="15"/>
  <c r="B16" i="15"/>
  <c r="B17" i="15"/>
  <c r="B18" i="15"/>
  <c r="AU7" i="11"/>
  <c r="AS7" i="11"/>
  <c r="AR7" i="11"/>
  <c r="AH10" i="11"/>
  <c r="K10" i="12" s="1"/>
  <c r="AH11" i="11"/>
  <c r="AH12" i="11"/>
  <c r="AK12" i="11" s="1"/>
  <c r="AH13" i="11"/>
  <c r="K13" i="12" s="1"/>
  <c r="AH14" i="11"/>
  <c r="K14" i="12" s="1"/>
  <c r="AH15" i="11"/>
  <c r="AK15" i="11" s="1"/>
  <c r="AH16" i="11"/>
  <c r="AH17" i="11"/>
  <c r="K17" i="12" s="1"/>
  <c r="AH18" i="11"/>
  <c r="AH19" i="11"/>
  <c r="AH20" i="11"/>
  <c r="AH21" i="11"/>
  <c r="K21" i="12" s="1"/>
  <c r="AH22" i="11"/>
  <c r="K22" i="12" s="1"/>
  <c r="AH23" i="11"/>
  <c r="AH24" i="11"/>
  <c r="AH25" i="11"/>
  <c r="K25" i="12" s="1"/>
  <c r="AH26" i="11"/>
  <c r="K26" i="12" s="1"/>
  <c r="AH27" i="11"/>
  <c r="AH28" i="11"/>
  <c r="AH29" i="11"/>
  <c r="K29" i="12" s="1"/>
  <c r="AH30" i="11"/>
  <c r="K30" i="12" s="1"/>
  <c r="AH31" i="11"/>
  <c r="AH32" i="11"/>
  <c r="AH33" i="11"/>
  <c r="K33" i="12" s="1"/>
  <c r="AH34" i="11"/>
  <c r="K34" i="12" s="1"/>
  <c r="AH35" i="11"/>
  <c r="AH36" i="11"/>
  <c r="AH37" i="11"/>
  <c r="K37" i="12" s="1"/>
  <c r="AH38" i="11"/>
  <c r="K38" i="12" s="1"/>
  <c r="N19" i="11"/>
  <c r="G19" i="12" s="1"/>
  <c r="N20" i="11"/>
  <c r="G20" i="12" s="1"/>
  <c r="N21" i="11"/>
  <c r="G21" i="12" s="1"/>
  <c r="N22" i="11"/>
  <c r="G22" i="12" s="1"/>
  <c r="N23" i="11"/>
  <c r="G23" i="12" s="1"/>
  <c r="N24" i="11"/>
  <c r="G24" i="12" s="1"/>
  <c r="N25" i="11"/>
  <c r="G25" i="12" s="1"/>
  <c r="N26" i="11"/>
  <c r="G26" i="12" s="1"/>
  <c r="N27" i="11"/>
  <c r="G27" i="12" s="1"/>
  <c r="N28" i="11"/>
  <c r="G28" i="12" s="1"/>
  <c r="N29" i="11"/>
  <c r="G29" i="12" s="1"/>
  <c r="N30" i="11"/>
  <c r="G30" i="12" s="1"/>
  <c r="N31" i="11"/>
  <c r="G31" i="12" s="1"/>
  <c r="N32" i="11"/>
  <c r="G32" i="12" s="1"/>
  <c r="N33" i="11"/>
  <c r="G33" i="12" s="1"/>
  <c r="N34" i="11"/>
  <c r="G34" i="12" s="1"/>
  <c r="N35" i="11"/>
  <c r="G35" i="12" s="1"/>
  <c r="N36" i="11"/>
  <c r="G36" i="12" s="1"/>
  <c r="N37" i="11"/>
  <c r="G37" i="12" s="1"/>
  <c r="N38" i="11"/>
  <c r="G38" i="12" s="1"/>
  <c r="X10" i="11"/>
  <c r="X11" i="11"/>
  <c r="X12" i="11"/>
  <c r="X13" i="11"/>
  <c r="X14" i="11"/>
  <c r="X16" i="11"/>
  <c r="X17" i="11"/>
  <c r="X18" i="11"/>
  <c r="X19" i="11"/>
  <c r="X20" i="11"/>
  <c r="X21" i="11"/>
  <c r="X22" i="11"/>
  <c r="X23" i="11"/>
  <c r="X24" i="11"/>
  <c r="X25" i="11"/>
  <c r="X26" i="11"/>
  <c r="X27" i="11"/>
  <c r="X28" i="11"/>
  <c r="X29" i="11"/>
  <c r="X30" i="11"/>
  <c r="X31" i="11"/>
  <c r="X32" i="11"/>
  <c r="X33" i="11"/>
  <c r="X34" i="11"/>
  <c r="X35" i="11"/>
  <c r="X36" i="11"/>
  <c r="X37" i="11"/>
  <c r="X38" i="11"/>
  <c r="E10" i="11"/>
  <c r="F10" i="11"/>
  <c r="E11" i="11"/>
  <c r="F11" i="11"/>
  <c r="E12" i="11"/>
  <c r="F12" i="11"/>
  <c r="E13" i="11"/>
  <c r="F13" i="11"/>
  <c r="E14" i="11"/>
  <c r="F14" i="11"/>
  <c r="E15" i="11"/>
  <c r="F15" i="11"/>
  <c r="N15" i="11" s="1"/>
  <c r="E16" i="11"/>
  <c r="F16" i="11"/>
  <c r="E17" i="11"/>
  <c r="F17" i="11"/>
  <c r="E18" i="11"/>
  <c r="F18" i="11"/>
  <c r="E19" i="11"/>
  <c r="F19" i="11"/>
  <c r="E20" i="11"/>
  <c r="F20" i="11"/>
  <c r="E21" i="11"/>
  <c r="F21" i="11"/>
  <c r="E22" i="11"/>
  <c r="F22" i="11"/>
  <c r="E23" i="11"/>
  <c r="F23" i="11"/>
  <c r="E24" i="11"/>
  <c r="F24" i="11"/>
  <c r="E25" i="11"/>
  <c r="F25" i="11"/>
  <c r="E26" i="11"/>
  <c r="F26" i="11"/>
  <c r="E27" i="11"/>
  <c r="F27" i="11"/>
  <c r="E28" i="11"/>
  <c r="F28" i="11"/>
  <c r="E29" i="11"/>
  <c r="F29" i="11"/>
  <c r="E30" i="11"/>
  <c r="F30" i="11"/>
  <c r="E31" i="11"/>
  <c r="F31" i="11"/>
  <c r="E32" i="11"/>
  <c r="F32" i="11"/>
  <c r="E33" i="11"/>
  <c r="F33" i="11"/>
  <c r="E34" i="11"/>
  <c r="F34" i="11"/>
  <c r="E35" i="11"/>
  <c r="F35" i="11"/>
  <c r="E36" i="11"/>
  <c r="F36" i="11"/>
  <c r="E37" i="11"/>
  <c r="F37" i="11"/>
  <c r="E38" i="11"/>
  <c r="F38" i="11"/>
  <c r="E9" i="11"/>
  <c r="F9" i="11"/>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D36" i="6"/>
  <c r="D33" i="6"/>
  <c r="D30" i="6"/>
  <c r="D27" i="6"/>
  <c r="D24" i="6"/>
  <c r="D21" i="6"/>
  <c r="D18" i="6"/>
  <c r="D15" i="6"/>
  <c r="D12" i="6"/>
  <c r="D9" i="6"/>
  <c r="C36" i="6"/>
  <c r="C33" i="6"/>
  <c r="C30" i="6"/>
  <c r="C27" i="6"/>
  <c r="C24" i="6"/>
  <c r="C21" i="6"/>
  <c r="C18" i="6"/>
  <c r="C15" i="6"/>
  <c r="C12" i="6"/>
  <c r="C9" i="6"/>
  <c r="B37" i="8"/>
  <c r="B34" i="8"/>
  <c r="B31" i="8"/>
  <c r="B28" i="8"/>
  <c r="B25" i="8"/>
  <c r="B22" i="8"/>
  <c r="B19" i="8"/>
  <c r="B16" i="8"/>
  <c r="B13" i="8"/>
  <c r="B10" i="8"/>
  <c r="B11" i="3"/>
  <c r="B13" i="3"/>
  <c r="B14" i="3"/>
  <c r="B15" i="3"/>
  <c r="B16" i="3"/>
  <c r="B17" i="3"/>
  <c r="B18" i="3"/>
  <c r="B19" i="3"/>
  <c r="B20" i="3"/>
  <c r="B12" i="3"/>
  <c r="A91" i="12"/>
  <c r="A38" i="16"/>
  <c r="A37" i="16"/>
  <c r="A18" i="16"/>
  <c r="A17" i="16"/>
  <c r="A16" i="16"/>
  <c r="A15" i="16"/>
  <c r="A14" i="16"/>
  <c r="A13" i="16"/>
  <c r="A12" i="16"/>
  <c r="A11" i="16"/>
  <c r="A10" i="16"/>
  <c r="A9" i="16"/>
  <c r="E8" i="16"/>
  <c r="D8" i="16"/>
  <c r="C8" i="16"/>
  <c r="A6" i="16"/>
  <c r="A10" i="15"/>
  <c r="A11" i="15"/>
  <c r="A12" i="15"/>
  <c r="A13" i="15"/>
  <c r="A14" i="15"/>
  <c r="A15" i="15"/>
  <c r="A16" i="15"/>
  <c r="A17" i="15"/>
  <c r="A18" i="15"/>
  <c r="A9" i="15"/>
  <c r="I36" i="12" l="1"/>
  <c r="I32" i="12"/>
  <c r="I28" i="12"/>
  <c r="I20" i="12"/>
  <c r="I16" i="12"/>
  <c r="I11" i="12"/>
  <c r="AK36" i="11"/>
  <c r="K36" i="12"/>
  <c r="AK32" i="11"/>
  <c r="K32" i="12"/>
  <c r="AK24" i="11"/>
  <c r="K24" i="12"/>
  <c r="AK20" i="11"/>
  <c r="K20" i="12"/>
  <c r="I35" i="12"/>
  <c r="I31" i="12"/>
  <c r="I27" i="12"/>
  <c r="I19" i="12"/>
  <c r="I14" i="12"/>
  <c r="I10" i="12"/>
  <c r="AK35" i="11"/>
  <c r="K35" i="12"/>
  <c r="AK31" i="11"/>
  <c r="K31" i="12"/>
  <c r="AK27" i="11"/>
  <c r="K27" i="12"/>
  <c r="AK19" i="11"/>
  <c r="K19" i="12"/>
  <c r="AK11" i="11"/>
  <c r="K11" i="12"/>
  <c r="I37" i="12"/>
  <c r="I33" i="12"/>
  <c r="I29" i="12"/>
  <c r="I25" i="12"/>
  <c r="I21" i="12"/>
  <c r="I17" i="12"/>
  <c r="I24" i="12"/>
  <c r="AK28" i="11"/>
  <c r="K28" i="12"/>
  <c r="AK16" i="11"/>
  <c r="K16" i="12"/>
  <c r="I23" i="12"/>
  <c r="AK23" i="11"/>
  <c r="K23" i="12"/>
  <c r="AA11" i="11"/>
  <c r="I38" i="12"/>
  <c r="I34" i="12"/>
  <c r="I30" i="12"/>
  <c r="I26" i="12"/>
  <c r="I22" i="12"/>
  <c r="I13" i="12"/>
  <c r="AH9" i="11"/>
  <c r="AK9" i="11" s="1"/>
  <c r="K12" i="12"/>
  <c r="B9" i="6"/>
  <c r="AA35" i="11"/>
  <c r="AA31" i="11"/>
  <c r="AA27" i="11"/>
  <c r="AA23" i="11"/>
  <c r="AA19" i="11"/>
  <c r="X9" i="11"/>
  <c r="X15" i="11"/>
  <c r="Q37" i="11"/>
  <c r="Q33" i="11"/>
  <c r="Q29" i="11"/>
  <c r="Q25" i="11"/>
  <c r="Q21" i="11"/>
  <c r="Q17" i="11"/>
  <c r="Q13" i="11"/>
  <c r="AA38" i="11"/>
  <c r="AA34" i="11"/>
  <c r="AA30" i="11"/>
  <c r="AA26" i="11"/>
  <c r="AA22" i="11"/>
  <c r="AA14" i="11"/>
  <c r="AA10" i="11"/>
  <c r="Q36" i="11"/>
  <c r="Q32" i="11"/>
  <c r="Q28" i="11"/>
  <c r="Q24" i="11"/>
  <c r="Q20" i="11"/>
  <c r="Q16" i="11"/>
  <c r="AA37" i="11"/>
  <c r="AA33" i="11"/>
  <c r="AA29" i="11"/>
  <c r="AA25" i="11"/>
  <c r="AA21" i="11"/>
  <c r="AA17" i="11"/>
  <c r="AA13" i="11"/>
  <c r="Q35" i="11"/>
  <c r="Q31" i="11"/>
  <c r="Q27" i="11"/>
  <c r="Q23" i="11"/>
  <c r="Q19" i="11"/>
  <c r="Q11" i="11"/>
  <c r="Q38" i="11"/>
  <c r="Q34" i="11"/>
  <c r="Q30" i="11"/>
  <c r="Q26" i="11"/>
  <c r="Q22" i="11"/>
  <c r="Q14" i="11"/>
  <c r="Q10" i="11"/>
  <c r="AT6" i="11"/>
  <c r="AA36" i="11"/>
  <c r="AK34" i="11"/>
  <c r="AA32" i="11"/>
  <c r="AK30" i="11"/>
  <c r="AA28" i="11"/>
  <c r="AK26" i="11"/>
  <c r="AA24" i="11"/>
  <c r="AK22" i="11"/>
  <c r="AA20" i="11"/>
  <c r="AK18" i="11"/>
  <c r="AA16" i="11"/>
  <c r="AK14" i="11"/>
  <c r="AA12" i="11"/>
  <c r="AK10" i="11"/>
  <c r="B12" i="6"/>
  <c r="AK38" i="11"/>
  <c r="AT7" i="11"/>
  <c r="AK37" i="11"/>
  <c r="AK33" i="11"/>
  <c r="AK29" i="11"/>
  <c r="AK25" i="11"/>
  <c r="AK21" i="11"/>
  <c r="AK17" i="11"/>
  <c r="AQ15" i="11" s="1"/>
  <c r="AK13" i="11"/>
  <c r="E8" i="15"/>
  <c r="D8" i="15"/>
  <c r="C8" i="15"/>
  <c r="A38" i="15"/>
  <c r="A37" i="15"/>
  <c r="A6" i="15"/>
  <c r="A90" i="12"/>
  <c r="AU6" i="11" l="1"/>
  <c r="AX106" i="11" s="1"/>
  <c r="AK93" i="11"/>
  <c r="AQ18" i="11"/>
  <c r="AP36" i="11"/>
  <c r="AO21" i="11"/>
  <c r="C13" i="15" s="1"/>
  <c r="C13" i="16" s="1"/>
  <c r="AP27" i="11"/>
  <c r="AP12" i="11"/>
  <c r="AQ27" i="11"/>
  <c r="AQ30" i="11"/>
  <c r="AO27" i="11"/>
  <c r="AP21" i="11"/>
  <c r="AO24" i="11"/>
  <c r="AO33" i="11"/>
  <c r="AQ9" i="11"/>
  <c r="AQ24" i="11"/>
  <c r="AO30" i="11"/>
  <c r="AP30" i="11"/>
  <c r="AP33" i="11"/>
  <c r="AO36" i="11"/>
  <c r="AP24" i="11"/>
  <c r="AQ21" i="11"/>
  <c r="AQ12" i="11"/>
  <c r="AQ33" i="11"/>
  <c r="AQ36" i="11"/>
  <c r="AX20" i="11" l="1"/>
  <c r="AX18" i="11"/>
  <c r="AX19" i="11"/>
  <c r="AX17" i="11"/>
  <c r="AX102" i="11"/>
  <c r="AX36" i="11"/>
  <c r="AX34" i="11"/>
  <c r="AU104" i="11"/>
  <c r="AU116" i="11"/>
  <c r="AU128" i="11"/>
  <c r="AU140" i="11"/>
  <c r="AU152" i="11"/>
  <c r="AU164" i="11"/>
  <c r="AU176" i="11"/>
  <c r="AU188" i="11"/>
  <c r="AU12" i="11"/>
  <c r="AU24" i="11"/>
  <c r="AU36" i="11"/>
  <c r="E18" i="21" s="1"/>
  <c r="AU48" i="11"/>
  <c r="AU60" i="11"/>
  <c r="AU72" i="11"/>
  <c r="AU84" i="11"/>
  <c r="AS98" i="11"/>
  <c r="AS110" i="11"/>
  <c r="AS122" i="11"/>
  <c r="AV122" i="11" s="1"/>
  <c r="AW122" i="11" s="1"/>
  <c r="AS134" i="11"/>
  <c r="AS146" i="11"/>
  <c r="AS158" i="11"/>
  <c r="AV158" i="11" s="1"/>
  <c r="AW158" i="11" s="1"/>
  <c r="AS170" i="11"/>
  <c r="AS182" i="11"/>
  <c r="AS194" i="11"/>
  <c r="AS30" i="11"/>
  <c r="D16" i="21" s="1"/>
  <c r="AS42" i="11"/>
  <c r="AS54" i="11"/>
  <c r="AV54" i="11" s="1"/>
  <c r="AW54" i="11" s="1"/>
  <c r="AS66" i="11"/>
  <c r="AS78" i="11"/>
  <c r="AS90" i="11"/>
  <c r="AR104" i="11"/>
  <c r="AR116" i="11"/>
  <c r="AR128" i="11"/>
  <c r="AR152" i="11"/>
  <c r="AR164" i="11"/>
  <c r="AR188" i="11"/>
  <c r="AR27" i="11"/>
  <c r="AR39" i="11"/>
  <c r="AR63" i="11"/>
  <c r="AR87" i="11"/>
  <c r="AU107" i="11"/>
  <c r="AU119" i="11"/>
  <c r="AU131" i="11"/>
  <c r="AU143" i="11"/>
  <c r="AV143" i="11" s="1"/>
  <c r="AW143" i="11" s="1"/>
  <c r="AU155" i="11"/>
  <c r="AU167" i="11"/>
  <c r="AU179" i="11"/>
  <c r="AU191" i="11"/>
  <c r="AV191" i="11" s="1"/>
  <c r="AW191" i="11" s="1"/>
  <c r="AU15" i="11"/>
  <c r="E11" i="21" s="1"/>
  <c r="AU27" i="11"/>
  <c r="E15" i="21" s="1"/>
  <c r="AU39" i="11"/>
  <c r="AU51" i="11"/>
  <c r="AV51" i="11" s="1"/>
  <c r="AW51" i="11" s="1"/>
  <c r="AU63" i="11"/>
  <c r="AU75" i="11"/>
  <c r="AU87" i="11"/>
  <c r="AS101" i="11"/>
  <c r="AS113" i="11"/>
  <c r="AS125" i="11"/>
  <c r="AS137" i="11"/>
  <c r="AS149" i="11"/>
  <c r="AV149" i="11" s="1"/>
  <c r="AW149" i="11" s="1"/>
  <c r="AS161" i="11"/>
  <c r="AS173" i="11"/>
  <c r="AS185" i="11"/>
  <c r="AV185" i="11" s="1"/>
  <c r="AW185" i="11" s="1"/>
  <c r="AS95" i="11"/>
  <c r="AS21" i="11"/>
  <c r="D13" i="21" s="1"/>
  <c r="AS33" i="11"/>
  <c r="AS45" i="11"/>
  <c r="AS57" i="11"/>
  <c r="AV57" i="11" s="1"/>
  <c r="AW57" i="11" s="1"/>
  <c r="AS69" i="11"/>
  <c r="AS81" i="11"/>
  <c r="AR119" i="11"/>
  <c r="AR167" i="11"/>
  <c r="AR179" i="11"/>
  <c r="AR191" i="11"/>
  <c r="AR30" i="11"/>
  <c r="C16" i="15" s="1"/>
  <c r="C16" i="16" s="1"/>
  <c r="AR42" i="11"/>
  <c r="AR66" i="11"/>
  <c r="AR90" i="11"/>
  <c r="C36" i="15" s="1"/>
  <c r="C36" i="16" s="1"/>
  <c r="AU110" i="11"/>
  <c r="AU134" i="11"/>
  <c r="AU158" i="11"/>
  <c r="AU182" i="11"/>
  <c r="AU18" i="11"/>
  <c r="E12" i="21" s="1"/>
  <c r="AU42" i="11"/>
  <c r="AU66" i="11"/>
  <c r="AU90" i="11"/>
  <c r="E36" i="15" s="1"/>
  <c r="E36" i="16" s="1"/>
  <c r="AS116" i="11"/>
  <c r="AS140" i="11"/>
  <c r="AS164" i="11"/>
  <c r="AV164" i="11" s="1"/>
  <c r="AW164" i="11" s="1"/>
  <c r="AS188" i="11"/>
  <c r="AS24" i="11"/>
  <c r="D14" i="21" s="1"/>
  <c r="AS48" i="11"/>
  <c r="AS72" i="11"/>
  <c r="AV72" i="11" s="1"/>
  <c r="AW72" i="11" s="1"/>
  <c r="AR98" i="11"/>
  <c r="AR113" i="11"/>
  <c r="AR182" i="11"/>
  <c r="AR69" i="11"/>
  <c r="AU113" i="11"/>
  <c r="AU137" i="11"/>
  <c r="AV137" i="11" s="1"/>
  <c r="AW137" i="11" s="1"/>
  <c r="AU161" i="11"/>
  <c r="AV161" i="11" s="1"/>
  <c r="AW161" i="11" s="1"/>
  <c r="AU185" i="11"/>
  <c r="AU21" i="11"/>
  <c r="E13" i="21" s="1"/>
  <c r="AU45" i="11"/>
  <c r="AV45" i="11" s="1"/>
  <c r="AW45" i="11" s="1"/>
  <c r="AU69" i="11"/>
  <c r="AV69" i="11" s="1"/>
  <c r="AW69" i="11" s="1"/>
  <c r="AU9" i="11"/>
  <c r="E9" i="21" s="1"/>
  <c r="AS119" i="11"/>
  <c r="AS143" i="11"/>
  <c r="AS167" i="11"/>
  <c r="AS191" i="11"/>
  <c r="AS27" i="11"/>
  <c r="D15" i="21" s="1"/>
  <c r="AS51" i="11"/>
  <c r="AS75" i="11"/>
  <c r="AV75" i="11" s="1"/>
  <c r="AW75" i="11" s="1"/>
  <c r="AR101" i="11"/>
  <c r="AR122" i="11"/>
  <c r="AR170" i="11"/>
  <c r="AU98" i="11"/>
  <c r="AV98" i="11" s="1"/>
  <c r="AW98" i="11" s="1"/>
  <c r="F10" i="23" s="1"/>
  <c r="F10" i="24" s="1"/>
  <c r="AU122" i="11"/>
  <c r="AU146" i="11"/>
  <c r="AU170" i="11"/>
  <c r="AV170" i="11" s="1"/>
  <c r="AW170" i="11" s="1"/>
  <c r="AU194" i="11"/>
  <c r="AV194" i="11" s="1"/>
  <c r="AW194" i="11" s="1"/>
  <c r="AU30" i="11"/>
  <c r="E16" i="21" s="1"/>
  <c r="AU54" i="11"/>
  <c r="AU78" i="11"/>
  <c r="AV78" i="11" s="1"/>
  <c r="AW78" i="11" s="1"/>
  <c r="AS104" i="11"/>
  <c r="AS128" i="11"/>
  <c r="AS152" i="11"/>
  <c r="AS176" i="11"/>
  <c r="AV176" i="11" s="1"/>
  <c r="AW176" i="11" s="1"/>
  <c r="AS12" i="11"/>
  <c r="D10" i="21" s="1"/>
  <c r="AS36" i="11"/>
  <c r="D18" i="21" s="1"/>
  <c r="AS60" i="11"/>
  <c r="AS84" i="11"/>
  <c r="AR125" i="11"/>
  <c r="AR194" i="11"/>
  <c r="AR45" i="11"/>
  <c r="AU101" i="11"/>
  <c r="AU125" i="11"/>
  <c r="AU149" i="11"/>
  <c r="AU173" i="11"/>
  <c r="AU95" i="11"/>
  <c r="AU33" i="11"/>
  <c r="E17" i="21" s="1"/>
  <c r="AU57" i="11"/>
  <c r="AU81" i="11"/>
  <c r="AV81" i="11" s="1"/>
  <c r="AW81" i="11" s="1"/>
  <c r="AS107" i="11"/>
  <c r="AS131" i="11"/>
  <c r="AS155" i="11"/>
  <c r="AS179" i="11"/>
  <c r="AS39" i="11"/>
  <c r="AV39" i="11" s="1"/>
  <c r="AW39" i="11" s="1"/>
  <c r="AS63" i="11"/>
  <c r="AS87" i="11"/>
  <c r="AR24" i="11"/>
  <c r="C14" i="21" s="1"/>
  <c r="AR48" i="11"/>
  <c r="AR60" i="11"/>
  <c r="AX35" i="11"/>
  <c r="AX33" i="11"/>
  <c r="E10" i="21"/>
  <c r="AX101" i="11"/>
  <c r="E14" i="21"/>
  <c r="AX150" i="11"/>
  <c r="AX151" i="11"/>
  <c r="AX152" i="11"/>
  <c r="AX154" i="11"/>
  <c r="AV155" i="11"/>
  <c r="AW155" i="11" s="1"/>
  <c r="AX159" i="11"/>
  <c r="AX162" i="11"/>
  <c r="AX168" i="11"/>
  <c r="AX171" i="11"/>
  <c r="AX176" i="11"/>
  <c r="AX179" i="11"/>
  <c r="AX182" i="11"/>
  <c r="AX185" i="11"/>
  <c r="AX187" i="11"/>
  <c r="AX110" i="11"/>
  <c r="AX112" i="11"/>
  <c r="AV113" i="11"/>
  <c r="AW113" i="11" s="1"/>
  <c r="AX126" i="11"/>
  <c r="AX132" i="11"/>
  <c r="AX135" i="11"/>
  <c r="AX142" i="11"/>
  <c r="AX146" i="11"/>
  <c r="AX92" i="11"/>
  <c r="AX60" i="11"/>
  <c r="AX62" i="11"/>
  <c r="AX63" i="11"/>
  <c r="AX71" i="11"/>
  <c r="AV84" i="11"/>
  <c r="AW84" i="11" s="1"/>
  <c r="AX87" i="11"/>
  <c r="AX41" i="11"/>
  <c r="AX42" i="11"/>
  <c r="AX47" i="11"/>
  <c r="AX48" i="11"/>
  <c r="AX50" i="11"/>
  <c r="AX53" i="11"/>
  <c r="AX55" i="11"/>
  <c r="AX58" i="11"/>
  <c r="AX149" i="11"/>
  <c r="AX153" i="11"/>
  <c r="AX155" i="11"/>
  <c r="AX167" i="11"/>
  <c r="AX173" i="11"/>
  <c r="AX177" i="11"/>
  <c r="AX178" i="11"/>
  <c r="AX184" i="11"/>
  <c r="AX186" i="11"/>
  <c r="AX188" i="11"/>
  <c r="AX189" i="11"/>
  <c r="AX191" i="11"/>
  <c r="AX192" i="11"/>
  <c r="AX193" i="11"/>
  <c r="AV116" i="11"/>
  <c r="AW116" i="11" s="1"/>
  <c r="AX121" i="11"/>
  <c r="AX122" i="11"/>
  <c r="AX124" i="11"/>
  <c r="AX125" i="11"/>
  <c r="AX127" i="11"/>
  <c r="AX128" i="11"/>
  <c r="AX129" i="11"/>
  <c r="AX130" i="11"/>
  <c r="AX136" i="11"/>
  <c r="AX163" i="11"/>
  <c r="AX169" i="11"/>
  <c r="AX170" i="11"/>
  <c r="AX174" i="11"/>
  <c r="AX180" i="11"/>
  <c r="AX181" i="11"/>
  <c r="AX183" i="11"/>
  <c r="AX190" i="11"/>
  <c r="AX194" i="11"/>
  <c r="AX195" i="11"/>
  <c r="AX196" i="11"/>
  <c r="AX115" i="11"/>
  <c r="AX131" i="11"/>
  <c r="AX140" i="11"/>
  <c r="AX90" i="11"/>
  <c r="AX65" i="11"/>
  <c r="AX66" i="11"/>
  <c r="AX70" i="11"/>
  <c r="AX72" i="11"/>
  <c r="AX74" i="11"/>
  <c r="AX76" i="11"/>
  <c r="AX82" i="11"/>
  <c r="AX88" i="11"/>
  <c r="AX46" i="11"/>
  <c r="AX166" i="11"/>
  <c r="AX111" i="11"/>
  <c r="AX113" i="11"/>
  <c r="AX114" i="11"/>
  <c r="AX123" i="11"/>
  <c r="AX133" i="11"/>
  <c r="AX137" i="11"/>
  <c r="AX139" i="11"/>
  <c r="AX141" i="11"/>
  <c r="AX148" i="11"/>
  <c r="AX61" i="11"/>
  <c r="AX64" i="11"/>
  <c r="AV66" i="11"/>
  <c r="AW66" i="11" s="1"/>
  <c r="AX68" i="11"/>
  <c r="AX75" i="11"/>
  <c r="AX80" i="11"/>
  <c r="AX86" i="11"/>
  <c r="AX44" i="11"/>
  <c r="AX45" i="11"/>
  <c r="AX52" i="11"/>
  <c r="AX59" i="11"/>
  <c r="AX161" i="11"/>
  <c r="AX175" i="11"/>
  <c r="AX119" i="11"/>
  <c r="AX143" i="11"/>
  <c r="AX144" i="11"/>
  <c r="AX145" i="11"/>
  <c r="AX147" i="11"/>
  <c r="AX91" i="11"/>
  <c r="AX67" i="11"/>
  <c r="AX73" i="11"/>
  <c r="AX77" i="11"/>
  <c r="AX78" i="11"/>
  <c r="AX79" i="11"/>
  <c r="AX84" i="11"/>
  <c r="AX89" i="11"/>
  <c r="AX39" i="11"/>
  <c r="AX49" i="11"/>
  <c r="AX56" i="11"/>
  <c r="AX156" i="11"/>
  <c r="AX160" i="11"/>
  <c r="AX164" i="11"/>
  <c r="AX165" i="11"/>
  <c r="AX172" i="11"/>
  <c r="AX116" i="11"/>
  <c r="AX117" i="11"/>
  <c r="AX118" i="11"/>
  <c r="AX120" i="11"/>
  <c r="AX134" i="11"/>
  <c r="AX138" i="11"/>
  <c r="AV63" i="11"/>
  <c r="AW63" i="11" s="1"/>
  <c r="AX69" i="11"/>
  <c r="AX81" i="11"/>
  <c r="AX83" i="11"/>
  <c r="AX85" i="11"/>
  <c r="AX40" i="11"/>
  <c r="AX43" i="11"/>
  <c r="AX51" i="11"/>
  <c r="AX54" i="11"/>
  <c r="AX57" i="11"/>
  <c r="AX157" i="11"/>
  <c r="AX158" i="11"/>
  <c r="AX32" i="11"/>
  <c r="AX16" i="11"/>
  <c r="AX31" i="11"/>
  <c r="AX15" i="11"/>
  <c r="AX30" i="11"/>
  <c r="AX14" i="11"/>
  <c r="AX29" i="11"/>
  <c r="AX13" i="11"/>
  <c r="AX97" i="11"/>
  <c r="AX107" i="11"/>
  <c r="AX104" i="11"/>
  <c r="AX109" i="11"/>
  <c r="AX105" i="11"/>
  <c r="AX28" i="11"/>
  <c r="AX12" i="11"/>
  <c r="AX27" i="11"/>
  <c r="AX11" i="11"/>
  <c r="AX26" i="11"/>
  <c r="AX10" i="11"/>
  <c r="AX25" i="11"/>
  <c r="AV27" i="11"/>
  <c r="AX95" i="11"/>
  <c r="AX99" i="11"/>
  <c r="AW203" i="11"/>
  <c r="F44" i="24" s="1"/>
  <c r="AX108" i="11"/>
  <c r="AX98" i="11"/>
  <c r="AV107" i="11"/>
  <c r="AW107" i="11" s="1"/>
  <c r="F13" i="23" s="1"/>
  <c r="F13" i="24" s="1"/>
  <c r="AX24" i="11"/>
  <c r="AX9" i="11"/>
  <c r="AX23" i="11"/>
  <c r="AX38" i="11"/>
  <c r="AX22" i="11"/>
  <c r="AX37" i="11"/>
  <c r="AX21" i="11"/>
  <c r="AX96" i="11"/>
  <c r="AV101" i="11"/>
  <c r="AW101" i="11" s="1"/>
  <c r="AX100" i="11"/>
  <c r="AX103" i="11"/>
  <c r="AW202" i="11"/>
  <c r="F43" i="23" s="1"/>
  <c r="C13" i="21"/>
  <c r="C16" i="21"/>
  <c r="C17" i="21"/>
  <c r="C17" i="15"/>
  <c r="C17" i="16" s="1"/>
  <c r="C15" i="21"/>
  <c r="C15" i="15"/>
  <c r="C15" i="16" s="1"/>
  <c r="C18" i="21"/>
  <c r="C18" i="15"/>
  <c r="C18" i="16" s="1"/>
  <c r="AK198" i="11"/>
  <c r="AV24" i="11"/>
  <c r="AV30" i="11"/>
  <c r="V2" i="5"/>
  <c r="V9" i="5" s="1"/>
  <c r="W1" i="5"/>
  <c r="AV36" i="11" l="1"/>
  <c r="AV167" i="11"/>
  <c r="AW167" i="11" s="1"/>
  <c r="AV119" i="11"/>
  <c r="AW119" i="11" s="1"/>
  <c r="F17" i="23" s="1"/>
  <c r="F17" i="24" s="1"/>
  <c r="C14" i="15"/>
  <c r="C14" i="16" s="1"/>
  <c r="AV90" i="11"/>
  <c r="AW90" i="11" s="1"/>
  <c r="F36" i="15" s="1"/>
  <c r="F36" i="16" s="1"/>
  <c r="AV182" i="11"/>
  <c r="AW182" i="11" s="1"/>
  <c r="AV134" i="11"/>
  <c r="AW134" i="11" s="1"/>
  <c r="M48" i="22" s="1"/>
  <c r="N48" i="22" s="1"/>
  <c r="AV60" i="11"/>
  <c r="AW60" i="11" s="1"/>
  <c r="AV12" i="11"/>
  <c r="AV152" i="11"/>
  <c r="AW152" i="11" s="1"/>
  <c r="AV95" i="11"/>
  <c r="AW95" i="11" s="1"/>
  <c r="F9" i="23" s="1"/>
  <c r="F9" i="24" s="1"/>
  <c r="AV110" i="11"/>
  <c r="AW110" i="11" s="1"/>
  <c r="F14" i="23" s="1"/>
  <c r="F14" i="24" s="1"/>
  <c r="AV87" i="11"/>
  <c r="AW87" i="11" s="1"/>
  <c r="M87" i="12" s="1"/>
  <c r="N87" i="12" s="1"/>
  <c r="AV179" i="11"/>
  <c r="AW179" i="11" s="1"/>
  <c r="AV48" i="11"/>
  <c r="AW48" i="11" s="1"/>
  <c r="M48" i="12" s="1"/>
  <c r="N48" i="12" s="1"/>
  <c r="AV188" i="11"/>
  <c r="AW188" i="11" s="1"/>
  <c r="M102" i="22" s="1"/>
  <c r="N102" i="22" s="1"/>
  <c r="F15" i="25"/>
  <c r="G15" i="25" s="1"/>
  <c r="AV33" i="11"/>
  <c r="M111" i="22"/>
  <c r="M72" i="22"/>
  <c r="N72" i="22" s="1"/>
  <c r="F30" i="23"/>
  <c r="F30" i="24" s="1"/>
  <c r="M84" i="22"/>
  <c r="N84" i="22" s="1"/>
  <c r="F34" i="23"/>
  <c r="F34" i="24" s="1"/>
  <c r="D21" i="23"/>
  <c r="D21" i="24" s="1"/>
  <c r="J45" i="22"/>
  <c r="AT131" i="11"/>
  <c r="D41" i="23"/>
  <c r="D41" i="24" s="1"/>
  <c r="J105" i="22"/>
  <c r="AT191" i="11"/>
  <c r="E39" i="23"/>
  <c r="E39" i="24" s="1"/>
  <c r="L99" i="22"/>
  <c r="D32" i="23"/>
  <c r="D32" i="24" s="1"/>
  <c r="J78" i="22"/>
  <c r="AT164" i="11"/>
  <c r="C28" i="15"/>
  <c r="C28" i="16" s="1"/>
  <c r="H66" i="12"/>
  <c r="J39" i="22"/>
  <c r="D19" i="23"/>
  <c r="D19" i="24" s="1"/>
  <c r="AT125" i="11"/>
  <c r="C27" i="15"/>
  <c r="C27" i="16" s="1"/>
  <c r="H63" i="12"/>
  <c r="D42" i="23"/>
  <c r="D42" i="24" s="1"/>
  <c r="J108" i="22"/>
  <c r="AT194" i="11"/>
  <c r="M96" i="22"/>
  <c r="N96" i="22" s="1"/>
  <c r="F38" i="23"/>
  <c r="F38" i="24" s="1"/>
  <c r="AV131" i="11"/>
  <c r="AW131" i="11" s="1"/>
  <c r="M27" i="22"/>
  <c r="N27" i="22" s="1"/>
  <c r="F15" i="23"/>
  <c r="F15" i="24" s="1"/>
  <c r="C19" i="23"/>
  <c r="C19" i="24" s="1"/>
  <c r="H39" i="22"/>
  <c r="E10" i="23"/>
  <c r="E10" i="24" s="1"/>
  <c r="E10" i="25"/>
  <c r="L12" i="22"/>
  <c r="E29" i="15"/>
  <c r="E29" i="16" s="1"/>
  <c r="L69" i="12"/>
  <c r="D22" i="15"/>
  <c r="D22" i="16" s="1"/>
  <c r="J48" i="12"/>
  <c r="AT48" i="11"/>
  <c r="E22" i="23"/>
  <c r="E22" i="24" s="1"/>
  <c r="L48" i="22"/>
  <c r="D29" i="15"/>
  <c r="D29" i="16" s="1"/>
  <c r="J69" i="12"/>
  <c r="AT69" i="11"/>
  <c r="C19" i="15"/>
  <c r="C19" i="16" s="1"/>
  <c r="H39" i="12"/>
  <c r="D20" i="15"/>
  <c r="D20" i="16" s="1"/>
  <c r="J42" i="12"/>
  <c r="AT42" i="11"/>
  <c r="M51" i="22"/>
  <c r="N51" i="22" s="1"/>
  <c r="F23" i="23"/>
  <c r="F23" i="24" s="1"/>
  <c r="M33" i="22"/>
  <c r="N33" i="22" s="1"/>
  <c r="M57" i="22"/>
  <c r="N57" i="22" s="1"/>
  <c r="F25" i="23"/>
  <c r="F25" i="24" s="1"/>
  <c r="D35" i="15"/>
  <c r="D35" i="16" s="1"/>
  <c r="J87" i="12"/>
  <c r="AT87" i="11"/>
  <c r="D37" i="23"/>
  <c r="D37" i="24" s="1"/>
  <c r="J93" i="22"/>
  <c r="AT179" i="11"/>
  <c r="E33" i="15"/>
  <c r="E33" i="16" s="1"/>
  <c r="L81" i="12"/>
  <c r="E35" i="23"/>
  <c r="E35" i="24" s="1"/>
  <c r="L87" i="22"/>
  <c r="D34" i="15"/>
  <c r="D34" i="16" s="1"/>
  <c r="J84" i="12"/>
  <c r="AT84" i="11"/>
  <c r="D36" i="23"/>
  <c r="D36" i="24" s="1"/>
  <c r="J90" i="22"/>
  <c r="AT176" i="11"/>
  <c r="E32" i="15"/>
  <c r="E32" i="16" s="1"/>
  <c r="L78" i="12"/>
  <c r="E34" i="23"/>
  <c r="E34" i="24" s="1"/>
  <c r="L84" i="22"/>
  <c r="C34" i="23"/>
  <c r="C34" i="24" s="1"/>
  <c r="H84" i="22"/>
  <c r="D23" i="15"/>
  <c r="D23" i="16" s="1"/>
  <c r="J51" i="12"/>
  <c r="AT51" i="11"/>
  <c r="D25" i="23"/>
  <c r="D25" i="24" s="1"/>
  <c r="J57" i="22"/>
  <c r="AT143" i="11"/>
  <c r="E21" i="15"/>
  <c r="E21" i="16" s="1"/>
  <c r="L45" i="12"/>
  <c r="E23" i="23"/>
  <c r="E23" i="24" s="1"/>
  <c r="L51" i="22"/>
  <c r="C15" i="23"/>
  <c r="C15" i="24" s="1"/>
  <c r="H27" i="22"/>
  <c r="D16" i="23"/>
  <c r="D16" i="24" s="1"/>
  <c r="J30" i="22"/>
  <c r="AT116" i="11"/>
  <c r="E14" i="23"/>
  <c r="E14" i="24" s="1"/>
  <c r="L24" i="22"/>
  <c r="H33" i="22"/>
  <c r="C17" i="23"/>
  <c r="C17" i="24" s="1"/>
  <c r="D25" i="15"/>
  <c r="D25" i="16" s="1"/>
  <c r="J57" i="12"/>
  <c r="AT57" i="11"/>
  <c r="D9" i="23"/>
  <c r="D9" i="24" s="1"/>
  <c r="AT95" i="11"/>
  <c r="D9" i="25"/>
  <c r="J9" i="22"/>
  <c r="J63" i="22"/>
  <c r="D27" i="23"/>
  <c r="D27" i="24" s="1"/>
  <c r="AT149" i="11"/>
  <c r="D11" i="23"/>
  <c r="D11" i="24" s="1"/>
  <c r="J15" i="22"/>
  <c r="D11" i="25"/>
  <c r="AT101" i="11"/>
  <c r="E23" i="15"/>
  <c r="E23" i="16" s="1"/>
  <c r="L51" i="12"/>
  <c r="L105" i="22"/>
  <c r="E41" i="23"/>
  <c r="E41" i="24" s="1"/>
  <c r="L57" i="22"/>
  <c r="E25" i="23"/>
  <c r="E25" i="24" s="1"/>
  <c r="C20" i="23"/>
  <c r="C20" i="24" s="1"/>
  <c r="H42" i="22"/>
  <c r="D32" i="15"/>
  <c r="D32" i="16" s="1"/>
  <c r="J78" i="12"/>
  <c r="AT78" i="11"/>
  <c r="D34" i="23"/>
  <c r="D34" i="24" s="1"/>
  <c r="J84" i="22"/>
  <c r="AT170" i="11"/>
  <c r="J36" i="22"/>
  <c r="D18" i="23"/>
  <c r="D18" i="24" s="1"/>
  <c r="AT122" i="11"/>
  <c r="E30" i="15"/>
  <c r="E30" i="16" s="1"/>
  <c r="L72" i="12"/>
  <c r="L78" i="22"/>
  <c r="E32" i="23"/>
  <c r="E32" i="24" s="1"/>
  <c r="L30" i="22"/>
  <c r="E16" i="23"/>
  <c r="E16" i="24" s="1"/>
  <c r="M90" i="22"/>
  <c r="N90" i="22" s="1"/>
  <c r="F36" i="23"/>
  <c r="F36" i="24" s="1"/>
  <c r="M108" i="22"/>
  <c r="N108" i="22" s="1"/>
  <c r="F42" i="23"/>
  <c r="F42" i="24" s="1"/>
  <c r="M78" i="22"/>
  <c r="N78" i="22" s="1"/>
  <c r="F32" i="23"/>
  <c r="F32" i="24" s="1"/>
  <c r="M36" i="22"/>
  <c r="N36" i="22" s="1"/>
  <c r="F18" i="23"/>
  <c r="F18" i="24" s="1"/>
  <c r="M105" i="22"/>
  <c r="N105" i="22" s="1"/>
  <c r="F41" i="23"/>
  <c r="F41" i="24" s="1"/>
  <c r="C22" i="15"/>
  <c r="C22" i="16" s="1"/>
  <c r="H48" i="12"/>
  <c r="D19" i="15"/>
  <c r="D19" i="16" s="1"/>
  <c r="J39" i="12"/>
  <c r="AT39" i="11"/>
  <c r="E19" i="23"/>
  <c r="E19" i="24" s="1"/>
  <c r="L39" i="22"/>
  <c r="C42" i="23"/>
  <c r="C42" i="24" s="1"/>
  <c r="H108" i="22"/>
  <c r="D20" i="23"/>
  <c r="D20" i="24" s="1"/>
  <c r="J42" i="22"/>
  <c r="AT128" i="11"/>
  <c r="E18" i="23"/>
  <c r="E18" i="24" s="1"/>
  <c r="L36" i="22"/>
  <c r="H15" i="22"/>
  <c r="C11" i="25"/>
  <c r="C11" i="23"/>
  <c r="C11" i="24" s="1"/>
  <c r="C29" i="15"/>
  <c r="C29" i="16" s="1"/>
  <c r="H69" i="12"/>
  <c r="D30" i="15"/>
  <c r="D30" i="16" s="1"/>
  <c r="J72" i="12"/>
  <c r="AT72" i="11"/>
  <c r="E28" i="15"/>
  <c r="E28" i="16" s="1"/>
  <c r="L66" i="12"/>
  <c r="E30" i="23"/>
  <c r="E30" i="24" s="1"/>
  <c r="L72" i="22"/>
  <c r="H93" i="22"/>
  <c r="C37" i="23"/>
  <c r="C37" i="24" s="1"/>
  <c r="D33" i="15"/>
  <c r="D33" i="16" s="1"/>
  <c r="J81" i="12"/>
  <c r="AT81" i="11"/>
  <c r="D35" i="23"/>
  <c r="D35" i="24" s="1"/>
  <c r="J87" i="22"/>
  <c r="AT173" i="11"/>
  <c r="E31" i="15"/>
  <c r="E31" i="16" s="1"/>
  <c r="L75" i="12"/>
  <c r="L81" i="22"/>
  <c r="E33" i="23"/>
  <c r="E33" i="24" s="1"/>
  <c r="L33" i="22"/>
  <c r="E17" i="23"/>
  <c r="E17" i="24" s="1"/>
  <c r="C32" i="23"/>
  <c r="C32" i="24" s="1"/>
  <c r="H78" i="22"/>
  <c r="C12" i="23"/>
  <c r="C12" i="24" s="1"/>
  <c r="H18" i="22"/>
  <c r="C12" i="25"/>
  <c r="D24" i="15"/>
  <c r="D24" i="16" s="1"/>
  <c r="J54" i="12"/>
  <c r="AT54" i="11"/>
  <c r="J60" i="22"/>
  <c r="D26" i="23"/>
  <c r="D26" i="24" s="1"/>
  <c r="AT146" i="11"/>
  <c r="D10" i="23"/>
  <c r="D10" i="24" s="1"/>
  <c r="D10" i="25"/>
  <c r="J12" i="22"/>
  <c r="AT98" i="11"/>
  <c r="E22" i="15"/>
  <c r="E22" i="16" s="1"/>
  <c r="L48" i="12"/>
  <c r="E40" i="23"/>
  <c r="E40" i="24" s="1"/>
  <c r="L102" i="22"/>
  <c r="L54" i="22"/>
  <c r="E24" i="23"/>
  <c r="E24" i="24" s="1"/>
  <c r="AV128" i="11"/>
  <c r="AW128" i="11" s="1"/>
  <c r="M81" i="22"/>
  <c r="N81" i="22" s="1"/>
  <c r="F33" i="23"/>
  <c r="F33" i="24" s="1"/>
  <c r="M63" i="22"/>
  <c r="N63" i="22" s="1"/>
  <c r="F27" i="23"/>
  <c r="F27" i="24" s="1"/>
  <c r="M75" i="22"/>
  <c r="N75" i="22" s="1"/>
  <c r="F31" i="23"/>
  <c r="F31" i="24" s="1"/>
  <c r="D13" i="23"/>
  <c r="D13" i="24" s="1"/>
  <c r="AT107" i="11"/>
  <c r="J21" i="22"/>
  <c r="D13" i="25"/>
  <c r="L9" i="22"/>
  <c r="E9" i="25"/>
  <c r="E9" i="23"/>
  <c r="E9" i="24" s="1"/>
  <c r="E11" i="23"/>
  <c r="E11" i="24" s="1"/>
  <c r="E11" i="25"/>
  <c r="L15" i="22"/>
  <c r="D12" i="23"/>
  <c r="D12" i="24" s="1"/>
  <c r="D12" i="25"/>
  <c r="J18" i="22"/>
  <c r="AT104" i="11"/>
  <c r="E42" i="23"/>
  <c r="E42" i="24" s="1"/>
  <c r="L108" i="22"/>
  <c r="D31" i="15"/>
  <c r="D31" i="16" s="1"/>
  <c r="J75" i="12"/>
  <c r="AT75" i="11"/>
  <c r="J81" i="22"/>
  <c r="D33" i="23"/>
  <c r="D33" i="24" s="1"/>
  <c r="AT167" i="11"/>
  <c r="E31" i="23"/>
  <c r="E31" i="24" s="1"/>
  <c r="L75" i="22"/>
  <c r="C38" i="23"/>
  <c r="C38" i="24" s="1"/>
  <c r="H96" i="22"/>
  <c r="D24" i="23"/>
  <c r="D24" i="24" s="1"/>
  <c r="J54" i="22"/>
  <c r="AT140" i="11"/>
  <c r="E20" i="15"/>
  <c r="E20" i="16" s="1"/>
  <c r="L42" i="12"/>
  <c r="C20" i="15"/>
  <c r="C20" i="16" s="1"/>
  <c r="H42" i="12"/>
  <c r="H81" i="22"/>
  <c r="C33" i="23"/>
  <c r="C33" i="24" s="1"/>
  <c r="J75" i="22"/>
  <c r="D31" i="23"/>
  <c r="D31" i="24" s="1"/>
  <c r="AT161" i="11"/>
  <c r="J27" i="22"/>
  <c r="D15" i="23"/>
  <c r="D15" i="24" s="1"/>
  <c r="AT113" i="11"/>
  <c r="E27" i="15"/>
  <c r="E27" i="16" s="1"/>
  <c r="L63" i="12"/>
  <c r="L69" i="22"/>
  <c r="E29" i="23"/>
  <c r="E29" i="24" s="1"/>
  <c r="L21" i="22"/>
  <c r="E13" i="23"/>
  <c r="E13" i="24" s="1"/>
  <c r="E13" i="25"/>
  <c r="C28" i="23"/>
  <c r="C28" i="24" s="1"/>
  <c r="H66" i="22"/>
  <c r="D36" i="15"/>
  <c r="D36" i="16" s="1"/>
  <c r="AT90" i="11"/>
  <c r="J96" i="22"/>
  <c r="D38" i="23"/>
  <c r="D38" i="24" s="1"/>
  <c r="AT182" i="11"/>
  <c r="J48" i="22"/>
  <c r="D22" i="23"/>
  <c r="D22" i="24" s="1"/>
  <c r="AT134" i="11"/>
  <c r="E34" i="15"/>
  <c r="E34" i="16" s="1"/>
  <c r="L84" i="12"/>
  <c r="E36" i="23"/>
  <c r="E36" i="24" s="1"/>
  <c r="L90" i="22"/>
  <c r="E20" i="23"/>
  <c r="E20" i="24" s="1"/>
  <c r="L42" i="22"/>
  <c r="D17" i="21"/>
  <c r="M66" i="22"/>
  <c r="N66" i="22" s="1"/>
  <c r="F28" i="23"/>
  <c r="F28" i="24" s="1"/>
  <c r="AV146" i="11"/>
  <c r="AW146" i="11" s="1"/>
  <c r="M99" i="22"/>
  <c r="N99" i="22" s="1"/>
  <c r="F39" i="23"/>
  <c r="F39" i="24" s="1"/>
  <c r="AV42" i="11"/>
  <c r="AW42" i="11" s="1"/>
  <c r="M42" i="12" s="1"/>
  <c r="N42" i="12" s="1"/>
  <c r="AV21" i="11"/>
  <c r="M93" i="22"/>
  <c r="N93" i="22" s="1"/>
  <c r="F37" i="23"/>
  <c r="F37" i="24" s="1"/>
  <c r="AV140" i="11"/>
  <c r="AW140" i="11" s="1"/>
  <c r="AV173" i="11"/>
  <c r="AW173" i="11" s="1"/>
  <c r="M30" i="22"/>
  <c r="N30" i="22" s="1"/>
  <c r="F16" i="23"/>
  <c r="F16" i="24" s="1"/>
  <c r="AV125" i="11"/>
  <c r="AW125" i="11" s="1"/>
  <c r="M69" i="22"/>
  <c r="N69" i="22" s="1"/>
  <c r="F29" i="23"/>
  <c r="F29" i="24" s="1"/>
  <c r="C26" i="15"/>
  <c r="C26" i="16" s="1"/>
  <c r="H60" i="12"/>
  <c r="D27" i="15"/>
  <c r="D27" i="16" s="1"/>
  <c r="J63" i="12"/>
  <c r="AT63" i="11"/>
  <c r="D29" i="23"/>
  <c r="D29" i="24" s="1"/>
  <c r="J69" i="22"/>
  <c r="AT155" i="11"/>
  <c r="E25" i="15"/>
  <c r="E25" i="16" s="1"/>
  <c r="L57" i="12"/>
  <c r="E27" i="23"/>
  <c r="E27" i="24" s="1"/>
  <c r="L63" i="22"/>
  <c r="C21" i="15"/>
  <c r="C21" i="16" s="1"/>
  <c r="H45" i="12"/>
  <c r="D26" i="15"/>
  <c r="D26" i="16" s="1"/>
  <c r="J60" i="12"/>
  <c r="AT60" i="11"/>
  <c r="D28" i="23"/>
  <c r="D28" i="24" s="1"/>
  <c r="J66" i="22"/>
  <c r="AT152" i="11"/>
  <c r="E24" i="15"/>
  <c r="E24" i="16" s="1"/>
  <c r="L54" i="12"/>
  <c r="E26" i="23"/>
  <c r="E26" i="24" s="1"/>
  <c r="L60" i="22"/>
  <c r="C18" i="23"/>
  <c r="C18" i="24" s="1"/>
  <c r="H36" i="22"/>
  <c r="D17" i="23"/>
  <c r="D17" i="24" s="1"/>
  <c r="J33" i="22"/>
  <c r="AT119" i="11"/>
  <c r="L27" i="22"/>
  <c r="E15" i="23"/>
  <c r="E15" i="24" s="1"/>
  <c r="C10" i="25"/>
  <c r="H12" i="22"/>
  <c r="C10" i="23"/>
  <c r="C10" i="24" s="1"/>
  <c r="D40" i="23"/>
  <c r="D40" i="24" s="1"/>
  <c r="J102" i="22"/>
  <c r="AT188" i="11"/>
  <c r="E38" i="23"/>
  <c r="E38" i="24" s="1"/>
  <c r="L96" i="22"/>
  <c r="H105" i="22"/>
  <c r="C41" i="23"/>
  <c r="C41" i="24" s="1"/>
  <c r="D21" i="15"/>
  <c r="D21" i="16" s="1"/>
  <c r="J45" i="12"/>
  <c r="AT45" i="11"/>
  <c r="J99" i="22"/>
  <c r="D39" i="23"/>
  <c r="D39" i="24" s="1"/>
  <c r="AT185" i="11"/>
  <c r="J51" i="22"/>
  <c r="D23" i="23"/>
  <c r="D23" i="24" s="1"/>
  <c r="AT137" i="11"/>
  <c r="E35" i="15"/>
  <c r="E35" i="16" s="1"/>
  <c r="L87" i="12"/>
  <c r="E19" i="15"/>
  <c r="E19" i="16" s="1"/>
  <c r="L39" i="12"/>
  <c r="E37" i="23"/>
  <c r="E37" i="24" s="1"/>
  <c r="L93" i="22"/>
  <c r="L45" i="22"/>
  <c r="E21" i="23"/>
  <c r="E21" i="24" s="1"/>
  <c r="C35" i="15"/>
  <c r="C35" i="16" s="1"/>
  <c r="H87" i="12"/>
  <c r="H102" i="22"/>
  <c r="C40" i="23"/>
  <c r="C40" i="24" s="1"/>
  <c r="C16" i="23"/>
  <c r="C16" i="24" s="1"/>
  <c r="H30" i="22"/>
  <c r="D28" i="15"/>
  <c r="D28" i="16" s="1"/>
  <c r="J66" i="12"/>
  <c r="AT66" i="11"/>
  <c r="J72" i="22"/>
  <c r="D30" i="23"/>
  <c r="D30" i="24" s="1"/>
  <c r="AT158" i="11"/>
  <c r="J24" i="22"/>
  <c r="D14" i="23"/>
  <c r="D14" i="24" s="1"/>
  <c r="AT110" i="11"/>
  <c r="E26" i="15"/>
  <c r="E26" i="16" s="1"/>
  <c r="L60" i="12"/>
  <c r="E28" i="23"/>
  <c r="E28" i="24" s="1"/>
  <c r="L66" i="22"/>
  <c r="L18" i="22"/>
  <c r="E12" i="23"/>
  <c r="E12" i="24" s="1"/>
  <c r="E12" i="25"/>
  <c r="AV104" i="11"/>
  <c r="AW104" i="11" s="1"/>
  <c r="F11" i="23"/>
  <c r="F11" i="24" s="1"/>
  <c r="F11" i="25"/>
  <c r="F24" i="15"/>
  <c r="F24" i="16" s="1"/>
  <c r="M54" i="12"/>
  <c r="N54" i="12" s="1"/>
  <c r="F35" i="15"/>
  <c r="F35" i="16" s="1"/>
  <c r="F19" i="15"/>
  <c r="F19" i="16" s="1"/>
  <c r="M39" i="12"/>
  <c r="N39" i="12" s="1"/>
  <c r="F23" i="15"/>
  <c r="F23" i="16" s="1"/>
  <c r="M51" i="12"/>
  <c r="N51" i="12" s="1"/>
  <c r="F33" i="15"/>
  <c r="F33" i="16" s="1"/>
  <c r="M81" i="12"/>
  <c r="N81" i="12" s="1"/>
  <c r="F29" i="15"/>
  <c r="F29" i="16" s="1"/>
  <c r="M69" i="12"/>
  <c r="N69" i="12" s="1"/>
  <c r="F27" i="15"/>
  <c r="F27" i="16" s="1"/>
  <c r="M63" i="12"/>
  <c r="N63" i="12" s="1"/>
  <c r="F28" i="15"/>
  <c r="F28" i="16" s="1"/>
  <c r="M66" i="12"/>
  <c r="N66" i="12" s="1"/>
  <c r="F31" i="15"/>
  <c r="F31" i="16" s="1"/>
  <c r="M75" i="12"/>
  <c r="N75" i="12" s="1"/>
  <c r="F21" i="15"/>
  <c r="F21" i="16" s="1"/>
  <c r="M45" i="12"/>
  <c r="N45" i="12" s="1"/>
  <c r="F25" i="15"/>
  <c r="F25" i="16" s="1"/>
  <c r="M57" i="12"/>
  <c r="N57" i="12" s="1"/>
  <c r="F26" i="15"/>
  <c r="F26" i="16" s="1"/>
  <c r="M60" i="12"/>
  <c r="N60" i="12" s="1"/>
  <c r="F30" i="15"/>
  <c r="F30" i="16" s="1"/>
  <c r="M72" i="12"/>
  <c r="N72" i="12" s="1"/>
  <c r="F32" i="15"/>
  <c r="F32" i="16" s="1"/>
  <c r="M78" i="12"/>
  <c r="N78" i="12" s="1"/>
  <c r="F34" i="15"/>
  <c r="F34" i="16" s="1"/>
  <c r="M84" i="12"/>
  <c r="N84" i="12" s="1"/>
  <c r="F10" i="28"/>
  <c r="F14" i="25"/>
  <c r="G14" i="25" s="1"/>
  <c r="F43" i="24"/>
  <c r="M15" i="22"/>
  <c r="N15" i="22" s="1"/>
  <c r="F10" i="25"/>
  <c r="F13" i="25"/>
  <c r="M112" i="22"/>
  <c r="F13" i="28"/>
  <c r="F44" i="23"/>
  <c r="M12" i="22"/>
  <c r="N12" i="22" s="1"/>
  <c r="M21" i="22"/>
  <c r="N21" i="22" s="1"/>
  <c r="W11" i="5"/>
  <c r="W4" i="5"/>
  <c r="V3" i="5"/>
  <c r="X7" i="5"/>
  <c r="V4" i="5"/>
  <c r="V8" i="5"/>
  <c r="X3" i="5"/>
  <c r="X5" i="5"/>
  <c r="W12" i="5"/>
  <c r="X8" i="5"/>
  <c r="V13" i="5"/>
  <c r="V5" i="5"/>
  <c r="W8" i="5"/>
  <c r="X12" i="5"/>
  <c r="X4" i="5"/>
  <c r="V12" i="5"/>
  <c r="W3" i="5"/>
  <c r="W7" i="5"/>
  <c r="X11" i="5"/>
  <c r="V11" i="5"/>
  <c r="V7" i="5"/>
  <c r="W14" i="5"/>
  <c r="W10" i="5"/>
  <c r="W6" i="5"/>
  <c r="X14" i="5"/>
  <c r="X10" i="5"/>
  <c r="X6" i="5"/>
  <c r="V14" i="5"/>
  <c r="V10" i="5"/>
  <c r="V6" i="5"/>
  <c r="W13" i="5"/>
  <c r="W9" i="5"/>
  <c r="W5" i="5"/>
  <c r="X13" i="5"/>
  <c r="X9" i="5"/>
  <c r="AI68" i="5" s="1"/>
  <c r="AV7" i="11"/>
  <c r="AX7" i="11" s="1"/>
  <c r="F40" i="23" l="1"/>
  <c r="F40" i="24" s="1"/>
  <c r="M24" i="22"/>
  <c r="N24" i="22" s="1"/>
  <c r="F22" i="23"/>
  <c r="F22" i="24" s="1"/>
  <c r="F20" i="15"/>
  <c r="F20" i="16" s="1"/>
  <c r="F9" i="25"/>
  <c r="F22" i="15"/>
  <c r="F22" i="16" s="1"/>
  <c r="M9" i="22"/>
  <c r="N9" i="22" s="1"/>
  <c r="M42" i="22"/>
  <c r="N42" i="22" s="1"/>
  <c r="F20" i="23"/>
  <c r="F20" i="24" s="1"/>
  <c r="M45" i="22"/>
  <c r="N45" i="22" s="1"/>
  <c r="F21" i="23"/>
  <c r="F21" i="24" s="1"/>
  <c r="F12" i="23"/>
  <c r="F12" i="24" s="1"/>
  <c r="F12" i="25"/>
  <c r="M18" i="22"/>
  <c r="N18" i="22" s="1"/>
  <c r="M87" i="22"/>
  <c r="N87" i="22" s="1"/>
  <c r="F35" i="23"/>
  <c r="F35" i="24" s="1"/>
  <c r="M60" i="22"/>
  <c r="N60" i="22" s="1"/>
  <c r="F26" i="23"/>
  <c r="F26" i="24" s="1"/>
  <c r="M54" i="22"/>
  <c r="N54" i="22" s="1"/>
  <c r="F24" i="23"/>
  <c r="F24" i="24" s="1"/>
  <c r="M39" i="22"/>
  <c r="N39" i="22" s="1"/>
  <c r="F19" i="23"/>
  <c r="F19" i="24" s="1"/>
  <c r="X2" i="5"/>
  <c r="T6" i="11" s="1"/>
  <c r="Y2" i="5"/>
  <c r="AD6" i="11" s="1"/>
  <c r="W2" i="5"/>
  <c r="J6" i="11" s="1"/>
  <c r="S7" i="19"/>
  <c r="H7" i="28"/>
  <c r="S7" i="27"/>
  <c r="X7" i="26"/>
  <c r="H7" i="25"/>
  <c r="H7" i="24"/>
  <c r="H7" i="23"/>
  <c r="O7" i="22"/>
  <c r="H7" i="21"/>
  <c r="X7" i="18"/>
  <c r="H7" i="16"/>
  <c r="O7" i="12"/>
  <c r="H7" i="15"/>
  <c r="C7" i="11"/>
  <c r="C6" i="11"/>
  <c r="C7" i="13"/>
  <c r="C6" i="13"/>
  <c r="G9" i="11"/>
  <c r="H10" i="11"/>
  <c r="AL10" i="11" s="1"/>
  <c r="H11" i="11"/>
  <c r="AL11" i="11" s="1"/>
  <c r="H12" i="11"/>
  <c r="H13" i="11"/>
  <c r="H14" i="11"/>
  <c r="H15" i="11"/>
  <c r="H16" i="11"/>
  <c r="AL16" i="11" s="1"/>
  <c r="H17" i="11"/>
  <c r="AL17" i="11" s="1"/>
  <c r="H18" i="11"/>
  <c r="H19" i="11"/>
  <c r="AL19" i="11" s="1"/>
  <c r="H20" i="11"/>
  <c r="AL20" i="11" s="1"/>
  <c r="H21" i="11"/>
  <c r="H22" i="11"/>
  <c r="AL22" i="11" s="1"/>
  <c r="H23" i="11"/>
  <c r="AL23" i="11" s="1"/>
  <c r="H24" i="11"/>
  <c r="AL24" i="11" s="1"/>
  <c r="H25" i="11"/>
  <c r="AL25" i="11" s="1"/>
  <c r="H26" i="11"/>
  <c r="AL26" i="11" s="1"/>
  <c r="H27" i="11"/>
  <c r="AL27" i="11" s="1"/>
  <c r="H28" i="11"/>
  <c r="AL28" i="11" s="1"/>
  <c r="H29" i="11"/>
  <c r="AL29" i="11" s="1"/>
  <c r="H30" i="11"/>
  <c r="AL30" i="11" s="1"/>
  <c r="H31" i="11"/>
  <c r="AL31" i="11" s="1"/>
  <c r="H32" i="11"/>
  <c r="AL32" i="11" s="1"/>
  <c r="H33" i="11"/>
  <c r="H34" i="11"/>
  <c r="AL34" i="11" s="1"/>
  <c r="H35" i="11"/>
  <c r="AL35" i="11" s="1"/>
  <c r="H36" i="11"/>
  <c r="AL36" i="11" s="1"/>
  <c r="H37" i="11"/>
  <c r="AL37" i="11" s="1"/>
  <c r="H38" i="11"/>
  <c r="AL38" i="11" s="1"/>
  <c r="H9" i="11"/>
  <c r="AL9" i="11" s="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10" i="11"/>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9" i="12"/>
  <c r="H6" i="11"/>
  <c r="E6" i="11"/>
  <c r="D10" i="11"/>
  <c r="C10" i="12" s="1"/>
  <c r="D11" i="11"/>
  <c r="C11" i="12" s="1"/>
  <c r="D12" i="11"/>
  <c r="C12" i="12" s="1"/>
  <c r="D13" i="11"/>
  <c r="C13" i="12" s="1"/>
  <c r="D14" i="11"/>
  <c r="C14" i="12" s="1"/>
  <c r="D15" i="11"/>
  <c r="C15" i="12" s="1"/>
  <c r="D16" i="11"/>
  <c r="C16" i="12" s="1"/>
  <c r="D17" i="11"/>
  <c r="C17" i="12" s="1"/>
  <c r="D18" i="11"/>
  <c r="C18" i="12" s="1"/>
  <c r="D19" i="11"/>
  <c r="C19" i="12" s="1"/>
  <c r="D20" i="11"/>
  <c r="C20" i="12" s="1"/>
  <c r="D21" i="11"/>
  <c r="C21" i="12" s="1"/>
  <c r="D22" i="11"/>
  <c r="C22" i="12" s="1"/>
  <c r="D23" i="11"/>
  <c r="C23" i="12" s="1"/>
  <c r="D24" i="11"/>
  <c r="C24" i="12" s="1"/>
  <c r="D25" i="11"/>
  <c r="C25" i="12" s="1"/>
  <c r="D26" i="11"/>
  <c r="C26" i="12" s="1"/>
  <c r="D27" i="11"/>
  <c r="C27" i="12" s="1"/>
  <c r="D28" i="11"/>
  <c r="C28" i="12" s="1"/>
  <c r="D29" i="11"/>
  <c r="C29" i="12" s="1"/>
  <c r="D30" i="11"/>
  <c r="C30" i="12" s="1"/>
  <c r="D31" i="11"/>
  <c r="C31" i="12" s="1"/>
  <c r="D32" i="11"/>
  <c r="C32" i="12" s="1"/>
  <c r="D33" i="11"/>
  <c r="C33" i="12" s="1"/>
  <c r="D34" i="11"/>
  <c r="C34" i="12" s="1"/>
  <c r="D35" i="11"/>
  <c r="C35" i="12" s="1"/>
  <c r="D36" i="11"/>
  <c r="C36" i="12" s="1"/>
  <c r="D37" i="11"/>
  <c r="C37" i="12" s="1"/>
  <c r="D38" i="11"/>
  <c r="C38" i="12" s="1"/>
  <c r="D9" i="11"/>
  <c r="C9" i="12" s="1"/>
  <c r="A6" i="13"/>
  <c r="R6" i="6"/>
  <c r="P6" i="6"/>
  <c r="J12" i="11" l="1"/>
  <c r="G12" i="12" s="1"/>
  <c r="I12" i="12"/>
  <c r="T9" i="11"/>
  <c r="I9" i="12" s="1"/>
  <c r="J9" i="11"/>
  <c r="G9" i="12" s="1"/>
  <c r="G18" i="12"/>
  <c r="K18" i="12"/>
  <c r="I18" i="12"/>
  <c r="G15" i="12"/>
  <c r="I15" i="12"/>
  <c r="K15" i="12"/>
  <c r="K9" i="12"/>
  <c r="R31" i="11"/>
  <c r="AB31" i="11"/>
  <c r="R27" i="11"/>
  <c r="AB27" i="11"/>
  <c r="R23" i="11"/>
  <c r="AB23" i="11"/>
  <c r="R19" i="11"/>
  <c r="AB19" i="11"/>
  <c r="R11" i="11"/>
  <c r="AB11" i="11"/>
  <c r="R37" i="11"/>
  <c r="AB37" i="11"/>
  <c r="R33" i="11"/>
  <c r="AB33" i="11"/>
  <c r="AL33" i="11" s="1"/>
  <c r="R29" i="11"/>
  <c r="AB29" i="11"/>
  <c r="R25" i="11"/>
  <c r="AB25" i="11"/>
  <c r="R21" i="11"/>
  <c r="AB21" i="11" s="1"/>
  <c r="AL21" i="11" s="1"/>
  <c r="R17" i="11"/>
  <c r="AB17" i="11"/>
  <c r="R13" i="11"/>
  <c r="AB13" i="11" s="1"/>
  <c r="AL13" i="11" s="1"/>
  <c r="R36" i="11"/>
  <c r="AB36" i="11"/>
  <c r="R32" i="11"/>
  <c r="AB32" i="11"/>
  <c r="R28" i="11"/>
  <c r="AB28" i="11"/>
  <c r="R24" i="11"/>
  <c r="AB24" i="11"/>
  <c r="R20" i="11"/>
  <c r="AB20" i="11"/>
  <c r="R16" i="11"/>
  <c r="AB16" i="11"/>
  <c r="R12" i="11"/>
  <c r="AB12" i="11" s="1"/>
  <c r="AL12" i="11" s="1"/>
  <c r="R35" i="11"/>
  <c r="AB35" i="11"/>
  <c r="R38" i="11"/>
  <c r="AB38" i="11"/>
  <c r="R34" i="11"/>
  <c r="AB34" i="11"/>
  <c r="R30" i="11"/>
  <c r="AB30" i="11"/>
  <c r="R26" i="11"/>
  <c r="AB26" i="11"/>
  <c r="R22" i="11"/>
  <c r="AB22" i="11"/>
  <c r="R14" i="11"/>
  <c r="AB14" i="11" s="1"/>
  <c r="AL14" i="11" s="1"/>
  <c r="R10" i="11"/>
  <c r="AB10" i="11"/>
  <c r="P6" i="19"/>
  <c r="G6" i="28"/>
  <c r="P6" i="27"/>
  <c r="G6" i="25"/>
  <c r="G6" i="24"/>
  <c r="W6" i="26"/>
  <c r="G6" i="23"/>
  <c r="M6" i="22"/>
  <c r="G6" i="21"/>
  <c r="S6" i="19"/>
  <c r="H6" i="28"/>
  <c r="S6" i="27"/>
  <c r="H6" i="24"/>
  <c r="X6" i="26"/>
  <c r="H6" i="25"/>
  <c r="H6" i="23"/>
  <c r="O6" i="22"/>
  <c r="H6" i="21"/>
  <c r="C6" i="28"/>
  <c r="C6" i="27"/>
  <c r="C6" i="26"/>
  <c r="C6" i="25"/>
  <c r="C6" i="24"/>
  <c r="C6" i="23"/>
  <c r="C6" i="22"/>
  <c r="C6" i="21"/>
  <c r="C7" i="12"/>
  <c r="C7" i="22"/>
  <c r="F35" i="12"/>
  <c r="F31" i="12"/>
  <c r="F27" i="12"/>
  <c r="F23" i="12"/>
  <c r="F19" i="12"/>
  <c r="F15" i="12"/>
  <c r="F11" i="12"/>
  <c r="F38" i="12"/>
  <c r="F34" i="12"/>
  <c r="F30" i="12"/>
  <c r="F26" i="12"/>
  <c r="F22" i="12"/>
  <c r="F18" i="12"/>
  <c r="F14" i="12"/>
  <c r="F37" i="12"/>
  <c r="F33" i="12"/>
  <c r="F29" i="12"/>
  <c r="F25" i="12"/>
  <c r="F21" i="12"/>
  <c r="F17" i="12"/>
  <c r="F13" i="12"/>
  <c r="F36" i="12"/>
  <c r="F32" i="12"/>
  <c r="F28" i="12"/>
  <c r="F24" i="12"/>
  <c r="F20" i="12"/>
  <c r="F16" i="12"/>
  <c r="F12" i="12"/>
  <c r="W6" i="18"/>
  <c r="F9" i="12"/>
  <c r="X6" i="18"/>
  <c r="C6" i="19"/>
  <c r="C6" i="18"/>
  <c r="H6" i="15"/>
  <c r="H6" i="16"/>
  <c r="C6" i="16"/>
  <c r="G6" i="16"/>
  <c r="F10" i="12"/>
  <c r="M6" i="12"/>
  <c r="G6" i="15"/>
  <c r="C6" i="12"/>
  <c r="C6" i="15"/>
  <c r="E38" i="12"/>
  <c r="E34" i="12"/>
  <c r="E30" i="12"/>
  <c r="E26" i="12"/>
  <c r="E22" i="12"/>
  <c r="E18" i="12"/>
  <c r="E14" i="12"/>
  <c r="E37" i="12"/>
  <c r="E33" i="12"/>
  <c r="E29" i="12"/>
  <c r="E25" i="12"/>
  <c r="E21" i="12"/>
  <c r="E17" i="12"/>
  <c r="E13" i="12"/>
  <c r="E36" i="12"/>
  <c r="E32" i="12"/>
  <c r="E28" i="12"/>
  <c r="E24" i="12"/>
  <c r="E20" i="12"/>
  <c r="E16" i="12"/>
  <c r="E12" i="12"/>
  <c r="E35" i="12"/>
  <c r="E31" i="12"/>
  <c r="E27" i="12"/>
  <c r="E23" i="12"/>
  <c r="E19" i="12"/>
  <c r="E15" i="12"/>
  <c r="I36" i="11"/>
  <c r="I32" i="11"/>
  <c r="I28" i="11"/>
  <c r="I24" i="11"/>
  <c r="I20" i="11"/>
  <c r="I16" i="11"/>
  <c r="I12" i="11"/>
  <c r="Q12" i="11" s="1"/>
  <c r="AO12" i="11" s="1"/>
  <c r="I35" i="11"/>
  <c r="I31" i="11"/>
  <c r="I27" i="11"/>
  <c r="I23" i="11"/>
  <c r="I19" i="11"/>
  <c r="I15" i="11"/>
  <c r="I38" i="11"/>
  <c r="I34" i="11"/>
  <c r="I30" i="11"/>
  <c r="I26" i="11"/>
  <c r="I22" i="11"/>
  <c r="I18" i="11"/>
  <c r="I14" i="11"/>
  <c r="I37" i="11"/>
  <c r="I33" i="11"/>
  <c r="I29" i="11"/>
  <c r="I25" i="11"/>
  <c r="I21" i="11"/>
  <c r="I17" i="11"/>
  <c r="I13" i="11"/>
  <c r="E10" i="12"/>
  <c r="E9" i="12"/>
  <c r="O6" i="12"/>
  <c r="I11" i="11"/>
  <c r="E11" i="12"/>
  <c r="I10" i="11"/>
  <c r="I9" i="11"/>
  <c r="I6" i="13"/>
  <c r="G6"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AR12" i="11" l="1"/>
  <c r="I93" i="11"/>
  <c r="S17" i="11"/>
  <c r="AM17" i="11"/>
  <c r="AC17" i="11"/>
  <c r="S33" i="11"/>
  <c r="AC33" i="11"/>
  <c r="AM33" i="11"/>
  <c r="AC22" i="11"/>
  <c r="AM22" i="11"/>
  <c r="S22" i="11"/>
  <c r="AM38" i="11"/>
  <c r="S38" i="11"/>
  <c r="AC38" i="11"/>
  <c r="AC19" i="11"/>
  <c r="AM19" i="11"/>
  <c r="S19" i="11"/>
  <c r="AC35" i="11"/>
  <c r="S35" i="11"/>
  <c r="AM35" i="11"/>
  <c r="AC9" i="11"/>
  <c r="AM9" i="11"/>
  <c r="S9" i="11"/>
  <c r="Q9" i="11"/>
  <c r="AO9" i="11" s="1"/>
  <c r="AR9" i="11" s="1"/>
  <c r="AA9" i="11"/>
  <c r="S13" i="11"/>
  <c r="AM13" i="11"/>
  <c r="AC13" i="11"/>
  <c r="S29" i="11"/>
  <c r="AM29" i="11"/>
  <c r="AC29" i="11"/>
  <c r="S18" i="11"/>
  <c r="AC18" i="11"/>
  <c r="AM18" i="11"/>
  <c r="Q18" i="11"/>
  <c r="R18" i="11" s="1"/>
  <c r="AA18" i="11"/>
  <c r="AP18" i="11" s="1"/>
  <c r="AS18" i="11" s="1"/>
  <c r="S34" i="11"/>
  <c r="AM34" i="11"/>
  <c r="AC34" i="11"/>
  <c r="AC15" i="11"/>
  <c r="AM15" i="11"/>
  <c r="S15" i="11"/>
  <c r="AA15" i="11"/>
  <c r="AP15" i="11" s="1"/>
  <c r="AS15" i="11" s="1"/>
  <c r="Q15" i="11"/>
  <c r="R15" i="11" s="1"/>
  <c r="AB15" i="11" s="1"/>
  <c r="AL15" i="11" s="1"/>
  <c r="AC31" i="11"/>
  <c r="AM31" i="11"/>
  <c r="S31" i="11"/>
  <c r="AM20" i="11"/>
  <c r="S20" i="11"/>
  <c r="AC20" i="11"/>
  <c r="AM36" i="11"/>
  <c r="AC36" i="11"/>
  <c r="S36" i="11"/>
  <c r="AC10" i="11"/>
  <c r="S10" i="11"/>
  <c r="AM10" i="11"/>
  <c r="AC11" i="11"/>
  <c r="AM11" i="11"/>
  <c r="S11" i="11"/>
  <c r="S25" i="11"/>
  <c r="AM25" i="11"/>
  <c r="AC25" i="11"/>
  <c r="S14" i="11"/>
  <c r="AM14" i="11"/>
  <c r="AC14" i="11"/>
  <c r="AM30" i="11"/>
  <c r="AC30" i="11"/>
  <c r="S30" i="11"/>
  <c r="AC27" i="11"/>
  <c r="AM27" i="11"/>
  <c r="S27" i="11"/>
  <c r="AC16" i="11"/>
  <c r="AM16" i="11"/>
  <c r="S16" i="11"/>
  <c r="AC32" i="11"/>
  <c r="S32" i="11"/>
  <c r="AM32" i="11"/>
  <c r="S21" i="11"/>
  <c r="AM21" i="11"/>
  <c r="AC21" i="11"/>
  <c r="S37" i="11"/>
  <c r="AC37" i="11"/>
  <c r="AM37" i="11"/>
  <c r="AC26" i="11"/>
  <c r="AM26" i="11"/>
  <c r="S26" i="11"/>
  <c r="AC23" i="11"/>
  <c r="AM23" i="11"/>
  <c r="S23" i="11"/>
  <c r="S12" i="11"/>
  <c r="AM12" i="11"/>
  <c r="AC12" i="11"/>
  <c r="S28" i="11"/>
  <c r="AM28" i="11"/>
  <c r="AC28" i="11"/>
  <c r="AM24" i="11"/>
  <c r="S24" i="11"/>
  <c r="AC24" i="11"/>
  <c r="AD201" i="11"/>
  <c r="E12" i="28" s="1"/>
  <c r="AN18" i="11"/>
  <c r="AN27" i="11"/>
  <c r="AN36" i="11"/>
  <c r="AN12" i="11"/>
  <c r="AN15" i="11"/>
  <c r="AN24" i="11"/>
  <c r="AN21" i="11"/>
  <c r="AN30" i="11"/>
  <c r="AN33" i="11"/>
  <c r="AN9" i="11"/>
  <c r="C10" i="21" l="1"/>
  <c r="C10" i="15"/>
  <c r="C10" i="16" s="1"/>
  <c r="AM93" i="11"/>
  <c r="AB9" i="11"/>
  <c r="AA93" i="11"/>
  <c r="AC93" i="11"/>
  <c r="AC198" i="11" s="1"/>
  <c r="R9" i="11"/>
  <c r="R93" i="11" s="1"/>
  <c r="Q93" i="11"/>
  <c r="S93" i="11"/>
  <c r="S198" i="11" s="1"/>
  <c r="AB18" i="11"/>
  <c r="AL18" i="11" s="1"/>
  <c r="AL93" i="11" s="1"/>
  <c r="AM198" i="11"/>
  <c r="D12" i="21"/>
  <c r="AP9" i="11"/>
  <c r="AO15" i="11"/>
  <c r="AO18" i="11"/>
  <c r="AV18" i="11" s="1"/>
  <c r="I198" i="11"/>
  <c r="AD206" i="11" s="1"/>
  <c r="E14" i="28" s="1"/>
  <c r="H33" i="12"/>
  <c r="H30" i="12"/>
  <c r="A6" i="12"/>
  <c r="AS9" i="11" l="1"/>
  <c r="AV9" i="11" s="1"/>
  <c r="AB93" i="11"/>
  <c r="AB198" i="11" s="1"/>
  <c r="T205" i="11" s="1"/>
  <c r="C12" i="21"/>
  <c r="C12" i="15"/>
  <c r="C12" i="16" s="1"/>
  <c r="C11" i="21"/>
  <c r="C11" i="15"/>
  <c r="C11" i="16" s="1"/>
  <c r="C9" i="21"/>
  <c r="C9" i="15"/>
  <c r="C9" i="16" s="1"/>
  <c r="D12" i="15"/>
  <c r="D12" i="16" s="1"/>
  <c r="J200" i="11"/>
  <c r="G90" i="12" s="1"/>
  <c r="H18" i="12"/>
  <c r="AA198" i="11"/>
  <c r="T206" i="11" s="1"/>
  <c r="D14" i="28" s="1"/>
  <c r="T201" i="11"/>
  <c r="D11" i="21"/>
  <c r="AV15" i="11"/>
  <c r="J201" i="11"/>
  <c r="C12" i="28" s="1"/>
  <c r="E18" i="15"/>
  <c r="E18" i="16" s="1"/>
  <c r="AT18" i="11"/>
  <c r="AW18" i="11"/>
  <c r="F12" i="21" s="1"/>
  <c r="J18" i="12"/>
  <c r="D9" i="15"/>
  <c r="D9" i="16" s="1"/>
  <c r="L36" i="12"/>
  <c r="D10" i="15"/>
  <c r="D10" i="16" s="1"/>
  <c r="J12" i="12"/>
  <c r="H36" i="12"/>
  <c r="E11" i="15"/>
  <c r="E11" i="16" s="1"/>
  <c r="L15" i="12"/>
  <c r="D14" i="15"/>
  <c r="D14" i="16" s="1"/>
  <c r="J24" i="12"/>
  <c r="H27" i="12"/>
  <c r="E16" i="15"/>
  <c r="E16" i="16" s="1"/>
  <c r="L30" i="12"/>
  <c r="D15" i="15"/>
  <c r="D15" i="16" s="1"/>
  <c r="J27" i="12"/>
  <c r="H12" i="12"/>
  <c r="E17" i="15"/>
  <c r="E17" i="16" s="1"/>
  <c r="L33" i="12"/>
  <c r="H9" i="12"/>
  <c r="L9" i="12"/>
  <c r="E9" i="15"/>
  <c r="E9" i="16" s="1"/>
  <c r="AT33" i="11"/>
  <c r="D17" i="15"/>
  <c r="D17" i="16" s="1"/>
  <c r="J33" i="12"/>
  <c r="AT15" i="11"/>
  <c r="D11" i="15"/>
  <c r="D11" i="16" s="1"/>
  <c r="J15" i="12"/>
  <c r="E15" i="15"/>
  <c r="E15" i="16" s="1"/>
  <c r="L27" i="12"/>
  <c r="E14" i="15"/>
  <c r="E14" i="16" s="1"/>
  <c r="L24" i="12"/>
  <c r="E13" i="15"/>
  <c r="E13" i="16" s="1"/>
  <c r="L21" i="12"/>
  <c r="H24" i="12"/>
  <c r="AT30" i="11"/>
  <c r="D16" i="15"/>
  <c r="D16" i="16" s="1"/>
  <c r="J30" i="12"/>
  <c r="H21" i="12"/>
  <c r="K91" i="12"/>
  <c r="E20" i="21" s="1"/>
  <c r="D13" i="15"/>
  <c r="D13" i="16" s="1"/>
  <c r="J21" i="12"/>
  <c r="D18" i="15"/>
  <c r="D18" i="16" s="1"/>
  <c r="J36" i="12"/>
  <c r="E12" i="15"/>
  <c r="E12" i="16" s="1"/>
  <c r="L18" i="12"/>
  <c r="E10" i="15"/>
  <c r="E10" i="16" s="1"/>
  <c r="L12" i="12"/>
  <c r="H15" i="12"/>
  <c r="AT12" i="11"/>
  <c r="AT21" i="11"/>
  <c r="AT24" i="11"/>
  <c r="AT27" i="11"/>
  <c r="AT36" i="11"/>
  <c r="AW36" i="11" s="1"/>
  <c r="F18" i="21" s="1"/>
  <c r="J9" i="12"/>
  <c r="C7" i="6"/>
  <c r="C6" i="6"/>
  <c r="A6" i="11"/>
  <c r="A8" i="7"/>
  <c r="N13" i="8"/>
  <c r="N14" i="8"/>
  <c r="N15" i="8"/>
  <c r="N16" i="8"/>
  <c r="N17" i="8"/>
  <c r="N18" i="8"/>
  <c r="N19" i="8"/>
  <c r="N20" i="8"/>
  <c r="N21" i="8"/>
  <c r="N22" i="8"/>
  <c r="N23" i="8"/>
  <c r="N24" i="8"/>
  <c r="N25" i="8"/>
  <c r="N26" i="8"/>
  <c r="N27" i="8"/>
  <c r="N28" i="8"/>
  <c r="N29" i="8"/>
  <c r="N30" i="8"/>
  <c r="N31" i="8"/>
  <c r="N32" i="8"/>
  <c r="N33" i="8"/>
  <c r="N34" i="8"/>
  <c r="N35" i="8"/>
  <c r="N36" i="8"/>
  <c r="N37" i="8"/>
  <c r="N38" i="8"/>
  <c r="N39" i="8"/>
  <c r="L13" i="8"/>
  <c r="L14" i="8"/>
  <c r="L15" i="8"/>
  <c r="L16" i="8"/>
  <c r="L17" i="8"/>
  <c r="W17" i="8" s="1"/>
  <c r="L18" i="8"/>
  <c r="L19" i="8"/>
  <c r="L20" i="8"/>
  <c r="L21" i="8"/>
  <c r="L22" i="8"/>
  <c r="W22" i="8" s="1"/>
  <c r="L23" i="8"/>
  <c r="L24" i="8"/>
  <c r="L25" i="8"/>
  <c r="W25" i="8" s="1"/>
  <c r="L26" i="8"/>
  <c r="L27" i="8"/>
  <c r="W27" i="8" s="1"/>
  <c r="L28" i="8"/>
  <c r="L29" i="8"/>
  <c r="L30" i="8"/>
  <c r="L31" i="8"/>
  <c r="L32" i="8"/>
  <c r="L33" i="8"/>
  <c r="L34" i="8"/>
  <c r="W34" i="8" s="1"/>
  <c r="L35" i="8"/>
  <c r="L36" i="8"/>
  <c r="L37" i="8"/>
  <c r="L38" i="8"/>
  <c r="L39" i="8"/>
  <c r="N12" i="8"/>
  <c r="N11" i="8"/>
  <c r="L11" i="8"/>
  <c r="L12" i="8"/>
  <c r="N10" i="8"/>
  <c r="C7" i="8"/>
  <c r="B7" i="2"/>
  <c r="C7" i="3"/>
  <c r="A6" i="8"/>
  <c r="A6" i="6"/>
  <c r="A6" i="3"/>
  <c r="A6" i="2"/>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G39" i="8"/>
  <c r="G38" i="8"/>
  <c r="G37" i="8"/>
  <c r="G36" i="8"/>
  <c r="G35" i="8"/>
  <c r="G34" i="8"/>
  <c r="X34" i="8" s="1"/>
  <c r="G33" i="8"/>
  <c r="G32" i="8"/>
  <c r="G31" i="8"/>
  <c r="G30" i="8"/>
  <c r="G29" i="8"/>
  <c r="G28" i="8"/>
  <c r="G27" i="8"/>
  <c r="G26" i="8"/>
  <c r="G25" i="8"/>
  <c r="G24" i="8"/>
  <c r="G23" i="8"/>
  <c r="G22" i="8"/>
  <c r="G21" i="8"/>
  <c r="G20" i="8"/>
  <c r="G19" i="8"/>
  <c r="G18" i="8"/>
  <c r="G17" i="8"/>
  <c r="G16" i="8"/>
  <c r="G15" i="8"/>
  <c r="G14" i="8"/>
  <c r="G13" i="8"/>
  <c r="G12" i="8"/>
  <c r="X12" i="8" s="1"/>
  <c r="G11" i="8"/>
  <c r="I10" i="8"/>
  <c r="G10" i="8"/>
  <c r="J39" i="8"/>
  <c r="J38" i="8"/>
  <c r="J37" i="8"/>
  <c r="J36" i="8"/>
  <c r="J35" i="8"/>
  <c r="J34" i="8"/>
  <c r="J33" i="8"/>
  <c r="J32" i="8"/>
  <c r="J31" i="8"/>
  <c r="J30" i="8"/>
  <c r="Z30" i="8" s="1"/>
  <c r="J29" i="8"/>
  <c r="J28" i="8"/>
  <c r="J27" i="8"/>
  <c r="J26" i="8"/>
  <c r="J25" i="8"/>
  <c r="J24" i="8"/>
  <c r="J23" i="8"/>
  <c r="J22" i="8"/>
  <c r="J21" i="8"/>
  <c r="J20" i="8"/>
  <c r="J19" i="8"/>
  <c r="J18" i="8"/>
  <c r="J17" i="8"/>
  <c r="J16" i="8"/>
  <c r="J15" i="8"/>
  <c r="J14" i="8"/>
  <c r="J13" i="8"/>
  <c r="J12" i="8"/>
  <c r="J11" i="8"/>
  <c r="J10" i="8"/>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9" i="6"/>
  <c r="AD16" i="8"/>
  <c r="AD38" i="8"/>
  <c r="AD37" i="8"/>
  <c r="AD35" i="8"/>
  <c r="AD34" i="8"/>
  <c r="AD32" i="8"/>
  <c r="AD31" i="8"/>
  <c r="AD29" i="8"/>
  <c r="AD28" i="8"/>
  <c r="AD26" i="8"/>
  <c r="AD25" i="8"/>
  <c r="AD23" i="8"/>
  <c r="AD22" i="8"/>
  <c r="AD20" i="8"/>
  <c r="AD19" i="8"/>
  <c r="AD17" i="8"/>
  <c r="AD14" i="8"/>
  <c r="AD13" i="8"/>
  <c r="AD11" i="8"/>
  <c r="I12" i="3"/>
  <c r="K12" i="3" s="1"/>
  <c r="I13" i="3"/>
  <c r="K13" i="3" s="1"/>
  <c r="I14" i="3"/>
  <c r="M14" i="3" s="1"/>
  <c r="I15" i="3"/>
  <c r="K15" i="3" s="1"/>
  <c r="I16" i="3"/>
  <c r="K16" i="3" s="1"/>
  <c r="I17" i="3"/>
  <c r="O17" i="3" s="1"/>
  <c r="I18" i="3"/>
  <c r="K18" i="3" s="1"/>
  <c r="I19" i="3"/>
  <c r="K19" i="3" s="1"/>
  <c r="I20" i="3"/>
  <c r="N20" i="3" s="1"/>
  <c r="I11" i="3"/>
  <c r="K11" i="3" s="1"/>
  <c r="H20" i="3"/>
  <c r="H36" i="6" s="1"/>
  <c r="H19" i="3"/>
  <c r="H33" i="6" s="1"/>
  <c r="H18" i="3"/>
  <c r="H30" i="6" s="1"/>
  <c r="H17" i="3"/>
  <c r="H27" i="6" s="1"/>
  <c r="H16" i="3"/>
  <c r="H24" i="6" s="1"/>
  <c r="H15" i="3"/>
  <c r="H21" i="6" s="1"/>
  <c r="H14" i="3"/>
  <c r="H18" i="6" s="1"/>
  <c r="H13" i="3"/>
  <c r="H15" i="6" s="1"/>
  <c r="H12" i="3"/>
  <c r="H12" i="6" s="1"/>
  <c r="H11" i="3"/>
  <c r="H9" i="6" s="1"/>
  <c r="E20" i="3"/>
  <c r="F36" i="6" s="1"/>
  <c r="E19" i="3"/>
  <c r="F33" i="6" s="1"/>
  <c r="E18" i="3"/>
  <c r="F30" i="6" s="1"/>
  <c r="E17" i="3"/>
  <c r="F27" i="6" s="1"/>
  <c r="E16" i="3"/>
  <c r="F24" i="6" s="1"/>
  <c r="E15" i="3"/>
  <c r="E14" i="3"/>
  <c r="F18" i="6" s="1"/>
  <c r="E13" i="3"/>
  <c r="F15" i="6" s="1"/>
  <c r="E12" i="3"/>
  <c r="F12" i="6" s="1"/>
  <c r="E11" i="3"/>
  <c r="F9" i="6" s="1"/>
  <c r="AD10" i="8"/>
  <c r="G9" i="6"/>
  <c r="G12" i="6"/>
  <c r="G15" i="6"/>
  <c r="G18" i="6"/>
  <c r="G21" i="6"/>
  <c r="G24" i="6"/>
  <c r="G27" i="6"/>
  <c r="G30" i="6"/>
  <c r="G33" i="6"/>
  <c r="G36" i="6"/>
  <c r="E36" i="6"/>
  <c r="E33" i="6"/>
  <c r="E30" i="6"/>
  <c r="E27" i="6"/>
  <c r="E24" i="6"/>
  <c r="E21" i="6"/>
  <c r="E18" i="6"/>
  <c r="E15" i="6"/>
  <c r="E12" i="6"/>
  <c r="E9" i="6"/>
  <c r="B6" i="2"/>
  <c r="J15" i="6"/>
  <c r="J16" i="6"/>
  <c r="J17" i="6"/>
  <c r="J18" i="6"/>
  <c r="J19" i="6"/>
  <c r="J20" i="6"/>
  <c r="J21" i="6"/>
  <c r="J22" i="6"/>
  <c r="J23" i="6"/>
  <c r="J24" i="6"/>
  <c r="J25" i="6"/>
  <c r="J26" i="6"/>
  <c r="J27" i="6"/>
  <c r="J28" i="6"/>
  <c r="J29" i="6"/>
  <c r="J30" i="6"/>
  <c r="J31" i="6"/>
  <c r="J32" i="6"/>
  <c r="J33" i="6"/>
  <c r="J34" i="6"/>
  <c r="J35" i="6"/>
  <c r="J36" i="6"/>
  <c r="J37" i="6"/>
  <c r="J38" i="6"/>
  <c r="J10" i="6"/>
  <c r="J12" i="6"/>
  <c r="J13" i="6"/>
  <c r="J14" i="6"/>
  <c r="B36" i="6"/>
  <c r="B33" i="6"/>
  <c r="A36" i="6"/>
  <c r="A36" i="13" s="1"/>
  <c r="A36" i="11" s="1"/>
  <c r="A34" i="8"/>
  <c r="A33" i="6" s="1"/>
  <c r="A33" i="13" s="1"/>
  <c r="A33" i="11" s="1"/>
  <c r="B30" i="6"/>
  <c r="B27" i="6"/>
  <c r="B24" i="6"/>
  <c r="B21" i="6"/>
  <c r="B18" i="6"/>
  <c r="B15" i="6"/>
  <c r="B12" i="13"/>
  <c r="B12" i="11" s="1"/>
  <c r="A31" i="8"/>
  <c r="A30" i="6" s="1"/>
  <c r="A30" i="13" s="1"/>
  <c r="A30" i="11" s="1"/>
  <c r="A28" i="8"/>
  <c r="A27" i="6" s="1"/>
  <c r="A27" i="13" s="1"/>
  <c r="A27" i="11" s="1"/>
  <c r="A25" i="8"/>
  <c r="A24" i="6" s="1"/>
  <c r="A24" i="13" s="1"/>
  <c r="A24" i="11" s="1"/>
  <c r="A22" i="8"/>
  <c r="A21" i="6" s="1"/>
  <c r="A21" i="13" s="1"/>
  <c r="A21" i="11" s="1"/>
  <c r="A19" i="8"/>
  <c r="A18" i="6" s="1"/>
  <c r="A18" i="13" s="1"/>
  <c r="A18" i="11" s="1"/>
  <c r="A16" i="8"/>
  <c r="A15" i="6" s="1"/>
  <c r="A15" i="13" s="1"/>
  <c r="A15" i="11" s="1"/>
  <c r="A13" i="8"/>
  <c r="A12" i="6" s="1"/>
  <c r="A12" i="13" s="1"/>
  <c r="A12" i="11" s="1"/>
  <c r="A13" i="3"/>
  <c r="A14" i="3"/>
  <c r="A15" i="3"/>
  <c r="F21" i="6"/>
  <c r="A16" i="3"/>
  <c r="A17" i="3"/>
  <c r="A18" i="3"/>
  <c r="A19" i="3"/>
  <c r="A20" i="3"/>
  <c r="C6" i="8"/>
  <c r="C6" i="3"/>
  <c r="J9" i="6"/>
  <c r="B9" i="13"/>
  <c r="B9" i="11" s="1"/>
  <c r="A10" i="8"/>
  <c r="A9" i="6" s="1"/>
  <c r="A9" i="13" s="1"/>
  <c r="A9" i="11" s="1"/>
  <c r="A12" i="3"/>
  <c r="A11" i="3"/>
  <c r="J11" i="6"/>
  <c r="M16" i="3"/>
  <c r="AT9" i="11" l="1"/>
  <c r="D9" i="21"/>
  <c r="W37" i="8"/>
  <c r="Y37" i="8" s="1"/>
  <c r="W32" i="8"/>
  <c r="Y32" i="8" s="1"/>
  <c r="W26" i="8"/>
  <c r="Y26" i="8" s="1"/>
  <c r="W24" i="8"/>
  <c r="Y24" i="8" s="1"/>
  <c r="X23" i="8"/>
  <c r="W21" i="8"/>
  <c r="Y21" i="8" s="1"/>
  <c r="X14" i="8"/>
  <c r="W14" i="8"/>
  <c r="Z14" i="8" s="1"/>
  <c r="X37" i="8"/>
  <c r="W35" i="8"/>
  <c r="Z35" i="8" s="1"/>
  <c r="X32" i="8"/>
  <c r="X31" i="8"/>
  <c r="W31" i="8"/>
  <c r="Z31" i="8" s="1"/>
  <c r="W29" i="8"/>
  <c r="Y29" i="8" s="1"/>
  <c r="X29" i="8"/>
  <c r="W28" i="8"/>
  <c r="Z28" i="8" s="1"/>
  <c r="Y27" i="8"/>
  <c r="X27" i="8"/>
  <c r="X25" i="8"/>
  <c r="W23" i="8"/>
  <c r="Y23" i="8" s="1"/>
  <c r="X22" i="8"/>
  <c r="X21" i="8"/>
  <c r="W20" i="8"/>
  <c r="Y20" i="8" s="1"/>
  <c r="W19" i="8"/>
  <c r="Y19" i="8" s="1"/>
  <c r="X17" i="8"/>
  <c r="W16" i="8"/>
  <c r="Y16" i="8" s="1"/>
  <c r="W15" i="8"/>
  <c r="Z15" i="8" s="1"/>
  <c r="W13" i="8"/>
  <c r="Z13" i="8" s="1"/>
  <c r="BM36" i="8"/>
  <c r="BG36" i="8"/>
  <c r="BJ36" i="8"/>
  <c r="BL36" i="8"/>
  <c r="BF36" i="8"/>
  <c r="BE36" i="8"/>
  <c r="BD36" i="8"/>
  <c r="BK36" i="8"/>
  <c r="BM32" i="8"/>
  <c r="BG32" i="8"/>
  <c r="BL32" i="8"/>
  <c r="BF32" i="8"/>
  <c r="BJ32" i="8"/>
  <c r="BK32" i="8"/>
  <c r="BD32" i="8"/>
  <c r="BE32" i="8"/>
  <c r="BM28" i="8"/>
  <c r="BG28" i="8"/>
  <c r="BJ28" i="8"/>
  <c r="BL28" i="8"/>
  <c r="BF28" i="8"/>
  <c r="AY28" i="8"/>
  <c r="BD28" i="8"/>
  <c r="BE28" i="8"/>
  <c r="BK28" i="8"/>
  <c r="BM24" i="8"/>
  <c r="BG24" i="8"/>
  <c r="BL24" i="8"/>
  <c r="BF24" i="8"/>
  <c r="BJ24" i="8"/>
  <c r="BE24" i="8"/>
  <c r="BK24" i="8"/>
  <c r="BD24" i="8"/>
  <c r="BM20" i="8"/>
  <c r="BG20" i="8"/>
  <c r="BL20" i="8"/>
  <c r="BF20" i="8"/>
  <c r="BJ20" i="8"/>
  <c r="BE20" i="8"/>
  <c r="BD20" i="8"/>
  <c r="BK20" i="8"/>
  <c r="BM16" i="8"/>
  <c r="BG16" i="8"/>
  <c r="BJ16" i="8"/>
  <c r="BL16" i="8"/>
  <c r="BF16" i="8"/>
  <c r="AY16" i="8"/>
  <c r="BK16" i="8"/>
  <c r="BD16" i="8"/>
  <c r="BE16" i="8"/>
  <c r="BJ39" i="8"/>
  <c r="BD39" i="8"/>
  <c r="BE39" i="8"/>
  <c r="BM39" i="8"/>
  <c r="BG39" i="8"/>
  <c r="BK39" i="8"/>
  <c r="BF39" i="8"/>
  <c r="BL39" i="8"/>
  <c r="BJ35" i="8"/>
  <c r="BD35" i="8"/>
  <c r="BK35" i="8"/>
  <c r="BM35" i="8"/>
  <c r="BG35" i="8"/>
  <c r="BE35" i="8"/>
  <c r="BF35" i="8"/>
  <c r="BL35" i="8"/>
  <c r="BJ31" i="8"/>
  <c r="BD31" i="8"/>
  <c r="AY31" i="8"/>
  <c r="BM31" i="8"/>
  <c r="BG31" i="8"/>
  <c r="BK31" i="8"/>
  <c r="BE31" i="8"/>
  <c r="BL31" i="8"/>
  <c r="BF31" i="8"/>
  <c r="BJ27" i="8"/>
  <c r="BD27" i="8"/>
  <c r="BE27" i="8"/>
  <c r="BM27" i="8"/>
  <c r="BG27" i="8"/>
  <c r="BK27" i="8"/>
  <c r="BL27" i="8"/>
  <c r="BF27" i="8"/>
  <c r="BJ23" i="8"/>
  <c r="BD23" i="8"/>
  <c r="BK23" i="8"/>
  <c r="BM23" i="8"/>
  <c r="BG23" i="8"/>
  <c r="BE23" i="8"/>
  <c r="BF23" i="8"/>
  <c r="BL23" i="8"/>
  <c r="BJ19" i="8"/>
  <c r="BD19" i="8"/>
  <c r="AY19" i="8"/>
  <c r="BE19" i="8"/>
  <c r="BM19" i="8"/>
  <c r="BG19" i="8"/>
  <c r="BK19" i="8"/>
  <c r="BF19" i="8"/>
  <c r="BL19" i="8"/>
  <c r="BJ15" i="8"/>
  <c r="BD15" i="8"/>
  <c r="BK15" i="8"/>
  <c r="BM15" i="8"/>
  <c r="BG15" i="8"/>
  <c r="BE15" i="8"/>
  <c r="BF15" i="8"/>
  <c r="BL15" i="8"/>
  <c r="BK38" i="8"/>
  <c r="BE38" i="8"/>
  <c r="BJ38" i="8"/>
  <c r="BD38" i="8"/>
  <c r="BL38" i="8"/>
  <c r="BF38" i="8"/>
  <c r="BM38" i="8"/>
  <c r="BG38" i="8"/>
  <c r="BK34" i="8"/>
  <c r="BE34" i="8"/>
  <c r="BF34" i="8"/>
  <c r="BJ34" i="8"/>
  <c r="BD34" i="8"/>
  <c r="BL34" i="8"/>
  <c r="BG34" i="8"/>
  <c r="AY34" i="8"/>
  <c r="BM34" i="8"/>
  <c r="BK30" i="8"/>
  <c r="BE30" i="8"/>
  <c r="BL30" i="8"/>
  <c r="BJ30" i="8"/>
  <c r="BD30" i="8"/>
  <c r="BF30" i="8"/>
  <c r="BG30" i="8"/>
  <c r="BM30" i="8"/>
  <c r="BK26" i="8"/>
  <c r="BE26" i="8"/>
  <c r="BF26" i="8"/>
  <c r="BJ26" i="8"/>
  <c r="BD26" i="8"/>
  <c r="BL26" i="8"/>
  <c r="BG26" i="8"/>
  <c r="BM26" i="8"/>
  <c r="BK22" i="8"/>
  <c r="BE22" i="8"/>
  <c r="BL22" i="8"/>
  <c r="BJ22" i="8"/>
  <c r="BD22" i="8"/>
  <c r="BF22" i="8"/>
  <c r="BM22" i="8"/>
  <c r="AY22" i="8"/>
  <c r="BG22" i="8"/>
  <c r="BK18" i="8"/>
  <c r="BE18" i="8"/>
  <c r="BJ18" i="8"/>
  <c r="BD18" i="8"/>
  <c r="BL18" i="8"/>
  <c r="BF18" i="8"/>
  <c r="BG18" i="8"/>
  <c r="BM18" i="8"/>
  <c r="BK14" i="8"/>
  <c r="BE14" i="8"/>
  <c r="BL14" i="8"/>
  <c r="BF14" i="8"/>
  <c r="BJ14" i="8"/>
  <c r="BD14" i="8"/>
  <c r="BG14" i="8"/>
  <c r="BM14" i="8"/>
  <c r="BL37" i="8"/>
  <c r="BF37" i="8"/>
  <c r="BK37" i="8"/>
  <c r="BE37" i="8"/>
  <c r="BM37" i="8"/>
  <c r="BG37" i="8"/>
  <c r="BJ37" i="8"/>
  <c r="BD37" i="8"/>
  <c r="AY37" i="8"/>
  <c r="BL33" i="8"/>
  <c r="BF33" i="8"/>
  <c r="BM33" i="8"/>
  <c r="BK33" i="8"/>
  <c r="BE33" i="8"/>
  <c r="BG33" i="8"/>
  <c r="BJ33" i="8"/>
  <c r="BD33" i="8"/>
  <c r="BL29" i="8"/>
  <c r="BF29" i="8"/>
  <c r="BG29" i="8"/>
  <c r="BK29" i="8"/>
  <c r="BE29" i="8"/>
  <c r="BM29" i="8"/>
  <c r="BD29" i="8"/>
  <c r="BJ29" i="8"/>
  <c r="BL25" i="8"/>
  <c r="BF25" i="8"/>
  <c r="BM25" i="8"/>
  <c r="BK25" i="8"/>
  <c r="BE25" i="8"/>
  <c r="BG25" i="8"/>
  <c r="BJ25" i="8"/>
  <c r="AY25" i="8"/>
  <c r="BD25" i="8"/>
  <c r="BL21" i="8"/>
  <c r="BF21" i="8"/>
  <c r="BM21" i="8"/>
  <c r="BG21" i="8"/>
  <c r="BK21" i="8"/>
  <c r="BE21" i="8"/>
  <c r="BJ21" i="8"/>
  <c r="BD21" i="8"/>
  <c r="BL17" i="8"/>
  <c r="BF17" i="8"/>
  <c r="BM17" i="8"/>
  <c r="BK17" i="8"/>
  <c r="BE17" i="8"/>
  <c r="BG17" i="8"/>
  <c r="BJ17" i="8"/>
  <c r="BD17" i="8"/>
  <c r="AP13" i="8"/>
  <c r="AV13" i="8" s="1"/>
  <c r="BL13" i="8"/>
  <c r="BF13" i="8"/>
  <c r="BM13" i="8"/>
  <c r="BK13" i="8"/>
  <c r="BE13" i="8"/>
  <c r="BG13" i="8"/>
  <c r="BD13" i="8"/>
  <c r="BJ13" i="8"/>
  <c r="AY13" i="8"/>
  <c r="A7" i="11"/>
  <c r="A7" i="22"/>
  <c r="R198" i="11"/>
  <c r="J205" i="11" s="1"/>
  <c r="C11" i="28" s="1"/>
  <c r="F10" i="18"/>
  <c r="AW9" i="11"/>
  <c r="F9" i="21" s="1"/>
  <c r="AL198" i="11"/>
  <c r="AD205" i="11" s="1"/>
  <c r="E11" i="28" s="1"/>
  <c r="AD200" i="11"/>
  <c r="T200" i="11"/>
  <c r="D9" i="28" s="1"/>
  <c r="G91" i="12"/>
  <c r="C20" i="21" s="1"/>
  <c r="D12" i="28"/>
  <c r="I91" i="12"/>
  <c r="D20" i="21" s="1"/>
  <c r="AW201" i="11"/>
  <c r="F38" i="15" s="1"/>
  <c r="C9" i="28"/>
  <c r="C19" i="21"/>
  <c r="D11" i="28"/>
  <c r="L20" i="3"/>
  <c r="O20" i="3"/>
  <c r="K20" i="3"/>
  <c r="M20" i="3"/>
  <c r="J20" i="3" s="1"/>
  <c r="I36" i="6" s="1"/>
  <c r="BL11" i="8"/>
  <c r="BF11" i="8"/>
  <c r="BK11" i="8"/>
  <c r="BE11" i="8"/>
  <c r="BJ11" i="8"/>
  <c r="BD11" i="8"/>
  <c r="BM11" i="8"/>
  <c r="BG11" i="8"/>
  <c r="AP12" i="8"/>
  <c r="BM12" i="8"/>
  <c r="BG12" i="8"/>
  <c r="BL12" i="8"/>
  <c r="BF12" i="8"/>
  <c r="BK12" i="8"/>
  <c r="BE12" i="8"/>
  <c r="BJ12" i="8"/>
  <c r="BD12" i="8"/>
  <c r="O14" i="3"/>
  <c r="W10" i="8"/>
  <c r="X10" i="8" s="1"/>
  <c r="BL10" i="8"/>
  <c r="BJ10" i="8"/>
  <c r="BF10" i="8"/>
  <c r="BD10" i="8"/>
  <c r="BG10" i="8"/>
  <c r="BE10" i="8"/>
  <c r="F11" i="18"/>
  <c r="BM10" i="8"/>
  <c r="BK10" i="8"/>
  <c r="BC10" i="8"/>
  <c r="BB10" i="8"/>
  <c r="W12" i="8"/>
  <c r="AP11" i="8"/>
  <c r="AY10" i="8"/>
  <c r="W11" i="8"/>
  <c r="Z11" i="8" s="1"/>
  <c r="AP39" i="8"/>
  <c r="BH39" i="8"/>
  <c r="BB39" i="8"/>
  <c r="BI39" i="8"/>
  <c r="BC39" i="8"/>
  <c r="AP35" i="8"/>
  <c r="BB35" i="8"/>
  <c r="BH35" i="8"/>
  <c r="BI35" i="8"/>
  <c r="BC35" i="8"/>
  <c r="AP31" i="8"/>
  <c r="AV31" i="8" s="1"/>
  <c r="BB31" i="8"/>
  <c r="BH31" i="8"/>
  <c r="BI31" i="8"/>
  <c r="BC31" i="8"/>
  <c r="AP27" i="8"/>
  <c r="BB27" i="8"/>
  <c r="BH27" i="8"/>
  <c r="BI27" i="8"/>
  <c r="BC27" i="8"/>
  <c r="AP23" i="8"/>
  <c r="BB23" i="8"/>
  <c r="BH23" i="8"/>
  <c r="BI23" i="8"/>
  <c r="BC23" i="8"/>
  <c r="AP19" i="8"/>
  <c r="AV19" i="8" s="1"/>
  <c r="BB19" i="8"/>
  <c r="BH19" i="8"/>
  <c r="BI19" i="8"/>
  <c r="BC19" i="8"/>
  <c r="AP15" i="8"/>
  <c r="BB15" i="8"/>
  <c r="BH15" i="8"/>
  <c r="BI15" i="8"/>
  <c r="BC15" i="8"/>
  <c r="AP38" i="8"/>
  <c r="BH38" i="8"/>
  <c r="BI38" i="8"/>
  <c r="BB38" i="8"/>
  <c r="BC38" i="8"/>
  <c r="AP34" i="8"/>
  <c r="AV34" i="8" s="1"/>
  <c r="BH34" i="8"/>
  <c r="BI34" i="8"/>
  <c r="BB34" i="8"/>
  <c r="BC34" i="8"/>
  <c r="AP30" i="8"/>
  <c r="BH30" i="8"/>
  <c r="BI30" i="8"/>
  <c r="BB30" i="8"/>
  <c r="BC30" i="8"/>
  <c r="AP26" i="8"/>
  <c r="BH26" i="8"/>
  <c r="BI26" i="8"/>
  <c r="BB26" i="8"/>
  <c r="BC26" i="8"/>
  <c r="AP22" i="8"/>
  <c r="AV22" i="8" s="1"/>
  <c r="BH22" i="8"/>
  <c r="BI22" i="8"/>
  <c r="BB22" i="8"/>
  <c r="BC22" i="8"/>
  <c r="AP18" i="8"/>
  <c r="BH18" i="8"/>
  <c r="BI18" i="8"/>
  <c r="BB18" i="8"/>
  <c r="BC18" i="8"/>
  <c r="AP14" i="8"/>
  <c r="BH14" i="8"/>
  <c r="BI14" i="8"/>
  <c r="BB14" i="8"/>
  <c r="BC14" i="8"/>
  <c r="AO10" i="8"/>
  <c r="AT10" i="8" s="1"/>
  <c r="AP10" i="8"/>
  <c r="AV10" i="8" s="1"/>
  <c r="AP37" i="8"/>
  <c r="AV37" i="8" s="1"/>
  <c r="BH37" i="8"/>
  <c r="BB37" i="8"/>
  <c r="BI37" i="8"/>
  <c r="BC37" i="8"/>
  <c r="AP33" i="8"/>
  <c r="BH33" i="8"/>
  <c r="BB33" i="8"/>
  <c r="BI33" i="8"/>
  <c r="BC33" i="8"/>
  <c r="AP29" i="8"/>
  <c r="BH29" i="8"/>
  <c r="BB29" i="8"/>
  <c r="BI29" i="8"/>
  <c r="BC29" i="8"/>
  <c r="AP25" i="8"/>
  <c r="AV25" i="8" s="1"/>
  <c r="BH25" i="8"/>
  <c r="BB25" i="8"/>
  <c r="BI25" i="8"/>
  <c r="BC25" i="8"/>
  <c r="AP21" i="8"/>
  <c r="BH21" i="8"/>
  <c r="BB21" i="8"/>
  <c r="BI21" i="8"/>
  <c r="BC21" i="8"/>
  <c r="AP17" i="8"/>
  <c r="BH17" i="8"/>
  <c r="BB17" i="8"/>
  <c r="BI17" i="8"/>
  <c r="BC17" i="8"/>
  <c r="Y30" i="8"/>
  <c r="AP36" i="8"/>
  <c r="BI36" i="8"/>
  <c r="BB36" i="8"/>
  <c r="BH36" i="8"/>
  <c r="BC36" i="8"/>
  <c r="AP32" i="8"/>
  <c r="BI32" i="8"/>
  <c r="BB32" i="8"/>
  <c r="BH32" i="8"/>
  <c r="BC32" i="8"/>
  <c r="AP28" i="8"/>
  <c r="AV28" i="8" s="1"/>
  <c r="BI28" i="8"/>
  <c r="BB28" i="8"/>
  <c r="BH28" i="8"/>
  <c r="BC28" i="8"/>
  <c r="AP24" i="8"/>
  <c r="BI24" i="8"/>
  <c r="BB24" i="8"/>
  <c r="BH24" i="8"/>
  <c r="BC24" i="8"/>
  <c r="AP20" i="8"/>
  <c r="BI20" i="8"/>
  <c r="BB20" i="8"/>
  <c r="BH20" i="8"/>
  <c r="BC20" i="8"/>
  <c r="AP16" i="8"/>
  <c r="AV16" i="8" s="1"/>
  <c r="BI16" i="8"/>
  <c r="BB16" i="8"/>
  <c r="BH16" i="8"/>
  <c r="BC16" i="8"/>
  <c r="X13" i="8"/>
  <c r="BB13" i="8"/>
  <c r="BC13" i="8"/>
  <c r="BI13" i="8"/>
  <c r="BH13" i="8"/>
  <c r="B21" i="13"/>
  <c r="B21" i="11" s="1"/>
  <c r="B21" i="12" s="1"/>
  <c r="B24" i="13"/>
  <c r="B24" i="11" s="1"/>
  <c r="B24" i="12" s="1"/>
  <c r="B15" i="13"/>
  <c r="B15" i="11" s="1"/>
  <c r="B15" i="12" s="1"/>
  <c r="B27" i="13"/>
  <c r="B27" i="11" s="1"/>
  <c r="B27" i="12" s="1"/>
  <c r="B33" i="13"/>
  <c r="B33" i="11" s="1"/>
  <c r="B33" i="12" s="1"/>
  <c r="B18" i="13"/>
  <c r="B18" i="11" s="1"/>
  <c r="B18" i="12" s="1"/>
  <c r="B30" i="13"/>
  <c r="B30" i="11" s="1"/>
  <c r="B30" i="12" s="1"/>
  <c r="B36" i="13"/>
  <c r="B36" i="11" s="1"/>
  <c r="B36" i="12" s="1"/>
  <c r="BI10" i="8"/>
  <c r="BH10" i="8"/>
  <c r="BI11" i="8"/>
  <c r="BH11" i="8"/>
  <c r="N11" i="3"/>
  <c r="BB12" i="8"/>
  <c r="BH12" i="8"/>
  <c r="BC12" i="8"/>
  <c r="BI12" i="8"/>
  <c r="BB11" i="8"/>
  <c r="BC11" i="8"/>
  <c r="AM10" i="8"/>
  <c r="AQ10" i="8" s="1"/>
  <c r="AN10" i="8"/>
  <c r="AR10" i="8" s="1"/>
  <c r="AM37" i="8"/>
  <c r="AQ37" i="8" s="1"/>
  <c r="AO37" i="8"/>
  <c r="AT37" i="8" s="1"/>
  <c r="AN37" i="8"/>
  <c r="AR37" i="8" s="1"/>
  <c r="AM33" i="8"/>
  <c r="AO33" i="8"/>
  <c r="AN33" i="8"/>
  <c r="AM29" i="8"/>
  <c r="AO29" i="8"/>
  <c r="AN29" i="8"/>
  <c r="AM25" i="8"/>
  <c r="AQ25" i="8" s="1"/>
  <c r="AO25" i="8"/>
  <c r="AT25" i="8" s="1"/>
  <c r="AN25" i="8"/>
  <c r="AR25" i="8" s="1"/>
  <c r="AM21" i="8"/>
  <c r="AO21" i="8"/>
  <c r="AN21" i="8"/>
  <c r="AM17" i="8"/>
  <c r="AO17" i="8"/>
  <c r="AN17" i="8"/>
  <c r="AM13" i="8"/>
  <c r="AQ13" i="8" s="1"/>
  <c r="AO13" i="8"/>
  <c r="AT13" i="8" s="1"/>
  <c r="AN13" i="8"/>
  <c r="AR13" i="8" s="1"/>
  <c r="AM36" i="8"/>
  <c r="AN36" i="8"/>
  <c r="AO36" i="8"/>
  <c r="AM32" i="8"/>
  <c r="AN32" i="8"/>
  <c r="AO32" i="8"/>
  <c r="AM28" i="8"/>
  <c r="AQ28" i="8" s="1"/>
  <c r="AN28" i="8"/>
  <c r="AR28" i="8" s="1"/>
  <c r="AO28" i="8"/>
  <c r="AT28" i="8" s="1"/>
  <c r="AM24" i="8"/>
  <c r="AN24" i="8"/>
  <c r="AO24" i="8"/>
  <c r="AM20" i="8"/>
  <c r="AN20" i="8"/>
  <c r="AO20" i="8"/>
  <c r="AM16" i="8"/>
  <c r="AQ16" i="8" s="1"/>
  <c r="AN16" i="8"/>
  <c r="AR16" i="8" s="1"/>
  <c r="AO16" i="8"/>
  <c r="AT16" i="8" s="1"/>
  <c r="Y18" i="8"/>
  <c r="Z22" i="8"/>
  <c r="AO12" i="8"/>
  <c r="AM12" i="8"/>
  <c r="AN12" i="8"/>
  <c r="AN39" i="8"/>
  <c r="AO39" i="8"/>
  <c r="AM39" i="8"/>
  <c r="AN35" i="8"/>
  <c r="AO35" i="8"/>
  <c r="AM35" i="8"/>
  <c r="AN31" i="8"/>
  <c r="AR31" i="8" s="1"/>
  <c r="AO31" i="8"/>
  <c r="AT31" i="8" s="1"/>
  <c r="AM31" i="8"/>
  <c r="AQ31" i="8" s="1"/>
  <c r="AN27" i="8"/>
  <c r="AO27" i="8"/>
  <c r="AM27" i="8"/>
  <c r="AN23" i="8"/>
  <c r="AO23" i="8"/>
  <c r="AM23" i="8"/>
  <c r="AN19" i="8"/>
  <c r="AR19" i="8" s="1"/>
  <c r="AO19" i="8"/>
  <c r="AT19" i="8" s="1"/>
  <c r="AM19" i="8"/>
  <c r="AQ19" i="8" s="1"/>
  <c r="AN15" i="8"/>
  <c r="AO15" i="8"/>
  <c r="AM15" i="8"/>
  <c r="Z27" i="8"/>
  <c r="AO38" i="8"/>
  <c r="AN38" i="8"/>
  <c r="AM38" i="8"/>
  <c r="AO34" i="8"/>
  <c r="AT34" i="8" s="1"/>
  <c r="AN34" i="8"/>
  <c r="AR34" i="8" s="1"/>
  <c r="AM34" i="8"/>
  <c r="AQ34" i="8" s="1"/>
  <c r="AO30" i="8"/>
  <c r="AN30" i="8"/>
  <c r="AM30" i="8"/>
  <c r="AO26" i="8"/>
  <c r="AN26" i="8"/>
  <c r="AM26" i="8"/>
  <c r="AO22" i="8"/>
  <c r="AT22" i="8" s="1"/>
  <c r="AN22" i="8"/>
  <c r="AR22" i="8" s="1"/>
  <c r="AM22" i="8"/>
  <c r="AQ22" i="8" s="1"/>
  <c r="AO18" i="8"/>
  <c r="AN18" i="8"/>
  <c r="AM18" i="8"/>
  <c r="AO14" i="8"/>
  <c r="AN14" i="8"/>
  <c r="AM14" i="8"/>
  <c r="M13" i="3"/>
  <c r="N13" i="3"/>
  <c r="L17" i="3"/>
  <c r="O13" i="3"/>
  <c r="M18" i="3"/>
  <c r="L14" i="3"/>
  <c r="N14" i="3"/>
  <c r="N18" i="3"/>
  <c r="J18" i="3" s="1"/>
  <c r="I30" i="6" s="1"/>
  <c r="K14" i="3"/>
  <c r="L18" i="3"/>
  <c r="N15" i="3"/>
  <c r="J15" i="3" s="1"/>
  <c r="I21" i="6" s="1"/>
  <c r="N19" i="3"/>
  <c r="J19" i="3" s="1"/>
  <c r="I33" i="6" s="1"/>
  <c r="L13" i="3"/>
  <c r="AM11" i="8"/>
  <c r="AN11" i="8"/>
  <c r="AO11" i="8"/>
  <c r="AB28" i="8"/>
  <c r="AA28" i="8" s="1"/>
  <c r="L27" i="6" s="1"/>
  <c r="Y15" i="8"/>
  <c r="AB13" i="8"/>
  <c r="AA13" i="8" s="1"/>
  <c r="L12" i="6" s="1"/>
  <c r="AB37" i="8"/>
  <c r="AB19" i="8"/>
  <c r="Z34" i="8"/>
  <c r="AB22" i="8"/>
  <c r="AA22" i="8" s="1"/>
  <c r="L21" i="6" s="1"/>
  <c r="Z25" i="8"/>
  <c r="Z12" i="8"/>
  <c r="AW21" i="11"/>
  <c r="AW24" i="11"/>
  <c r="F14" i="21" s="1"/>
  <c r="AW12" i="11"/>
  <c r="AW15" i="11"/>
  <c r="AW30" i="11"/>
  <c r="AW27" i="11"/>
  <c r="F15" i="21" s="1"/>
  <c r="AW33" i="11"/>
  <c r="F17" i="21" s="1"/>
  <c r="F12" i="15"/>
  <c r="F12" i="16" s="1"/>
  <c r="M18" i="12"/>
  <c r="N18" i="12" s="1"/>
  <c r="F18" i="15"/>
  <c r="F18" i="16" s="1"/>
  <c r="M36" i="12"/>
  <c r="N36" i="12" s="1"/>
  <c r="Y34" i="8"/>
  <c r="Z18" i="8"/>
  <c r="AB34" i="8"/>
  <c r="AA34" i="8" s="1"/>
  <c r="L33" i="6" s="1"/>
  <c r="Y25" i="8"/>
  <c r="AB31" i="8"/>
  <c r="AA31" i="8" s="1"/>
  <c r="L30" i="6" s="1"/>
  <c r="AB25" i="8"/>
  <c r="AA25" i="8" s="1"/>
  <c r="L24" i="6" s="1"/>
  <c r="AB16" i="8"/>
  <c r="AA16" i="8" s="1"/>
  <c r="L15" i="6" s="1"/>
  <c r="Y22" i="8"/>
  <c r="N16" i="3"/>
  <c r="J16" i="3" s="1"/>
  <c r="I24" i="6" s="1"/>
  <c r="O19" i="3"/>
  <c r="M12" i="3"/>
  <c r="L15" i="3"/>
  <c r="L19" i="3"/>
  <c r="O16" i="3"/>
  <c r="O18" i="3"/>
  <c r="N12" i="3"/>
  <c r="L12" i="3"/>
  <c r="L16" i="3"/>
  <c r="M15" i="3"/>
  <c r="O15" i="3"/>
  <c r="M19" i="3"/>
  <c r="O12" i="3"/>
  <c r="L11" i="3"/>
  <c r="A18" i="12"/>
  <c r="A12" i="12"/>
  <c r="A27" i="12"/>
  <c r="A9" i="12"/>
  <c r="A21" i="12"/>
  <c r="A30" i="12"/>
  <c r="A33" i="12"/>
  <c r="B9" i="12"/>
  <c r="A15" i="12"/>
  <c r="A24" i="12"/>
  <c r="B12" i="12"/>
  <c r="A36" i="12"/>
  <c r="AB10" i="8"/>
  <c r="A7" i="8"/>
  <c r="A7" i="13"/>
  <c r="A7" i="12"/>
  <c r="M11" i="3"/>
  <c r="O11" i="3"/>
  <c r="Y36" i="8"/>
  <c r="Z36" i="8"/>
  <c r="M17" i="3"/>
  <c r="K17" i="3"/>
  <c r="A7" i="2"/>
  <c r="A7" i="6"/>
  <c r="A7" i="3"/>
  <c r="N17" i="3"/>
  <c r="Z33" i="8"/>
  <c r="Y33" i="8"/>
  <c r="Y38" i="8"/>
  <c r="Z38" i="8"/>
  <c r="Z39" i="8"/>
  <c r="Y39" i="8"/>
  <c r="Z17" i="8"/>
  <c r="Y17" i="8"/>
  <c r="AA37" i="8" l="1"/>
  <c r="L36" i="6" s="1"/>
  <c r="Z37" i="8"/>
  <c r="X35" i="8"/>
  <c r="X28" i="8"/>
  <c r="AC25" i="8"/>
  <c r="AE25" i="8" s="1"/>
  <c r="AG8" i="5" s="1"/>
  <c r="X26" i="8"/>
  <c r="X24" i="8"/>
  <c r="X20" i="8"/>
  <c r="X19" i="8"/>
  <c r="AA19" i="8"/>
  <c r="L18" i="6" s="1"/>
  <c r="Z32" i="8"/>
  <c r="AC32" i="8" s="1"/>
  <c r="AE32" i="8" s="1"/>
  <c r="AH10" i="5" s="1"/>
  <c r="Z24" i="8"/>
  <c r="Z20" i="8"/>
  <c r="Z21" i="8"/>
  <c r="AC20" i="8" s="1"/>
  <c r="AE20" i="8" s="1"/>
  <c r="AH6" i="5" s="1"/>
  <c r="Y31" i="8"/>
  <c r="AC31" i="8" s="1"/>
  <c r="AE31" i="8" s="1"/>
  <c r="AG10" i="5" s="1"/>
  <c r="Z26" i="8"/>
  <c r="Z29" i="8"/>
  <c r="Y28" i="8"/>
  <c r="AC28" i="8" s="1"/>
  <c r="AE28" i="8" s="1"/>
  <c r="AG9" i="5" s="1"/>
  <c r="Z19" i="8"/>
  <c r="X16" i="8"/>
  <c r="Z16" i="8"/>
  <c r="AC17" i="8" s="1"/>
  <c r="AE17" i="8" s="1"/>
  <c r="AH5" i="5" s="1"/>
  <c r="X15" i="8"/>
  <c r="Y14" i="8"/>
  <c r="Y13" i="8"/>
  <c r="Y35" i="8"/>
  <c r="Z23" i="8"/>
  <c r="AC23" i="8" s="1"/>
  <c r="AE23" i="8" s="1"/>
  <c r="AH7" i="5" s="1"/>
  <c r="AV20" i="8"/>
  <c r="AQ29" i="8"/>
  <c r="AQ30" i="8" s="1"/>
  <c r="AR32" i="8"/>
  <c r="AR33" i="8" s="1"/>
  <c r="AQ32" i="8"/>
  <c r="AQ33" i="8" s="1"/>
  <c r="AV17" i="8"/>
  <c r="AV18" i="8" s="1"/>
  <c r="AV26" i="8"/>
  <c r="AV27" i="8" s="1"/>
  <c r="AV23" i="8"/>
  <c r="AV24" i="8" s="1"/>
  <c r="AV14" i="8"/>
  <c r="AV15" i="8" s="1"/>
  <c r="H10" i="18"/>
  <c r="AR23" i="8"/>
  <c r="AR24" i="8" s="1"/>
  <c r="AR20" i="8"/>
  <c r="AR21" i="8" s="1"/>
  <c r="AQ17" i="8"/>
  <c r="AQ18" i="8" s="1"/>
  <c r="AQ20" i="8"/>
  <c r="AQ21" i="8" s="1"/>
  <c r="AV38" i="8"/>
  <c r="AV39" i="8" s="1"/>
  <c r="C10" i="18"/>
  <c r="F9" i="15"/>
  <c r="F9" i="16" s="1"/>
  <c r="M9" i="12"/>
  <c r="N9" i="12" s="1"/>
  <c r="AW205" i="11"/>
  <c r="F11" i="28" s="1"/>
  <c r="G11" i="28" s="1"/>
  <c r="E9" i="28"/>
  <c r="K90" i="12"/>
  <c r="E19" i="21" s="1"/>
  <c r="M91" i="12"/>
  <c r="F38" i="16"/>
  <c r="AW200" i="11"/>
  <c r="F9" i="28" s="1"/>
  <c r="F20" i="21"/>
  <c r="G20" i="21" s="1"/>
  <c r="F12" i="28"/>
  <c r="F16" i="21"/>
  <c r="F13" i="21"/>
  <c r="F11" i="15"/>
  <c r="F11" i="16" s="1"/>
  <c r="F11" i="21"/>
  <c r="F10" i="21"/>
  <c r="J12" i="3"/>
  <c r="I12" i="6" s="1"/>
  <c r="X11" i="8"/>
  <c r="Z10" i="8"/>
  <c r="AC11" i="8" s="1"/>
  <c r="AE11" i="8" s="1"/>
  <c r="AH3" i="5" s="1"/>
  <c r="J13" i="3"/>
  <c r="I15" i="6" s="1"/>
  <c r="J14" i="3"/>
  <c r="I18" i="6" s="1"/>
  <c r="L10" i="18"/>
  <c r="K10" i="18"/>
  <c r="L11" i="18"/>
  <c r="K11" i="18"/>
  <c r="U10" i="18"/>
  <c r="T10" i="18"/>
  <c r="T11" i="18"/>
  <c r="U11" i="18"/>
  <c r="AV11" i="8"/>
  <c r="AV12" i="8" s="1"/>
  <c r="AT11" i="8"/>
  <c r="AT12" i="8" s="1"/>
  <c r="AR17" i="8"/>
  <c r="AR18" i="8" s="1"/>
  <c r="AR14" i="8"/>
  <c r="AR15" i="8" s="1"/>
  <c r="AQ26" i="8"/>
  <c r="AQ27" i="8" s="1"/>
  <c r="AV32" i="8"/>
  <c r="AV33" i="8" s="1"/>
  <c r="AV21" i="8"/>
  <c r="AQ35" i="8"/>
  <c r="AQ36" i="8" s="1"/>
  <c r="AR29" i="8"/>
  <c r="AR30" i="8" s="1"/>
  <c r="AV29" i="8"/>
  <c r="AV30" i="8" s="1"/>
  <c r="AV35" i="8"/>
  <c r="AV36" i="8" s="1"/>
  <c r="AT20" i="8"/>
  <c r="AT21" i="8" s="1"/>
  <c r="AC29" i="8"/>
  <c r="AE29" i="8" s="1"/>
  <c r="AH9" i="5" s="1"/>
  <c r="AT29" i="8"/>
  <c r="AT30" i="8" s="1"/>
  <c r="AT38" i="8"/>
  <c r="AT39" i="8" s="1"/>
  <c r="AT14" i="8"/>
  <c r="AT15" i="8" s="1"/>
  <c r="AT35" i="8"/>
  <c r="AT36" i="8" s="1"/>
  <c r="AC14" i="8"/>
  <c r="AE14" i="8" s="1"/>
  <c r="AH4" i="5" s="1"/>
  <c r="AC13" i="8"/>
  <c r="AE13" i="8" s="1"/>
  <c r="AG4" i="5" s="1"/>
  <c r="AC19" i="8"/>
  <c r="AE19" i="8" s="1"/>
  <c r="AG6" i="5" s="1"/>
  <c r="J11" i="3"/>
  <c r="I9" i="6" s="1"/>
  <c r="AQ11" i="8"/>
  <c r="AQ12" i="8" s="1"/>
  <c r="O10" i="18"/>
  <c r="N10" i="18"/>
  <c r="D10" i="18"/>
  <c r="R11" i="18"/>
  <c r="Q11" i="18"/>
  <c r="Q10" i="18"/>
  <c r="R10" i="18"/>
  <c r="D11" i="18"/>
  <c r="C11" i="18"/>
  <c r="F12" i="18"/>
  <c r="O11" i="18"/>
  <c r="N11" i="18"/>
  <c r="H11" i="18"/>
  <c r="I11" i="18"/>
  <c r="I10" i="18"/>
  <c r="AR11" i="8"/>
  <c r="AR12" i="8" s="1"/>
  <c r="AR26" i="8"/>
  <c r="AR27" i="8" s="1"/>
  <c r="AC16" i="8"/>
  <c r="AE16" i="8" s="1"/>
  <c r="AG5" i="5" s="1"/>
  <c r="AT23" i="8"/>
  <c r="AT24" i="8" s="1"/>
  <c r="AR35" i="8"/>
  <c r="AR36" i="8" s="1"/>
  <c r="AT17" i="8"/>
  <c r="AT18" i="8" s="1"/>
  <c r="AQ14" i="8"/>
  <c r="AQ15" i="8" s="1"/>
  <c r="AQ38" i="8"/>
  <c r="AQ39" i="8" s="1"/>
  <c r="AQ23" i="8"/>
  <c r="AQ24" i="8" s="1"/>
  <c r="AT32" i="8"/>
  <c r="AT33" i="8" s="1"/>
  <c r="AT26" i="8"/>
  <c r="AT27" i="8" s="1"/>
  <c r="AR38" i="8"/>
  <c r="AR39" i="8" s="1"/>
  <c r="J17" i="3"/>
  <c r="I27" i="6" s="1"/>
  <c r="AC34" i="8"/>
  <c r="AE34" i="8" s="1"/>
  <c r="AG11" i="5" s="1"/>
  <c r="AC26" i="8"/>
  <c r="AE26" i="8" s="1"/>
  <c r="Y12" i="8"/>
  <c r="Y11" i="8"/>
  <c r="Y10" i="8"/>
  <c r="F13" i="15"/>
  <c r="F13" i="16" s="1"/>
  <c r="M21" i="12"/>
  <c r="N21" i="12" s="1"/>
  <c r="M24" i="12"/>
  <c r="N24" i="12" s="1"/>
  <c r="F14" i="15"/>
  <c r="F14" i="16" s="1"/>
  <c r="F17" i="15"/>
  <c r="F17" i="16" s="1"/>
  <c r="M12" i="12"/>
  <c r="N12" i="12" s="1"/>
  <c r="F10" i="15"/>
  <c r="F10" i="16" s="1"/>
  <c r="M15" i="12"/>
  <c r="N15" i="12" s="1"/>
  <c r="M27" i="12"/>
  <c r="N27" i="12" s="1"/>
  <c r="F15" i="15"/>
  <c r="F15" i="16" s="1"/>
  <c r="M30" i="12"/>
  <c r="N30" i="12" s="1"/>
  <c r="F16" i="15"/>
  <c r="F16" i="16" s="1"/>
  <c r="M33" i="12"/>
  <c r="N33" i="12" s="1"/>
  <c r="I90" i="12"/>
  <c r="D19" i="21" s="1"/>
  <c r="AC37" i="8"/>
  <c r="AE37" i="8" s="1"/>
  <c r="AC22" i="8"/>
  <c r="AE22" i="8" s="1"/>
  <c r="AG7" i="5" s="1"/>
  <c r="AA10" i="8"/>
  <c r="L9" i="6" s="1"/>
  <c r="AC35" i="8"/>
  <c r="AE35" i="8" s="1"/>
  <c r="AH11" i="5" s="1"/>
  <c r="AC38" i="8"/>
  <c r="AE38" i="8" s="1"/>
  <c r="AH12" i="5" s="1"/>
  <c r="AS33" i="8" l="1"/>
  <c r="AU33" i="8" s="1"/>
  <c r="AW33" i="8" s="1"/>
  <c r="AX31" i="8" s="1"/>
  <c r="AS27" i="8"/>
  <c r="AU27" i="8" s="1"/>
  <c r="AW27" i="8" s="1"/>
  <c r="AX25" i="8" s="1"/>
  <c r="AS21" i="8"/>
  <c r="AU21" i="8" s="1"/>
  <c r="AW21" i="8" s="1"/>
  <c r="AX19" i="8" s="1"/>
  <c r="AS24" i="8"/>
  <c r="AU24" i="8" s="1"/>
  <c r="AW24" i="8" s="1"/>
  <c r="AX22" i="8" s="1"/>
  <c r="AF25" i="8"/>
  <c r="AI8" i="5" s="1"/>
  <c r="AH8" i="5"/>
  <c r="F19" i="21"/>
  <c r="G19" i="21" s="1"/>
  <c r="U12" i="18"/>
  <c r="V11" i="18" s="1"/>
  <c r="K12" i="18"/>
  <c r="M10" i="18" s="1"/>
  <c r="L12" i="18"/>
  <c r="M11" i="18" s="1"/>
  <c r="T12" i="18"/>
  <c r="V10" i="18" s="1"/>
  <c r="G10" i="18"/>
  <c r="AS36" i="8"/>
  <c r="AU36" i="8" s="1"/>
  <c r="AW36" i="8" s="1"/>
  <c r="AX34" i="8" s="1"/>
  <c r="AS30" i="8"/>
  <c r="AU30" i="8" s="1"/>
  <c r="AW30" i="8" s="1"/>
  <c r="AX28" i="8" s="1"/>
  <c r="AS15" i="8"/>
  <c r="AU15" i="8" s="1"/>
  <c r="AW15" i="8" s="1"/>
  <c r="AX13" i="8" s="1"/>
  <c r="AF34" i="8"/>
  <c r="AL34" i="8" s="1"/>
  <c r="AZ13" i="8"/>
  <c r="AF16" i="8"/>
  <c r="AF19" i="8"/>
  <c r="AS39" i="8"/>
  <c r="AU39" i="8" s="1"/>
  <c r="AW39" i="8" s="1"/>
  <c r="AX37" i="8" s="1"/>
  <c r="AF13" i="8"/>
  <c r="Q12" i="18"/>
  <c r="S10" i="18" s="1"/>
  <c r="AS12" i="8"/>
  <c r="AU12" i="8" s="1"/>
  <c r="AW12" i="8" s="1"/>
  <c r="AX10" i="8" s="1"/>
  <c r="G11" i="18"/>
  <c r="O12" i="18"/>
  <c r="P11" i="18" s="1"/>
  <c r="C12" i="18"/>
  <c r="E10" i="18" s="1"/>
  <c r="R12" i="18"/>
  <c r="S11" i="18" s="1"/>
  <c r="D12" i="18"/>
  <c r="E11" i="18" s="1"/>
  <c r="N12" i="18"/>
  <c r="P10" i="18" s="1"/>
  <c r="I12" i="18"/>
  <c r="J11" i="18" s="1"/>
  <c r="H12" i="18"/>
  <c r="J10" i="18" s="1"/>
  <c r="AS18" i="8"/>
  <c r="AU18" i="8" s="1"/>
  <c r="AW18" i="8" s="1"/>
  <c r="AX16" i="8" s="1"/>
  <c r="AZ37" i="8"/>
  <c r="AZ31" i="8"/>
  <c r="AZ34" i="8"/>
  <c r="AZ25" i="8"/>
  <c r="AZ19" i="8"/>
  <c r="AZ16" i="8"/>
  <c r="AF28" i="8"/>
  <c r="AZ28" i="8"/>
  <c r="AF22" i="8"/>
  <c r="AZ22" i="8"/>
  <c r="AC10" i="8"/>
  <c r="AE10" i="8" s="1"/>
  <c r="F37" i="16"/>
  <c r="M90" i="12"/>
  <c r="F37" i="15"/>
  <c r="AF31" i="8"/>
  <c r="AI10" i="5" s="1"/>
  <c r="AF37" i="8"/>
  <c r="AI12" i="5" s="1"/>
  <c r="BA31" i="8" l="1"/>
  <c r="O30" i="6" s="1"/>
  <c r="AK26" i="8"/>
  <c r="BA19" i="8"/>
  <c r="O18" i="6" s="1"/>
  <c r="AJ26" i="8"/>
  <c r="AK25" i="8"/>
  <c r="AJ25" i="8"/>
  <c r="AH26" i="8"/>
  <c r="AG26" i="8" s="1"/>
  <c r="N24" i="6" s="1"/>
  <c r="AL26" i="8"/>
  <c r="AH25" i="8"/>
  <c r="AG25" i="8" s="1"/>
  <c r="M24" i="6" s="1"/>
  <c r="AI25" i="8"/>
  <c r="AI26" i="8"/>
  <c r="AL25" i="8"/>
  <c r="AZ10" i="8"/>
  <c r="BA10" i="8" s="1"/>
  <c r="O9" i="6" s="1"/>
  <c r="AG3" i="5"/>
  <c r="AJ23" i="8"/>
  <c r="AI7" i="5"/>
  <c r="AL29" i="8"/>
  <c r="AI9" i="5"/>
  <c r="AJ34" i="8"/>
  <c r="AI11" i="5"/>
  <c r="AK14" i="8"/>
  <c r="AI4" i="5"/>
  <c r="AK19" i="8"/>
  <c r="AI6" i="5"/>
  <c r="AH16" i="8"/>
  <c r="AI5" i="5"/>
  <c r="BA13" i="8"/>
  <c r="O12" i="6" s="1"/>
  <c r="BA34" i="8"/>
  <c r="O33" i="6" s="1"/>
  <c r="AK35" i="8"/>
  <c r="AK34" i="8"/>
  <c r="AH34" i="8"/>
  <c r="AG34" i="8" s="1"/>
  <c r="M33" i="6" s="1"/>
  <c r="AI35" i="8"/>
  <c r="AH35" i="8"/>
  <c r="AG35" i="8" s="1"/>
  <c r="N33" i="6" s="1"/>
  <c r="AJ35" i="8"/>
  <c r="AL35" i="8"/>
  <c r="AI34" i="8"/>
  <c r="AK17" i="8"/>
  <c r="AH17" i="8"/>
  <c r="AH13" i="8"/>
  <c r="AL16" i="8"/>
  <c r="AI16" i="8"/>
  <c r="AJ13" i="8"/>
  <c r="AK16" i="8"/>
  <c r="AL17" i="8"/>
  <c r="AI17" i="8"/>
  <c r="AJ17" i="8"/>
  <c r="AL19" i="8"/>
  <c r="AI13" i="8"/>
  <c r="AJ16" i="8"/>
  <c r="AH19" i="8"/>
  <c r="AI19" i="8"/>
  <c r="AI20" i="8"/>
  <c r="AJ20" i="8"/>
  <c r="BA25" i="8"/>
  <c r="O24" i="6" s="1"/>
  <c r="BA28" i="8"/>
  <c r="O27" i="6" s="1"/>
  <c r="AH20" i="8"/>
  <c r="AK20" i="8"/>
  <c r="AJ19" i="8"/>
  <c r="AL20" i="8"/>
  <c r="AL13" i="8"/>
  <c r="AI14" i="8"/>
  <c r="AJ14" i="8"/>
  <c r="AH14" i="8"/>
  <c r="AK13" i="8"/>
  <c r="AL14" i="8"/>
  <c r="BA37" i="8"/>
  <c r="O36" i="6" s="1"/>
  <c r="AK29" i="8"/>
  <c r="AL22" i="8"/>
  <c r="BA22" i="8"/>
  <c r="O21" i="6" s="1"/>
  <c r="BA16" i="8"/>
  <c r="O15" i="6" s="1"/>
  <c r="AK23" i="8"/>
  <c r="AI23" i="8"/>
  <c r="AK28" i="8"/>
  <c r="AH22" i="8"/>
  <c r="AJ22" i="8"/>
  <c r="AL23" i="8"/>
  <c r="AH23" i="8"/>
  <c r="AI29" i="8"/>
  <c r="AH28" i="8"/>
  <c r="AJ28" i="8"/>
  <c r="AJ29" i="8"/>
  <c r="AL28" i="8"/>
  <c r="AH29" i="8"/>
  <c r="AI28" i="8"/>
  <c r="AI22" i="8"/>
  <c r="AK22" i="8"/>
  <c r="AF10" i="8"/>
  <c r="AI37" i="8"/>
  <c r="AH38" i="8"/>
  <c r="AI38" i="8"/>
  <c r="AH37" i="8"/>
  <c r="AL37" i="8"/>
  <c r="AK38" i="8"/>
  <c r="AL38" i="8"/>
  <c r="AJ38" i="8"/>
  <c r="AJ37" i="8"/>
  <c r="AK37" i="8"/>
  <c r="AJ32" i="8"/>
  <c r="AK32" i="8"/>
  <c r="AK31" i="8"/>
  <c r="AL32" i="8"/>
  <c r="AJ31" i="8"/>
  <c r="AH32" i="8"/>
  <c r="AG32" i="8" s="1"/>
  <c r="N30" i="6" s="1"/>
  <c r="AI31" i="8"/>
  <c r="AI32" i="8"/>
  <c r="AL31" i="8"/>
  <c r="AH31" i="8"/>
  <c r="AG23" i="8" l="1"/>
  <c r="N21" i="6" s="1"/>
  <c r="AG31" i="8"/>
  <c r="M30" i="6" s="1"/>
  <c r="AG29" i="8"/>
  <c r="N27" i="6" s="1"/>
  <c r="AG28" i="8"/>
  <c r="M27" i="6" s="1"/>
  <c r="O11" i="27"/>
  <c r="AG14" i="8"/>
  <c r="N12" i="6" s="1"/>
  <c r="O10" i="27"/>
  <c r="AG13" i="8"/>
  <c r="M12" i="6" s="1"/>
  <c r="AG38" i="8"/>
  <c r="N36" i="6" s="1"/>
  <c r="AG37" i="8"/>
  <c r="M36" i="6" s="1"/>
  <c r="AG16" i="8"/>
  <c r="M15" i="6" s="1"/>
  <c r="AG20" i="8"/>
  <c r="N18" i="6" s="1"/>
  <c r="AG19" i="8"/>
  <c r="M18" i="6" s="1"/>
  <c r="AG17" i="8"/>
  <c r="N15" i="6" s="1"/>
  <c r="AH10" i="8"/>
  <c r="AI3" i="5"/>
  <c r="AK11" i="8"/>
  <c r="AG22" i="8"/>
  <c r="M21" i="6" s="1"/>
  <c r="AL10" i="8"/>
  <c r="AJ11" i="8"/>
  <c r="AJ10" i="8"/>
  <c r="AK10" i="8"/>
  <c r="AI11" i="8"/>
  <c r="AI10" i="8"/>
  <c r="AL11" i="8"/>
  <c r="AH11" i="8"/>
  <c r="AG10" i="8" l="1"/>
  <c r="M9" i="6" s="1"/>
  <c r="AG11" i="8"/>
  <c r="N9" i="6" s="1"/>
  <c r="O11" i="19" l="1"/>
  <c r="O12" i="19"/>
  <c r="O13" i="19"/>
  <c r="O10" i="19"/>
  <c r="Q198" i="11" l="1"/>
  <c r="J206" i="11" s="1"/>
  <c r="C14" i="28" l="1"/>
  <c r="AW206" i="11"/>
  <c r="F14" i="28" s="1"/>
  <c r="G14" i="28" s="1"/>
</calcChain>
</file>

<file path=xl/comments1.xml><?xml version="1.0" encoding="utf-8"?>
<comments xmlns="http://schemas.openxmlformats.org/spreadsheetml/2006/main">
  <authors>
    <author>Milena De Leon</author>
    <author>Milena De León</author>
    <author>mdeleon</author>
  </authors>
  <commentList>
    <comment ref="A8" authorId="0" shapeId="0">
      <text>
        <r>
          <rPr>
            <b/>
            <sz val="12"/>
            <color indexed="81"/>
            <rFont val="Calibri"/>
            <family val="2"/>
          </rPr>
          <t xml:space="preserve">Misión:
</t>
        </r>
        <r>
          <rPr>
            <sz val="12"/>
            <color indexed="81"/>
            <rFont val="Calibri"/>
            <family val="2"/>
          </rPr>
          <t>Indique la misión institucional</t>
        </r>
        <r>
          <rPr>
            <b/>
            <sz val="12"/>
            <color indexed="81"/>
            <rFont val="Calibri"/>
            <family val="2"/>
          </rPr>
          <t xml:space="preserve">
Objetivo:</t>
        </r>
        <r>
          <rPr>
            <sz val="12"/>
            <color indexed="81"/>
            <rFont val="Calibri"/>
            <family val="2"/>
          </rPr>
          <t xml:space="preserve">
Describa el Objetivo del Proceso Seleccionado</t>
        </r>
      </text>
    </comment>
    <comment ref="A9" authorId="0" shapeId="0">
      <text>
        <r>
          <rPr>
            <b/>
            <sz val="12"/>
            <color indexed="81"/>
            <rFont val="Calibri"/>
            <family val="2"/>
          </rPr>
          <t>Equipo de Trabajo:</t>
        </r>
        <r>
          <rPr>
            <sz val="12"/>
            <color indexed="81"/>
            <rFont val="Calibri"/>
            <family val="2"/>
          </rPr>
          <t xml:space="preserve">
Indique Nombres y Apellidos de las Personas que Intervienen en esta Actividas</t>
        </r>
      </text>
    </comment>
    <comment ref="A14" authorId="1" shapeId="0">
      <text>
        <r>
          <rPr>
            <sz val="14"/>
            <color indexed="81"/>
            <rFont val="Tahoma"/>
            <family val="2"/>
          </rPr>
          <t>Defina claramente la normativa, especificando los capitulos, articulos y/o item de las leyes, decretos, acuerdos, resoluciones, etc.  Que tengan incidencia en las actividades que lleva a cabo el proceso.</t>
        </r>
      </text>
    </comment>
    <comment ref="B17" authorId="0" shapeId="0">
      <text>
        <r>
          <rPr>
            <sz val="12"/>
            <color indexed="81"/>
            <rFont val="Calibri"/>
            <family val="2"/>
          </rPr>
          <t>Indique los Factores Internos y Externos  que pueden afectar el Logro de los Objetivos del Proceso o de la Institucion, las amenazas o debilidades que se puden generar de estas</t>
        </r>
      </text>
    </comment>
    <comment ref="C17" authorId="1" shapeId="0">
      <text>
        <r>
          <rPr>
            <sz val="14"/>
            <color indexed="81"/>
            <rFont val="Tahoma"/>
            <family val="2"/>
          </rPr>
          <t xml:space="preserve">Vea cartilla guia de este archivo </t>
        </r>
      </text>
    </comment>
    <comment ref="A18" authorId="2" shapeId="0">
      <text>
        <r>
          <rPr>
            <sz val="12"/>
            <color indexed="81"/>
            <rFont val="Calibri"/>
            <family val="2"/>
          </rPr>
          <t>Por ser propios de la Universidad, permiten su control con el fin de adaptarlos teniendo en cuenta la necesidad de la institución.</t>
        </r>
      </text>
    </comment>
    <comment ref="B18" authorId="2" shapeId="0">
      <text>
        <r>
          <rPr>
            <sz val="12"/>
            <color indexed="81"/>
            <rFont val="Calibri"/>
            <family val="2"/>
          </rPr>
          <t xml:space="preserve">Una vez identificadas y desarrollando una adecuada estrategia, pueden y deben eliminarse
</t>
        </r>
      </text>
    </comment>
    <comment ref="B23" authorId="1" shapeId="0">
      <text>
        <r>
          <rPr>
            <b/>
            <sz val="12"/>
            <color indexed="81"/>
            <rFont val="Tahoma"/>
            <family val="2"/>
          </rPr>
          <t>Comunicación Interna:</t>
        </r>
        <r>
          <rPr>
            <sz val="12"/>
            <color indexed="81"/>
            <rFont val="Tahoma"/>
            <family val="2"/>
          </rPr>
          <t xml:space="preserve"> Canales utilizados y su efectividad, flujo de la información necesaria para el desarrollo de las operaciones.</t>
        </r>
      </text>
    </comment>
    <comment ref="A25" authorId="2" shapeId="0">
      <text>
        <r>
          <rPr>
            <sz val="12"/>
            <color indexed="81"/>
            <rFont val="Calibri"/>
            <family val="2"/>
          </rPr>
          <t>No son propios de la Universidad, por lo que carece de control sobre ellos, pero los puede influir.</t>
        </r>
      </text>
    </comment>
    <comment ref="B25" authorId="2" shapeId="0">
      <text>
        <r>
          <rPr>
            <sz val="12"/>
            <color indexed="81"/>
            <rFont val="Calibri"/>
            <family val="2"/>
          </rPr>
          <t>Debido a que se generan de situaciones no controlables no se pueden eliminar.
Indique si aplica en un mismo campo todos los de infraestructura, los de personal, etc.</t>
        </r>
      </text>
    </comment>
    <comment ref="B30" authorId="1" shapeId="0">
      <text>
        <r>
          <rPr>
            <b/>
            <sz val="12"/>
            <color indexed="81"/>
            <rFont val="Tahoma"/>
            <family val="2"/>
          </rPr>
          <t>Tecnológicos - ejemplos:</t>
        </r>
        <r>
          <rPr>
            <sz val="12"/>
            <color indexed="81"/>
            <rFont val="Tahoma"/>
            <family val="2"/>
          </rPr>
          <t xml:space="preserve"> constante, poca, excasa, falta, inadecuada, presencia, quebrantamiento, etc, de:
Interrupciones, comercio, electrónico, datos externos, tecnología Emergente, derechos de autor, etc.</t>
        </r>
      </text>
    </comment>
    <comment ref="B31" authorId="1" shapeId="0">
      <text>
        <r>
          <rPr>
            <b/>
            <sz val="12"/>
            <color indexed="81"/>
            <rFont val="Tahoma"/>
            <family val="2"/>
          </rPr>
          <t>Comunicación Externa:</t>
        </r>
        <r>
          <rPr>
            <sz val="12"/>
            <color indexed="81"/>
            <rFont val="Tahoma"/>
            <family val="2"/>
          </rPr>
          <t xml:space="preserve"> Mecanismos utilizados para entrar en contacto con los usuarios o ciudadanos, canales establecidos para que el mismo se comunique con la Universidad</t>
        </r>
      </text>
    </comment>
  </commentList>
</comments>
</file>

<file path=xl/comments2.xml><?xml version="1.0" encoding="utf-8"?>
<comments xmlns="http://schemas.openxmlformats.org/spreadsheetml/2006/main">
  <authors>
    <author>Milena De Leon</author>
  </authors>
  <commentList>
    <comment ref="B8" authorId="0" shapeId="0">
      <text>
        <r>
          <rPr>
            <b/>
            <sz val="12"/>
            <color indexed="81"/>
            <rFont val="Calibri"/>
            <family val="2"/>
          </rPr>
          <t>Causas:</t>
        </r>
        <r>
          <rPr>
            <sz val="12"/>
            <color indexed="81"/>
            <rFont val="Calibri"/>
            <family val="2"/>
          </rPr>
          <t xml:space="preserve">
Todos los sujetos u objetos
que tienen la capacidad de originar un riesgo</t>
        </r>
      </text>
    </comment>
    <comment ref="D8" authorId="0" shapeId="0">
      <text>
        <r>
          <rPr>
            <b/>
            <sz val="12"/>
            <color indexed="81"/>
            <rFont val="Calibri"/>
            <family val="2"/>
          </rPr>
          <t>Riesgo de GESTIÓN:</t>
        </r>
        <r>
          <rPr>
            <sz val="12"/>
            <color indexed="81"/>
            <rFont val="Calibri"/>
            <family val="2"/>
          </rPr>
          <t xml:space="preserve">
Toda aquella situación que pueda obstaculizar el logro de los objetivos institucionales o el buen desarrollo de los procesos en la Universidad.
</t>
        </r>
        <r>
          <rPr>
            <b/>
            <sz val="12"/>
            <color indexed="81"/>
            <rFont val="Calibri"/>
            <family val="2"/>
          </rPr>
          <t>Riesgo de CORRUPCIÓN:
P</t>
        </r>
        <r>
          <rPr>
            <sz val="12"/>
            <color indexed="81"/>
            <rFont val="Calibri"/>
            <family val="2"/>
          </rPr>
          <t>or acción u omisión, mediante el uso indebido del poder, de los recursos o de la información, se lesionen los intereses de una entidad y en consecuencia del Estado, para la obtención de un beneficio particular</t>
        </r>
      </text>
    </comment>
    <comment ref="E8" authorId="0" shapeId="0">
      <text>
        <r>
          <rPr>
            <b/>
            <sz val="12"/>
            <color indexed="81"/>
            <rFont val="Calibri"/>
            <family val="2"/>
          </rPr>
          <t>Descripción del Riesgo:</t>
        </r>
        <r>
          <rPr>
            <sz val="12"/>
            <color indexed="81"/>
            <rFont val="Calibri"/>
            <family val="2"/>
          </rPr>
          <t xml:space="preserve">
Características generales o las formas en que se observa o manifiesta el riesgo </t>
        </r>
      </text>
    </comment>
    <comment ref="F8" authorId="0" shapeId="0">
      <text>
        <r>
          <rPr>
            <b/>
            <sz val="12"/>
            <color indexed="81"/>
            <rFont val="Calibri"/>
            <family val="2"/>
          </rPr>
          <t>Efectos:</t>
        </r>
        <r>
          <rPr>
            <sz val="12"/>
            <color indexed="81"/>
            <rFont val="Calibri"/>
            <family val="2"/>
          </rPr>
          <t xml:space="preserve">
Consecuencias de la ocurrencia del riesgo sobre los objetivos de la entidad.
Generalmente se dan sobre las personas o los bienes materiales o inmateriales.</t>
        </r>
      </text>
    </comment>
  </commentList>
</comments>
</file>

<file path=xl/comments3.xml><?xml version="1.0" encoding="utf-8"?>
<comments xmlns="http://schemas.openxmlformats.org/spreadsheetml/2006/main">
  <authors>
    <author>Milena De Leon</author>
  </authors>
  <commentList>
    <comment ref="J9" authorId="0" shapeId="0">
      <text>
        <r>
          <rPr>
            <b/>
            <sz val="12"/>
            <color indexed="81"/>
            <rFont val="Calibri"/>
            <family val="2"/>
          </rPr>
          <t>Evaluación:</t>
        </r>
        <r>
          <rPr>
            <sz val="12"/>
            <color indexed="81"/>
            <rFont val="Calibri"/>
            <family val="2"/>
          </rPr>
          <t xml:space="preserve">
permite comparar los resultados de su calificación, con los criterios definidos para establecer el grado de exposición de la Universidad al riesgo, ubicándolo en una zona de riesgo y de esta forma distinguir entre los riesgos BAJOS, MODERADOS, ALTOS o EXTREMOS  y fijar las prioridades de las acciones requeridas para su tratamiento.</t>
        </r>
      </text>
    </comment>
    <comment ref="D10" authorId="0" shapeId="0">
      <text>
        <r>
          <rPr>
            <b/>
            <sz val="12"/>
            <color indexed="81"/>
            <rFont val="Calibri"/>
            <family val="2"/>
          </rPr>
          <t>Posibilidad:</t>
        </r>
        <r>
          <rPr>
            <sz val="12"/>
            <color indexed="81"/>
            <rFont val="Calibri"/>
            <family val="2"/>
          </rPr>
          <t xml:space="preserve">
representa el número de veces que el riesgo se ha presentado o puede presentarse en un tiempo o periodo.  Y sus categorías y puntuaciones dadas por el análisis cualitativo y cuantitativo son:
5 - Casi certeza: Se espera que ocurra en la mayoría de las circunstancias
4 - Probable: Probablemente ocurrirá en la mayoría de las circunstancias
3 - Posible: Podría ocurrir en algún momento
2 - Improbable: Pudo ocurrir en algún momento
1 - Raro: Puede ocurrir sólo en circunstancias excepcionales</t>
        </r>
      </text>
    </comment>
    <comment ref="G10" authorId="0" shapeId="0">
      <text>
        <r>
          <rPr>
            <b/>
            <sz val="12"/>
            <color indexed="81"/>
            <rFont val="Calibri"/>
            <family val="2"/>
          </rPr>
          <t>Impacto:</t>
        </r>
        <r>
          <rPr>
            <sz val="12"/>
            <color indexed="81"/>
            <rFont val="Calibri"/>
            <family val="2"/>
          </rPr>
          <t xml:space="preserve">
se refiere a la magnitud de sus efectos.  Y sus categorías y puntuaciones dadas por el análisis cualitativo y cuantitativo son:
                                                                </t>
        </r>
        <r>
          <rPr>
            <b/>
            <i/>
            <sz val="12"/>
            <color indexed="81"/>
            <rFont val="Calibri"/>
            <family val="2"/>
          </rPr>
          <t xml:space="preserve">             Temas de IMPACTO    </t>
        </r>
        <r>
          <rPr>
            <sz val="12"/>
            <color indexed="81"/>
            <rFont val="Calibri"/>
            <family val="2"/>
          </rPr>
          <t xml:space="preserve">
</t>
        </r>
        <r>
          <rPr>
            <b/>
            <i/>
            <sz val="12"/>
            <color indexed="81"/>
            <rFont val="Calibri"/>
            <family val="2"/>
          </rPr>
          <t>Calificación                Confidencialidad                  Credibilidad                              Financiero(SMMLV)</t>
        </r>
        <r>
          <rPr>
            <sz val="12"/>
            <color indexed="81"/>
            <rFont val="Calibri"/>
            <family val="2"/>
          </rPr>
          <t xml:space="preserve">
1 - Insignificante     Personal                                Grupo de Funcionarior                0     &lt; 5
2 - Menor                  Sensible Personal                Todos los Funcionarios         &gt; = 5     &lt; 10
3 - Moderado           Institucional                         Usuarios                                   &gt; = 10   &lt; 20
4 - Mayor                  No Sensible Institucional   Departamento                         &gt; = 20   &lt; 42
5 - Catastrófico       Reservada Institucional      Pais                                              &gt; 42</t>
        </r>
      </text>
    </comment>
  </commentList>
</comments>
</file>

<file path=xl/comments4.xml><?xml version="1.0" encoding="utf-8"?>
<comments xmlns="http://schemas.openxmlformats.org/spreadsheetml/2006/main">
  <authors>
    <author>Milena De Leon</author>
    <author>mdeleon</author>
    <author>Milena De Leon Mendoza</author>
  </authors>
  <commentList>
    <comment ref="X8" authorId="0" shapeId="0">
      <text>
        <r>
          <rPr>
            <b/>
            <sz val="12"/>
            <color indexed="81"/>
            <rFont val="Calibri"/>
            <family val="2"/>
          </rPr>
          <t>Ponderacion del Control:</t>
        </r>
        <r>
          <rPr>
            <sz val="12"/>
            <color indexed="81"/>
            <rFont val="Calibri"/>
            <family val="2"/>
          </rPr>
          <t xml:space="preserve">
Valor del Control Según tabla de Ponderación</t>
        </r>
      </text>
    </comment>
    <comment ref="AA8" authorId="0" shapeId="0">
      <text>
        <r>
          <rPr>
            <b/>
            <sz val="12"/>
            <color indexed="81"/>
            <rFont val="Calibri"/>
            <family val="2"/>
          </rPr>
          <t>Ponderación de los Controles:</t>
        </r>
        <r>
          <rPr>
            <sz val="12"/>
            <color indexed="81"/>
            <rFont val="Calibri"/>
            <family val="2"/>
          </rPr>
          <t xml:space="preserve">
El valor promedio que reciben los controles que intervienen en la actividad que genera el riesgo.
A mayor valor de ponderación del control, es necesario tratarlo o mejorarlo de forma prioritaria por su estado critico, a menor valor de ponderación del control, la mejora es menos prioritaria.</t>
        </r>
      </text>
    </comment>
    <comment ref="D9" authorId="1" shapeId="0">
      <text>
        <r>
          <rPr>
            <b/>
            <sz val="12"/>
            <color indexed="81"/>
            <rFont val="Calibri"/>
            <family val="2"/>
          </rPr>
          <t xml:space="preserve">
Existe:</t>
        </r>
        <r>
          <rPr>
            <sz val="12"/>
            <color indexed="81"/>
            <rFont val="Calibri"/>
            <family val="2"/>
          </rPr>
          <t xml:space="preserve">
Posee una herramienta
para ejercer el control</t>
        </r>
      </text>
    </comment>
    <comment ref="H9" authorId="0" shapeId="0">
      <text>
        <r>
          <rPr>
            <b/>
            <sz val="12"/>
            <color indexed="81"/>
            <rFont val="Calibri"/>
            <family val="2"/>
          </rPr>
          <t>Tipo:</t>
        </r>
        <r>
          <rPr>
            <sz val="12"/>
            <color indexed="81"/>
            <rFont val="Calibri"/>
            <family val="2"/>
          </rPr>
          <t xml:space="preserve">
Establecer si son </t>
        </r>
        <r>
          <rPr>
            <b/>
            <sz val="12"/>
            <color indexed="81"/>
            <rFont val="Calibri"/>
            <family val="2"/>
          </rPr>
          <t>preventivos</t>
        </r>
        <r>
          <rPr>
            <sz val="12"/>
            <color indexed="81"/>
            <rFont val="Calibri"/>
            <family val="2"/>
          </rPr>
          <t xml:space="preserve"> o </t>
        </r>
        <r>
          <rPr>
            <b/>
            <sz val="12"/>
            <color indexed="81"/>
            <rFont val="Calibri"/>
            <family val="2"/>
          </rPr>
          <t>correctivos</t>
        </r>
        <r>
          <rPr>
            <sz val="12"/>
            <color indexed="81"/>
            <rFont val="Calibri"/>
            <family val="2"/>
          </rPr>
          <t xml:space="preserve">, entendiéndose estos como:
</t>
        </r>
        <r>
          <rPr>
            <b/>
            <sz val="12"/>
            <color indexed="81"/>
            <rFont val="Calibri"/>
            <family val="2"/>
          </rPr>
          <t>Preventivos</t>
        </r>
        <r>
          <rPr>
            <sz val="12"/>
            <color indexed="81"/>
            <rFont val="Calibri"/>
            <family val="2"/>
          </rPr>
          <t xml:space="preserve">, aquellos que actúan para eliminar las causas del riesgo, para prevenir su ocurrencia o materialización.
</t>
        </r>
        <r>
          <rPr>
            <b/>
            <sz val="12"/>
            <color indexed="81"/>
            <rFont val="Calibri"/>
            <family val="2"/>
          </rPr>
          <t>Correctivos</t>
        </r>
        <r>
          <rPr>
            <sz val="12"/>
            <color indexed="81"/>
            <rFont val="Calibri"/>
            <family val="2"/>
          </rPr>
          <t>, aquellos que permiten el restablecimiento de la actividad después de ser detectado un evento no deseable; también permiten la modificación de las acciones que propiciaron su ocurrencia</t>
        </r>
      </text>
    </comment>
    <comment ref="J9" authorId="2" shapeId="0">
      <text>
        <r>
          <rPr>
            <b/>
            <sz val="12"/>
            <color indexed="81"/>
            <rFont val="Calibri"/>
            <family val="2"/>
          </rPr>
          <t>Disminuye:</t>
        </r>
        <r>
          <rPr>
            <sz val="12"/>
            <color indexed="81"/>
            <rFont val="Calibri"/>
            <family val="2"/>
          </rPr>
          <t xml:space="preserve">
Si el Control es Preventivo disminuye Posibilidad Si el Control es Correctivo disminuye Impacto. 
Esto con el fin de determinar en que se disminuye la calificacion del riesgo en el caso que el control obtenga calificación de 1</t>
        </r>
      </text>
    </comment>
    <comment ref="K9" authorId="1" shapeId="0">
      <text>
        <r>
          <rPr>
            <b/>
            <sz val="12"/>
            <color indexed="81"/>
            <rFont val="Calibri"/>
            <family val="2"/>
          </rPr>
          <t xml:space="preserve">
¿El control esta documentado?</t>
        </r>
        <r>
          <rPr>
            <sz val="12"/>
            <color indexed="81"/>
            <rFont val="Calibri"/>
            <family val="2"/>
          </rPr>
          <t xml:space="preserve">
Existen manuales, instructivos o procedimientos para el manejo del control</t>
        </r>
      </text>
    </comment>
    <comment ref="M9" authorId="1" shapeId="0">
      <text>
        <r>
          <rPr>
            <b/>
            <sz val="12"/>
            <color indexed="81"/>
            <rFont val="Calibri"/>
            <family val="2"/>
          </rPr>
          <t xml:space="preserve">
¿El control es Efectivo?</t>
        </r>
        <r>
          <rPr>
            <sz val="12"/>
            <color indexed="81"/>
            <rFont val="Calibri"/>
            <family val="2"/>
          </rPr>
          <t xml:space="preserve">
En el tiempo que lleva el control ha demostrado ser efectivo</t>
        </r>
      </text>
    </comment>
    <comment ref="O9" authorId="1" shapeId="0">
      <text>
        <r>
          <rPr>
            <b/>
            <sz val="12"/>
            <color indexed="81"/>
            <rFont val="Calibri"/>
            <family val="2"/>
          </rPr>
          <t xml:space="preserve">
¿Automático o Manual?</t>
        </r>
        <r>
          <rPr>
            <sz val="12"/>
            <color indexed="81"/>
            <rFont val="Calibri"/>
            <family val="2"/>
          </rPr>
          <t xml:space="preserve">
</t>
        </r>
        <r>
          <rPr>
            <b/>
            <sz val="12"/>
            <color indexed="81"/>
            <rFont val="Calibri"/>
            <family val="2"/>
          </rPr>
          <t>Controles Automáticos:</t>
        </r>
        <r>
          <rPr>
            <sz val="12"/>
            <color indexed="81"/>
            <rFont val="Calibri"/>
            <family val="2"/>
          </rPr>
          <t xml:space="preserve"> 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r>
        <r>
          <rPr>
            <b/>
            <sz val="12"/>
            <color indexed="81"/>
            <rFont val="Calibri"/>
            <family val="2"/>
          </rPr>
          <t>Controles Manuales:</t>
        </r>
        <r>
          <rPr>
            <sz val="12"/>
            <color indexed="81"/>
            <rFont val="Calibri"/>
            <family val="2"/>
          </rPr>
          <t xml:space="preserve"> Políticas de operación aplicables, autorizaciones a través de firmas o confirmaciones vía correo electrónico, archivos físicos, consecutivos, listas de chequeo, controles de seguridad con personal especializado, entre otros</t>
        </r>
      </text>
    </comment>
    <comment ref="Q9" authorId="1" shapeId="0">
      <text>
        <r>
          <rPr>
            <b/>
            <sz val="12"/>
            <color indexed="81"/>
            <rFont val="Calibri"/>
            <family val="2"/>
          </rPr>
          <t xml:space="preserve">
¿Posee Responsable?</t>
        </r>
        <r>
          <rPr>
            <sz val="12"/>
            <color indexed="81"/>
            <rFont val="Calibri"/>
            <family val="2"/>
          </rPr>
          <t xml:space="preserve">
Está (n) definido (s) el (los) responsable (s) de la ejecución del control y del seguimiento?</t>
        </r>
      </text>
    </comment>
    <comment ref="S9" authorId="1" shapeId="0">
      <text>
        <r>
          <rPr>
            <b/>
            <sz val="12"/>
            <color indexed="81"/>
            <rFont val="Calibri"/>
            <family val="2"/>
          </rPr>
          <t xml:space="preserve">
¿La Periodicidad es Adecuada?</t>
        </r>
        <r>
          <rPr>
            <sz val="12"/>
            <color indexed="81"/>
            <rFont val="Calibri"/>
            <family val="2"/>
          </rPr>
          <t xml:space="preserve">
La frecuencia de ejecución del control y seguimiento es adecuada?</t>
        </r>
      </text>
    </comment>
    <comment ref="U9" authorId="1" shapeId="0">
      <text>
        <r>
          <rPr>
            <b/>
            <sz val="12"/>
            <color indexed="81"/>
            <rFont val="Calibri"/>
            <family val="2"/>
          </rPr>
          <t xml:space="preserve">
¿Guarda Evidencias?</t>
        </r>
        <r>
          <rPr>
            <sz val="12"/>
            <color indexed="81"/>
            <rFont val="Calibri"/>
            <family val="2"/>
          </rPr>
          <t xml:space="preserve">
Se cuenta con evidencias de la ejecución y seguimiento del control?</t>
        </r>
      </text>
    </comment>
  </commentList>
</comments>
</file>

<file path=xl/comments5.xml><?xml version="1.0" encoding="utf-8"?>
<comments xmlns="http://schemas.openxmlformats.org/spreadsheetml/2006/main">
  <authors>
    <author>Milena De Leon</author>
    <author>Milena De Leon Mendoza</author>
  </authors>
  <commentList>
    <comment ref="P7" authorId="0" shapeId="0">
      <text>
        <r>
          <rPr>
            <b/>
            <sz val="12"/>
            <color indexed="81"/>
            <rFont val="Calibri"/>
            <family val="2"/>
          </rPr>
          <t>Opciones de Manejo:</t>
        </r>
        <r>
          <rPr>
            <sz val="12"/>
            <color indexed="81"/>
            <rFont val="Calibri"/>
            <family val="2"/>
          </rPr>
          <t xml:space="preserve">
Opciones de respuesta tendientes a eliminar la cuasa, evitar la posibilidad, reducir el impacto, comportir o transferir el riesgo y/o asumir el riesgo</t>
        </r>
      </text>
    </comment>
    <comment ref="Q7" authorId="0" shapeId="0">
      <text>
        <r>
          <rPr>
            <b/>
            <sz val="12"/>
            <color indexed="81"/>
            <rFont val="Calibri"/>
            <family val="2"/>
          </rPr>
          <t>Definición de 
Acciones:</t>
        </r>
        <r>
          <rPr>
            <sz val="12"/>
            <color indexed="81"/>
            <rFont val="Calibri"/>
            <family val="2"/>
          </rPr>
          <t xml:space="preserve">
Aplicación concreta de las opciones de manejo del riesgo</t>
        </r>
      </text>
    </comment>
    <comment ref="R7" authorId="0" shapeId="0">
      <text>
        <r>
          <rPr>
            <b/>
            <sz val="12"/>
            <color indexed="81"/>
            <rFont val="Calibri"/>
            <family val="2"/>
          </rPr>
          <t>Indicador:</t>
        </r>
        <r>
          <rPr>
            <sz val="12"/>
            <color indexed="81"/>
            <rFont val="Calibri"/>
            <family val="2"/>
          </rPr>
          <t xml:space="preserve">
Identifique el estado de avance de las acciones
</t>
        </r>
      </text>
    </comment>
    <comment ref="I8" authorId="1" shapeId="0">
      <text>
        <r>
          <rPr>
            <sz val="12"/>
            <color indexed="81"/>
            <rFont val="Calibri"/>
            <family val="2"/>
          </rPr>
          <t>Esta evaluación es el resultado de la calificación del riesgo, en cuanto a posibilidad e impacto, sin considerar los controles existentes</t>
        </r>
      </text>
    </comment>
    <comment ref="M8" authorId="1" shapeId="0">
      <text>
        <r>
          <rPr>
            <sz val="12"/>
            <color indexed="81"/>
            <rFont val="Calibri"/>
            <family val="2"/>
          </rPr>
          <t>Esta evaluación toma en cuenta los controles existentes modificando o no la evaluacion inicial</t>
        </r>
      </text>
    </comment>
  </commentList>
</comments>
</file>

<file path=xl/comments6.xml><?xml version="1.0" encoding="utf-8"?>
<comments xmlns="http://schemas.openxmlformats.org/spreadsheetml/2006/main">
  <authors>
    <author>Milena De Leon</author>
  </authors>
  <commentList>
    <comment ref="F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 Ejemplo: Resolución (es), Comunicación (es), Sistema de Información, modulo (S), etc.</t>
        </r>
      </text>
    </comment>
    <comment ref="G8" authorId="0" shapeId="0">
      <text>
        <r>
          <rPr>
            <b/>
            <sz val="12"/>
            <color indexed="81"/>
            <rFont val="Calibri"/>
            <family val="2"/>
          </rPr>
          <t>Dimensión (Producto o Entregable):</t>
        </r>
        <r>
          <rPr>
            <sz val="12"/>
            <color indexed="81"/>
            <rFont val="Calibri"/>
            <family val="2"/>
          </rPr>
          <t xml:space="preserve">
Se debe consignar un valor numerico que indique el volumen o tamaño del productor o entregable propuesto Ejemplo: 1, 15..., 10%, ...100%
</t>
        </r>
      </text>
    </comment>
    <comment ref="H8" authorId="0" shapeId="0">
      <text>
        <r>
          <rPr>
            <b/>
            <sz val="12"/>
            <color indexed="81"/>
            <rFont val="Calibri"/>
            <family val="2"/>
          </rPr>
          <t>Fecha de Inicio:</t>
        </r>
        <r>
          <rPr>
            <sz val="12"/>
            <color indexed="81"/>
            <rFont val="Calibri"/>
            <family val="2"/>
          </rPr>
          <t xml:space="preserve">
AAAA/MM/DD que comenzó o comenzara la ejecución de la Acción Definida</t>
        </r>
      </text>
    </comment>
    <comment ref="I8" authorId="0" shapeId="0">
      <text>
        <r>
          <rPr>
            <b/>
            <sz val="12"/>
            <color indexed="81"/>
            <rFont val="Calibri"/>
            <family val="2"/>
          </rPr>
          <t xml:space="preserve">Fecha de Terminación:
</t>
        </r>
        <r>
          <rPr>
            <sz val="12"/>
            <color indexed="81"/>
            <rFont val="Calibri"/>
            <family val="2"/>
          </rPr>
          <t>AAAA/MM/DD que Terminara la ejecución de la Acción Definida</t>
        </r>
      </text>
    </comment>
  </commentList>
</comments>
</file>

<file path=xl/comments7.xml><?xml version="1.0" encoding="utf-8"?>
<comments xmlns="http://schemas.openxmlformats.org/spreadsheetml/2006/main">
  <authors>
    <author>Milena De Leon</author>
  </authors>
  <commentList>
    <comment ref="E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t>
        </r>
      </text>
    </comment>
    <comment ref="F8" authorId="0" shapeId="0">
      <text>
        <r>
          <rPr>
            <b/>
            <sz val="12"/>
            <color indexed="81"/>
            <rFont val="Calibri"/>
            <family val="2"/>
          </rPr>
          <t>Dimensión (Producto o Entregable):</t>
        </r>
        <r>
          <rPr>
            <sz val="12"/>
            <color indexed="81"/>
            <rFont val="Calibri"/>
            <family val="2"/>
          </rPr>
          <t xml:space="preserve">
Se debe consignar un valor numerico que indique el volumen o tamaño del productor o entregable propuesto Ejemplo: 1, 15..., 10%, ...100%
</t>
        </r>
      </text>
    </comment>
    <comment ref="G8" authorId="0" shapeId="0">
      <text>
        <r>
          <rPr>
            <b/>
            <sz val="12"/>
            <color indexed="81"/>
            <rFont val="Calibri"/>
            <family val="2"/>
          </rPr>
          <t>Fecha de Inicio:</t>
        </r>
        <r>
          <rPr>
            <sz val="12"/>
            <color indexed="81"/>
            <rFont val="Calibri"/>
            <family val="2"/>
          </rPr>
          <t xml:space="preserve">
AAAA/MM/DD que comenzó o comenzara la ejecución de la Acción Definida</t>
        </r>
      </text>
    </comment>
    <comment ref="H8" authorId="0" shapeId="0">
      <text>
        <r>
          <rPr>
            <b/>
            <sz val="12"/>
            <color indexed="81"/>
            <rFont val="Calibri"/>
            <family val="2"/>
          </rPr>
          <t xml:space="preserve">Fecha de Terminación:
</t>
        </r>
        <r>
          <rPr>
            <sz val="12"/>
            <color indexed="81"/>
            <rFont val="Calibri"/>
            <family val="2"/>
          </rPr>
          <t>AAAA/MM/DD que Terminara la ejecución de la Acción Definida</t>
        </r>
      </text>
    </comment>
    <comment ref="K8" authorId="0" shapeId="0">
      <text>
        <r>
          <rPr>
            <b/>
            <sz val="12"/>
            <color indexed="81"/>
            <rFont val="Calibri"/>
            <family val="2"/>
          </rPr>
          <t>Avance Dimensión:</t>
        </r>
        <r>
          <rPr>
            <sz val="12"/>
            <color indexed="81"/>
            <rFont val="Calibri"/>
            <family val="2"/>
          </rPr>
          <t xml:space="preserve">
Consignar un valor numerico del avance de la dimensión del producto o entregable
Ejemplo: 1, 15..., 10%, ...100%
</t>
        </r>
      </text>
    </comment>
    <comment ref="U8" authorId="0" shapeId="0">
      <text>
        <r>
          <rPr>
            <b/>
            <sz val="12"/>
            <color indexed="81"/>
            <rFont val="Calibri"/>
            <family val="2"/>
          </rPr>
          <t>Avance Dimensión:</t>
        </r>
        <r>
          <rPr>
            <sz val="12"/>
            <color indexed="81"/>
            <rFont val="Calibri"/>
            <family val="2"/>
          </rPr>
          <t xml:space="preserve">
Consignar un valor numerico del avance de la dimensión del producto o entregable
Ejemplo: 1, 15..., 10%, ...100%
</t>
        </r>
      </text>
    </comment>
    <comment ref="AE8" authorId="0" shapeId="0">
      <text>
        <r>
          <rPr>
            <b/>
            <sz val="12"/>
            <color indexed="81"/>
            <rFont val="Calibri"/>
            <family val="2"/>
          </rPr>
          <t>Avance Dimensión:</t>
        </r>
        <r>
          <rPr>
            <sz val="12"/>
            <color indexed="81"/>
            <rFont val="Calibri"/>
            <family val="2"/>
          </rPr>
          <t xml:space="preserve">
Consignar un valor numerico del avance de la dimensión del producto o entregable
Ejemplo: 1, 15..., 10%, ...100%
</t>
        </r>
      </text>
    </comment>
  </commentList>
</comments>
</file>

<file path=xl/comments8.xml><?xml version="1.0" encoding="utf-8"?>
<comments xmlns="http://schemas.openxmlformats.org/spreadsheetml/2006/main">
  <authors>
    <author>Milena De Leon</author>
  </authors>
  <commentList>
    <comment ref="D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t>
        </r>
      </text>
    </comment>
    <comment ref="E8" authorId="0" shapeId="0">
      <text>
        <r>
          <rPr>
            <b/>
            <sz val="12"/>
            <color indexed="81"/>
            <rFont val="Calibri"/>
            <family val="2"/>
          </rPr>
          <t>Fecha de Inicio:</t>
        </r>
        <r>
          <rPr>
            <sz val="12"/>
            <color indexed="81"/>
            <rFont val="Calibri"/>
            <family val="2"/>
          </rPr>
          <t xml:space="preserve">
Dia/Mes/Año que comenzó o comenzara la ejecución de la Acción Definida</t>
        </r>
      </text>
    </comment>
    <comment ref="F8" authorId="0" shapeId="0">
      <text>
        <r>
          <rPr>
            <b/>
            <sz val="12"/>
            <color indexed="81"/>
            <rFont val="Calibri"/>
            <family val="2"/>
          </rPr>
          <t xml:space="preserve">Fecha de Terminación:
</t>
        </r>
        <r>
          <rPr>
            <sz val="12"/>
            <color indexed="81"/>
            <rFont val="Calibri"/>
            <family val="2"/>
          </rPr>
          <t>Dia/Mes/Año que Terminara la ejecución de la Acción Definida</t>
        </r>
      </text>
    </comment>
  </commentList>
</comments>
</file>

<file path=xl/comments9.xml><?xml version="1.0" encoding="utf-8"?>
<comments xmlns="http://schemas.openxmlformats.org/spreadsheetml/2006/main">
  <authors>
    <author>Milena De Leon</author>
  </authors>
  <commentList>
    <comment ref="D8" authorId="0" shapeId="0">
      <text>
        <r>
          <rPr>
            <b/>
            <sz val="12"/>
            <color indexed="81"/>
            <rFont val="Calibri"/>
            <family val="2"/>
          </rPr>
          <t>Producto o Entregable:</t>
        </r>
        <r>
          <rPr>
            <sz val="12"/>
            <color indexed="81"/>
            <rFont val="Calibri"/>
            <family val="2"/>
          </rPr>
          <t xml:space="preserve">
Cualquier producto, resultado, o capacidad de prestar un servicio único y verificable que debe producirse para cumplir con la Acción definida</t>
        </r>
      </text>
    </comment>
    <comment ref="E8" authorId="0" shapeId="0">
      <text>
        <r>
          <rPr>
            <b/>
            <sz val="12"/>
            <color indexed="81"/>
            <rFont val="Calibri"/>
            <family val="2"/>
          </rPr>
          <t>Fecha de Inicio:</t>
        </r>
        <r>
          <rPr>
            <sz val="12"/>
            <color indexed="81"/>
            <rFont val="Calibri"/>
            <family val="2"/>
          </rPr>
          <t xml:space="preserve">
Dia/Mes/Año que comenzó o comenzara la ejecución de la Acción Definida</t>
        </r>
      </text>
    </comment>
    <comment ref="F8" authorId="0" shapeId="0">
      <text>
        <r>
          <rPr>
            <b/>
            <sz val="12"/>
            <color indexed="81"/>
            <rFont val="Calibri"/>
            <family val="2"/>
          </rPr>
          <t xml:space="preserve">Fecha de Terminación:
</t>
        </r>
        <r>
          <rPr>
            <sz val="12"/>
            <color indexed="81"/>
            <rFont val="Calibri"/>
            <family val="2"/>
          </rPr>
          <t>Dia/Mes/Año que Terminara la ejecución de la Acción Definida</t>
        </r>
      </text>
    </comment>
  </commentList>
</comments>
</file>

<file path=xl/sharedStrings.xml><?xml version="1.0" encoding="utf-8"?>
<sst xmlns="http://schemas.openxmlformats.org/spreadsheetml/2006/main" count="2628" uniqueCount="982">
  <si>
    <t>IMPACTO</t>
  </si>
  <si>
    <t>RIESGOS</t>
  </si>
  <si>
    <t xml:space="preserve">CALIFICACION </t>
  </si>
  <si>
    <t>CAUSAS</t>
  </si>
  <si>
    <t>EFECTOS</t>
  </si>
  <si>
    <t xml:space="preserve">ANALISIS </t>
  </si>
  <si>
    <t>DESCRIPCION DEL RIESGO</t>
  </si>
  <si>
    <t>Impacto</t>
  </si>
  <si>
    <t>TIPO</t>
  </si>
  <si>
    <t>Existen</t>
  </si>
  <si>
    <t>NO</t>
  </si>
  <si>
    <t>SI</t>
  </si>
  <si>
    <t>DESCRIBALO</t>
  </si>
  <si>
    <t>¿EL CONTROL ESTA DOCUMENTADO?</t>
  </si>
  <si>
    <t>¿ES EFECTIVO PARA MINIMIZAR EL RIESGO?</t>
  </si>
  <si>
    <t>VALOR</t>
  </si>
  <si>
    <t>EVALUACIÓN</t>
  </si>
  <si>
    <t>CONTROLES EXISTENTES</t>
  </si>
  <si>
    <t>OPCIONES DE MANEJO</t>
  </si>
  <si>
    <t>Tipo</t>
  </si>
  <si>
    <t>Preventivo</t>
  </si>
  <si>
    <t>Correctivo</t>
  </si>
  <si>
    <t>Nº</t>
  </si>
  <si>
    <t>PONDERACION DEL CONTROL</t>
  </si>
  <si>
    <t>Equipo de Trabajo</t>
  </si>
  <si>
    <t>N° del Control</t>
  </si>
  <si>
    <t>N°</t>
  </si>
  <si>
    <t>MAPA DE RIESGO</t>
  </si>
  <si>
    <t>RIESGO</t>
  </si>
  <si>
    <t>Nº CONTROL</t>
  </si>
  <si>
    <t>PONDERACION  DE LOS CONTROLES</t>
  </si>
  <si>
    <t>Ninguno</t>
  </si>
  <si>
    <t>Gestión de Divulgación</t>
  </si>
  <si>
    <t>Gestión de Relaciones internacionales</t>
  </si>
  <si>
    <t>Evaluación de la gestión</t>
  </si>
  <si>
    <t>Evaluación independiente</t>
  </si>
  <si>
    <t>Acreditación</t>
  </si>
  <si>
    <t>Mejoramiento Continuo</t>
  </si>
  <si>
    <t>Planeación Académica</t>
  </si>
  <si>
    <t>pdos</t>
  </si>
  <si>
    <t>puno</t>
  </si>
  <si>
    <t>ptres</t>
  </si>
  <si>
    <t>pcinco</t>
  </si>
  <si>
    <t>Diseño Curricular</t>
  </si>
  <si>
    <t>Actividades de Capacitación</t>
  </si>
  <si>
    <t>Evaluación académica</t>
  </si>
  <si>
    <t>Semilleros y Jóvenes Talentos</t>
  </si>
  <si>
    <t>pseis</t>
  </si>
  <si>
    <t>Gestión de Centros y Grupos de Investigación</t>
  </si>
  <si>
    <t>Gestión de Proyectos de investigación</t>
  </si>
  <si>
    <t>Producción Investigativa</t>
  </si>
  <si>
    <t>pocho</t>
  </si>
  <si>
    <t>Admisiones, Registro y Control Académico</t>
  </si>
  <si>
    <t>Biblioteca</t>
  </si>
  <si>
    <t>Recursos educativos</t>
  </si>
  <si>
    <t>Editorial</t>
  </si>
  <si>
    <t>pquince</t>
  </si>
  <si>
    <t>Atención de Incidentes</t>
  </si>
  <si>
    <t>Gestión de Control de Cambios</t>
  </si>
  <si>
    <t>Aseguramiento de la continuidad de los servicios</t>
  </si>
  <si>
    <t>Garantizar la integridad, confidencialidad y disponibilidad de la información</t>
  </si>
  <si>
    <t>Gestión de infraestructura tecnológica</t>
  </si>
  <si>
    <t>Gestión del licenciamiento de software</t>
  </si>
  <si>
    <t>POSIBILIDAD</t>
  </si>
  <si>
    <t>Volver</t>
  </si>
  <si>
    <t xml:space="preserve">volver </t>
  </si>
  <si>
    <t>volver</t>
  </si>
  <si>
    <t>Existeno</t>
  </si>
  <si>
    <t>indicador</t>
  </si>
  <si>
    <t>Sin Implementar</t>
  </si>
  <si>
    <t>En Ejecución</t>
  </si>
  <si>
    <t xml:space="preserve">Página 1 de </t>
  </si>
  <si>
    <t>DISMINUYE</t>
  </si>
  <si>
    <t>disminuye</t>
  </si>
  <si>
    <t>EVALUACION FINAL</t>
  </si>
  <si>
    <t>CONTEXTO ESTRATEGICO</t>
  </si>
  <si>
    <t>IDENTIFICACION DEL RIESGOS</t>
  </si>
  <si>
    <t>ANALISIS DEL RIESGO</t>
  </si>
  <si>
    <t>VALORACION DEL RIESGO</t>
  </si>
  <si>
    <t>Gestión de Biblioteca</t>
  </si>
  <si>
    <t>Gestión de Admisiones y Registro</t>
  </si>
  <si>
    <t>Gestión de Recursos Educativos</t>
  </si>
  <si>
    <t>Gestión Financiera</t>
  </si>
  <si>
    <t>Gestión Documental</t>
  </si>
  <si>
    <t>Gestión del Talento Humano</t>
  </si>
  <si>
    <t>Gestión de Contratación</t>
  </si>
  <si>
    <t>posibilidad prob</t>
  </si>
  <si>
    <t>impacto imp</t>
  </si>
  <si>
    <t>IMPACTO 1</t>
  </si>
  <si>
    <t>IMPACTO 2</t>
  </si>
  <si>
    <t>IMPACTO 3</t>
  </si>
  <si>
    <t>IMPACTO 4</t>
  </si>
  <si>
    <t>IMPACTO 5</t>
  </si>
  <si>
    <t>Posibilidad</t>
  </si>
  <si>
    <t>GENERALIDADES DEL CONTROL</t>
  </si>
  <si>
    <t>EXISTE</t>
  </si>
  <si>
    <t>existe</t>
  </si>
  <si>
    <t>No Aplica</t>
  </si>
  <si>
    <t>contar para ponderar</t>
  </si>
  <si>
    <t>vr analisis posibilidad impacto</t>
  </si>
  <si>
    <t>valor evaluacion final</t>
  </si>
  <si>
    <t>Nuevos vres Posibilidad Impacto</t>
  </si>
  <si>
    <t>EVALUACION</t>
  </si>
  <si>
    <t>Asumir el Riesgo</t>
  </si>
  <si>
    <t>Evitar Posibilidad de Ocurrencia</t>
  </si>
  <si>
    <t>Compartir o Transferir el Riesgo</t>
  </si>
  <si>
    <t>Eliminar Causa</t>
  </si>
  <si>
    <t>Código: EI-F11</t>
  </si>
  <si>
    <t>existe control 1</t>
  </si>
  <si>
    <t>existe control 2 3</t>
  </si>
  <si>
    <t>Mapa de Riesgo Institucional</t>
  </si>
  <si>
    <t>EJERCICIO DEL CONTROL</t>
  </si>
  <si>
    <t>¿LA PERIODICIDAD ES ADECUADA?</t>
  </si>
  <si>
    <t>Procesos</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</si>
  <si>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</si>
  <si>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</si>
  <si>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</si>
  <si>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</si>
  <si>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</si>
  <si>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</si>
  <si>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</si>
  <si>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</si>
  <si>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de Bienestar Universitario</t>
  </si>
  <si>
    <t>Gestión Adminsitrativa</t>
  </si>
  <si>
    <t>Gestión y Rendición de Cuentas</t>
  </si>
  <si>
    <t>posib</t>
  </si>
  <si>
    <t>impac</t>
  </si>
  <si>
    <t xml:space="preserve">Suma 
Posibilidad Impacto </t>
  </si>
  <si>
    <t>Reducir el Riesgo</t>
  </si>
  <si>
    <t>Implementado</t>
  </si>
  <si>
    <t>NORMATIVA</t>
  </si>
  <si>
    <t xml:space="preserve">                   Personal</t>
  </si>
  <si>
    <t xml:space="preserve">                   Procesos</t>
  </si>
  <si>
    <t xml:space="preserve">                  Tecnología</t>
  </si>
  <si>
    <t xml:space="preserve">                  Otros? Cuales:</t>
  </si>
  <si>
    <t>Externos (Selección multiple)</t>
  </si>
  <si>
    <t>Internos (Selección multiple)</t>
  </si>
  <si>
    <t xml:space="preserve">                   Económicos </t>
  </si>
  <si>
    <t xml:space="preserve">                   Medio Ambientales </t>
  </si>
  <si>
    <t xml:space="preserve">                  Políticos</t>
  </si>
  <si>
    <t xml:space="preserve">                   Sociales</t>
  </si>
  <si>
    <t xml:space="preserve">                  Tecnológicos</t>
  </si>
  <si>
    <r>
      <t xml:space="preserve">UNIVERSIDAD DEL MAGDALENA
OFICINA DE CONTROL INTERNO
SISTEMA DE GESTIÓN INTEGRAL DE LA CALIDAD “COGUI”
</t>
    </r>
    <r>
      <rPr>
        <b/>
        <sz val="12"/>
        <color indexed="62"/>
        <rFont val="Arial"/>
        <family val="2"/>
      </rPr>
      <t>ADMINISTRACIÓN DE RIESGOS</t>
    </r>
  </si>
  <si>
    <t>INDICADOR DE AVANCE</t>
  </si>
  <si>
    <t>TODOS los Derechos Reservados de MILENA DE LEON MENDOZA CC 39058006</t>
  </si>
  <si>
    <t>Elaboración y Diseño: MILENA DE LEON MENDOZA CC 39058006</t>
  </si>
  <si>
    <t>SEGUIMIENTO Y MONITOREO</t>
  </si>
  <si>
    <t>Causas</t>
  </si>
  <si>
    <t>Efectos</t>
  </si>
  <si>
    <t>indicador1</t>
  </si>
  <si>
    <t>DEFINICIÓN DE ACCIONES</t>
  </si>
  <si>
    <r>
      <t xml:space="preserve">UNIVERSIDAD DEL MAGDALENA
OFICINA DE CONTROL INTERNO
SISTEMA DE GESTIÓN INTEGRAL DE LA CALIDAD “COGUI”
</t>
    </r>
    <r>
      <rPr>
        <b/>
        <sz val="12"/>
        <color indexed="62"/>
        <rFont val="Arial"/>
        <family val="2"/>
      </rPr>
      <t>ADMINISTRA</t>
    </r>
    <r>
      <rPr>
        <b/>
        <sz val="12"/>
        <color rgb="FF333399"/>
        <rFont val="Arial"/>
        <family val="2"/>
      </rPr>
      <t>CIÓ</t>
    </r>
    <r>
      <rPr>
        <b/>
        <sz val="12"/>
        <color indexed="62"/>
        <rFont val="Arial"/>
        <family val="2"/>
      </rPr>
      <t>N DE RIESGOS</t>
    </r>
  </si>
  <si>
    <r>
      <t xml:space="preserve">UNIVERSIDAD DEL MAGDALENA
OFICINA DE CONTROL INTERNO
SISTEMA DE GESTIÓN INTEGRAL DE LA CALIDAD “COGUI”
</t>
    </r>
    <r>
      <rPr>
        <b/>
        <sz val="12"/>
        <color rgb="FF333399"/>
        <rFont val="Arial"/>
        <family val="2"/>
      </rPr>
      <t>ADMINISTRACIÓN DE RIESGOS</t>
    </r>
  </si>
  <si>
    <t>ACCIONES DEFINIDAS</t>
  </si>
  <si>
    <t>Lider de Proceso</t>
  </si>
  <si>
    <t>Fecha de Inicio</t>
  </si>
  <si>
    <t>Fecha de Terminación</t>
  </si>
  <si>
    <t>Actividades Realizadas</t>
  </si>
  <si>
    <t>Oficina de Control Interno</t>
  </si>
  <si>
    <t>Producto o Entregable</t>
  </si>
  <si>
    <t>OBSERVACIONES</t>
  </si>
  <si>
    <t>RESULTADO SEGUIMIENTOS Y MONITOREOS</t>
  </si>
  <si>
    <t>plazo en semanas</t>
  </si>
  <si>
    <t>Puntaje  Logrado  por las metas(Poi)</t>
  </si>
  <si>
    <t xml:space="preserve">Puntaje Logrado por las metas  Vencidas (POMVi)  </t>
  </si>
  <si>
    <t>Fecha de Actualización (AAAA/MM/DD)</t>
  </si>
  <si>
    <r>
      <t xml:space="preserve">Fecha de Inicio
</t>
    </r>
    <r>
      <rPr>
        <b/>
        <sz val="8"/>
        <rFont val="Calibri"/>
        <family val="2"/>
        <scheme val="minor"/>
      </rPr>
      <t>AAAA/MM/DD</t>
    </r>
  </si>
  <si>
    <r>
      <t xml:space="preserve">Fecha de Terminación
</t>
    </r>
    <r>
      <rPr>
        <b/>
        <sz val="8"/>
        <rFont val="Calibri"/>
        <family val="2"/>
        <scheme val="minor"/>
      </rPr>
      <t>AAAA/MM/DD</t>
    </r>
  </si>
  <si>
    <t>Indique Fecha Seguimiento</t>
  </si>
  <si>
    <r>
      <t xml:space="preserve">Primer Cuatrimestre </t>
    </r>
    <r>
      <rPr>
        <sz val="12"/>
        <rFont val="Calibri"/>
        <family val="2"/>
        <scheme val="minor"/>
      </rPr>
      <t xml:space="preserve"> </t>
    </r>
  </si>
  <si>
    <r>
      <t xml:space="preserve">Segundo Cuatrimestre </t>
    </r>
    <r>
      <rPr>
        <sz val="12"/>
        <rFont val="Calibri"/>
        <family val="2"/>
        <scheme val="minor"/>
      </rPr>
      <t xml:space="preserve"> </t>
    </r>
  </si>
  <si>
    <r>
      <t xml:space="preserve">Tercer Cuatrimestre </t>
    </r>
    <r>
      <rPr>
        <sz val="12"/>
        <rFont val="Calibri"/>
        <family val="2"/>
        <scheme val="minor"/>
      </rPr>
      <t xml:space="preserve"> </t>
    </r>
  </si>
  <si>
    <t>Puntaje atribuido metas vencidas</t>
  </si>
  <si>
    <t>seguimientos1</t>
  </si>
  <si>
    <t>seguimientos2</t>
  </si>
  <si>
    <t>seguimientos3</t>
  </si>
  <si>
    <t>CRONOGRAMA</t>
  </si>
  <si>
    <t xml:space="preserve">Producto o Entregable </t>
  </si>
  <si>
    <r>
      <t xml:space="preserve">Dimensión </t>
    </r>
    <r>
      <rPr>
        <b/>
        <sz val="9"/>
        <rFont val="Calibri"/>
        <family val="2"/>
        <scheme val="minor"/>
      </rPr>
      <t xml:space="preserve">(Producto/Entregable) </t>
    </r>
  </si>
  <si>
    <t>Plazo en Semanas</t>
  </si>
  <si>
    <t>Avance Dimensión</t>
  </si>
  <si>
    <r>
      <t>Avance
Dimensión</t>
    </r>
    <r>
      <rPr>
        <b/>
        <sz val="9"/>
        <rFont val="Calibri"/>
        <family val="2"/>
        <scheme val="minor"/>
      </rPr>
      <t xml:space="preserve"> </t>
    </r>
  </si>
  <si>
    <t>% Avance</t>
  </si>
  <si>
    <r>
      <t xml:space="preserve">Dimensión </t>
    </r>
    <r>
      <rPr>
        <b/>
        <sz val="9"/>
        <rFont val="Calibri"/>
        <family val="2"/>
        <scheme val="minor"/>
      </rPr>
      <t xml:space="preserve">(Producto/ Entregable) </t>
    </r>
  </si>
  <si>
    <t>ESTADISTICAS - TABLAS Y GRAFICOS DE RESULTADOS</t>
  </si>
  <si>
    <t>Fecha Ultimo Seguimiento</t>
  </si>
  <si>
    <t>1er cuatrimerte</t>
  </si>
  <si>
    <t>2do cuatrimestre</t>
  </si>
  <si>
    <t>3er cuatrimestre</t>
  </si>
  <si>
    <t>SUMA SEMANAS</t>
  </si>
  <si>
    <t>% Avance Acciones del Riesgo</t>
  </si>
  <si>
    <t>% 1ER CUAT</t>
  </si>
  <si>
    <t>% 2DO CUAT</t>
  </si>
  <si>
    <t>% 3ER CUAT</t>
  </si>
  <si>
    <t>RES ENTRE 1 Y 2</t>
  </si>
  <si>
    <r>
      <rPr>
        <b/>
        <sz val="10"/>
        <color rgb="FF333399"/>
        <rFont val="Calibri"/>
        <family val="2"/>
        <scheme val="minor"/>
      </rPr>
      <t>%</t>
    </r>
    <r>
      <rPr>
        <b/>
        <sz val="11"/>
        <color rgb="FF333399"/>
        <rFont val="Calibri"/>
        <family val="2"/>
        <scheme val="minor"/>
      </rPr>
      <t xml:space="preserve"> 1</t>
    </r>
    <r>
      <rPr>
        <b/>
        <sz val="8"/>
        <color rgb="FF333399"/>
        <rFont val="Calibri"/>
        <family val="2"/>
        <scheme val="minor"/>
      </rPr>
      <t xml:space="preserve">ER </t>
    </r>
    <r>
      <rPr>
        <b/>
        <sz val="10"/>
        <color rgb="FF333399"/>
        <rFont val="Calibri"/>
        <family val="2"/>
        <scheme val="minor"/>
      </rPr>
      <t>CuaT</t>
    </r>
  </si>
  <si>
    <r>
      <rPr>
        <b/>
        <sz val="10"/>
        <color rgb="FF333399"/>
        <rFont val="Calibri"/>
        <family val="2"/>
        <scheme val="minor"/>
      </rPr>
      <t>%</t>
    </r>
    <r>
      <rPr>
        <b/>
        <sz val="11"/>
        <color rgb="FF333399"/>
        <rFont val="Calibri"/>
        <family val="2"/>
        <scheme val="minor"/>
      </rPr>
      <t xml:space="preserve"> 2</t>
    </r>
    <r>
      <rPr>
        <b/>
        <sz val="8"/>
        <color rgb="FF333399"/>
        <rFont val="Calibri"/>
        <family val="2"/>
        <scheme val="minor"/>
      </rPr>
      <t xml:space="preserve">DO </t>
    </r>
    <r>
      <rPr>
        <b/>
        <sz val="10"/>
        <color rgb="FF333399"/>
        <rFont val="Calibri"/>
        <family val="2"/>
        <scheme val="minor"/>
      </rPr>
      <t>CuaT</t>
    </r>
  </si>
  <si>
    <r>
      <rPr>
        <b/>
        <sz val="10"/>
        <color rgb="FF333399"/>
        <rFont val="Calibri"/>
        <family val="2"/>
        <scheme val="minor"/>
      </rPr>
      <t>%</t>
    </r>
    <r>
      <rPr>
        <b/>
        <sz val="11"/>
        <color rgb="FF333399"/>
        <rFont val="Calibri"/>
        <family val="2"/>
        <scheme val="minor"/>
      </rPr>
      <t xml:space="preserve"> 3</t>
    </r>
    <r>
      <rPr>
        <b/>
        <sz val="8"/>
        <color rgb="FF333399"/>
        <rFont val="Calibri"/>
        <family val="2"/>
        <scheme val="minor"/>
      </rPr>
      <t xml:space="preserve">ER </t>
    </r>
    <r>
      <rPr>
        <b/>
        <sz val="10"/>
        <color rgb="FF333399"/>
        <rFont val="Calibri"/>
        <family val="2"/>
        <scheme val="minor"/>
      </rPr>
      <t>CuaT</t>
    </r>
  </si>
  <si>
    <t>avance ultimo</t>
  </si>
  <si>
    <t>fecha ultimo avance</t>
  </si>
  <si>
    <r>
      <t xml:space="preserve">Observaciones OCI 
</t>
    </r>
    <r>
      <rPr>
        <sz val="8"/>
        <color rgb="FF333399"/>
        <rFont val="Calibri"/>
        <family val="2"/>
        <scheme val="minor"/>
      </rPr>
      <t>(Ultimo Seguimiento)</t>
    </r>
  </si>
  <si>
    <r>
      <t xml:space="preserve">% Avance 
</t>
    </r>
    <r>
      <rPr>
        <sz val="8"/>
        <color rgb="FF333399"/>
        <rFont val="Calibri"/>
        <family val="2"/>
        <scheme val="minor"/>
      </rPr>
      <t>(Ultimo  Seguimeinto)</t>
    </r>
  </si>
  <si>
    <t xml:space="preserve">Primer Cuatrimestre  </t>
  </si>
  <si>
    <t>fecha actualizacion</t>
  </si>
  <si>
    <t>A/NA</t>
  </si>
  <si>
    <t xml:space="preserve">
</t>
  </si>
  <si>
    <r>
      <t xml:space="preserve">UNIVERSIDAD DEL MAGDALENA
OFICINA DE CONTROL INTERNO
SISTEMA DE GESTIÓN INTEGRAL DE LA CALIDAD “COGUI”
</t>
    </r>
    <r>
      <rPr>
        <b/>
        <sz val="8"/>
        <color theme="4" tint="-0.249977111117893"/>
        <rFont val="Arial"/>
        <family val="2"/>
      </rPr>
      <t>ADMINISTRACIÓN DE RIESGOS</t>
    </r>
  </si>
  <si>
    <t>Avances Cuatrimestrales de Acciones por Riesgo (Tabla y Grafica)</t>
  </si>
  <si>
    <t>Avance de la Acciones por Riesgo (Tabla y Grafica)</t>
  </si>
  <si>
    <t>Resultado General Seguimientos y Monitoreos (Tabla)</t>
  </si>
  <si>
    <t>ESTADISTICAS - TABLAS Y GRAFICOS</t>
  </si>
  <si>
    <t>ACCIONES</t>
  </si>
  <si>
    <t>SUGERENCIAS/RECOMENDACIONES METODOLOGICAS</t>
  </si>
  <si>
    <t>DOCUMENTAR</t>
  </si>
  <si>
    <t>RESPONSABLE</t>
  </si>
  <si>
    <t>PERIODICIDAD</t>
  </si>
  <si>
    <t>OPCIONES DE ACCIONES</t>
  </si>
  <si>
    <t>OPCION DOC</t>
  </si>
  <si>
    <t>OPC RES</t>
  </si>
  <si>
    <t>OPC PER</t>
  </si>
  <si>
    <t>EFECTIVIDAD CONTOL</t>
  </si>
  <si>
    <t>CONCATENAR OPC</t>
  </si>
  <si>
    <t>OPC PREV O CORR</t>
  </si>
  <si>
    <t>CONC OPC DOC RES (1)</t>
  </si>
  <si>
    <t>Documentar</t>
  </si>
  <si>
    <t>Asignar responsable</t>
  </si>
  <si>
    <t>Establecer periodos de seguimiento adecuados</t>
  </si>
  <si>
    <t>POSIBLES CAUSAS</t>
  </si>
  <si>
    <t xml:space="preserve">Dadas por Factores Internos:
</t>
  </si>
  <si>
    <t>Ver http://cogui.unimagdalena.edu.co</t>
  </si>
  <si>
    <t>Estratégico</t>
  </si>
  <si>
    <t>Misional</t>
  </si>
  <si>
    <t>Apoyo</t>
  </si>
  <si>
    <t>Control y Evaluación</t>
  </si>
  <si>
    <t>proceso</t>
  </si>
  <si>
    <t>tipo</t>
  </si>
  <si>
    <t>Procesos / Estratégicos / Gestión de la Calidad / Normatividad</t>
  </si>
  <si>
    <t>Procesos / Apoyo / Apoyo Tecnológico TIC / Normatividad</t>
  </si>
  <si>
    <t>Procesos / Estratégicos / Comunicaciones / Normatividad</t>
  </si>
  <si>
    <t>Procesos / Estratégicos / Dirección y Planeación / Normatividad</t>
  </si>
  <si>
    <t>Procesos / Estratégicos / Relaciones Interinstitucionales / Normatividad</t>
  </si>
  <si>
    <t>Procesos / Apoyo / Gestión Adminsitrativa / Normatividad</t>
  </si>
  <si>
    <t>Procesos / Apoyo / Gestión de Admisiones y Registro / Normatividad</t>
  </si>
  <si>
    <t>Procesos / Apoyo / Gestión de Biblioteca / Normatividad</t>
  </si>
  <si>
    <t>Procesos / Apoyo / Gestión de Bienestar Universitario / Normatividad</t>
  </si>
  <si>
    <t>Procesos / Apoyo / Gestión de Contratación / Normatividad</t>
  </si>
  <si>
    <t>Procesos / Apoyo / Gestión de Recursos Educativos / Normatividad</t>
  </si>
  <si>
    <t>Procesos / Apoyo / Gestión del Talento Humano / Normatividad</t>
  </si>
  <si>
    <t>Procesos / Apoyo / Gestión Documental / Normatividad</t>
  </si>
  <si>
    <t>Procesos / Apoyo / Gestión Financiera / Normatividad</t>
  </si>
  <si>
    <t>Gestión Jurídica</t>
  </si>
  <si>
    <t>Procesos / Apoyo / Gestión Jurídica / Normatividad</t>
  </si>
  <si>
    <t>Procesos / Misional / Gestión Académica / Normatividad</t>
  </si>
  <si>
    <t>Procesos / Misional / Gestión de Extensión y Proyección Social / Normatividad</t>
  </si>
  <si>
    <t>Procesos / Misional / Gestión de Investigación / Normatividad</t>
  </si>
  <si>
    <t>Procesos / Control y Evaluación / Gestión y Rendición de Cuentas / Normatividad</t>
  </si>
  <si>
    <t>Evaluación Independiente</t>
  </si>
  <si>
    <t>Procesos / Control y Evaluación / Evaluación Independiente / Normatividad</t>
  </si>
  <si>
    <t>CONTROL EFECTIVO</t>
  </si>
  <si>
    <t>CONTROL NO EFECTIVO</t>
  </si>
  <si>
    <t>EFECTIVO DOC</t>
  </si>
  <si>
    <t>NO EFECTIVO DOC</t>
  </si>
  <si>
    <t>CONTAR EFEC DOC</t>
  </si>
  <si>
    <t>CONTAR NO EFEC DOC</t>
  </si>
  <si>
    <t>CONTAR EFEC NO DOC</t>
  </si>
  <si>
    <t>CONTAR NO EFEC NO DOC</t>
  </si>
  <si>
    <t>CONTAR EFEC RES</t>
  </si>
  <si>
    <t>CONTAR NO EFEC RES</t>
  </si>
  <si>
    <t>CONTAR EFEC NO RES</t>
  </si>
  <si>
    <t>CONTAR NO EFEC NO RES</t>
  </si>
  <si>
    <t>EFECTIVO RES</t>
  </si>
  <si>
    <t>NO EFECTIVO RES</t>
  </si>
  <si>
    <t>CONTAR EFEC PER</t>
  </si>
  <si>
    <t>CONTAR NO EFEC PER</t>
  </si>
  <si>
    <t>CONTAR EFEC NO PER</t>
  </si>
  <si>
    <t>CONTAR NO EFEC NO PER</t>
  </si>
  <si>
    <t>EFECTIVO PER</t>
  </si>
  <si>
    <t>NO EFECTIVO PER</t>
  </si>
  <si>
    <t>CONTAR EFEC PREV</t>
  </si>
  <si>
    <t>CONTAR EFEC CORR</t>
  </si>
  <si>
    <t>EFECTIVO PREV/CORR</t>
  </si>
  <si>
    <t>CONTAR NO EFEC PREV</t>
  </si>
  <si>
    <t>CONTAR NO EFEC CORR</t>
  </si>
  <si>
    <t>NO EFECTIVO PREV/CORR</t>
  </si>
  <si>
    <t>Controles Efectivos</t>
  </si>
  <si>
    <t>Controles NO Efectivos</t>
  </si>
  <si>
    <t>Riesgos Identificados</t>
  </si>
  <si>
    <t>N° RIESGO</t>
  </si>
  <si>
    <t>Total Contoles</t>
  </si>
  <si>
    <t>Documentados</t>
  </si>
  <si>
    <t>Con Adecuada Periodicidad Seg</t>
  </si>
  <si>
    <t>Con Responsable Seguimiento</t>
  </si>
  <si>
    <t>Preventivos</t>
  </si>
  <si>
    <t>Correctivos</t>
  </si>
  <si>
    <t>Totales</t>
  </si>
  <si>
    <t>Analisis de Controles del Riesgo (Tabla y Graficas)</t>
  </si>
  <si>
    <t>PONDERACION CONTROLES</t>
  </si>
  <si>
    <t>(1) Raro / Insignificante</t>
  </si>
  <si>
    <t>(2) Improbable / Menor</t>
  </si>
  <si>
    <t>(3) Posible / Moderado</t>
  </si>
  <si>
    <t>(4) Probable / Mayor</t>
  </si>
  <si>
    <t>(5) Casi Certeza / Catastrófico</t>
  </si>
  <si>
    <t>posibilidad</t>
  </si>
  <si>
    <t>impacto</t>
  </si>
  <si>
    <t>Posiblidad</t>
  </si>
  <si>
    <t>Nuevos valores posibilidad/impacto evalua fin</t>
  </si>
  <si>
    <t>evaluacion final</t>
  </si>
  <si>
    <t>Zona de Riesgo BAJA</t>
  </si>
  <si>
    <t>Zona de Riesgo MODERADA</t>
  </si>
  <si>
    <t>Zona de Riesgo ALTA</t>
  </si>
  <si>
    <t>Zona de Riesgo EXTREMA</t>
  </si>
  <si>
    <t>Calificación y Evaluación de los Riesgos (Tablas)</t>
  </si>
  <si>
    <t>POS</t>
  </si>
  <si>
    <t>EVA INICIAL</t>
  </si>
  <si>
    <t>IMP</t>
  </si>
  <si>
    <t>Debilidades (Posibles Causa Internas)</t>
  </si>
  <si>
    <t>Amenazas (Posibles Causas Externas)</t>
  </si>
  <si>
    <t>N° de Riesgos con</t>
  </si>
  <si>
    <t xml:space="preserve">                  Comunicación Externa:</t>
  </si>
  <si>
    <t xml:space="preserve">                   Financieros </t>
  </si>
  <si>
    <t xml:space="preserve">                  Comunicación Interna:</t>
  </si>
  <si>
    <t>automatico/manual</t>
  </si>
  <si>
    <t>Automático</t>
  </si>
  <si>
    <t>Manual</t>
  </si>
  <si>
    <t>EJECUCIÓN Y SEGUIMIENTO AL CONTROL</t>
  </si>
  <si>
    <t>¿POSEE RESPONSABLE?</t>
  </si>
  <si>
    <t>¿GUARDA EVIDENCIAS?</t>
  </si>
  <si>
    <t>¿EL SISTEMA DEL CONTROL ES?</t>
  </si>
  <si>
    <t>Guardar Evidencias</t>
  </si>
  <si>
    <t>EVIDENCIAS</t>
  </si>
  <si>
    <t>OPC EVI</t>
  </si>
  <si>
    <t>CONC (1) OPC PER (2)</t>
  </si>
  <si>
    <t>CONC (2) OPC EVI</t>
  </si>
  <si>
    <t>EFECTIVO AUT/MAN</t>
  </si>
  <si>
    <t>NO EFECTIVO AUT/MAN</t>
  </si>
  <si>
    <t>CONTAR EFEC AUT</t>
  </si>
  <si>
    <t>CONTAR EFEC MAN</t>
  </si>
  <si>
    <t>CONTAR NO EFEC AUT</t>
  </si>
  <si>
    <t>CONTAR NO EFEC MAN</t>
  </si>
  <si>
    <t>EFECTIVO EVI</t>
  </si>
  <si>
    <t>NO EFECTIVO EVI</t>
  </si>
  <si>
    <t>MAN</t>
  </si>
  <si>
    <t>AUT</t>
  </si>
  <si>
    <t>Con Sistema</t>
  </si>
  <si>
    <t>Con Evidencias</t>
  </si>
  <si>
    <t>RIESGOS DE CORRUPCIÓN</t>
  </si>
  <si>
    <t>1C</t>
  </si>
  <si>
    <t>2C</t>
  </si>
  <si>
    <t>3C</t>
  </si>
  <si>
    <t>4C</t>
  </si>
  <si>
    <t>5C</t>
  </si>
  <si>
    <t>posibilidad corrup</t>
  </si>
  <si>
    <t>imp NA</t>
  </si>
  <si>
    <t>NA</t>
  </si>
  <si>
    <t xml:space="preserve">% Avance Riesgos de GESTIÓN </t>
  </si>
  <si>
    <t>Cumplimiento Riesgos de GESTIÓN (Respecto a los plazos establecidos)</t>
  </si>
  <si>
    <t>Cumplimiento Riesgos de CORRUPCIÓN (Respecto a los plazos establecidos)</t>
  </si>
  <si>
    <t xml:space="preserve">% Avance Riesgo de CORRUPCIÓN </t>
  </si>
  <si>
    <t>Cumplimiento MAPA DE RIESGO (Respecto a los plazos establecidos)</t>
  </si>
  <si>
    <t xml:space="preserve">% Avance MAPA DE RIESGO </t>
  </si>
  <si>
    <t>TOTALES GESTIÓN</t>
  </si>
  <si>
    <t>TOTALES CORRUPCIÓN</t>
  </si>
  <si>
    <t>TOTALES GESTIÓN + CORRUPCIÓN</t>
  </si>
  <si>
    <t>GESTIÓN</t>
  </si>
  <si>
    <t>CORRUPCIÓN</t>
  </si>
  <si>
    <t>Ir</t>
  </si>
  <si>
    <t>Resultado General Seguimientos y Monitoreos Riesgos de GESTIÓN</t>
  </si>
  <si>
    <t>Analisis de Controles deL Riesgo de GESTIÓN</t>
  </si>
  <si>
    <t>Calificación y Evaluación de los Riesgos de GESTIÓN</t>
  </si>
  <si>
    <r>
      <t xml:space="preserve">% Avance 
</t>
    </r>
    <r>
      <rPr>
        <sz val="8"/>
        <color rgb="FF333399"/>
        <rFont val="Calibri"/>
        <family val="2"/>
        <scheme val="minor"/>
      </rPr>
      <t>(Ultimo  Seguimiento)</t>
    </r>
  </si>
  <si>
    <t>Cumplimiento Respecto a Plazos y Avance del Mapa (Tabla y Graficas)</t>
  </si>
  <si>
    <t>Resultado General Seguimientos y Monitoreos Riesgos de CORRUPCIÓN</t>
  </si>
  <si>
    <t>Analisis de Controles deL Riesgo de CORRUPCIÓN</t>
  </si>
  <si>
    <t>(3) Posible</t>
  </si>
  <si>
    <t>(5) Casi Certeza</t>
  </si>
  <si>
    <t>Posiblidad 
INICIAL</t>
  </si>
  <si>
    <t>Calificación y Evaluación de los Riesgos de CORRUPCIÓN</t>
  </si>
  <si>
    <t>posibilidad inicial</t>
  </si>
  <si>
    <t>posibilidad FINAL</t>
  </si>
  <si>
    <t>CALIFICACIÓN FINAL</t>
  </si>
  <si>
    <t>Cumplimiento Respecto a Plazos</t>
  </si>
  <si>
    <t>Gestión</t>
  </si>
  <si>
    <t>Corrupción</t>
  </si>
  <si>
    <t>Cumplimiento MAPA Respecto a Plazos</t>
  </si>
  <si>
    <t>AVANCE DEL MAPA</t>
  </si>
  <si>
    <t>AVANCE MAPA DE RIESGO</t>
  </si>
  <si>
    <t>Avance MAPA DE RIESGO</t>
  </si>
  <si>
    <t>Cumplio Plazos?</t>
  </si>
  <si>
    <t>1G</t>
  </si>
  <si>
    <t>2G</t>
  </si>
  <si>
    <t>3G</t>
  </si>
  <si>
    <t>4G</t>
  </si>
  <si>
    <t>5G</t>
  </si>
  <si>
    <t>6G</t>
  </si>
  <si>
    <t>7G</t>
  </si>
  <si>
    <t>8G</t>
  </si>
  <si>
    <t>9G</t>
  </si>
  <si>
    <t>10G</t>
  </si>
  <si>
    <t>Eliminar</t>
  </si>
  <si>
    <t>Compartir</t>
  </si>
  <si>
    <t>Asumir</t>
  </si>
  <si>
    <t>G opciones de manejo</t>
  </si>
  <si>
    <t>C opciones de manejo</t>
  </si>
  <si>
    <t>Evitar</t>
  </si>
  <si>
    <t>Reducir</t>
  </si>
  <si>
    <t>Transferir</t>
  </si>
  <si>
    <t>No Establecer</t>
  </si>
  <si>
    <t>FACTORES Riesos de GESTIÓN</t>
  </si>
  <si>
    <t>Versión: 06</t>
  </si>
  <si>
    <t>INSTITUCIONAL</t>
  </si>
  <si>
    <t>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t>
  </si>
  <si>
    <t>RUTHBER ESCORCIA CABALLERO, Rector</t>
  </si>
  <si>
    <t>Responsable Proceso Dirección y Planeación</t>
  </si>
  <si>
    <t>CARLOS CORONADO, Relaciones Interinstitucionales
GLORIA OROZCO, Acreditación
EIRA ROSARIO MADERA, Gestión de la Calidad
EDGAR SALAS BALLESTEROS, Comunicaciones</t>
  </si>
  <si>
    <t>PEDRO ESLAVA ELJAIEK, Gestión Academica
JOSE HENRY ESCOBAR, Gestión de Investigación
PABLO VERA, Gestión de Extensión y Proyección Social</t>
  </si>
  <si>
    <t>JOSE JULIAN RIOS, Gestión de Contratación
RICARDO CAMPO REDONDO, Gestión Financiera
HILDEMAR QUINTANA, Apoyo Tecnológico TIC
MERCEDES DE LA TORRE, Gestión Documental
JAIME NOGUERA SERRANO, Gestión Administrativa
MARIA LUISA MENDEZ, Gestión del Talento Humano
EDWIN GUTIERREZ, Gestión de Admisiones y Registro</t>
  </si>
  <si>
    <t>MARIA FERNANDA REYES, Gestión y Rendición de Cuentas
MILENA DE LEON MENDOZA, Evaluación Independiente</t>
  </si>
  <si>
    <t>Falta de gestión de recursos para actividades de investigación.
Disponibilidad presupuestal no coherente con las actividades misionales</t>
  </si>
  <si>
    <t>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t>
  </si>
  <si>
    <t xml:space="preserve">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t>
  </si>
  <si>
    <t>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t>
  </si>
  <si>
    <t>Falta de asertividad en  los canales de comunicación 
Falta de entrega a tiempo de la documentación postcontractual que debe reposar en la carpeta contractual de los contratos de la Rectoría de la Universidad del Magdalena.</t>
  </si>
  <si>
    <t>Cambios en la normativas internas</t>
  </si>
  <si>
    <t>Falta de asignación presupuestal, debido a que los proyectos de investigación depende en gran parte de cofinanciadores externos.</t>
  </si>
  <si>
    <t>Falta de energía para el desarrollo de las actividades
Presencia de emisiones y residuos</t>
  </si>
  <si>
    <t>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t>
  </si>
  <si>
    <t>Ausencia de Información sobre las condiciones sociopoliticas (dinamica social, seguridad, etc) y especificas en la movilidad (alojamiento,costos, entre otros) del personal en movilidad saliente de la Unimagdalena</t>
  </si>
  <si>
    <t>Deficiencia de los provedores tecnológicos</t>
  </si>
  <si>
    <t xml:space="preserve">Carencia de  canales efectivos para la comunicación </t>
  </si>
  <si>
    <t>11G</t>
  </si>
  <si>
    <t>12G</t>
  </si>
  <si>
    <t>13G</t>
  </si>
  <si>
    <t>14G</t>
  </si>
  <si>
    <t>15G</t>
  </si>
  <si>
    <t>16G</t>
  </si>
  <si>
    <t>17G</t>
  </si>
  <si>
    <t>18G</t>
  </si>
  <si>
    <t>19G</t>
  </si>
  <si>
    <t>20G</t>
  </si>
  <si>
    <t>21G</t>
  </si>
  <si>
    <t>22G</t>
  </si>
  <si>
    <t>23G</t>
  </si>
  <si>
    <t>24G</t>
  </si>
  <si>
    <t>25G</t>
  </si>
  <si>
    <t>26G</t>
  </si>
  <si>
    <t>27G</t>
  </si>
  <si>
    <t>28G</t>
  </si>
  <si>
    <t>6C</t>
  </si>
  <si>
    <t>7C</t>
  </si>
  <si>
    <t>8C</t>
  </si>
  <si>
    <t>9C</t>
  </si>
  <si>
    <t>10C</t>
  </si>
  <si>
    <t>11C</t>
  </si>
  <si>
    <t>12C</t>
  </si>
  <si>
    <t>13C</t>
  </si>
  <si>
    <t>14C</t>
  </si>
  <si>
    <t>15C</t>
  </si>
  <si>
    <t>16C</t>
  </si>
  <si>
    <t>17C</t>
  </si>
  <si>
    <t>18C</t>
  </si>
  <si>
    <t>19C</t>
  </si>
  <si>
    <t>20C</t>
  </si>
  <si>
    <t>21C</t>
  </si>
  <si>
    <t>22C</t>
  </si>
  <si>
    <t>23C</t>
  </si>
  <si>
    <t>24C</t>
  </si>
  <si>
    <t>25C</t>
  </si>
  <si>
    <t>26C</t>
  </si>
  <si>
    <t>27C</t>
  </si>
  <si>
    <t>28C</t>
  </si>
  <si>
    <t>29C</t>
  </si>
  <si>
    <t>30C</t>
  </si>
  <si>
    <t>31C</t>
  </si>
  <si>
    <t>32C</t>
  </si>
  <si>
    <t>33C</t>
  </si>
  <si>
    <t>34C</t>
  </si>
  <si>
    <t>Gestión de nuevos proyectos de movilidad, convenios y cooperación. Falta de vinculación de personal necesario en la Oficina de Relaciones Internacionales.</t>
  </si>
  <si>
    <t>Desconocimiento de los usuarios en relacion al procedimiendo de registro de la movilidad internacional entrante y saliente</t>
  </si>
  <si>
    <t>Desconocimiento del  personal de la Oficina de Relaciones  internacionales y la comunidad universitaria de los procedimietos y requisitos nacionales e internacionales legales y migratorios</t>
  </si>
  <si>
    <t>1. Poco conocimiento y difusión de la política de autoevaluación y del funcionamiento de la misma</t>
  </si>
  <si>
    <t xml:space="preserve">1. Poco conocimiento referente al proceso de Acreditación o registro calificado por parte de directivos, así como de la política de autoevaluación y del funcionamiento de la misma. 
2. Inadecuada ejecución de procedimientos, lineamientos y formatos establecidos en el COGUI o por instancias externas de control. </t>
  </si>
  <si>
    <t>1. Pocas competencias en la administración del trámite de registro calificado o acreditación, de algunos directivos para el cumplimiento de procedimientos y lineamientos 
2. Baja calidad de los programas académicos</t>
  </si>
  <si>
    <t>* Poco espacio físico adecuado según la naturaleza de la Oficina asignado para la ejecución de las actividades de la OAC, en consideración a la interrelación permanente que desarrollan sus funcionarios con la comunidad académica.
* Falta de un soporte tecnológico que facilite el seguimiento a los procesos y la integración de un acervo documental con información institucional para la elaboración de los documentos</t>
  </si>
  <si>
    <t>1.  Solicitudes al MEN despues del tiempo estipulado, es decir, con tiempos superiores a los  10 meses previsto para el caso de los registros calificados. 
2. Interpretación de las normas mas allá de lo que la ley no distingue, por parte del MEN en algunos casos
3. Congestión de trámites en el MEN referente a solicitud de registro calificado.
4. Falta de sincronización en las diferentes respuestas que deben emitir los entes gubernamentales, mas exactamente en los programas de la salud.</t>
  </si>
  <si>
    <t>Insuficientes mecanismos de control y seguimiento para el aseguramiento de la calidad. 
Desarticulación de planes de mejoramientos de los procesos con el plan de acción institucional.</t>
  </si>
  <si>
    <t xml:space="preserve">Dependencia en la toma de decisiones. Demora en la revisión de los productos comunicativos por parte de la Alta Dirección y/o jefes. </t>
  </si>
  <si>
    <t>1. Falta de revisión de los vencimientos del Registro Calificado de los Programas Académicos.
2. Descuido por parte de personal responsable del proceso.
3. Alta carga laboral.
4. Desconocimiento de la normatividad especifica de cada programa por parte de éstos. 
5.La falta de Cómites de Autoevalción en cada programa.          
6. Falta de capacitación sobre el proceso de registro calificado  a los responsables que ingresan nuevos en los distintos programas.                    
7.Falta o inadecada infratructura fisica y/o tecnologica</t>
  </si>
  <si>
    <t>1. Inadecuada revisión del contexto. 
2.  Toma de decisiones basadas en situaciones particulares, sin considerar la generalidad que aplica en cada caso.  
3. Alta carga laboral.</t>
  </si>
  <si>
    <t xml:space="preserve">1. Desconocimiento de la normativa existente o falta de revisión de los responsables del proceso.
2.  Descuido por parte de personal responsable del proceso.
3.  Alta carga laboral.                                   </t>
  </si>
  <si>
    <t>1. Planeación inadecuada.                                         
2. Mala priorización de las necesidades de los programas académicos.</t>
  </si>
  <si>
    <t xml:space="preserve">Falta de gestión de recursos para actividades de investigación. 
Desconocimiento de necesidades de los grupos de investigación
Desconocimiento de procedimientos </t>
  </si>
  <si>
    <t>Deficiente planificación del plan de acción.
Sobrecarga laboral.
Deficiente seguimiento a la ejecución del plan de acción.
Escaso personal, para el creciente incremento de las actividades de investigación.</t>
  </si>
  <si>
    <t>Aumento en la oferta de servicios y los requerimientos por las partes interesadas.
Deficiencia en la infraestructura de los proveedores tecnológicos.</t>
  </si>
  <si>
    <t>Canales de comunicación deficientes.</t>
  </si>
  <si>
    <t>*Presencia de grupos armados en las zonas de influencia.
*Deficiencia en las vías de acceso a las zonas de influencia.</t>
  </si>
  <si>
    <t>Desconocimiento de las normas internas, externas y jurisprudenciales que rigen la celebración de contratos.</t>
  </si>
  <si>
    <t>Falta de entrega oportuna de la documentación relacionada con un contrato</t>
  </si>
  <si>
    <t>Falta de personal de seguridad.
Falta de dispositivos de seguridad.
poco sistema de iluminación.</t>
  </si>
  <si>
    <t>Incumplimiento de los Programas formulados para el manejo adecuado de los residuos generados en las actividades desarrolladas.
Falta de asignación presupuestal para la implementación del PGIR.</t>
  </si>
  <si>
    <t>1. Falta de mecanismos o herramientas para evaluar las competencias laborales de los servidores públicos.
2. Falta de seguimiento y de exigencia de competencias por parte de los jefes o responsables de área.
3. Deficientes procesos de inducción y reinducción a los empleados.
4. Poco compromiso de los jefes en desarrollar el proceso de inducción y reinducción al personal vinculado a su depedencia.</t>
  </si>
  <si>
    <t>1. Falta de Formulación del plan de incentivos para los empleados.
2.Falta de diagnostico integral de las 
necesidades reales de los 
funcionarios frente al programas de 
Bienestar Social Laboral.</t>
  </si>
  <si>
    <t>1. Reporte tardío de la información de personal vinculado y/o contratado y de estudiantes de prácticas.
2. Omisión de información del personal vinculado y/o contratado y de estudiantes en prácticas.</t>
  </si>
  <si>
    <t>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informacion</t>
  </si>
  <si>
    <t>Baja disponibilidad en el equipo de trabajo en el seguimiento del sistema.
Personal sin las competencias y conocimientos adecuadas
Poca disponibilidad de la informacion de entrada
Falta de cultura del autocontrol, autogestion y autorregulación</t>
  </si>
  <si>
    <t>Bajo rendimiento en la gestión</t>
  </si>
  <si>
    <t>Bajo resultado en los indicadores. Percepciónes poco favorables en distintos escenarios (Visita de PARES, Evaluadores del MEN, SNIES y SUE). Bajo registro de movilidad internacional. Disminución de los recursos aportados por falta de información real.</t>
  </si>
  <si>
    <t>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t>
  </si>
  <si>
    <t xml:space="preserve">1. Atraso en la dinámica de fortalecimiento de la cultura de autoevaluación, acreditación y mejoramiento continuo en los programas académicos.
2. Bajo desarrollo en los procesos académicos
3. Incumplimiento de las metas del plan de gobierno. </t>
  </si>
  <si>
    <t>1. Informes que no corresponden con las realidades del programa
2. Pérdida de credibilidad en los procesos de autoevaluación y mejora continua
3. Requerimiento de información complentaria (Auto)</t>
  </si>
  <si>
    <t>1. Desprestigio tanto de la Institución como del programa académico
2. Baja posibilidad de continuar con el proceso de Acreditación Institucional</t>
  </si>
  <si>
    <t xml:space="preserve">* Incumplimiento de los indicadores establecidos en el plan de trabajo, SCG, plan de gobierno y plan de desarrollo
* Poca interacción de los funcionarios en la ejecución  de actividades encaminadas a los procesos de autoevaluación, acreditación y aseguramiento de la calidad de los programas.
</t>
  </si>
  <si>
    <t>1. Suspensión de la oferta del programa por vencimiento de registro sin que se haya producido la respuesta del MEN.
2. Impacto en los indicadores de la Institución</t>
  </si>
  <si>
    <t>Suspensión o pérdida de los Certificados de la calidad.
Pérdida de la cultura de la gestión de la calidad institucional.</t>
  </si>
  <si>
    <t>Disminución de los indicadores de calidad, pérdida de la credibilidad, presentación desactualizada de la información y discontinuidad de publicaciones.</t>
  </si>
  <si>
    <t>1. Reducción de la oferta académica.
2. Pérdida de la credibilidad institucional.
3.  Impacto económico (Disminución de ingresos).
4. Deserción estudiantil.</t>
  </si>
  <si>
    <t>1. Ausencia de unidad de criterio.
2. Posibles toma de decisiones inadecuadas.
3. Retrasa el desarrollo institucional.
4. Exposición a sanciones.
5. Favorecimiento a casos particulares.</t>
  </si>
  <si>
    <t>1. Incremento de: demandas, derechos de petición, tutelas, PQR.
2. Incumplimiento de la planeación académica.
3. Perdida de credibilidad institucional.
4. Sanciones económicas y/o administrativas.
5. Afectación de la gobernabilidad institucional.</t>
  </si>
  <si>
    <t>1. Mala ejecución de los recursos.
2. Necesidades insatisfechas de los programas académicos.</t>
  </si>
  <si>
    <t>Disminuyen los indicadores de la actividad investigativa
Reducción de presupuesto para la investigación
Disminución de la visibilidad de la Universidad</t>
  </si>
  <si>
    <t>Disminuyen los indicadores de la actividad investigativa.
Reducción de presupuesto para la investigación.
Disminución de la visibilidad de resultados de la investigación de la Universidad.</t>
  </si>
  <si>
    <t>Baja competitividad.
Disminución de ventas de servicios, e impacto socioeconómicos en las áreas de influencia.</t>
  </si>
  <si>
    <t>Bajo impacto social.</t>
  </si>
  <si>
    <t>Incumplimiento contractual con los aliados.
Sanciones.
Pérdida de la imagen institucional.</t>
  </si>
  <si>
    <t>Sanciones administrativas, disciplinarias, fiscales y penales, demandas.</t>
  </si>
  <si>
    <t>Demandas
Detrimento del patrimonio
Incremento de la prima de poliza de seguros
Perdida de imagen</t>
  </si>
  <si>
    <t>Afectación y riesgos a la salud
Contaminación ambiental
Sanciones ambientales</t>
  </si>
  <si>
    <t>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t>
  </si>
  <si>
    <t>1. Inconformidad de los empleados.
2. Desestimulación del desempeño laboral.
3. Inadecuado ambiente laboral.</t>
  </si>
  <si>
    <t>1. Incumplimiento de obligaciones del empleador y/o contratante.
2. Sanciones y/o multas.
3. Demandas con repercusiones económicas.</t>
  </si>
  <si>
    <t xml:space="preserve">No consecución de metas misionales.
Sanciones por los diferentes organos de control.
Deterioro o perdida de los bienes o recursos publicos.
</t>
  </si>
  <si>
    <t>Incumplimiento en el logro de metas y objetivos.
Sanciones de organismos de control
Deterioro o perdida de los bienes o recursos publicos.</t>
  </si>
  <si>
    <t>Concentración de autoridad o exceso de poder. Extralimitación de funciones. Ausencia Cultura de Ética y Buen Gobierno.</t>
  </si>
  <si>
    <t>Ausencia de cultura de información</t>
  </si>
  <si>
    <t>Desconocimiento de la ley</t>
  </si>
  <si>
    <t>Omisión de procedimientos legales</t>
  </si>
  <si>
    <t>Deficiente o débil organización en el acervo documental</t>
  </si>
  <si>
    <t>Bajo numero de personal adscrito a la Oficina</t>
  </si>
  <si>
    <t xml:space="preserve">Falta de cualificación del personal
Alta rotación de personal
Concentración de conocimiento
</t>
  </si>
  <si>
    <t>Gestión documental deficiente</t>
  </si>
  <si>
    <t xml:space="preserve">Concentración de conocimiento
</t>
  </si>
  <si>
    <t>1. Cambios en la alta dirección</t>
  </si>
  <si>
    <t>1. No distribución de acuerdo a competencias</t>
  </si>
  <si>
    <t>1. Gestión Documental deficiente</t>
  </si>
  <si>
    <t xml:space="preserve">Se carece de un sistema de información que permita tener información unificada, actualizada y facilite el seguimiento y control de la actividad investigativa.
</t>
  </si>
  <si>
    <t>Desconocimiento de la normatividad de Propiedad Intelectual.</t>
  </si>
  <si>
    <t>Falta de cultura y aplicación de valores éticos.
Designación de personal con bajas competencias.</t>
  </si>
  <si>
    <t>No cumplimiento de las funciones establecidas según el cargo.
Mal manejo de los procesos.</t>
  </si>
  <si>
    <t xml:space="preserve">*Falta de herramientas técnicas y tecnológicas en gestión de la información.
*Incertidumbre en el uso preciso de los recursos.
*Desconocimiento en el impacto logrado por los proyectos.
</t>
  </si>
  <si>
    <t>*Falta de información para la planificación del desarrollo de los proyectos.
*Escasos recursos asignados para el desarrollo de las actividades programadas en el proceso misional de vicerrectoria de extensión y proyección social.</t>
  </si>
  <si>
    <t>Dificultad en la identificación y acceso a los cambios en la normativa y regulaciones.</t>
  </si>
  <si>
    <t xml:space="preserve">Presiones por parte de personas, gremios o entidades externas
</t>
  </si>
  <si>
    <t>Desconocimiento de la Normatividad aplicada a los procesos de pago.</t>
  </si>
  <si>
    <t xml:space="preserve">Error humano, deficiencia en la custodia, protección y entrega de titulos valores </t>
  </si>
  <si>
    <t xml:space="preserve">Desconocimiento ó desactualización de la normatividad externa aplicable a los procesos. </t>
  </si>
  <si>
    <t>Ausenca de controles para la implementacion, administracion y soportes de SI</t>
  </si>
  <si>
    <t>1. Inadecuada distribución de personal, de acuerdo a competencias.
2. Falta de definición de puntos de control
3. Bajo nivel de automatización en el seguimiento de los procesos.</t>
  </si>
  <si>
    <t>1. Omisión de procedimientos legales
2. Falta de definición de puntos de control
3. Bajo nivel de automatización en el seguimiento de los procesos.</t>
  </si>
  <si>
    <t>Ausencia Cultura de Buen Gobierno, Falta de control al poder, Baja visibilidad de las acciones, Asimetrías de la información, bajo nivel de automatización en el seguimiento de los procesos.</t>
  </si>
  <si>
    <t>Ausencia Cultura de Buen Gobierno, Falta de control al poder, Baja visibilidad de las acciones, Asimetrías de la información, Discrecionalidad. Falta de Planeación y de coherencia en la ejecución de los planes que realiza la entidad, bajo nivel de automatización en el seguimiento de los procesos.</t>
  </si>
  <si>
    <t>* Desconocimiento de las funciones.
* Baja integridad de la información.
* Falta de cualificación del personal.</t>
  </si>
  <si>
    <t>* Falta de controles en el manejo de la información.
* Inadecuada infraestructura tecnológica.
* Presiones internas o externas.
* Ausencia de cultura de ética.</t>
  </si>
  <si>
    <t>Inobservancia de Principios Eticos
No distribución de funciones o actividades de acuerdo a competencias
Deficientes puntos de control</t>
  </si>
  <si>
    <t xml:space="preserve">Inobservancia de Principios Eticos
Desconocimiento u omisión de las funciones o normativa
</t>
  </si>
  <si>
    <t>Guia de tramites migratorios</t>
  </si>
  <si>
    <t>Difusión de procedimientos  para el registro de la movilidad Internacional</t>
  </si>
  <si>
    <t>Formatos para el registro de la movilidad.  RI - F01 y RI - F02</t>
  </si>
  <si>
    <t>Acompañamiento de la OAC mediante asesorías y revisión permanente durante la ejecución del proceso</t>
  </si>
  <si>
    <t>Sensibilización a través de talleres, seminarios, reuniones  y comunicaciones afines al riesgo</t>
  </si>
  <si>
    <t>Procedimientos, formatos y guías</t>
  </si>
  <si>
    <t>Lectura y valoración por parte de lectores o pares colaborativos internos y/o externos</t>
  </si>
  <si>
    <t>Se han implementado, procedimientos y formatos</t>
  </si>
  <si>
    <t>Lectura y valoración técnica y/o disciplinar de los informes</t>
  </si>
  <si>
    <t>Contextualización y aplicación de los lineamientos establecidos por el MEN y el CNA</t>
  </si>
  <si>
    <t>Asignación de rubro para remodelación y dotación de elementos y equipos de oficina</t>
  </si>
  <si>
    <t>Reubicación de espacios y fortalecimiento del # de funcionarios y contratistas adscritos a la OAC</t>
  </si>
  <si>
    <t>Alerta a la fecha de vencimiento</t>
  </si>
  <si>
    <t>Seguimiento permanente a la respuesta del CNA a través de diversos medios de comunicación</t>
  </si>
  <si>
    <t>Revisiones del Sistema COGUI por la alta dirección.</t>
  </si>
  <si>
    <t>Informar a la alta dirección las necesidades de recursos.</t>
  </si>
  <si>
    <t>Aprobación y visto bueno del jefe inmediato</t>
  </si>
  <si>
    <t>Se han implementado, procedimientos, formatos y guías</t>
  </si>
  <si>
    <t>Reuniones de revision de los directivos academicos en los difrentes programas</t>
  </si>
  <si>
    <t>Se ha recibido orientacion y apoyo de asesores internos y externos para el tema.</t>
  </si>
  <si>
    <t>Procedimientos escritos</t>
  </si>
  <si>
    <t>Utilización Formato</t>
  </si>
  <si>
    <t>Uso de Normograma</t>
  </si>
  <si>
    <t>Formatos establecidos</t>
  </si>
  <si>
    <t>Capacitaciones, talleres, seminarios</t>
  </si>
  <si>
    <t>plan de acción</t>
  </si>
  <si>
    <t>Asignación de presupuesto</t>
  </si>
  <si>
    <t>Sistema de Información SIVI</t>
  </si>
  <si>
    <t xml:space="preserve">Seguimiento del plan de acción </t>
  </si>
  <si>
    <t>Actas de seguimiento del plan de acción.</t>
  </si>
  <si>
    <t>Boletín de la Vicerrectoría de Investigación.</t>
  </si>
  <si>
    <t>EX-F14 Procedimiento de Plan de Calidad aplicado a proyectos de la Vicerrectoría de Extensión</t>
  </si>
  <si>
    <t>Encuestas de satisfacción del usuario.</t>
  </si>
  <si>
    <t xml:space="preserve">Lista de chequeo según la clase o naturaleza del contrato  </t>
  </si>
  <si>
    <t>Procedimiento de contratación según modalidades de selección.</t>
  </si>
  <si>
    <t>Informar los cambios en materia contractual</t>
  </si>
  <si>
    <t>Solicitar a los supervisores allegar la documentación que debe reposar en la carpeta contractual</t>
  </si>
  <si>
    <t>Guardia armado fisico</t>
  </si>
  <si>
    <t>Camaras de vigilancia instaladas</t>
  </si>
  <si>
    <t>Planes de Manejo Ambiental</t>
  </si>
  <si>
    <t>Procedimiento de Evaluación por Competencias</t>
  </si>
  <si>
    <t>Formatos de Inducción y Reinducción</t>
  </si>
  <si>
    <t>Procedimiento de vinculación de empleados</t>
  </si>
  <si>
    <t>Relación de catedráticos, contratistas y estudiantes de prácticas.</t>
  </si>
  <si>
    <t>Revisión y aprobación del Plan Anual de Auditorias por el CCCI</t>
  </si>
  <si>
    <t>Procedimiento de evaluación SCI</t>
  </si>
  <si>
    <t>Seguimiento de indicadores de cumplimiento del plan anual de auditorias y de avances del sistema de control interno</t>
  </si>
  <si>
    <t>Seguimiento de indicadores de ejecución del plan anual de auditorias, de asesorias y acompañamientos ejecutados y de informes entregados oportunamente</t>
  </si>
  <si>
    <t>Seguimiento a las fechas de presentacion de avances de PM</t>
  </si>
  <si>
    <t>Procedimiento Plan de mejoramiento</t>
  </si>
  <si>
    <t>Revisión por la Alta Dirección del Sistema de Gestión Integral de la Calidad</t>
  </si>
  <si>
    <t>Consejos: Superior, Académico, Investigación, Extensión, Planeación, Facultad y Programas</t>
  </si>
  <si>
    <t>Contratación de personal</t>
  </si>
  <si>
    <t>MC-G01 Guia para la elaboración de documentos.</t>
  </si>
  <si>
    <t xml:space="preserve">MC-P01 Procedimiento para el control de documentos </t>
  </si>
  <si>
    <t>MC-P02 Procedimiento para el Control de Registros</t>
  </si>
  <si>
    <t>Inducciones, Capacitaciones</t>
  </si>
  <si>
    <t>Capacitaciones</t>
  </si>
  <si>
    <t>Normatividad legal</t>
  </si>
  <si>
    <t>CO-F25 Est. de conveniencia y oportunidad para contratar serv. Profesionales y de apoyo a la gestión</t>
  </si>
  <si>
    <t>Acuerdo Superior 013 de Septiembre 2 de 2011</t>
  </si>
  <si>
    <t>Resolución Rectoral 143 de Marzo 1 de 2012</t>
  </si>
  <si>
    <t>GD-P11 Procedimiento para el control de comunicaciones oficiales recibidas y externas a enviar.</t>
  </si>
  <si>
    <t>GD-P08 Procedimiento para la actualización de información y grupos de interés.</t>
  </si>
  <si>
    <t>Aprobación de los pliegos de condiciones por parte del ordenador del gasto</t>
  </si>
  <si>
    <t>Definición  y  claridad en los requisitos legales a cumplir en los documentos recibidos para trámite de pagos</t>
  </si>
  <si>
    <t>Verificación del cumplimiento de los requisitos: legales, contables, tributarios y administrativos.</t>
  </si>
  <si>
    <t>Conciliaciones Bancarias</t>
  </si>
  <si>
    <t>Custodia en Caja Fuerte de los títulos valores (chequeras, cheques, sellos humedos y protectógrafo)</t>
  </si>
  <si>
    <t>Reuniones de Calidad</t>
  </si>
  <si>
    <t>Reuniones equipo Financiero</t>
  </si>
  <si>
    <t>Planes de Mejoramiento y notificaciones y actualizaciones de la normatividad aplicable al proceso.</t>
  </si>
  <si>
    <t>Roles para el acceso a la información</t>
  </si>
  <si>
    <t>Firewall para el control de ingreso a red y sistemas de información</t>
  </si>
  <si>
    <t>Recibir y verificar los requisitos de grados</t>
  </si>
  <si>
    <t>Consolidación de la información y envío de la misma al sistema de AyRE</t>
  </si>
  <si>
    <t xml:space="preserve">Utilización de papel de seguridad para la elaboración de diplomas </t>
  </si>
  <si>
    <t>Revisión de la información en el Archivo de la Secretaría General</t>
  </si>
  <si>
    <t>Validación de la información en el sistema AyRE</t>
  </si>
  <si>
    <t>Procedimientos documentados en COGUI</t>
  </si>
  <si>
    <t>Normograma / Procedimientos documentados en COGUI</t>
  </si>
  <si>
    <t>Entrega en custodia de los resultados del la prueba de admisión a la Oficina de control interno.</t>
  </si>
  <si>
    <t>Verificación y aprobación del listado de preseleccionados por parte del Comité de Admisiones.</t>
  </si>
  <si>
    <t>Uso de codigos de verificación para el registro de notas</t>
  </si>
  <si>
    <t>Auditorias al registro de notas</t>
  </si>
  <si>
    <t>Envió de correos al docente titular y al programa  una vez se haya  modificado una nota</t>
  </si>
  <si>
    <t>Guía de rendición de cuentas basada en los lineamientos del DAFP</t>
  </si>
  <si>
    <t>Revisión de la información antes de ser reportada o publicada</t>
  </si>
  <si>
    <t>Auditorías del Ministerio de Educación Nacional a la información reportada al SNIES</t>
  </si>
  <si>
    <t>Sitio Web de Transparencia y Acceso a la Información Pública</t>
  </si>
  <si>
    <t>Procedimientos del proceso evaluacion independiente</t>
  </si>
  <si>
    <t>Debido al crecimiento en la gestión de la Oficina de Relaciones Internacionales, se presenta poco personal para gran concentración de trabajo</t>
  </si>
  <si>
    <t>Ante el poco conocimiento por parte de los usuarios del citado procedimiento, no se realizan los registros respectivos</t>
  </si>
  <si>
    <t xml:space="preserve">La comunidad universitaria y los extranjeros por desconocimiento o cualquier otra razón, no cumplen con los requisitos y disposiciones  concernientes a la movilidad internacional entrante y saliente, desconocen los requisitos legales y las disposiciones </t>
  </si>
  <si>
    <t>Otorgar becas y/o apoyos economicos bajo algun interes particular</t>
  </si>
  <si>
    <t>Inexistencia o debilidad en canales de entrega y acceso a la información por parte de la ciudadanía o de los mismos servidores públicos de la entidad.</t>
  </si>
  <si>
    <t>Es la toma de decisiones (Resolución, dictamen
o concepto) contrarias a la ley.</t>
  </si>
  <si>
    <t>Desviar recursos públicos a objetivos distintos a los consignados en el presupuesto. (Peculado por aplicación oficial diferente)</t>
  </si>
  <si>
    <t>Captación y aceptación subjetiva de la política de autoevaluación, acreditación y aseguramiento de la calidad.</t>
  </si>
  <si>
    <t>Deficiencia en la calidad técnica de los informes de autoevaluación con fines de acreditación de  los programas o de los informes para la renovación del registro calificado.</t>
  </si>
  <si>
    <t>Negación de la acreditación  de alta calidad o del registro calificado por el  no cumplimiento de los lineamientos y/o requisitos establecidos por el el Ministerio de Educación Nacional y la Institución.</t>
  </si>
  <si>
    <t>Incumplimiento de actividades establecidas en el plan de trabajo por la dipersión que se tiene en los funcionarios además de la falta de herrramienta tecnológica para el seguimiento de los procesos.</t>
  </si>
  <si>
    <t>Al realizar la solicitud de registro calificado o renovación de los mismos, pueden acaecer dos momentos tardíos para la repuesta por parte del MEN: el primero esta relacionado con la completitud, es decir, la revisión de la documentación de nuestra solicitud y el segundo para la firma de la resolución de otorgamiento</t>
  </si>
  <si>
    <t>En ocasiones no se pueden atender peticiones o solicitudes de manera ágil por no tener un archivo documental organizado acorde con la caractaresticas de la Oficina y las funciones asignadas a la misma</t>
  </si>
  <si>
    <t>Por el poco personal que se tiene asignado a la Oficina, se tiene centralizada algunas responsabilidades a funcionarios atomizando la información en la persona.</t>
  </si>
  <si>
    <t xml:space="preserve">La falta de recursos no permite o retrasa la implementación de acciones de mejoramiento. </t>
  </si>
  <si>
    <r>
      <rPr>
        <b/>
        <sz val="10"/>
        <rFont val="Calibri"/>
        <family val="2"/>
      </rPr>
      <t>Relaciones Interinstitucionales.</t>
    </r>
    <r>
      <rPr>
        <sz val="10"/>
        <rFont val="Calibri"/>
        <family val="2"/>
      </rPr>
      <t xml:space="preserve"> Concentrar labores múltiples en poco personal</t>
    </r>
  </si>
  <si>
    <r>
      <rPr>
        <b/>
        <sz val="10"/>
        <rFont val="Calibri"/>
        <family val="2"/>
        <scheme val="minor"/>
      </rPr>
      <t xml:space="preserve">Relaciones Interinstitucionales. </t>
    </r>
    <r>
      <rPr>
        <sz val="10"/>
        <rFont val="Calibri"/>
        <family val="2"/>
        <scheme val="minor"/>
      </rPr>
      <t xml:space="preserve">Escaso registro y control de la movilidad internacional entrante y saliente. </t>
    </r>
  </si>
  <si>
    <r>
      <rPr>
        <b/>
        <sz val="10"/>
        <rFont val="Calibri"/>
        <family val="2"/>
        <scheme val="minor"/>
      </rPr>
      <t xml:space="preserve">Relaciones Interinstitucionales. </t>
    </r>
    <r>
      <rPr>
        <sz val="10"/>
        <rFont val="Calibri"/>
        <family val="2"/>
        <scheme val="minor"/>
      </rPr>
      <t>Gestionar la movilidad internacional sin requisitos legales</t>
    </r>
  </si>
  <si>
    <r>
      <rPr>
        <b/>
        <sz val="10"/>
        <rFont val="Calibri"/>
        <family val="2"/>
        <scheme val="minor"/>
      </rPr>
      <t xml:space="preserve">Acreditación. </t>
    </r>
    <r>
      <rPr>
        <sz val="10"/>
        <rFont val="Calibri"/>
        <family val="2"/>
        <scheme val="minor"/>
      </rPr>
      <t>Insuficiente Implementación de la Política Institucional de Autoevaluación, Acreditación y Aseguramiento de la calidad</t>
    </r>
  </si>
  <si>
    <r>
      <rPr>
        <b/>
        <sz val="10"/>
        <rFont val="Calibri"/>
        <family val="2"/>
        <scheme val="minor"/>
      </rPr>
      <t>Acreditación.</t>
    </r>
    <r>
      <rPr>
        <sz val="10"/>
        <rFont val="Calibri"/>
        <family val="2"/>
        <scheme val="minor"/>
      </rPr>
      <t xml:space="preserve"> Deficiencia en la calidad técnica de los informes </t>
    </r>
  </si>
  <si>
    <r>
      <rPr>
        <b/>
        <sz val="10"/>
        <rFont val="Calibri"/>
        <family val="2"/>
        <scheme val="minor"/>
      </rPr>
      <t>Acreditación.</t>
    </r>
    <r>
      <rPr>
        <sz val="10"/>
        <rFont val="Calibri"/>
        <family val="2"/>
        <scheme val="minor"/>
      </rPr>
      <t xml:space="preserve"> Negación de la acreditación o de la renovación de registro calificado</t>
    </r>
  </si>
  <si>
    <r>
      <rPr>
        <b/>
        <sz val="10"/>
        <rFont val="Calibri"/>
        <family val="2"/>
        <scheme val="minor"/>
      </rPr>
      <t xml:space="preserve">Acreditación. </t>
    </r>
    <r>
      <rPr>
        <sz val="10"/>
        <rFont val="Calibri"/>
        <family val="2"/>
        <scheme val="minor"/>
      </rPr>
      <t>Incumplimiento en algunas actividades establecidas en el plan de trabajo</t>
    </r>
  </si>
  <si>
    <r>
      <rPr>
        <b/>
        <sz val="10"/>
        <rFont val="Calibri"/>
        <family val="2"/>
        <scheme val="minor"/>
      </rPr>
      <t>Acreditación.</t>
    </r>
    <r>
      <rPr>
        <sz val="10"/>
        <rFont val="Calibri"/>
        <family val="2"/>
        <scheme val="minor"/>
      </rPr>
      <t xml:space="preserve"> Retraso en el otorgamiento o renovacion del registro calificado</t>
    </r>
  </si>
  <si>
    <r>
      <rPr>
        <b/>
        <sz val="10"/>
        <rFont val="Calibri"/>
        <family val="2"/>
        <scheme val="minor"/>
      </rPr>
      <t xml:space="preserve">Gestión de la Calidad. </t>
    </r>
    <r>
      <rPr>
        <sz val="10"/>
        <rFont val="Calibri"/>
        <family val="2"/>
        <scheme val="minor"/>
      </rPr>
      <t>La alta dirección no asegura la disponibilidad de los recursos para el mantenimiento y mejora del sistema.</t>
    </r>
  </si>
  <si>
    <r>
      <rPr>
        <b/>
        <sz val="10"/>
        <rFont val="Calibri"/>
        <family val="2"/>
        <scheme val="minor"/>
      </rPr>
      <t xml:space="preserve">Comunicaciones. </t>
    </r>
    <r>
      <rPr>
        <sz val="10"/>
        <rFont val="Calibri"/>
        <family val="2"/>
        <scheme val="minor"/>
      </rPr>
      <t>Inoportuna e ineficaz divulgación de los productos comunicativos y publicitarios ante los usuarios internos y externos.</t>
    </r>
  </si>
  <si>
    <r>
      <rPr>
        <b/>
        <sz val="10"/>
        <rFont val="Calibri"/>
        <family val="2"/>
        <scheme val="minor"/>
      </rPr>
      <t xml:space="preserve">Gestión Academica. </t>
    </r>
    <r>
      <rPr>
        <sz val="10"/>
        <rFont val="Calibri"/>
        <family val="2"/>
        <scheme val="minor"/>
      </rPr>
      <t>Pérdida de Registro Calificado de los Programas Académicos.</t>
    </r>
  </si>
  <si>
    <r>
      <rPr>
        <b/>
        <sz val="10"/>
        <rFont val="Calibri"/>
        <family val="2"/>
        <scheme val="minor"/>
      </rPr>
      <t xml:space="preserve">Gestión Academica. </t>
    </r>
    <r>
      <rPr>
        <sz val="10"/>
        <rFont val="Calibri"/>
        <family val="2"/>
        <scheme val="minor"/>
      </rPr>
      <t>Formulación inadecuada de políticas.</t>
    </r>
  </si>
  <si>
    <r>
      <rPr>
        <b/>
        <sz val="10"/>
        <rFont val="Calibri"/>
        <family val="2"/>
        <scheme val="minor"/>
      </rPr>
      <t xml:space="preserve">Gestión Academica. </t>
    </r>
    <r>
      <rPr>
        <sz val="10"/>
        <rFont val="Calibri"/>
        <family val="2"/>
        <scheme val="minor"/>
      </rPr>
      <t>Aplicación inadecuada de la normatividad en el desarrollo de los diferentes procesos academicos de los programas.</t>
    </r>
  </si>
  <si>
    <r>
      <rPr>
        <b/>
        <sz val="10"/>
        <rFont val="Calibri"/>
        <family val="2"/>
        <scheme val="minor"/>
      </rPr>
      <t xml:space="preserve">Gestión Academica. </t>
    </r>
    <r>
      <rPr>
        <sz val="10"/>
        <rFont val="Calibri"/>
        <family val="2"/>
        <scheme val="minor"/>
      </rPr>
      <t>Deterioro en la calidad de los programas académicos por necesidades de recursos no cubiertas.</t>
    </r>
  </si>
  <si>
    <r>
      <rPr>
        <b/>
        <sz val="10"/>
        <rFont val="Calibri"/>
        <family val="2"/>
        <scheme val="minor"/>
      </rPr>
      <t xml:space="preserve">Gestión de Investigación. </t>
    </r>
    <r>
      <rPr>
        <sz val="10"/>
        <rFont val="Calibri"/>
        <family val="2"/>
        <scheme val="minor"/>
      </rPr>
      <t xml:space="preserve">No fomentar la actividad investigativa en la Universidad.  </t>
    </r>
  </si>
  <si>
    <r>
      <rPr>
        <b/>
        <sz val="10"/>
        <rFont val="Calibri"/>
        <family val="2"/>
        <scheme val="minor"/>
      </rPr>
      <t xml:space="preserve">Gestión de Investigación. </t>
    </r>
    <r>
      <rPr>
        <sz val="10"/>
        <rFont val="Calibri"/>
        <family val="2"/>
        <scheme val="minor"/>
      </rPr>
      <t>Deficiente cumplimiento del plan de acción de la Vicerrectoría de Investigación</t>
    </r>
  </si>
  <si>
    <r>
      <rPr>
        <b/>
        <sz val="10"/>
        <rFont val="Calibri"/>
        <family val="2"/>
        <scheme val="minor"/>
      </rPr>
      <t xml:space="preserve">Gestión de Extensión y Proyección Social. </t>
    </r>
    <r>
      <rPr>
        <sz val="10"/>
        <rFont val="Calibri"/>
        <family val="2"/>
        <scheme val="minor"/>
      </rPr>
      <t>Incumplimiento en los compromisos establecidos en la formalización de los proyectos.</t>
    </r>
  </si>
  <si>
    <r>
      <rPr>
        <b/>
        <sz val="10"/>
        <rFont val="Calibri"/>
        <family val="2"/>
        <scheme val="minor"/>
      </rPr>
      <t xml:space="preserve">Gestión de Extensión y Proyección Social. </t>
    </r>
    <r>
      <rPr>
        <sz val="10"/>
        <rFont val="Calibri"/>
        <family val="2"/>
        <scheme val="minor"/>
      </rPr>
      <t>Limitada interacción e integración con las comunidades nacionales e internacionales en el fortalecimiento de la presencia de la Universidad en la vida social y cultural del país.</t>
    </r>
  </si>
  <si>
    <r>
      <rPr>
        <b/>
        <sz val="10"/>
        <rFont val="Calibri"/>
        <family val="2"/>
        <scheme val="minor"/>
      </rPr>
      <t xml:space="preserve">Gestión de Extensión y Proyección Social. </t>
    </r>
    <r>
      <rPr>
        <sz val="10"/>
        <rFont val="Calibri"/>
        <family val="2"/>
        <scheme val="minor"/>
      </rPr>
      <t>Interrupción en las actividades e incumplimiento de los proyectos de extensión y proyección social, en las zonas de influencia.</t>
    </r>
  </si>
  <si>
    <r>
      <rPr>
        <b/>
        <sz val="10"/>
        <rFont val="Calibri"/>
        <family val="2"/>
        <scheme val="minor"/>
      </rPr>
      <t xml:space="preserve">Gestión de Contratación. </t>
    </r>
    <r>
      <rPr>
        <sz val="10"/>
        <rFont val="Calibri"/>
        <family val="2"/>
        <scheme val="minor"/>
      </rPr>
      <t>Celebración de contratos sin el cumplimiento de los requisitos internos y externos de carácter contractual</t>
    </r>
  </si>
  <si>
    <r>
      <rPr>
        <b/>
        <sz val="10"/>
        <rFont val="Calibri"/>
        <family val="2"/>
        <scheme val="minor"/>
      </rPr>
      <t xml:space="preserve">Gestión de Contratación. </t>
    </r>
    <r>
      <rPr>
        <sz val="10"/>
        <rFont val="Calibri"/>
        <family val="2"/>
        <scheme val="minor"/>
      </rPr>
      <t>Documentación incompleta en la carpeta contractual</t>
    </r>
  </si>
  <si>
    <r>
      <rPr>
        <b/>
        <sz val="10"/>
        <rFont val="Calibri"/>
        <family val="2"/>
        <scheme val="minor"/>
      </rPr>
      <t xml:space="preserve">Gestión Administrativa. </t>
    </r>
    <r>
      <rPr>
        <sz val="10"/>
        <rFont val="Calibri"/>
        <family val="2"/>
        <scheme val="minor"/>
      </rPr>
      <t>Inseguridad en el campus</t>
    </r>
  </si>
  <si>
    <r>
      <rPr>
        <b/>
        <sz val="10"/>
        <rFont val="Calibri"/>
        <family val="2"/>
        <scheme val="minor"/>
      </rPr>
      <t xml:space="preserve">Gestión Administrativa. </t>
    </r>
    <r>
      <rPr>
        <sz val="10"/>
        <rFont val="Calibri"/>
        <family val="2"/>
        <scheme val="minor"/>
      </rPr>
      <t>Inadecuado gestión de los residuos</t>
    </r>
  </si>
  <si>
    <r>
      <rPr>
        <b/>
        <sz val="10"/>
        <rFont val="Calibri"/>
        <family val="2"/>
        <scheme val="minor"/>
      </rPr>
      <t xml:space="preserve">Gestión del Talento Humano. </t>
    </r>
    <r>
      <rPr>
        <sz val="10"/>
        <rFont val="Calibri"/>
        <family val="2"/>
        <scheme val="minor"/>
      </rPr>
      <t>Deficiente desempeño laboral de los funcionarios de la Universidad.</t>
    </r>
  </si>
  <si>
    <r>
      <rPr>
        <b/>
        <sz val="10"/>
        <rFont val="Calibri"/>
        <family val="2"/>
        <scheme val="minor"/>
      </rPr>
      <t xml:space="preserve">Gestión del Talento Humano. </t>
    </r>
    <r>
      <rPr>
        <sz val="10"/>
        <rFont val="Calibri"/>
        <family val="2"/>
        <scheme val="minor"/>
      </rPr>
      <t>Falta de plan de incentivos y/o estímulos.</t>
    </r>
  </si>
  <si>
    <r>
      <rPr>
        <b/>
        <sz val="10"/>
        <rFont val="Calibri"/>
        <family val="2"/>
        <scheme val="minor"/>
      </rPr>
      <t xml:space="preserve">Gestión del Talento Humano. </t>
    </r>
    <r>
      <rPr>
        <sz val="10"/>
        <rFont val="Calibri"/>
        <family val="2"/>
        <scheme val="minor"/>
      </rPr>
      <t>Demoras en la afilicación de catedráticos y ocasionales al Sistema de Seguridad Social Integral, y de los contratistas y estudiantes de Práctica a la Administradora de Riesgos Laborales.</t>
    </r>
  </si>
  <si>
    <r>
      <rPr>
        <b/>
        <sz val="10"/>
        <rFont val="Calibri"/>
        <family val="2"/>
        <scheme val="minor"/>
      </rPr>
      <t xml:space="preserve">Evaluación Independiente. </t>
    </r>
    <r>
      <rPr>
        <sz val="10"/>
        <rFont val="Calibri"/>
        <family val="2"/>
        <scheme val="minor"/>
      </rPr>
      <t>Deficiente evaluación y verificacion de la existencia, nivel de desarrollo y grado de efectividad del Sistema de Control Interno</t>
    </r>
  </si>
  <si>
    <r>
      <rPr>
        <b/>
        <sz val="10"/>
        <rFont val="Calibri"/>
        <family val="2"/>
        <scheme val="minor"/>
      </rPr>
      <t xml:space="preserve">Evaluación Independiente. </t>
    </r>
    <r>
      <rPr>
        <sz val="10"/>
        <rFont val="Calibri"/>
        <family val="2"/>
        <scheme val="minor"/>
      </rPr>
      <t>Deficiente evaluación del nivel de avance de las acciones pactadas en los planes de mejoramiento</t>
    </r>
  </si>
  <si>
    <r>
      <rPr>
        <b/>
        <sz val="10"/>
        <color rgb="FF868300"/>
        <rFont val="Calibri"/>
        <family val="2"/>
        <scheme val="minor"/>
      </rPr>
      <t xml:space="preserve">Debilidades (entre otras):  </t>
    </r>
    <r>
      <rPr>
        <sz val="10"/>
        <rFont val="Calibri"/>
        <family val="2"/>
        <scheme val="minor"/>
      </rPr>
      <t xml:space="preserve">
• Ausencia Cultura de Ética y Buen Gobierno • Cambios en la alta dirección • Falta de control al poder • Discrecionalidad en la toma de decisiones • Insuficiente capacidad instalada • Infraestructura física no adecuada • Alta rotación de personal • Desmotivación de funcionarios • Falta cualificación del personal • Desconocimiento de las funciones • Concentración de conocimiento • No asignación de prioridades • No distribución de acuerdo a competencias • Omisión de procedimientos legales • Baja visibilidad de las acciones • Falta de Planeación y de coherencia de los procesos • Falta de definición de puntos de control • Bajo nivel de automatización en el seguimiento de los procesos • Gestión documental deficiente • Asimetrías de la información • Erróneas herramientas tecnológicas 
</t>
    </r>
    <r>
      <rPr>
        <b/>
        <sz val="10"/>
        <color rgb="FF868300"/>
        <rFont val="Calibri"/>
        <family val="2"/>
        <scheme val="minor"/>
      </rPr>
      <t xml:space="preserve">Amenazas (entre otras): </t>
    </r>
    <r>
      <rPr>
        <sz val="10"/>
        <rFont val="Calibri"/>
        <family val="2"/>
        <scheme val="minor"/>
      </rPr>
      <t xml:space="preserve">
• Cambios regulatorios y técnicos • Apatía de los grupos de interés • Recortes presupuestales • Desconocimiento de los usuarios en el manejo del sistema de trámites
• Gran demanda de información personalizada por la ciudadanía • Presiones por parte de personas, gremios o entidades externas</t>
    </r>
  </si>
  <si>
    <r>
      <rPr>
        <b/>
        <sz val="10"/>
        <rFont val="Calibri"/>
        <family val="2"/>
        <scheme val="minor"/>
      </rPr>
      <t xml:space="preserve">Relaciones Interinstitucionales. </t>
    </r>
    <r>
      <rPr>
        <sz val="10"/>
        <rFont val="Calibri"/>
        <family val="2"/>
        <scheme val="minor"/>
      </rPr>
      <t>Tráfico de Influencias</t>
    </r>
  </si>
  <si>
    <r>
      <rPr>
        <b/>
        <sz val="10"/>
        <rFont val="Calibri"/>
        <family val="2"/>
        <scheme val="minor"/>
      </rPr>
      <t xml:space="preserve">Dirección y Planeación. </t>
    </r>
    <r>
      <rPr>
        <sz val="10"/>
        <rFont val="Calibri"/>
        <family val="2"/>
        <scheme val="minor"/>
      </rPr>
      <t>Ausencia o debilidad de procesos y procedimientos para la gestión administrativa y misional</t>
    </r>
  </si>
  <si>
    <r>
      <rPr>
        <b/>
        <sz val="10"/>
        <rFont val="Calibri"/>
        <family val="2"/>
        <scheme val="minor"/>
      </rPr>
      <t xml:space="preserve">Dirección y Planeación. </t>
    </r>
    <r>
      <rPr>
        <sz val="10"/>
        <rFont val="Calibri"/>
        <family val="2"/>
        <scheme val="minor"/>
      </rPr>
      <t>Prevaricato</t>
    </r>
  </si>
  <si>
    <r>
      <rPr>
        <b/>
        <sz val="10"/>
        <rFont val="Calibri"/>
        <family val="2"/>
        <scheme val="minor"/>
      </rPr>
      <t xml:space="preserve">Dirección y Planeación. </t>
    </r>
    <r>
      <rPr>
        <sz val="10"/>
        <rFont val="Calibri"/>
        <family val="2"/>
        <scheme val="minor"/>
      </rPr>
      <t>Malversación de Recursos</t>
    </r>
  </si>
  <si>
    <r>
      <rPr>
        <b/>
        <sz val="10"/>
        <rFont val="Calibri"/>
        <family val="2"/>
        <scheme val="minor"/>
      </rPr>
      <t xml:space="preserve">Acreditación. </t>
    </r>
    <r>
      <rPr>
        <sz val="10"/>
        <rFont val="Calibri"/>
        <family val="2"/>
        <scheme val="minor"/>
      </rPr>
      <t>Deficiencias en el manejo documental y de archivo</t>
    </r>
  </si>
  <si>
    <r>
      <rPr>
        <b/>
        <sz val="10"/>
        <rFont val="Calibri"/>
        <family val="2"/>
        <scheme val="minor"/>
      </rPr>
      <t xml:space="preserve">Acreditación. </t>
    </r>
    <r>
      <rPr>
        <sz val="10"/>
        <rFont val="Calibri"/>
        <family val="2"/>
        <scheme val="minor"/>
      </rPr>
      <t>Concentración de información de determinadas actividades o procesos en una persona</t>
    </r>
  </si>
  <si>
    <r>
      <rPr>
        <b/>
        <sz val="10"/>
        <rFont val="Calibri"/>
        <family val="2"/>
        <scheme val="minor"/>
      </rPr>
      <t xml:space="preserve">Gestión de la Calidad. </t>
    </r>
    <r>
      <rPr>
        <sz val="10"/>
        <rFont val="Calibri"/>
        <family val="2"/>
        <scheme val="minor"/>
      </rPr>
      <t>Concentración de información de determinadas actividades o procesos en una persona</t>
    </r>
  </si>
  <si>
    <r>
      <rPr>
        <b/>
        <sz val="10"/>
        <rFont val="Calibri"/>
        <family val="2"/>
        <scheme val="minor"/>
      </rPr>
      <t xml:space="preserve">Gestión de la Calidad. </t>
    </r>
    <r>
      <rPr>
        <sz val="10"/>
        <rFont val="Calibri"/>
        <family val="2"/>
        <scheme val="minor"/>
      </rPr>
      <t>Deficiencias en el  manejo documental y de archivo</t>
    </r>
  </si>
  <si>
    <r>
      <rPr>
        <b/>
        <sz val="10"/>
        <rFont val="Calibri"/>
        <family val="2"/>
        <scheme val="minor"/>
      </rPr>
      <t xml:space="preserve">Comunicaciones </t>
    </r>
    <r>
      <rPr>
        <sz val="10"/>
        <rFont val="Calibri"/>
        <family val="2"/>
        <scheme val="minor"/>
      </rPr>
      <t>Concentración de información de determinadas actividades o procesos en una persona</t>
    </r>
  </si>
  <si>
    <r>
      <rPr>
        <b/>
        <sz val="10"/>
        <rFont val="Calibri"/>
        <family val="2"/>
        <scheme val="minor"/>
      </rPr>
      <t xml:space="preserve">Gestión Academica. </t>
    </r>
    <r>
      <rPr>
        <sz val="10"/>
        <rFont val="Calibri"/>
        <family val="2"/>
        <scheme val="minor"/>
      </rPr>
      <t xml:space="preserve">Ausencia de canales de comunicación
</t>
    </r>
  </si>
  <si>
    <r>
      <rPr>
        <b/>
        <sz val="10"/>
        <rFont val="Calibri"/>
        <family val="2"/>
        <scheme val="minor"/>
      </rPr>
      <t xml:space="preserve">Gestión Academica. </t>
    </r>
    <r>
      <rPr>
        <sz val="10"/>
        <rFont val="Calibri"/>
        <family val="2"/>
        <scheme val="minor"/>
      </rPr>
      <t>Concentración de información de determinadas actividades o procesos en una persona</t>
    </r>
  </si>
  <si>
    <r>
      <rPr>
        <b/>
        <sz val="10"/>
        <rFont val="Calibri"/>
        <family val="2"/>
        <scheme val="minor"/>
      </rPr>
      <t xml:space="preserve">Gestión Academica. </t>
    </r>
    <r>
      <rPr>
        <sz val="10"/>
        <rFont val="Calibri"/>
        <family val="2"/>
        <scheme val="minor"/>
      </rPr>
      <t>Deficiencias en el manejo documental y de archivo</t>
    </r>
  </si>
  <si>
    <r>
      <rPr>
        <b/>
        <sz val="10"/>
        <rFont val="Calibri"/>
        <family val="2"/>
        <scheme val="minor"/>
      </rPr>
      <t xml:space="preserve">Gestión de Investigación. </t>
    </r>
    <r>
      <rPr>
        <sz val="10"/>
        <rFont val="Calibri"/>
        <family val="2"/>
        <scheme val="minor"/>
      </rPr>
      <t>Vulnerabilidad en el manejo de la información de la actividad investigativa</t>
    </r>
  </si>
  <si>
    <r>
      <rPr>
        <b/>
        <sz val="10"/>
        <rFont val="Calibri"/>
        <family val="2"/>
        <scheme val="minor"/>
      </rPr>
      <t xml:space="preserve">Gestión de Investigación. </t>
    </r>
    <r>
      <rPr>
        <sz val="10"/>
        <rFont val="Calibri"/>
        <family val="2"/>
        <scheme val="minor"/>
      </rPr>
      <t>Violación de la propiedad Intelectual.</t>
    </r>
  </si>
  <si>
    <r>
      <rPr>
        <b/>
        <sz val="10"/>
        <rFont val="Calibri"/>
        <family val="2"/>
        <scheme val="minor"/>
      </rPr>
      <t xml:space="preserve">Gestión de Extensión y Proyección Social. </t>
    </r>
    <r>
      <rPr>
        <sz val="10"/>
        <rFont val="Calibri"/>
        <family val="2"/>
        <scheme val="minor"/>
      </rPr>
      <t>Desviación o uso indebido de recursos, que impidan la ejecución de los proyectos y actividades misionales de la vicerrectoria de extensión y proyección social</t>
    </r>
  </si>
  <si>
    <r>
      <rPr>
        <b/>
        <sz val="10"/>
        <rFont val="Calibri"/>
        <family val="2"/>
        <scheme val="minor"/>
      </rPr>
      <t xml:space="preserve">Gestión de Extensión y Proyección Social. </t>
    </r>
    <r>
      <rPr>
        <sz val="10"/>
        <rFont val="Calibri"/>
        <family val="2"/>
        <scheme val="minor"/>
      </rPr>
      <t xml:space="preserve">Concentración de la información en una persona. </t>
    </r>
  </si>
  <si>
    <r>
      <rPr>
        <b/>
        <sz val="10"/>
        <rFont val="Calibri"/>
        <family val="2"/>
        <scheme val="minor"/>
      </rPr>
      <t xml:space="preserve">Gestión de Extensión y Proyección Social. </t>
    </r>
    <r>
      <rPr>
        <sz val="10"/>
        <rFont val="Calibri"/>
        <family val="2"/>
        <scheme val="minor"/>
      </rPr>
      <t xml:space="preserve">Inadecuada ejecución de los recursos asignados </t>
    </r>
  </si>
  <si>
    <r>
      <rPr>
        <b/>
        <sz val="10"/>
        <rFont val="Calibri"/>
        <family val="2"/>
        <scheme val="minor"/>
      </rPr>
      <t xml:space="preserve">Gestión de Extensión y Proyección Social. </t>
    </r>
    <r>
      <rPr>
        <sz val="10"/>
        <rFont val="Calibri"/>
        <family val="2"/>
        <scheme val="minor"/>
      </rPr>
      <t>Extralimitación de funciones.</t>
    </r>
  </si>
  <si>
    <r>
      <rPr>
        <b/>
        <sz val="10"/>
        <rFont val="Calibri"/>
        <family val="2"/>
        <scheme val="minor"/>
      </rPr>
      <t xml:space="preserve">Gestión de Extensión y Proyección Social. </t>
    </r>
    <r>
      <rPr>
        <sz val="10"/>
        <rFont val="Calibri"/>
        <family val="2"/>
        <scheme val="minor"/>
      </rPr>
      <t>Omisión de la ley para beneficio propio.</t>
    </r>
  </si>
  <si>
    <r>
      <rPr>
        <b/>
        <sz val="10"/>
        <rFont val="Calibri"/>
        <family val="2"/>
        <scheme val="minor"/>
      </rPr>
      <t xml:space="preserve">Gestión de Contratación. </t>
    </r>
    <r>
      <rPr>
        <sz val="10"/>
        <rFont val="Calibri"/>
        <family val="2"/>
        <scheme val="minor"/>
      </rPr>
      <t>Pliegos de condiciones hechos a la medida de una firma en particular.</t>
    </r>
  </si>
  <si>
    <r>
      <rPr>
        <b/>
        <sz val="10"/>
        <rFont val="Calibri"/>
        <family val="2"/>
        <scheme val="minor"/>
      </rPr>
      <t xml:space="preserve">Gestión Financiera. </t>
    </r>
    <r>
      <rPr>
        <sz val="10"/>
        <rFont val="Calibri"/>
        <family val="2"/>
        <scheme val="minor"/>
      </rPr>
      <t xml:space="preserve">Pago de obligaciones sin el lleno de requisitos. </t>
    </r>
  </si>
  <si>
    <r>
      <rPr>
        <b/>
        <sz val="10"/>
        <rFont val="Calibri"/>
        <family val="2"/>
        <scheme val="minor"/>
      </rPr>
      <t xml:space="preserve">Gestión Financiera. </t>
    </r>
    <r>
      <rPr>
        <sz val="10"/>
        <rFont val="Calibri"/>
        <family val="2"/>
        <scheme val="minor"/>
      </rPr>
      <t>Perdida de titulos valores</t>
    </r>
  </si>
  <si>
    <r>
      <rPr>
        <b/>
        <sz val="10"/>
        <rFont val="Calibri"/>
        <family val="2"/>
        <scheme val="minor"/>
      </rPr>
      <t xml:space="preserve">Gestión Financiera. </t>
    </r>
    <r>
      <rPr>
        <sz val="10"/>
        <rFont val="Calibri"/>
        <family val="2"/>
        <scheme val="minor"/>
      </rPr>
      <t>Omisión en la aplicación  de la normatividad vigente en los procesos de la Gestión Financiera</t>
    </r>
  </si>
  <si>
    <r>
      <rPr>
        <b/>
        <sz val="10"/>
        <rFont val="Calibri"/>
        <family val="2"/>
        <scheme val="minor"/>
      </rPr>
      <t xml:space="preserve">Apoyo Tecnológico TIC. </t>
    </r>
    <r>
      <rPr>
        <sz val="10"/>
        <rFont val="Calibri"/>
        <family val="2"/>
        <scheme val="minor"/>
      </rPr>
      <t xml:space="preserve">Vulnerabilidad de la Información </t>
    </r>
  </si>
  <si>
    <r>
      <rPr>
        <b/>
        <sz val="10"/>
        <rFont val="Calibri"/>
        <family val="2"/>
        <scheme val="minor"/>
      </rPr>
      <t xml:space="preserve">Gestión Documental. </t>
    </r>
    <r>
      <rPr>
        <sz val="10"/>
        <rFont val="Calibri"/>
        <family val="2"/>
        <scheme val="minor"/>
      </rPr>
      <t xml:space="preserve">Entregar un título o certificado sin los requisitos para ello </t>
    </r>
  </si>
  <si>
    <r>
      <rPr>
        <b/>
        <sz val="10"/>
        <rFont val="Calibri"/>
        <family val="2"/>
        <scheme val="minor"/>
      </rPr>
      <t xml:space="preserve">Gestión Documental. </t>
    </r>
    <r>
      <rPr>
        <sz val="10"/>
        <rFont val="Calibri"/>
        <family val="2"/>
        <scheme val="minor"/>
      </rPr>
      <t>Expedición de un certificado de título falso</t>
    </r>
  </si>
  <si>
    <r>
      <rPr>
        <b/>
        <sz val="10"/>
        <rFont val="Calibri"/>
        <family val="2"/>
        <scheme val="minor"/>
      </rPr>
      <t xml:space="preserve">Gestión del Talento Humano. </t>
    </r>
    <r>
      <rPr>
        <sz val="10"/>
        <rFont val="Calibri"/>
        <family val="2"/>
        <scheme val="minor"/>
      </rPr>
      <t>Concentración de información de determinadas actividades o procesos en una persona.</t>
    </r>
  </si>
  <si>
    <r>
      <rPr>
        <b/>
        <sz val="10"/>
        <rFont val="Calibri"/>
        <family val="2"/>
        <scheme val="minor"/>
      </rPr>
      <t xml:space="preserve">Gestión del Talento Humano. </t>
    </r>
    <r>
      <rPr>
        <sz val="10"/>
        <rFont val="Calibri"/>
        <family val="2"/>
        <scheme val="minor"/>
      </rPr>
      <t>Decisiones no ajustadas a la normatividad legal.</t>
    </r>
  </si>
  <si>
    <r>
      <rPr>
        <b/>
        <sz val="10"/>
        <rFont val="Calibri"/>
        <family val="2"/>
        <scheme val="minor"/>
      </rPr>
      <t xml:space="preserve">Gestión de Admisiones y Registro. </t>
    </r>
    <r>
      <rPr>
        <sz val="10"/>
        <rFont val="Calibri"/>
        <family val="2"/>
        <scheme val="minor"/>
      </rPr>
      <t>Manipulación de resultados del examen  de admisión.</t>
    </r>
  </si>
  <si>
    <r>
      <rPr>
        <b/>
        <sz val="10"/>
        <rFont val="Calibri"/>
        <family val="2"/>
        <scheme val="minor"/>
      </rPr>
      <t xml:space="preserve">Gestión de Admisiones y Registro. </t>
    </r>
    <r>
      <rPr>
        <sz val="10"/>
        <rFont val="Calibri"/>
        <family val="2"/>
        <scheme val="minor"/>
      </rPr>
      <t>Alteración de notas de estudiantes.</t>
    </r>
  </si>
  <si>
    <r>
      <rPr>
        <b/>
        <sz val="10"/>
        <rFont val="Calibri"/>
        <family val="2"/>
        <scheme val="minor"/>
      </rPr>
      <t xml:space="preserve">Gestión y Rendición de Cuentas. </t>
    </r>
    <r>
      <rPr>
        <sz val="10"/>
        <rFont val="Calibri"/>
        <family val="2"/>
        <scheme val="minor"/>
      </rPr>
      <t>Rendición de cuentas a la ciudadanía inadecuada, incompleta e inoportuna</t>
    </r>
  </si>
  <si>
    <r>
      <rPr>
        <b/>
        <sz val="10"/>
        <rFont val="Calibri"/>
        <family val="2"/>
        <scheme val="minor"/>
      </rPr>
      <t xml:space="preserve">Gestión y Rendición de Cuentas. </t>
    </r>
    <r>
      <rPr>
        <sz val="10"/>
        <rFont val="Calibri"/>
        <family val="2"/>
        <scheme val="minor"/>
      </rPr>
      <t>Alteración de la información</t>
    </r>
  </si>
  <si>
    <r>
      <rPr>
        <b/>
        <sz val="10"/>
        <rFont val="Calibri"/>
        <family val="2"/>
        <scheme val="minor"/>
      </rPr>
      <t xml:space="preserve">Evaluación Independiente. </t>
    </r>
    <r>
      <rPr>
        <sz val="10"/>
        <rFont val="Calibri"/>
        <family val="2"/>
        <scheme val="minor"/>
      </rPr>
      <t>Falta de Objetividad e Independencia en el proceso auditor, de evaluación y seguimiento</t>
    </r>
  </si>
  <si>
    <r>
      <rPr>
        <b/>
        <sz val="10"/>
        <rFont val="Calibri"/>
        <family val="2"/>
        <scheme val="minor"/>
      </rPr>
      <t xml:space="preserve">Evaluación Independiente. </t>
    </r>
    <r>
      <rPr>
        <sz val="10"/>
        <rFont val="Calibri"/>
        <family val="2"/>
        <scheme val="minor"/>
      </rPr>
      <t>No reportar posibles actos de corrupción e irregularidades</t>
    </r>
  </si>
  <si>
    <t xml:space="preserve"> Falta trabajo en equipo, que beneficie el logro de objetivos y emplear de manera racional los recursos disponibles. 
Es posible que se refleje la poca participación del personal en la documentación de actividades. </t>
  </si>
  <si>
    <t xml:space="preserve">Control no adecuado de los documentos del proceso. </t>
  </si>
  <si>
    <t>Que las publicaciones impresas, audiovisuales, radiales y virtuales; internas y externas, no se entreguen ni difundan bajo los tiempos y la periodicidad con que cada una fue creada</t>
  </si>
  <si>
    <t>Falta de transferencia del conocimiento que beneficie el logro de los objetivos.</t>
  </si>
  <si>
    <t>Posibilidad que la Universidad pierda el registro calificado de los Programas Académcos en virtud del incumplimiento de los requisitos y lineamientos exigidos por el MEN o por no hacer la solicitud de renovación en los tiempos establecidos.</t>
  </si>
  <si>
    <t>Las políticas formuladas para la administración de la docencia y el aprendizaje pueden resultar ambiguas, incoherentes o confusas que dificultan su adopción y aplicación.</t>
  </si>
  <si>
    <t>No aplicar adecuadamente el reglamento estudiantil, estatuto docente, Decreto 1279 de Junio 2002 y demás acuerdos y resoluciones en la gestión académica de la Universidad.</t>
  </si>
  <si>
    <t>Los recursos, económicos, humanos y técnicos  se asignan sin tener en cuenta las necesidades y prioridades reales de los programas.</t>
  </si>
  <si>
    <t>Cuando se toman determinaciones o se planifican actividades relacionadas con el proceso de docencia, en ocasiones estas no fluyen hacia todas las personas que deben conocer y manejar la información.</t>
  </si>
  <si>
    <t>En ocasiones la información se concentra en una sola persona, asociado que es la persona encargada o quién tiene la experticia y el manejo, lo que ocasiona una concentración de información en ella, impidiendo que en su ausencia no se pueda tener acceso a dicha información o trunque otros procesos asociados a ella.</t>
  </si>
  <si>
    <t>El manejo y archivo de información en ocasiones no permite ofrecer un servicio con calidad, se archivan mal los documentos, no son faciles de acceder, no se cumplen con tiempos establecidos para dar respuestas a peticiones.</t>
  </si>
  <si>
    <t xml:space="preserve">No formular y desarrollar iniciativas que promuevan y fomenten la actividad de investigación en la Universidad. </t>
  </si>
  <si>
    <t>los objetivos, cronograma, presupuesto y resultados propuestos en el plan de acción de la Vicerrectoría de Investigación no se desarrollen de la manera propuesta.</t>
  </si>
  <si>
    <t>La información de la actividad investigativa se maneja de manera manual por lo cual es susceptible de cometer errores y puede ser alterada fácilmente.</t>
  </si>
  <si>
    <t>La comunidad universitaria puede violar derechos de propiedad intelectual de terceras partes por desconocimiento de la normatividad de esta temática.</t>
  </si>
  <si>
    <t>Establecimiento de requerimientos inexistentes que favorezcan la asignación o ejecución por una  firma, entidad, fundación o persona en particular de proyectos desarrados por la Vicerrectoría de Extensión y Proyección Social.</t>
  </si>
  <si>
    <t>Concentración de la información en una sola persona, se presenta asimetría en la información para el desarrollo de las funciones que se asignan y beneficio propio.</t>
  </si>
  <si>
    <t>Cuando los recursos asignados  no se usan para lo que fueron dispuestos.</t>
  </si>
  <si>
    <t>Abarcar funciones mas allá de las propias del cargo, desconociendo las funciones  de los demas o cuando se suplantan estas.</t>
  </si>
  <si>
    <t>Incurrir en desviaciones de la ley aplicable al proceso, por desconocimiento u omisión.</t>
  </si>
  <si>
    <t>No cumplir con las metas de cobertura establecidas en el plan de calidad de los proyectos y en las cláusulas de cumplimiento de los convenios.</t>
  </si>
  <si>
    <t>Restringida interacción de la Universidad con entidades nacionales y extranjeras para la promoción de los procesos desarrollados en las actividades de extensión y proyección social.</t>
  </si>
  <si>
    <t>No cumplimiento de los objetivos, alcances y cronogramas de los proyectos y servicios a cargo del proceso de Extensión y Proyección Social, establecidos en el plan de calidad de los proyectos y en las cláusulas de cumplimiento de los convenios.</t>
  </si>
  <si>
    <t>No aplicar la normatividad interna, externa y jursiprudencial vigente en la celebración de contratos.</t>
  </si>
  <si>
    <t>Carpetas contratuales sin los documentos que se generen en las diferentes etapas cuyo ordenador del gasto sea Rectoría</t>
  </si>
  <si>
    <t>Establecer condiciones para los distintos tipos de contratos y/o convocatorias que favorezcan a un proveedor o proponente en particular</t>
  </si>
  <si>
    <t>pago de obligaciones con documentación incompleta, errada o adulterada</t>
  </si>
  <si>
    <t>Hurto de titulos valores, fraude y adulteración de titulos.</t>
  </si>
  <si>
    <t>Documentacion y soportes sin el cumplimiento de la normatividad vigente.</t>
  </si>
  <si>
    <t>La información almacenada en los diferentes equipos y servidores puede ser vulnerada por virus o accesos no autorizados afectando  la integridad y disponibilidad de la información.</t>
  </si>
  <si>
    <t xml:space="preserve">Desconocimiento de la ética para la falcificación de documento ocasionando perjuicio a la institución. </t>
  </si>
  <si>
    <t>Hurtos y robos en el interior de la Universidad</t>
  </si>
  <si>
    <t>Impactos negativos por inadecuado manejo de residuos en su almacenamiento y disposición intermedia, temporal y central, recolección, transporte y disposición final</t>
  </si>
  <si>
    <t>Incumplimiento de las funciones,  objetivos y contribucciones del cargo por parte de los empleados de la Universidad.</t>
  </si>
  <si>
    <t>La ausencia de un Plan de Incentivos y/o Estímulos no permite ni fomenta el reconocimiento de las capacidades individuales y/o grupales de los empleados al servicio de la institución</t>
  </si>
  <si>
    <t>No sean afiliados oportunamente los empleados al Sistema de Seguridad Social Integral y los contratistas y estudiantes de práctica a la ARL</t>
  </si>
  <si>
    <t>Manejo exclusivo de información en un empleado, generando concentración de poder.</t>
  </si>
  <si>
    <t>Adotar decisiones o realizar trámites sin el cumplimiento de los requisitos del proceso</t>
  </si>
  <si>
    <t>Posibilidad de manipulación de los resultados del listado de seleccionados, para beneficiar a un  aspirante en particular.</t>
  </si>
  <si>
    <t>Posibilidad de presentarse modificaciones  o alteraciones en las notas registradas en  sistema de información, para beneficiar a un estudiante en particular.</t>
  </si>
  <si>
    <t>Los ejercicios de rendición de cuentas a la ciudadanía no cumplen con los requerimientos de la estrategia anticorrupción</t>
  </si>
  <si>
    <t>La información publicada o reportada a nivel interno o externo es alterada para beneficio propio o de terceros</t>
  </si>
  <si>
    <t xml:space="preserve">No realizar o realizar de forma inadecuada la evaluación del SCI, de conformidad con las disposiciones legales y requisitos internos de la Universidad. </t>
  </si>
  <si>
    <t xml:space="preserve">Los planes de mejoramiento institucional acordados con los entes de control (Contraloría- MEN) así como los establecidos para mejoramiento de los procesos, se realizan superficialmente y sin las verificaciones suficientes para garantizar el cumplimiento. </t>
  </si>
  <si>
    <t>Informes de auditoria, de evalución y de seguimiento que no corresponden a la realidad. Se deja de informar debilidades, hallazgos, retrazos evidenciados en el ejercicio del proceso.</t>
  </si>
  <si>
    <t>Dejar de hacer, decir o consignar situaciones que se hayan evidenciado en el ejercicio de las funciones.</t>
  </si>
  <si>
    <t>Omisión de procedimientos legal 
Falta de cualificación del personal
Ausencia de cultura ética y buen gobierno</t>
  </si>
  <si>
    <t>Trabajo conjunto con Rectoría para contratación de personal</t>
  </si>
  <si>
    <t>Actualizacion constante. Difusion de la Guia.</t>
  </si>
  <si>
    <t>Seguimiento periodico a los controles existentes en el procedimiento. Difusión del procedimiento.</t>
  </si>
  <si>
    <t>Difusion adecuada de los formatos. Recopilacion de los soportes requeridos.</t>
  </si>
  <si>
    <t>Cumplimiento de metas para  cualificación a la comunidad universitaria acordes con el plan de trabajo.</t>
  </si>
  <si>
    <t xml:space="preserve">Continuar con el seguimiento al cumplimiento de los controles existentes </t>
  </si>
  <si>
    <t>Realizar la revisión por la dirección y divulgar los resultados del informe de revisión por la alta dirección</t>
  </si>
  <si>
    <t>Fomentar el autocontrol en los tiempos de entrega al equipo de comunicaciones</t>
  </si>
  <si>
    <t>Recordar la periocidad y la entrega  oportuna de cada producto comunicativo</t>
  </si>
  <si>
    <t xml:space="preserve">1. Mejorar las estrategias de seguimiento del proceso. </t>
  </si>
  <si>
    <t>2. Automatizar tareas relacionadas con el proceso.</t>
  </si>
  <si>
    <t>1. Desarrollar capacitaciones continuas y a todo el personal que ingrese, sobre la formulación de políticas</t>
  </si>
  <si>
    <t>1. Desarrollar capacitaciones continuas y a todo el personal que ingrese, sobre la normativas internas y externas</t>
  </si>
  <si>
    <t>Implementar herramientas automatizadas para el seguimiento a los planes de mejoramiento de los programas academicos</t>
  </si>
  <si>
    <t>Monitorear las necesidades de los grupos de investigación</t>
  </si>
  <si>
    <t>Realizar seguimiento a la ejecución de las actividades programadas para investigación</t>
  </si>
  <si>
    <t>Mejorar el sistema de información SIVI</t>
  </si>
  <si>
    <t>Realizar Seguimiento al plan de acción</t>
  </si>
  <si>
    <t>hacer seguimiento a las tareas y compromisos adquiridos</t>
  </si>
  <si>
    <t>Realizar seguimiento a la publicaciones de boletines</t>
  </si>
  <si>
    <t>Auto evaluación de los procesos.</t>
  </si>
  <si>
    <t>Seguir ejecutando y monitoreando los controles existentes.</t>
  </si>
  <si>
    <t>Seguir ejecutando y monitoreando los controles existentes</t>
  </si>
  <si>
    <t>Documento analisis de estado de la seguridad y falencias existentes.</t>
  </si>
  <si>
    <t>Gestionar compra de PDA, construccion de la sala de monitoreo y contratacion de responsable de monitoreo.</t>
  </si>
  <si>
    <t>Seguimiento de PGIR</t>
  </si>
  <si>
    <t>Adquirir y aplicar herramientas para evaluar las competencias laborales de los servidores públicos.</t>
  </si>
  <si>
    <t>Elaboración y ejecución de un programa detallado de Inducción y/o 
Reinduccion.</t>
  </si>
  <si>
    <t>Elaborar y presentar propuesta del programas de incentivos y bienestar laboral</t>
  </si>
  <si>
    <t>Elaboración y aprobación del procedimiento de Seguridad Social</t>
  </si>
  <si>
    <t xml:space="preserve">Asistencia a capacitaciones (transparencia, buen gobierno, etc) organizadas por Rectoría, Talento Humano y/o contratación. </t>
  </si>
  <si>
    <t>Cumplimiento de metas acordes con el plan de trabajo.</t>
  </si>
  <si>
    <t>Mejorar la selección del personal para que su permanencia sea mayor en el desarrollo de su cargo.</t>
  </si>
  <si>
    <t>Desarrollar talleres de trabajo en equipo y gestión del conocimiento</t>
  </si>
  <si>
    <t>Desarrollar talleres gestión documental</t>
  </si>
  <si>
    <t>Desarrollo e Implementación del Sistema de Información de la Vicerrectoría de investigación</t>
  </si>
  <si>
    <t>Programa de capacitación en Propiedad Intelectual</t>
  </si>
  <si>
    <t>Aprobación del Reglamento de PI</t>
  </si>
  <si>
    <t>Implementación de sistema de información</t>
  </si>
  <si>
    <t>Socialización de los resultados de las actividades realizadas y por realizar.</t>
  </si>
  <si>
    <t>Divulgación de los resultados de los proyectos</t>
  </si>
  <si>
    <t>Establecer mecanismos eficientes de control.</t>
  </si>
  <si>
    <t>Solicitud de asesoría legal suficiente.</t>
  </si>
  <si>
    <t>Verificación de los requisitos legales, contables, tributarios y administrativos</t>
  </si>
  <si>
    <t>Verificar los títulos valores custodiados.</t>
  </si>
  <si>
    <t>Realizar reuniones con equipo financiero para unificación de criterios</t>
  </si>
  <si>
    <t>Contratar la seguridad gestionada a través de firewall perimetral</t>
  </si>
  <si>
    <t>Documentar los controles existentes</t>
  </si>
  <si>
    <t>Realización de un Plan de Manejo y uso de la Información Institucional</t>
  </si>
  <si>
    <t xml:space="preserve">Seguir ejecutando y monitoreando los controles existentes </t>
  </si>
  <si>
    <t>Revisión y actualización de los procedimientos de la Gestión del Talento Humano</t>
  </si>
  <si>
    <t>Revisión y actualización el Normograma y los procedimientos de la Gestión del Talento Humano</t>
  </si>
  <si>
    <t>Capacitación del personal en temas relacionados con la rendición de cuentas</t>
  </si>
  <si>
    <t>Planeación, ejecución y evaluación de audiencias públicas de rendición de cuentas</t>
  </si>
  <si>
    <t>Implementación de auditorías internas de información</t>
  </si>
  <si>
    <t>Diseño e implementación de un sistema de información para la gestión de Indicadores</t>
  </si>
  <si>
    <t>Estrategia para masificar el uso y conocimiento del sitio Web de Transparencia y Acceso a Ia Información Pública</t>
  </si>
  <si>
    <t>Comunicación Interna/correo Electronico</t>
  </si>
  <si>
    <t>Correos enviados</t>
  </si>
  <si>
    <t xml:space="preserve">Correo Electronico y asistencia personalizada </t>
  </si>
  <si>
    <t>Actas o listas de asistencia</t>
  </si>
  <si>
    <t>Registro de asistencia revisión por la Dirección</t>
  </si>
  <si>
    <t xml:space="preserve">comunicaciones </t>
  </si>
  <si>
    <t>Documento con las estrategía</t>
  </si>
  <si>
    <t>Herramienta de automatización</t>
  </si>
  <si>
    <t>Actas de asistencia a capacitación</t>
  </si>
  <si>
    <t>Grupos que reciben financiación para personal, insumos, infraestructura, mobiliario y equipos (SIVI)</t>
  </si>
  <si>
    <t xml:space="preserve">Actas de seguimiento a Proyectos del Plan de Acción (DE-F08) </t>
  </si>
  <si>
    <t>Control de recursos e indicadores del Plan de acción en el SIVI</t>
  </si>
  <si>
    <t>Boletines de la VDI</t>
  </si>
  <si>
    <t>Informes</t>
  </si>
  <si>
    <t>Documento analisis</t>
  </si>
  <si>
    <t>PDA, sala de monitoreo</t>
  </si>
  <si>
    <t>Informe de gestión</t>
  </si>
  <si>
    <t xml:space="preserve">Adquisición y aplicación de herramientas de evaluación por competencias / Informe Resultados </t>
  </si>
  <si>
    <t>Informes de Inducción y Reinducción de los empleados</t>
  </si>
  <si>
    <t>Propuesta del Programa de Incentivos y Bienestar Laboral</t>
  </si>
  <si>
    <t>Procedimiento de Seguridad Social aprobado y publicado en COGUI</t>
  </si>
  <si>
    <t xml:space="preserve">Asistencia </t>
  </si>
  <si>
    <t>Revisión de procesos de selección de personal</t>
  </si>
  <si>
    <t>Acta de realización de talleres</t>
  </si>
  <si>
    <t>Actas de entrega de claves a usuarios</t>
  </si>
  <si>
    <t>Capacitaciones realizadas en Prop. Intelectual</t>
  </si>
  <si>
    <t>Reglamento de PI enviado a Jurídica para revisión</t>
  </si>
  <si>
    <t>Comunicados y registros</t>
  </si>
  <si>
    <t>Informes
Encuestas de satisfacción del usuario</t>
  </si>
  <si>
    <t>Ordenes de Pago con los respectivos soportes</t>
  </si>
  <si>
    <t>Arqueo Titulos valores de la caja fuerte</t>
  </si>
  <si>
    <t>Actas de reunion trimestral</t>
  </si>
  <si>
    <t>Contrato</t>
  </si>
  <si>
    <t>Controles documentados</t>
  </si>
  <si>
    <t>Plan</t>
  </si>
  <si>
    <t>Procedimientos actualizados</t>
  </si>
  <si>
    <t>Normograma actualizado</t>
  </si>
  <si>
    <t>Capacitación en rendición de cuentas</t>
  </si>
  <si>
    <t>Calendario Audiencia Pública de Rendición de Cuentas 2016 (Rector y Facultades)</t>
  </si>
  <si>
    <t>Informe de auditoría</t>
  </si>
  <si>
    <t>Sistema de Información de indicadores para la toma de decisiones</t>
  </si>
  <si>
    <t>Diseño e implementación de estrategia publicitaria del sitio Web</t>
  </si>
  <si>
    <t>Envío de correo electronico a dependencias, Programas, docentes, etc con información pertinente el día 01 de febrero de 2016</t>
  </si>
  <si>
    <t>Se les asesoró personalmente y vía correo electronico a las personas que nos contactaron con el fin de registrar movilidad internacional saliente con todos los soportes pertinentes</t>
  </si>
  <si>
    <t>1. El 25 de mayo se realizará una sesión de resocialización - Retroalimentación del PEI. con Directivos.
- El 3 de junio se llevará cabo el taller con el CNA - Ministerio de Educación Nacional y los Directivos de la Institución</t>
  </si>
  <si>
    <t>1. Se adjunta lista de asistencia seguimiento y revisión de informes de autoevaluación de programas (anexo 1)</t>
  </si>
  <si>
    <t>El 07 de marzo se llevó a cabo la reunión de revisión del Sistema de Gestión de la Calidad por la Alta Dirección a corte del año 2015</t>
  </si>
  <si>
    <t>En esta acción, aún no se ha realizado ningún avance y está previsto realizar acciones a partir del mes de mayo. (tomado de correo: mié 27/04/2016 6:17 p.m.)</t>
  </si>
  <si>
    <t xml:space="preserve">Correo electrónico enviado por el Director de Comunicaciones al equipo de trabajo. </t>
  </si>
  <si>
    <t>Contratación de los asistentes de apoyo a grupo para diligenciamiento de GrupLAC y organización de documentación para la Conv. 737 de 2015 de Colciencias y Fonciencias 2015 - 2017.
Vinculación ayudantes de Investigación.
Contratación personal para grupos.
Suscripción base de datos ELSEVIER.</t>
  </si>
  <si>
    <t>Desde el mes de Enero se inició el desarrollo de los proyectos y programas previstos en el Plan de Acción.</t>
  </si>
  <si>
    <t>Control de pagos de ordenes.
Alertas a las ordenes a punto de vencerse y vencidas.</t>
  </si>
  <si>
    <t>En los documentos que se elaboran se está registrando el avance en los indicadores.</t>
  </si>
  <si>
    <t xml:space="preserve">Se encuentra en diagramación el primer boletín del año. </t>
  </si>
  <si>
    <t>se siguen ejecutando los controles existentes.</t>
  </si>
  <si>
    <t>Detección de falencias y puntos de mejora en el sistema de seguridad</t>
  </si>
  <si>
    <t>1. Divulgación de programas y actividades del PGIR (Aseo y Téc. de Lab.)
2. Establecimiento de horario y frecuencia de recolección por tipos de residuos.
3. Acondicionamiento, mantenimiento y limpieza de dispositivos de almacenamiento intermedio y temporal.
4. Visitas de inspección (Int. y Ext.).</t>
  </si>
  <si>
    <t xml:space="preserve">Solicitud de propuestas de instrumentos de valoración por competencias.
Acta de Revisión y análisis inicial, de la pertinencia de las propuestas recibidas </t>
  </si>
  <si>
    <t>Revisión borrador de programa de inducción formulado, valorando la pertinencia del flujo y los formatos que actualmente se están aplicando</t>
  </si>
  <si>
    <t>Revisión borrador del programa de bienestar formulado. Análisis del alcance de los beneficios a proponer para valoración y aprobación de  la Administración.</t>
  </si>
  <si>
    <t xml:space="preserve">La actualización y levantamiento de Procedimientos está asociado al cronograma general de la Universidad para la implementación de ISO 9000:2015, el cual contempla actvidades, entre otras, de planeación, socialización, revisión, formulación y aprobación </t>
  </si>
  <si>
    <t>Asistencia de 1 funcionario de la ORI a la Charla por parte de Talento Humano en cuanto a Transparencia y Buen Gobierno.</t>
  </si>
  <si>
    <t>A través de ayudantías se ha apoyado la tarea para la organización documental de la OAC, sin embargo con respecto al acervo documental para la construcción de documentos maestro e informes de autoevaluación se tiene planeado una reunión con las dependencias.</t>
  </si>
  <si>
    <t xml:space="preserve">Se está en proceso de realizar las actas de entrega de claves. </t>
  </si>
  <si>
    <t>En abril se realizaron 2 capacitaciones; una dirigida a los abogados de la Universidad de 12 horas y una dirigida a toda la Comunidad Universitaria.</t>
  </si>
  <si>
    <t xml:space="preserve">El reglamento ya fue visado por la oficina jurídica. Está a la espera de la revisión y aprobación de Rectoría. </t>
  </si>
  <si>
    <t>se dio inicio a el acompañamiento para el diseño del sistema de información.</t>
  </si>
  <si>
    <t>los informes de los resultados de las actividades son socilizadas, ejemplo de ello fue la socialización del resultado de la ultima auditoria de icontec.</t>
  </si>
  <si>
    <t>Se realizan, ejemplo de ello fue la socialización resultados ultima auditoria icontec.</t>
  </si>
  <si>
    <t>Este función la cumple a cabalidad la asesora juridica dela  vice-extensión y proyección social.</t>
  </si>
  <si>
    <t xml:space="preserve">Verificar que las ordenes de pagos presenten cada uno d elos requisitos legales, contables y administrativos soportados. </t>
  </si>
  <si>
    <t>Verificación de los titulos valores expedidos por cada una de las cuentas que no hallan sido retirados y confrontados con las conciliaciones bancarias.</t>
  </si>
  <si>
    <t>se realizaron reuniones correspondiente al primer trimestre de 2016 con el animo de  consolidar informes .</t>
  </si>
  <si>
    <t>Se solicitó la actualización del normograma el 30/03/2016.
Con apoyo de estudiante de prácticas se está revisando los Acuerdos Superiores y normas externas aplicables al proceso.</t>
  </si>
  <si>
    <t>Adopción de la audiencia pública de rendición de cuentas 2016 y publicación del reglamento.
Apertura del espacio en la Web para consulta de temas prioritarios y presentación de inquietudes.</t>
  </si>
  <si>
    <t>Se recibieron 67 solicitudes de asistencia y se evidencio asesoria a la totalidad de solicitudes</t>
  </si>
  <si>
    <t>No se evidencio actas de seguimiento</t>
  </si>
  <si>
    <t>No se evidencio informe</t>
  </si>
  <si>
    <t>Si bien se vienen detectando las falencias y puntos de mejora no se evidencio documento analisis</t>
  </si>
  <si>
    <t>Si bien se han realizado diferentes actividades, no se encuentra construido el informe de gestión</t>
  </si>
  <si>
    <t>Si bien se han desarrollado actividades no se encuentran construidos los entregables</t>
  </si>
  <si>
    <t>Si bien se han desarrollado actividades no se encuentra construido el entregable</t>
  </si>
  <si>
    <t>Si bien se han desarrollado actividades no se evidencio el entregable</t>
  </si>
  <si>
    <t xml:space="preserve">En el SIVI se han implementado las siguientes mejoras: 
Control de pagos de ordenes.
Alertas a las ordenes a punto de vencerse y vencidas.
Reprogramación del módulo de movilidad
</t>
  </si>
  <si>
    <t>Contratación asistentes de apoyo, ayudantes y suscripción ELSEVIER</t>
  </si>
  <si>
    <t>Desarrollo de proyectos y programas previstos en el plan de acción</t>
  </si>
  <si>
    <t>Control de pagos y alertas de ordenes. Reprogramación del modulo de movilidad</t>
  </si>
  <si>
    <t xml:space="preserve">En el sistema de INVERSIÓN de Planeación se está llevando el seguimiento al PAI.  </t>
  </si>
  <si>
    <t>Se han realizado 2 boletínes a la fecha.</t>
  </si>
  <si>
    <t>En proceso de recolección de actas de entrega de claves por los profesores</t>
  </si>
  <si>
    <t>Dos capacitaciones, dirigida a abogados de la universidad y a la comunidad en general</t>
  </si>
  <si>
    <t>Aprobada revisión por juridica. En revisión y aprobación por Rectoria</t>
  </si>
  <si>
    <t xml:space="preserve">Se está en proceso de recolectar las actas de entrega de claves firmadas por los profesores. </t>
  </si>
  <si>
    <t>Se dio inicio a la construcción del modulo de diseño y desarrollo de proyctos</t>
  </si>
  <si>
    <t xml:space="preserve">Los informes son socializados </t>
  </si>
  <si>
    <t>Se realizan encuestas de satisfacción</t>
  </si>
  <si>
    <t>Se siguen ejecutando los controles</t>
  </si>
  <si>
    <t>Existe acompañamiento y asesoramiento jurídico</t>
  </si>
  <si>
    <t>se dio inicio a la construcción del modulo   para el diseño y desarrollo de proyectos de extensión y proyección  social</t>
  </si>
  <si>
    <t xml:space="preserve">Entró en funcionamiento el sistema de control de acceso. </t>
  </si>
  <si>
    <t>Funcionamiento del sistema de control de acceso</t>
  </si>
  <si>
    <t>1.Capacitación en Segregación de Residuos.
2.Capacitación en Movimiento Interno de Residuos.
3.Instalación de dispositivos de baterías, envases de fármacos, fármacos parcialmente utilizados y/o vencidos.
4.Concesión de recolección de residuos aprovechables a cooperativas de reciclaje.</t>
  </si>
  <si>
    <t>Realización de 2 capacitaciones, instalación de dispositivos y concesión de recoleccion de residuos</t>
  </si>
  <si>
    <t>El cumplimiento de la meta fue informado en primer seguimiento</t>
  </si>
  <si>
    <t>Se cumplio con la actividad definida tal como se informo en primer seguimiento</t>
  </si>
  <si>
    <t>Verificación de ordenes de pago con requisitos legales, contables y administrativos</t>
  </si>
  <si>
    <t>Verificar titulos valores de las cuentas no retiradas y confrontarlo con conciliaciones bancarias</t>
  </si>
  <si>
    <t>se realizaron reuniones correspondiente al Segundo Cuatrimestre de 2016 con el animo de  consolidar informes .</t>
  </si>
  <si>
    <t>Reuniones correpondiente al segundo cuatrimestre con el animo de consolidar informes</t>
  </si>
  <si>
    <t>Las propuestas presentadas fueron evaluadas y ante el no cumplimiento de los lineamientos del PEI, se requerirán nuevas propuestas a la Universidad Nacional y CESA de Medellín, quienes tienen experiencia sobre la metodología assessment center.</t>
  </si>
  <si>
    <t xml:space="preserve">Se está ejecuntando la inducción a traves del documento Programa de Inducción y Reiducción de la Universidad del Magdalena. Se definió una dinamica de aprendizaje para el programa de reinducción </t>
  </si>
  <si>
    <t>Ante el no cumplimiento de los lineamiento PEI, se requeriran nuevas propuestas a UNAL y CESA</t>
  </si>
  <si>
    <t>Se definio una dinamica de aprendizaje para el programa de reinducción</t>
  </si>
  <si>
    <t>Está elaborado el documento del Plan de Incentivos, revisado por el acesor externo , y  se están realizando los ajustes recomendados. La Dirección de Talento Humanjo en coordinación con Bienestar Universitario realizan actividades de bienestar y salud laboral.</t>
  </si>
  <si>
    <t>Se estan realizando ajustes recomendados por asesor externo</t>
  </si>
  <si>
    <t xml:space="preserve">Se programaron para el mes de septiembre de 2016 jornadas de trabajo con la practicante de Gestión de la Calidad.  </t>
  </si>
  <si>
    <t xml:space="preserve">Se programaron para el mes de septiembre jordanas de trabajo </t>
  </si>
  <si>
    <t>Se está generando la identificación y caractrización actualizada de los Procedimientos de la Dirección dee Talento Humano, para su revisión inicial y validación con el equipo de Gestión de Calidad.</t>
  </si>
  <si>
    <t>Se encuentran en proceso de revision inicial y validacion</t>
  </si>
  <si>
    <t xml:space="preserve">Se solicitó una actualización con corte a 30/03/2016.
</t>
  </si>
  <si>
    <t>No se han iniciado actividades</t>
  </si>
  <si>
    <t>1
2</t>
  </si>
  <si>
    <t>Se realizó la audiencia pública de rendición de cuentas 2016 del Rector.
Se han realizado las audiencias de dos facultades (Ciencias Básicas y Ciencias de la Salud)</t>
  </si>
  <si>
    <t>Audiencias de rendición de cuentas de Rectoria, Fac ciencias basicas y Fac ciencias de la salud</t>
  </si>
  <si>
    <t>Se reprograma la fecha de cumplimiento de la actividad, debido a la implementación del nuevo SNIES.</t>
  </si>
  <si>
    <t>Se está articulando la ejecución del proyecto con los nuevos lineamientos de actualización de la norma ISO 9001:2015, en lo relacionado con la gestión de indicadores.</t>
  </si>
  <si>
    <t>Requiere actualización de mapa del proceso y socialización para poder reprogramar las fechas</t>
  </si>
  <si>
    <t>Se encuentran en proceso de articulacion de ejecución de proyecto con lineamientos ISO</t>
  </si>
  <si>
    <t>No se ha realizado petición formal en lo que va del año 2016</t>
  </si>
  <si>
    <t>Reuniones internas para revisión de procesos de selección de personal</t>
  </si>
  <si>
    <t>Reuniones internas del grupo de trabajo de la vicerrectoria para mejorar procesos internos</t>
  </si>
  <si>
    <t>Reuniones internas para revisión de procesos de gestión documental</t>
  </si>
  <si>
    <t xml:space="preserve">En esta etapa se ha realizado un análisis preliminar desde la vicerrectoria Académica sobre las causas que ocasionan las perdidas de los registros calificados de los programas. Revisando los procesos internos que regulan ela adquisición y permanencia de los registros calificados. </t>
  </si>
  <si>
    <t>Analisis preliminar sobre las causas que ocasionan la perdida de los registros</t>
  </si>
  <si>
    <t>Inducciones a docentes nuevos, reuniones con decanos para organización y desarrollo de convocatorias docentes, reuniones con decanos para organización de carga académica</t>
  </si>
  <si>
    <t>Inducción a docentes nuevos, reuniones con decanos</t>
  </si>
  <si>
    <t>Análisis desde la vicerrectoria académica para revisar las necesidades de los programas académicos</t>
  </si>
  <si>
    <t>Analisis para revisar las necesidades de programas academicos</t>
  </si>
  <si>
    <t>Propuesta de actualización de la política enviada al rector para su valoración (Enviado el: miércoles, 09 de marzo de 2016 06:42 p.m. al correo de rectoría)</t>
  </si>
  <si>
    <t>Enviado por correo electronico la propuesta y se encuentra en revisión por el rector</t>
  </si>
  <si>
    <t>Correo electrónico enviado por el Director de Comunicaciones al equipo de trabajo sobre nueva asignación de fuentes y ajustes de acciones</t>
  </si>
  <si>
    <t>Correo enviado al equipo de trabajo sobre asignación de fuentes y ajustes de acciones</t>
  </si>
  <si>
    <t>Correo enviado al equipo de trabajo</t>
  </si>
  <si>
    <t>No hay avance</t>
  </si>
  <si>
    <t>Guía disponible en el Sistema  formato TI-G04 y procedimiento  TI- P08</t>
  </si>
  <si>
    <t>No se evidencio avance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</si>
</sst>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dd/"/>
    <numFmt numFmtId="165" formatCode="0.0"/>
    <numFmt numFmtId="166" formatCode="0.0%"/>
  </numFmts>
  <fonts count="9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Arial"/>
      <family val="2"/>
    </font>
    <font>
      <u/>
      <sz val="12"/>
      <color indexed="12"/>
      <name val="Arial"/>
      <family val="2"/>
    </font>
    <font>
      <sz val="12"/>
      <name val="Arial"/>
      <family val="2"/>
    </font>
    <font>
      <sz val="11"/>
      <color indexed="8"/>
      <name val="Calibri"/>
      <family val="2"/>
    </font>
    <font>
      <sz val="12"/>
      <name val="Calibri"/>
      <family val="2"/>
    </font>
    <font>
      <sz val="11"/>
      <color indexed="8"/>
      <name val="Calibri"/>
      <family val="2"/>
    </font>
    <font>
      <b/>
      <sz val="12"/>
      <name val="Calibri"/>
      <family val="2"/>
    </font>
    <font>
      <b/>
      <sz val="12"/>
      <color indexed="9"/>
      <name val="Calibri"/>
      <family val="2"/>
    </font>
    <font>
      <u/>
      <sz val="12"/>
      <color indexed="12"/>
      <name val="Arial"/>
      <family val="2"/>
    </font>
    <font>
      <b/>
      <sz val="12"/>
      <color indexed="81"/>
      <name val="Calibri"/>
      <family val="2"/>
    </font>
    <font>
      <sz val="12"/>
      <color indexed="81"/>
      <name val="Calibri"/>
      <family val="2"/>
    </font>
    <font>
      <b/>
      <sz val="12"/>
      <name val="Arial"/>
      <family val="2"/>
    </font>
    <font>
      <b/>
      <i/>
      <sz val="12"/>
      <color indexed="81"/>
      <name val="Calibri"/>
      <family val="2"/>
    </font>
    <font>
      <b/>
      <sz val="12"/>
      <color indexed="62"/>
      <name val="Arial"/>
      <family val="2"/>
    </font>
    <font>
      <sz val="14"/>
      <color indexed="81"/>
      <name val="Tahoma"/>
      <family val="2"/>
    </font>
    <font>
      <b/>
      <sz val="12"/>
      <color indexed="81"/>
      <name val="Tahoma"/>
      <family val="2"/>
    </font>
    <font>
      <sz val="12"/>
      <color indexed="81"/>
      <name val="Tahoma"/>
      <family val="2"/>
    </font>
    <font>
      <sz val="11"/>
      <color theme="1"/>
      <name val="Calibri"/>
      <family val="2"/>
      <scheme val="minor"/>
    </font>
    <font>
      <sz val="11"/>
      <color theme="0"/>
      <name val="Calibri"/>
      <family val="2"/>
      <scheme val="minor"/>
    </font>
    <font>
      <sz val="12"/>
      <name val="Calibri"/>
      <family val="2"/>
      <scheme val="minor"/>
    </font>
    <font>
      <b/>
      <sz val="12"/>
      <name val="Calibri"/>
      <family val="2"/>
      <scheme val="minor"/>
    </font>
    <font>
      <b/>
      <sz val="10"/>
      <name val="Calibri"/>
      <family val="2"/>
      <scheme val="minor"/>
    </font>
    <font>
      <sz val="12"/>
      <color indexed="10"/>
      <name val="Calibri"/>
      <family val="2"/>
      <scheme val="minor"/>
    </font>
    <font>
      <b/>
      <sz val="11"/>
      <color theme="1"/>
      <name val="Calibri"/>
      <family val="2"/>
      <scheme val="minor"/>
    </font>
    <font>
      <b/>
      <sz val="12"/>
      <color indexed="9"/>
      <name val="Calibri"/>
      <family val="2"/>
      <scheme val="minor"/>
    </font>
    <font>
      <b/>
      <sz val="10"/>
      <color theme="1"/>
      <name val="Calibri"/>
      <family val="2"/>
      <scheme val="minor"/>
    </font>
    <font>
      <sz val="9"/>
      <name val="Calibri"/>
      <family val="2"/>
      <scheme val="minor"/>
    </font>
    <font>
      <sz val="12"/>
      <color rgb="FFE7EEF5"/>
      <name val="Arial"/>
      <family val="2"/>
    </font>
    <font>
      <sz val="12"/>
      <color theme="0"/>
      <name val="Calibri"/>
      <family val="2"/>
      <scheme val="minor"/>
    </font>
    <font>
      <b/>
      <sz val="11"/>
      <name val="Calibri"/>
      <family val="2"/>
      <scheme val="minor"/>
    </font>
    <font>
      <b/>
      <sz val="9"/>
      <color theme="1"/>
      <name val="Calibri"/>
      <family val="2"/>
      <scheme val="minor"/>
    </font>
    <font>
      <sz val="10"/>
      <name val="Calibri"/>
      <family val="2"/>
      <scheme val="minor"/>
    </font>
    <font>
      <b/>
      <sz val="12"/>
      <color rgb="FF333399"/>
      <name val="Arial"/>
      <family val="2"/>
    </font>
    <font>
      <sz val="12"/>
      <color rgb="FF333399"/>
      <name val="Calibri"/>
      <family val="2"/>
    </font>
    <font>
      <sz val="12"/>
      <name val="Arial"/>
      <family val="2"/>
    </font>
    <font>
      <b/>
      <sz val="12"/>
      <color rgb="FF333399"/>
      <name val="Calibri"/>
      <family val="2"/>
      <scheme val="minor"/>
    </font>
    <font>
      <b/>
      <sz val="10"/>
      <color rgb="FF333399"/>
      <name val="Calibri"/>
      <family val="2"/>
      <scheme val="minor"/>
    </font>
    <font>
      <b/>
      <sz val="9"/>
      <name val="Calibri"/>
      <family val="2"/>
      <scheme val="minor"/>
    </font>
    <font>
      <b/>
      <sz val="8"/>
      <name val="Calibri"/>
      <family val="2"/>
      <scheme val="minor"/>
    </font>
    <font>
      <b/>
      <sz val="11"/>
      <color rgb="FF333399"/>
      <name val="Calibri"/>
      <family val="2"/>
      <scheme val="minor"/>
    </font>
    <font>
      <b/>
      <sz val="8"/>
      <color rgb="FF333399"/>
      <name val="Calibri"/>
      <family val="2"/>
      <scheme val="minor"/>
    </font>
    <font>
      <b/>
      <sz val="13"/>
      <color theme="1"/>
      <name val="Calibri"/>
      <family val="2"/>
      <scheme val="minor"/>
    </font>
    <font>
      <sz val="11"/>
      <name val="Calibri"/>
      <family val="2"/>
      <scheme val="minor"/>
    </font>
    <font>
      <sz val="8"/>
      <color rgb="FF333399"/>
      <name val="Calibri"/>
      <family val="2"/>
      <scheme val="minor"/>
    </font>
    <font>
      <sz val="12"/>
      <color rgb="FFFF0000"/>
      <name val="Calibri"/>
      <family val="2"/>
    </font>
    <font>
      <b/>
      <sz val="12"/>
      <color rgb="FFFF0000"/>
      <name val="Calibri"/>
      <family val="2"/>
    </font>
    <font>
      <sz val="9"/>
      <name val="Arial"/>
      <family val="2"/>
    </font>
    <font>
      <sz val="11"/>
      <color rgb="FF9C6500"/>
      <name val="Calibri"/>
      <family val="2"/>
      <scheme val="minor"/>
    </font>
    <font>
      <sz val="11"/>
      <color rgb="FFFA7D00"/>
      <name val="Calibri"/>
      <family val="2"/>
      <scheme val="minor"/>
    </font>
    <font>
      <u/>
      <sz val="12"/>
      <color indexed="12"/>
      <name val="Calibri"/>
      <family val="2"/>
      <scheme val="minor"/>
    </font>
    <font>
      <b/>
      <sz val="8"/>
      <name val="Arial"/>
      <family val="2"/>
    </font>
    <font>
      <b/>
      <sz val="8"/>
      <color theme="4" tint="-0.249977111117893"/>
      <name val="Arial"/>
      <family val="2"/>
    </font>
    <font>
      <b/>
      <sz val="9"/>
      <color rgb="FF333399"/>
      <name val="Calibri"/>
      <family val="2"/>
      <scheme val="minor"/>
    </font>
    <font>
      <b/>
      <sz val="11"/>
      <color rgb="FF3F3F3F"/>
      <name val="Calibri"/>
      <family val="2"/>
      <scheme val="minor"/>
    </font>
    <font>
      <b/>
      <sz val="10"/>
      <color rgb="FF3F3F3F"/>
      <name val="Calibri"/>
      <family val="2"/>
      <scheme val="minor"/>
    </font>
    <font>
      <b/>
      <sz val="12"/>
      <color theme="1"/>
      <name val="Calibri"/>
      <family val="2"/>
      <scheme val="minor"/>
    </font>
    <font>
      <b/>
      <sz val="10"/>
      <color theme="5" tint="-0.249977111117893"/>
      <name val="Calibri"/>
      <family val="2"/>
      <scheme val="minor"/>
    </font>
    <font>
      <b/>
      <sz val="10"/>
      <color theme="6" tint="-0.499984740745262"/>
      <name val="Calibri"/>
      <family val="2"/>
      <scheme val="minor"/>
    </font>
    <font>
      <b/>
      <sz val="10"/>
      <color theme="9" tint="-0.249977111117893"/>
      <name val="Calibri"/>
      <family val="2"/>
      <scheme val="minor"/>
    </font>
    <font>
      <b/>
      <sz val="10"/>
      <color rgb="FFC0BC00"/>
      <name val="Calibri"/>
      <family val="2"/>
      <scheme val="minor"/>
    </font>
    <font>
      <b/>
      <sz val="10"/>
      <color theme="5" tint="-0.499984740745262"/>
      <name val="Calibri"/>
      <family val="2"/>
      <scheme val="minor"/>
    </font>
    <font>
      <b/>
      <sz val="12"/>
      <color theme="6" tint="-0.499984740745262"/>
      <name val="Calibri"/>
      <family val="2"/>
      <scheme val="minor"/>
    </font>
    <font>
      <b/>
      <sz val="12"/>
      <color rgb="FFC0BC00"/>
      <name val="Calibri"/>
      <family val="2"/>
      <scheme val="minor"/>
    </font>
    <font>
      <b/>
      <sz val="12"/>
      <color theme="9" tint="-0.249977111117893"/>
      <name val="Calibri"/>
      <family val="2"/>
      <scheme val="minor"/>
    </font>
    <font>
      <b/>
      <sz val="12"/>
      <color theme="5" tint="-0.499984740745262"/>
      <name val="Calibri"/>
      <family val="2"/>
      <scheme val="minor"/>
    </font>
    <font>
      <b/>
      <sz val="10"/>
      <name val="Arial"/>
      <family val="2"/>
    </font>
    <font>
      <sz val="7"/>
      <color theme="1"/>
      <name val="Calibri"/>
      <family val="2"/>
      <scheme val="minor"/>
    </font>
    <font>
      <b/>
      <sz val="11"/>
      <color theme="0"/>
      <name val="Calibri"/>
      <family val="2"/>
      <scheme val="minor"/>
    </font>
    <font>
      <sz val="7"/>
      <name val="Calibri"/>
      <family val="2"/>
      <scheme val="minor"/>
    </font>
    <font>
      <sz val="10"/>
      <color theme="1"/>
      <name val="Calibri"/>
      <family val="2"/>
      <scheme val="minor"/>
    </font>
    <font>
      <b/>
      <sz val="13"/>
      <name val="Calibri"/>
      <family val="2"/>
      <scheme val="minor"/>
    </font>
    <font>
      <b/>
      <sz val="10.5"/>
      <color theme="7" tint="0.79998168889431442"/>
      <name val="Calibri"/>
      <family val="2"/>
      <scheme val="minor"/>
    </font>
    <font>
      <b/>
      <sz val="8"/>
      <color theme="0" tint="-0.34998626667073579"/>
      <name val="Calibri"/>
      <family val="2"/>
      <scheme val="minor"/>
    </font>
    <font>
      <b/>
      <sz val="10"/>
      <color theme="1" tint="0.499984740745262"/>
      <name val="Calibri"/>
      <family val="2"/>
      <scheme val="minor"/>
    </font>
    <font>
      <b/>
      <sz val="12"/>
      <color theme="5" tint="0.39997558519241921"/>
      <name val="Calibri"/>
      <family val="2"/>
      <scheme val="minor"/>
    </font>
    <font>
      <b/>
      <sz val="12"/>
      <color rgb="FFDAD500"/>
      <name val="Calibri"/>
      <family val="2"/>
      <scheme val="minor"/>
    </font>
    <font>
      <b/>
      <sz val="10"/>
      <color rgb="FF4040C0"/>
      <name val="Calibri"/>
      <family val="2"/>
      <scheme val="minor"/>
    </font>
    <font>
      <b/>
      <sz val="11"/>
      <color rgb="FFFFFF61"/>
      <name val="Calibri"/>
      <family val="2"/>
      <scheme val="minor"/>
    </font>
    <font>
      <b/>
      <sz val="11"/>
      <color rgb="FFC0BC00"/>
      <name val="Calibri"/>
      <family val="2"/>
      <scheme val="minor"/>
    </font>
    <font>
      <b/>
      <sz val="10"/>
      <color theme="7" tint="0.79998168889431442"/>
      <name val="Calibri"/>
      <family val="2"/>
      <scheme val="minor"/>
    </font>
    <font>
      <sz val="12"/>
      <color theme="0"/>
      <name val="Arial"/>
      <family val="2"/>
    </font>
    <font>
      <sz val="8"/>
      <name val="Calibri"/>
      <family val="2"/>
      <scheme val="minor"/>
    </font>
    <font>
      <sz val="10"/>
      <name val="Calibri"/>
      <family val="2"/>
    </font>
    <font>
      <b/>
      <sz val="10"/>
      <name val="Calibri"/>
      <family val="2"/>
    </font>
    <font>
      <b/>
      <sz val="10"/>
      <color rgb="FF868300"/>
      <name val="Calibri"/>
      <family val="2"/>
      <scheme val="minor"/>
    </font>
    <font>
      <b/>
      <sz val="12"/>
      <color theme="4" tint="-0.249977111117893"/>
      <name val="Calibri"/>
      <family val="2"/>
      <scheme val="minor"/>
    </font>
    <font>
      <sz val="12"/>
      <name val="Arial"/>
      <family val="2"/>
    </font>
  </fonts>
  <fills count="43">
    <fill>
      <patternFill patternType="none"/>
    </fill>
    <fill>
      <patternFill patternType="gray125"/>
    </fill>
    <fill>
      <patternFill patternType="solid">
        <fgColor indexed="62"/>
        <bgColor indexed="42"/>
      </patternFill>
    </fill>
    <fill>
      <patternFill patternType="solid">
        <fgColor theme="4" tint="0.79998168889431442"/>
        <bgColor indexed="65"/>
      </patternFill>
    </fill>
    <fill>
      <patternFill patternType="solid">
        <fgColor theme="4"/>
      </patternFill>
    </fill>
    <fill>
      <patternFill patternType="solid">
        <fgColor theme="9"/>
      </patternFill>
    </fill>
    <fill>
      <patternFill patternType="solid">
        <fgColor theme="9" tint="0.59999389629810485"/>
        <bgColor indexed="65"/>
      </patternFill>
    </fill>
    <fill>
      <patternFill patternType="solid">
        <fgColor theme="4" tint="0.59999389629810485"/>
        <bgColor indexed="64"/>
      </patternFill>
    </fill>
    <fill>
      <patternFill patternType="solid">
        <fgColor theme="4" tint="0.39997558519241921"/>
        <bgColor indexed="42"/>
      </patternFill>
    </fill>
    <fill>
      <patternFill patternType="solid">
        <fgColor theme="4" tint="0.39997558519241921"/>
        <bgColor indexed="64"/>
      </patternFill>
    </fill>
    <fill>
      <patternFill patternType="solid">
        <fgColor theme="4" tint="0.59999389629810485"/>
        <bgColor indexed="4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42"/>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42"/>
      </patternFill>
    </fill>
    <fill>
      <patternFill patternType="solid">
        <fgColor theme="0"/>
        <bgColor indexed="42"/>
      </patternFill>
    </fill>
    <fill>
      <patternFill patternType="solid">
        <fgColor theme="9" tint="0.39997558519241921"/>
        <bgColor indexed="64"/>
      </patternFill>
    </fill>
    <fill>
      <patternFill patternType="solid">
        <fgColor theme="6" tint="0.59999389629810485"/>
        <bgColor indexed="42"/>
      </patternFill>
    </fill>
    <fill>
      <patternFill patternType="solid">
        <fgColor theme="9" tint="0.39997558519241921"/>
        <bgColor indexed="42"/>
      </patternFill>
    </fill>
    <fill>
      <patternFill patternType="solid">
        <fgColor theme="6" tint="0.39997558519241921"/>
        <bgColor indexed="64"/>
      </patternFill>
    </fill>
    <fill>
      <patternFill patternType="solid">
        <fgColor theme="0" tint="-4.9989318521683403E-2"/>
        <bgColor indexed="42"/>
      </patternFill>
    </fill>
    <fill>
      <patternFill patternType="solid">
        <fgColor rgb="FFFFFFFF"/>
        <bgColor indexed="64"/>
      </patternFill>
    </fill>
    <fill>
      <patternFill patternType="solid">
        <fgColor theme="6"/>
        <bgColor indexed="64"/>
      </patternFill>
    </fill>
    <fill>
      <patternFill patternType="solid">
        <fgColor rgb="FFFFEB9C"/>
      </patternFill>
    </fill>
    <fill>
      <patternFill patternType="solid">
        <fgColor theme="9" tint="0.59999389629810485"/>
        <bgColor indexed="64"/>
      </patternFill>
    </fill>
    <fill>
      <patternFill patternType="solid">
        <fgColor theme="9" tint="0.59999389629810485"/>
        <bgColor indexed="42"/>
      </patternFill>
    </fill>
    <fill>
      <patternFill patternType="solid">
        <fgColor rgb="FFF2F2F2"/>
      </patternFill>
    </fill>
    <fill>
      <patternFill patternType="solid">
        <fgColor theme="4" tint="0.79998168889431442"/>
        <bgColor indexed="64"/>
      </patternFill>
    </fill>
    <fill>
      <patternFill patternType="solid">
        <fgColor theme="5" tint="0.59999389629810485"/>
        <bgColor indexed="65"/>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9B"/>
        <bgColor indexed="64"/>
      </patternFill>
    </fill>
    <fill>
      <patternFill patternType="solid">
        <fgColor rgb="FFA5A5A5"/>
      </patternFill>
    </fill>
    <fill>
      <patternFill patternType="solid">
        <fgColor theme="0" tint="-0.249977111117893"/>
        <bgColor indexed="64"/>
      </patternFill>
    </fill>
    <fill>
      <patternFill patternType="solid">
        <fgColor rgb="FFFFFF61"/>
        <bgColor indexed="64"/>
      </patternFill>
    </fill>
    <fill>
      <patternFill patternType="solid">
        <fgColor rgb="FFFFFFB7"/>
        <bgColor indexed="64"/>
      </patternFill>
    </fill>
    <fill>
      <patternFill patternType="solid">
        <fgColor rgb="FF7030A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C1"/>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double">
        <color rgb="FFFF8001"/>
      </bottom>
      <diagonal/>
    </border>
    <border>
      <left style="thin">
        <color indexed="64"/>
      </left>
      <right style="thin">
        <color indexed="64"/>
      </right>
      <top style="thin">
        <color indexed="64"/>
      </top>
      <bottom style="double">
        <color theme="9" tint="-0.249977111117893"/>
      </bottom>
      <diagonal/>
    </border>
    <border>
      <left style="thin">
        <color rgb="FF3F3F3F"/>
      </left>
      <right style="thin">
        <color rgb="FF3F3F3F"/>
      </right>
      <top style="thin">
        <color rgb="FF3F3F3F"/>
      </top>
      <bottom style="thin">
        <color rgb="FF3F3F3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indexed="64"/>
      </left>
      <right/>
      <top style="double">
        <color rgb="FF3F3F3F"/>
      </top>
      <bottom/>
      <diagonal/>
    </border>
    <border>
      <left/>
      <right/>
      <top style="double">
        <color rgb="FF3F3F3F"/>
      </top>
      <bottom/>
      <diagonal/>
    </border>
    <border>
      <left/>
      <right style="thin">
        <color indexed="64"/>
      </right>
      <top style="double">
        <color rgb="FF3F3F3F"/>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thin">
        <color indexed="64"/>
      </right>
      <top style="double">
        <color rgb="FF3F3F3F"/>
      </top>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style="thin">
        <color indexed="64"/>
      </left>
      <right/>
      <top style="thin">
        <color indexed="64"/>
      </top>
      <bottom style="double">
        <color theme="9" tint="-0.249977111117893"/>
      </bottom>
      <diagonal/>
    </border>
    <border>
      <left/>
      <right style="thin">
        <color indexed="64"/>
      </right>
      <top style="thin">
        <color indexed="64"/>
      </top>
      <bottom style="double">
        <color theme="9" tint="-0.249977111117893"/>
      </bottom>
      <diagonal/>
    </border>
    <border>
      <left/>
      <right/>
      <top style="thin">
        <color indexed="64"/>
      </top>
      <bottom style="double">
        <color rgb="FFFF8001"/>
      </bottom>
      <diagonal/>
    </border>
    <border>
      <left/>
      <right style="thin">
        <color indexed="64"/>
      </right>
      <top style="thin">
        <color indexed="64"/>
      </top>
      <bottom style="double">
        <color rgb="FFFF8001"/>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style="medium">
        <color rgb="FF868300"/>
      </left>
      <right style="thin">
        <color rgb="FF868300"/>
      </right>
      <top style="medium">
        <color rgb="FF868300"/>
      </top>
      <bottom style="medium">
        <color rgb="FF868300"/>
      </bottom>
      <diagonal/>
    </border>
    <border>
      <left style="thin">
        <color rgb="FF868300"/>
      </left>
      <right style="thin">
        <color rgb="FF868300"/>
      </right>
      <top style="medium">
        <color rgb="FF868300"/>
      </top>
      <bottom style="medium">
        <color rgb="FF868300"/>
      </bottom>
      <diagonal/>
    </border>
    <border>
      <left style="thin">
        <color rgb="FF868300"/>
      </left>
      <right style="medium">
        <color rgb="FF868300"/>
      </right>
      <top style="medium">
        <color rgb="FF868300"/>
      </top>
      <bottom style="medium">
        <color rgb="FF868300"/>
      </bottom>
      <diagonal/>
    </border>
    <border>
      <left style="double">
        <color rgb="FF3F3F3F"/>
      </left>
      <right style="thin">
        <color indexed="64"/>
      </right>
      <top style="thin">
        <color indexed="64"/>
      </top>
      <bottom/>
      <diagonal/>
    </border>
  </borders>
  <cellStyleXfs count="15">
    <xf numFmtId="0" fontId="0" fillId="0" borderId="0"/>
    <xf numFmtId="0" fontId="22" fillId="3" borderId="0" applyNumberFormat="0" applyBorder="0" applyAlignment="0" applyProtection="0"/>
    <xf numFmtId="0" fontId="22" fillId="6"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6" fillId="0" borderId="0" applyNumberFormat="0" applyFill="0" applyBorder="0" applyAlignment="0" applyProtection="0">
      <alignment vertical="top"/>
      <protection locked="0"/>
    </xf>
    <xf numFmtId="9" fontId="39" fillId="0" borderId="0" applyFont="0" applyFill="0" applyBorder="0" applyAlignment="0" applyProtection="0"/>
    <xf numFmtId="0" fontId="52" fillId="25" borderId="0" applyNumberFormat="0" applyBorder="0" applyAlignment="0" applyProtection="0"/>
    <xf numFmtId="0" fontId="53" fillId="0" borderId="27" applyNumberFormat="0" applyFill="0" applyAlignment="0" applyProtection="0"/>
    <xf numFmtId="0" fontId="58" fillId="28" borderId="29" applyNumberFormat="0" applyAlignment="0" applyProtection="0"/>
    <xf numFmtId="0" fontId="3" fillId="30" borderId="0" applyNumberFormat="0" applyBorder="0" applyAlignment="0" applyProtection="0"/>
    <xf numFmtId="0" fontId="72" fillId="34" borderId="33" applyNumberFormat="0" applyAlignment="0" applyProtection="0"/>
    <xf numFmtId="0" fontId="7" fillId="0" borderId="0"/>
    <xf numFmtId="0" fontId="7" fillId="0" borderId="0"/>
    <xf numFmtId="43" fontId="91" fillId="0" borderId="0" applyFont="0" applyFill="0" applyBorder="0" applyAlignment="0" applyProtection="0"/>
  </cellStyleXfs>
  <cellXfs count="712">
    <xf numFmtId="0" fontId="0" fillId="0" borderId="0" xfId="0"/>
    <xf numFmtId="0" fontId="9" fillId="0" borderId="0" xfId="0" applyFont="1"/>
    <xf numFmtId="0" fontId="11" fillId="0" borderId="0" xfId="0" applyFont="1"/>
    <xf numFmtId="0" fontId="24" fillId="0" borderId="0" xfId="0" applyFont="1" applyAlignment="1">
      <alignment vertical="center" wrapText="1"/>
    </xf>
    <xf numFmtId="0" fontId="25" fillId="7" borderId="1" xfId="0" applyFont="1" applyFill="1" applyBorder="1" applyAlignment="1">
      <alignment horizontal="center" vertical="center" wrapText="1"/>
    </xf>
    <xf numFmtId="0" fontId="24" fillId="0" borderId="0" xfId="0" applyFont="1" applyAlignment="1">
      <alignment horizontal="center" vertical="center" wrapText="1"/>
    </xf>
    <xf numFmtId="0" fontId="25" fillId="8" borderId="1" xfId="0" applyFont="1" applyFill="1" applyBorder="1" applyAlignment="1">
      <alignment horizontal="center" vertical="center" wrapText="1"/>
    </xf>
    <xf numFmtId="0" fontId="9" fillId="0" borderId="0" xfId="0" applyFont="1" applyFill="1"/>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5" fillId="8" borderId="1" xfId="0" applyFont="1" applyFill="1" applyBorder="1" applyAlignment="1">
      <alignment vertical="center" wrapText="1"/>
    </xf>
    <xf numFmtId="0" fontId="24" fillId="11" borderId="1" xfId="0" applyFont="1" applyFill="1" applyBorder="1" applyAlignment="1" applyProtection="1">
      <alignment horizontal="center" vertical="center" wrapText="1"/>
      <protection hidden="1"/>
    </xf>
    <xf numFmtId="0" fontId="10" fillId="3" borderId="0" xfId="1" applyFont="1" applyBorder="1" applyProtection="1">
      <protection hidden="1"/>
    </xf>
    <xf numFmtId="0" fontId="8" fillId="3" borderId="0" xfId="1" applyFont="1" applyBorder="1" applyProtection="1">
      <protection hidden="1"/>
    </xf>
    <xf numFmtId="0" fontId="9" fillId="0" borderId="0" xfId="0" applyFont="1" applyProtection="1">
      <protection hidden="1"/>
    </xf>
    <xf numFmtId="0" fontId="27" fillId="11" borderId="1" xfId="0" applyFont="1" applyFill="1" applyBorder="1" applyAlignment="1" applyProtection="1">
      <alignment horizontal="center" vertical="center" wrapText="1"/>
      <protection hidden="1"/>
    </xf>
    <xf numFmtId="0" fontId="11" fillId="9" borderId="1" xfId="3" applyFont="1" applyFill="1" applyBorder="1" applyAlignment="1">
      <alignment vertical="center" wrapText="1"/>
    </xf>
    <xf numFmtId="0" fontId="27" fillId="0" borderId="1" xfId="0" applyFont="1" applyBorder="1" applyAlignment="1" applyProtection="1">
      <alignment horizontal="center" vertical="center" wrapText="1"/>
    </xf>
    <xf numFmtId="0" fontId="24" fillId="11" borderId="1" xfId="0" applyFont="1" applyFill="1" applyBorder="1" applyAlignment="1" applyProtection="1">
      <alignment horizontal="center" vertical="center" wrapText="1"/>
      <protection hidden="1"/>
    </xf>
    <xf numFmtId="0" fontId="24" fillId="12" borderId="1" xfId="0"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0" fontId="24" fillId="0" borderId="2"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6" fillId="13" borderId="1" xfId="0" applyFont="1" applyFill="1" applyBorder="1" applyAlignment="1">
      <alignment horizontal="center" vertical="center" wrapText="1"/>
    </xf>
    <xf numFmtId="0" fontId="0" fillId="14" borderId="0" xfId="0" applyFill="1"/>
    <xf numFmtId="0" fontId="13" fillId="14" borderId="0" xfId="5" applyFont="1" applyFill="1" applyAlignment="1" applyProtection="1">
      <alignment horizontal="center" vertical="center"/>
    </xf>
    <xf numFmtId="0" fontId="24" fillId="0" borderId="1" xfId="0" applyFont="1" applyBorder="1" applyAlignment="1" applyProtection="1">
      <alignment horizontal="center" vertical="center" wrapText="1"/>
      <protection locked="0"/>
    </xf>
    <xf numFmtId="0" fontId="25" fillId="8" borderId="1" xfId="0" applyFont="1" applyFill="1" applyBorder="1" applyAlignment="1">
      <alignment horizontal="center" vertical="center" wrapText="1"/>
    </xf>
    <xf numFmtId="0" fontId="13" fillId="14" borderId="0" xfId="5" applyFont="1" applyFill="1" applyAlignment="1" applyProtection="1">
      <alignment horizontal="center"/>
    </xf>
    <xf numFmtId="0" fontId="7" fillId="0" borderId="1" xfId="0" applyFont="1" applyBorder="1" applyAlignment="1">
      <alignment vertical="center" wrapText="1"/>
    </xf>
    <xf numFmtId="0" fontId="24" fillId="14" borderId="9" xfId="0" applyFont="1" applyFill="1" applyBorder="1" applyAlignment="1">
      <alignment horizontal="center" vertical="center" wrapText="1"/>
    </xf>
    <xf numFmtId="0" fontId="24" fillId="14" borderId="1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4" fillId="14" borderId="0" xfId="0" applyFont="1" applyFill="1" applyAlignment="1">
      <alignment vertical="center" wrapText="1"/>
    </xf>
    <xf numFmtId="0" fontId="7" fillId="14" borderId="1" xfId="0" applyFont="1" applyFill="1" applyBorder="1" applyAlignment="1">
      <alignment vertical="center" wrapText="1"/>
    </xf>
    <xf numFmtId="0" fontId="16" fillId="14" borderId="0" xfId="0" applyFont="1" applyFill="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8" fillId="6" borderId="1" xfId="2" applyFont="1" applyBorder="1" applyAlignment="1">
      <alignment horizontal="center" vertical="center" wrapText="1"/>
    </xf>
    <xf numFmtId="0" fontId="7" fillId="0" borderId="0" xfId="0" applyFont="1" applyBorder="1" applyAlignment="1">
      <alignment horizontal="left" vertical="center" wrapText="1"/>
    </xf>
    <xf numFmtId="0" fontId="7" fillId="14" borderId="0" xfId="0" applyFont="1" applyFill="1" applyBorder="1" applyAlignment="1">
      <alignment horizontal="left" vertical="center" wrapText="1"/>
    </xf>
    <xf numFmtId="0" fontId="29" fillId="15" borderId="0" xfId="0" applyFont="1" applyFill="1" applyBorder="1" applyAlignment="1">
      <alignment horizontal="center" vertical="center" wrapText="1"/>
    </xf>
    <xf numFmtId="0" fontId="24" fillId="12" borderId="0" xfId="0" applyFont="1" applyFill="1" applyBorder="1" applyAlignment="1" applyProtection="1">
      <alignment horizontal="left" vertical="center" wrapText="1"/>
      <protection hidden="1"/>
    </xf>
    <xf numFmtId="0" fontId="24" fillId="0" borderId="0" xfId="0" applyFont="1" applyAlignment="1">
      <alignment horizontal="center" vertical="center" wrapText="1"/>
    </xf>
    <xf numFmtId="0" fontId="30" fillId="6" borderId="1" xfId="2" applyFont="1" applyBorder="1" applyAlignment="1">
      <alignment horizontal="center" vertical="center" wrapText="1"/>
    </xf>
    <xf numFmtId="0" fontId="24" fillId="0" borderId="1" xfId="0" applyFont="1" applyBorder="1" applyAlignment="1" applyProtection="1">
      <alignment vertical="center" wrapText="1"/>
      <protection locked="0"/>
    </xf>
    <xf numFmtId="0" fontId="24" fillId="0" borderId="1" xfId="0" applyFont="1" applyBorder="1" applyAlignment="1" applyProtection="1">
      <alignment horizontal="left" vertical="center" wrapText="1"/>
    </xf>
    <xf numFmtId="0" fontId="24" fillId="0" borderId="1" xfId="0" applyFont="1" applyFill="1" applyBorder="1" applyAlignment="1" applyProtection="1">
      <alignment horizontal="center" vertical="center" wrapText="1"/>
      <protection locked="0"/>
    </xf>
    <xf numFmtId="0" fontId="31" fillId="12" borderId="1" xfId="0" applyFont="1" applyFill="1" applyBorder="1" applyAlignment="1" applyProtection="1">
      <alignment horizontal="center" vertical="center" wrapText="1"/>
      <protection hidden="1"/>
    </xf>
    <xf numFmtId="0" fontId="24" fillId="14" borderId="0" xfId="0" applyFont="1" applyFill="1" applyBorder="1" applyAlignment="1">
      <alignment vertical="center" wrapText="1"/>
    </xf>
    <xf numFmtId="0" fontId="6" fillId="14" borderId="0" xfId="5" applyFill="1" applyAlignment="1" applyProtection="1">
      <alignment horizontal="center" vertical="center"/>
    </xf>
    <xf numFmtId="0" fontId="6" fillId="14" borderId="0" xfId="5" applyFill="1" applyAlignment="1" applyProtection="1"/>
    <xf numFmtId="0" fontId="13" fillId="14" borderId="0" xfId="5" applyFont="1" applyFill="1" applyAlignment="1" applyProtection="1"/>
    <xf numFmtId="0" fontId="24" fillId="0" borderId="0" xfId="0" applyFont="1" applyAlignment="1">
      <alignment horizontal="center" vertical="center" wrapText="1"/>
    </xf>
    <xf numFmtId="0" fontId="25" fillId="9" borderId="13" xfId="0" applyFont="1" applyFill="1" applyBorder="1" applyAlignment="1" applyProtection="1">
      <alignment vertical="center" wrapText="1"/>
      <protection locked="0"/>
    </xf>
    <xf numFmtId="0" fontId="25" fillId="8" borderId="1" xfId="0" applyFont="1" applyFill="1" applyBorder="1" applyAlignment="1">
      <alignment horizontal="center" vertical="center" wrapText="1"/>
    </xf>
    <xf numFmtId="0" fontId="24" fillId="12" borderId="1" xfId="0" applyFont="1" applyFill="1" applyBorder="1" applyAlignment="1" applyProtection="1">
      <alignment horizontal="center" vertical="center" wrapText="1"/>
      <protection hidden="1"/>
    </xf>
    <xf numFmtId="0" fontId="26" fillId="13" borderId="8" xfId="0" applyFont="1" applyFill="1" applyBorder="1" applyAlignment="1">
      <alignment horizontal="center" vertical="center" wrapText="1"/>
    </xf>
    <xf numFmtId="0" fontId="24" fillId="0" borderId="0" xfId="0" applyFont="1" applyAlignment="1">
      <alignment horizontal="center" vertical="center" wrapText="1"/>
    </xf>
    <xf numFmtId="0" fontId="6" fillId="14" borderId="0" xfId="5" applyFill="1" applyAlignment="1" applyProtection="1">
      <alignment horizontal="center"/>
    </xf>
    <xf numFmtId="0" fontId="29" fillId="15" borderId="17" xfId="0" applyFont="1" applyFill="1" applyBorder="1" applyAlignment="1">
      <alignment horizontal="right" vertical="center" wrapText="1"/>
    </xf>
    <xf numFmtId="0" fontId="24" fillId="0" borderId="7" xfId="0" applyFont="1" applyBorder="1" applyAlignment="1" applyProtection="1">
      <alignment vertical="center" wrapText="1"/>
      <protection locked="0"/>
    </xf>
    <xf numFmtId="0" fontId="32" fillId="14" borderId="0" xfId="0" applyFont="1" applyFill="1"/>
    <xf numFmtId="0" fontId="35" fillId="6" borderId="1" xfId="2" applyFont="1" applyBorder="1" applyAlignment="1">
      <alignment horizontal="center" vertical="center" wrapText="1"/>
    </xf>
    <xf numFmtId="0" fontId="25" fillId="9" borderId="1" xfId="3" applyFont="1" applyFill="1" applyBorder="1" applyAlignment="1">
      <alignment horizontal="center" vertical="center" wrapText="1"/>
    </xf>
    <xf numFmtId="0" fontId="4" fillId="3" borderId="0" xfId="1" applyFont="1" applyBorder="1" applyProtection="1">
      <protection hidden="1"/>
    </xf>
    <xf numFmtId="0" fontId="26" fillId="20" borderId="1" xfId="0" applyFont="1" applyFill="1" applyBorder="1" applyAlignment="1">
      <alignment horizontal="center" vertical="center" wrapText="1"/>
    </xf>
    <xf numFmtId="0" fontId="26" fillId="20" borderId="7" xfId="0" applyFont="1" applyFill="1" applyBorder="1" applyAlignment="1">
      <alignment horizontal="center" vertical="center" wrapText="1"/>
    </xf>
    <xf numFmtId="0" fontId="26" fillId="19" borderId="1" xfId="0" applyFont="1" applyFill="1" applyBorder="1" applyAlignment="1">
      <alignment horizontal="center" vertical="center" wrapText="1"/>
    </xf>
    <xf numFmtId="0" fontId="24" fillId="12" borderId="1" xfId="0" applyFont="1" applyFill="1" applyBorder="1" applyAlignment="1" applyProtection="1">
      <alignment vertical="center" wrapText="1"/>
      <protection hidden="1"/>
    </xf>
    <xf numFmtId="0" fontId="41" fillId="19" borderId="1" xfId="0" applyFont="1" applyFill="1" applyBorder="1" applyAlignment="1">
      <alignment horizontal="center" vertical="center" wrapText="1"/>
    </xf>
    <xf numFmtId="0" fontId="42" fillId="8" borderId="1" xfId="0" applyFont="1" applyFill="1" applyBorder="1" applyAlignment="1">
      <alignment horizontal="center" vertical="center" wrapText="1"/>
    </xf>
    <xf numFmtId="0" fontId="24" fillId="0" borderId="1" xfId="0" applyFont="1" applyBorder="1"/>
    <xf numFmtId="0" fontId="36" fillId="12" borderId="1" xfId="0" applyFont="1" applyFill="1" applyBorder="1" applyAlignment="1" applyProtection="1">
      <alignment horizontal="left" vertical="center" wrapText="1"/>
    </xf>
    <xf numFmtId="0" fontId="26" fillId="22" borderId="7" xfId="0" applyFont="1" applyFill="1" applyBorder="1" applyAlignment="1">
      <alignment horizontal="center" vertical="center" wrapText="1"/>
    </xf>
    <xf numFmtId="1" fontId="24" fillId="0" borderId="1" xfId="0" applyNumberFormat="1" applyFont="1" applyBorder="1"/>
    <xf numFmtId="0" fontId="41" fillId="22" borderId="1" xfId="0" applyFont="1" applyFill="1" applyBorder="1" applyAlignment="1">
      <alignment horizontal="center" vertical="center" wrapText="1"/>
    </xf>
    <xf numFmtId="9" fontId="41" fillId="19" borderId="1" xfId="6" applyFont="1" applyFill="1" applyBorder="1" applyAlignment="1">
      <alignment horizontal="center" vertical="center" wrapText="1"/>
    </xf>
    <xf numFmtId="14" fontId="25" fillId="12" borderId="6" xfId="0" applyNumberFormat="1" applyFont="1" applyFill="1" applyBorder="1" applyAlignment="1">
      <alignment horizontal="center"/>
    </xf>
    <xf numFmtId="0" fontId="25" fillId="12" borderId="1" xfId="0" applyNumberFormat="1" applyFont="1" applyFill="1" applyBorder="1" applyAlignment="1">
      <alignment horizontal="center"/>
    </xf>
    <xf numFmtId="164" fontId="40" fillId="12" borderId="8" xfId="0" applyNumberFormat="1" applyFont="1" applyFill="1" applyBorder="1" applyAlignment="1">
      <alignment horizontal="center"/>
    </xf>
    <xf numFmtId="14" fontId="40" fillId="12" borderId="8" xfId="0" applyNumberFormat="1" applyFont="1" applyFill="1" applyBorder="1" applyAlignment="1">
      <alignment horizontal="center"/>
    </xf>
    <xf numFmtId="14" fontId="9" fillId="0" borderId="0" xfId="0" applyNumberFormat="1" applyFont="1"/>
    <xf numFmtId="0" fontId="25" fillId="8" borderId="1" xfId="0" applyFont="1" applyFill="1" applyBorder="1" applyAlignment="1">
      <alignment horizontal="center" vertical="center" wrapText="1"/>
    </xf>
    <xf numFmtId="0" fontId="25" fillId="12" borderId="7" xfId="0" applyNumberFormat="1" applyFont="1" applyFill="1" applyBorder="1" applyAlignment="1">
      <alignment horizontal="center"/>
    </xf>
    <xf numFmtId="0" fontId="25" fillId="0" borderId="0" xfId="0" applyFont="1"/>
    <xf numFmtId="0" fontId="25" fillId="8" borderId="1" xfId="0" applyFont="1" applyFill="1" applyBorder="1" applyAlignment="1">
      <alignment horizontal="center" vertical="center" wrapText="1"/>
    </xf>
    <xf numFmtId="0" fontId="0" fillId="0" borderId="0" xfId="0" applyAlignment="1">
      <alignment horizontal="center"/>
    </xf>
    <xf numFmtId="14" fontId="24" fillId="0" borderId="1" xfId="0" applyNumberFormat="1" applyFont="1" applyBorder="1" applyAlignment="1">
      <alignment vertical="center" wrapText="1"/>
    </xf>
    <xf numFmtId="0" fontId="24" fillId="23" borderId="1" xfId="0" applyFont="1" applyFill="1" applyBorder="1" applyAlignment="1" applyProtection="1">
      <alignment horizontal="left" vertical="center" wrapText="1"/>
      <protection locked="0"/>
    </xf>
    <xf numFmtId="0" fontId="26" fillId="22" borderId="1" xfId="0" applyFont="1" applyFill="1" applyBorder="1" applyAlignment="1">
      <alignment horizontal="center" vertical="center" wrapText="1"/>
    </xf>
    <xf numFmtId="1" fontId="24" fillId="12" borderId="1" xfId="0" applyNumberFormat="1" applyFont="1" applyFill="1" applyBorder="1" applyAlignment="1">
      <alignment horizontal="center"/>
    </xf>
    <xf numFmtId="0" fontId="24" fillId="0" borderId="1" xfId="0" applyNumberFormat="1" applyFont="1" applyBorder="1" applyAlignment="1" applyProtection="1">
      <alignment horizontal="center" vertical="center" wrapText="1"/>
      <protection locked="0"/>
    </xf>
    <xf numFmtId="14" fontId="24" fillId="0" borderId="1" xfId="0" applyNumberFormat="1" applyFont="1" applyFill="1" applyBorder="1" applyAlignment="1">
      <alignment vertical="center"/>
    </xf>
    <xf numFmtId="14" fontId="36" fillId="12" borderId="7" xfId="0" applyNumberFormat="1" applyFont="1" applyFill="1" applyBorder="1" applyAlignment="1" applyProtection="1">
      <alignment horizontal="left" vertical="center" wrapText="1"/>
      <protection hidden="1"/>
    </xf>
    <xf numFmtId="0" fontId="0" fillId="0" borderId="0" xfId="6" applyNumberFormat="1" applyFont="1" applyAlignment="1">
      <alignment horizontal="center"/>
    </xf>
    <xf numFmtId="0" fontId="26" fillId="19" borderId="1" xfId="6" applyNumberFormat="1" applyFont="1" applyFill="1" applyBorder="1" applyAlignment="1">
      <alignment horizontal="center" vertical="center" wrapText="1"/>
    </xf>
    <xf numFmtId="0" fontId="25" fillId="0" borderId="0" xfId="6" applyNumberFormat="1" applyFont="1" applyBorder="1" applyAlignment="1">
      <alignment horizontal="center"/>
    </xf>
    <xf numFmtId="0" fontId="41" fillId="19" borderId="1" xfId="6" applyNumberFormat="1" applyFont="1" applyFill="1" applyBorder="1" applyAlignment="1">
      <alignment horizontal="center" vertical="center" wrapText="1"/>
    </xf>
    <xf numFmtId="9" fontId="0" fillId="0" borderId="0" xfId="6" applyNumberFormat="1" applyFont="1" applyAlignment="1">
      <alignment horizontal="center"/>
    </xf>
    <xf numFmtId="9" fontId="41" fillId="19" borderId="1" xfId="6" applyNumberFormat="1" applyFont="1" applyFill="1" applyBorder="1" applyAlignment="1">
      <alignment horizontal="center" vertical="center" wrapText="1"/>
    </xf>
    <xf numFmtId="1" fontId="0" fillId="0" borderId="0" xfId="0" applyNumberFormat="1"/>
    <xf numFmtId="1" fontId="25" fillId="12" borderId="6" xfId="0" applyNumberFormat="1" applyFont="1" applyFill="1" applyBorder="1" applyAlignment="1">
      <alignment horizontal="center"/>
    </xf>
    <xf numFmtId="1" fontId="25" fillId="12" borderId="1" xfId="0" applyNumberFormat="1" applyFont="1" applyFill="1" applyBorder="1" applyAlignment="1">
      <alignment horizontal="center"/>
    </xf>
    <xf numFmtId="1" fontId="25" fillId="12" borderId="7" xfId="0" applyNumberFormat="1" applyFont="1" applyFill="1" applyBorder="1" applyAlignment="1">
      <alignment horizontal="center"/>
    </xf>
    <xf numFmtId="1" fontId="40" fillId="12" borderId="8" xfId="0" applyNumberFormat="1" applyFont="1" applyFill="1" applyBorder="1" applyAlignment="1">
      <alignment horizontal="center"/>
    </xf>
    <xf numFmtId="1" fontId="41" fillId="22" borderId="1" xfId="0" applyNumberFormat="1" applyFont="1" applyFill="1" applyBorder="1" applyAlignment="1">
      <alignment horizontal="center" vertical="center" wrapText="1"/>
    </xf>
    <xf numFmtId="0" fontId="25" fillId="9" borderId="19" xfId="0" applyFont="1" applyFill="1" applyBorder="1" applyAlignment="1">
      <alignment vertical="center"/>
    </xf>
    <xf numFmtId="165" fontId="24" fillId="0" borderId="19" xfId="0" applyNumberFormat="1" applyFont="1" applyBorder="1"/>
    <xf numFmtId="0" fontId="25" fillId="0" borderId="0" xfId="0" applyFont="1" applyFill="1" applyBorder="1" applyAlignment="1">
      <alignment vertical="center"/>
    </xf>
    <xf numFmtId="0" fontId="46" fillId="3" borderId="0" xfId="1" applyFont="1" applyBorder="1" applyAlignment="1">
      <alignment vertical="center"/>
    </xf>
    <xf numFmtId="1" fontId="25" fillId="0" borderId="19" xfId="0" applyNumberFormat="1" applyFont="1" applyBorder="1"/>
    <xf numFmtId="0" fontId="25" fillId="0" borderId="19" xfId="0" applyFont="1" applyBorder="1"/>
    <xf numFmtId="0" fontId="25" fillId="0" borderId="0" xfId="0" applyFont="1" applyFill="1" applyBorder="1"/>
    <xf numFmtId="0" fontId="25" fillId="14" borderId="0" xfId="0" applyFont="1" applyFill="1" applyBorder="1" applyAlignment="1">
      <alignment vertical="center"/>
    </xf>
    <xf numFmtId="165" fontId="24" fillId="14" borderId="0" xfId="0" applyNumberFormat="1" applyFont="1" applyFill="1" applyBorder="1"/>
    <xf numFmtId="0" fontId="25" fillId="14" borderId="0" xfId="0" applyFont="1" applyFill="1" applyBorder="1"/>
    <xf numFmtId="1" fontId="25" fillId="14" borderId="0" xfId="0" applyNumberFormat="1" applyFont="1" applyFill="1" applyBorder="1"/>
    <xf numFmtId="1" fontId="0" fillId="14" borderId="0" xfId="0" applyNumberFormat="1" applyFill="1"/>
    <xf numFmtId="14" fontId="36" fillId="12" borderId="1" xfId="0" applyNumberFormat="1" applyFont="1" applyFill="1" applyBorder="1" applyAlignment="1" applyProtection="1">
      <alignment horizontal="center" vertical="center" wrapText="1"/>
    </xf>
    <xf numFmtId="0" fontId="26" fillId="12" borderId="1" xfId="0" applyFont="1" applyFill="1" applyBorder="1" applyAlignment="1" applyProtection="1">
      <alignment vertical="center" wrapText="1"/>
      <protection hidden="1"/>
    </xf>
    <xf numFmtId="14" fontId="36" fillId="12" borderId="1" xfId="0" applyNumberFormat="1" applyFont="1" applyFill="1" applyBorder="1" applyAlignment="1" applyProtection="1">
      <alignment vertical="center" wrapText="1"/>
      <protection hidden="1"/>
    </xf>
    <xf numFmtId="0" fontId="24" fillId="0" borderId="1" xfId="0" applyFont="1" applyBorder="1" applyProtection="1">
      <protection locked="0"/>
    </xf>
    <xf numFmtId="0" fontId="36" fillId="12" borderId="1" xfId="0" applyNumberFormat="1" applyFont="1" applyFill="1" applyBorder="1" applyAlignment="1" applyProtection="1">
      <alignment horizontal="center" vertical="center" wrapText="1"/>
    </xf>
    <xf numFmtId="0" fontId="0" fillId="14" borderId="0" xfId="0" applyFill="1" applyAlignment="1">
      <alignment horizontal="center"/>
    </xf>
    <xf numFmtId="0" fontId="41" fillId="22" borderId="25" xfId="0" applyFont="1" applyFill="1" applyBorder="1" applyAlignment="1">
      <alignment horizontal="center" vertical="center" wrapText="1"/>
    </xf>
    <xf numFmtId="0" fontId="41" fillId="22" borderId="22" xfId="0" applyFont="1" applyFill="1" applyBorder="1" applyAlignment="1">
      <alignment vertical="center" wrapText="1"/>
    </xf>
    <xf numFmtId="10" fontId="0" fillId="0" borderId="0" xfId="0" applyNumberFormat="1"/>
    <xf numFmtId="10" fontId="25" fillId="0" borderId="0" xfId="0" applyNumberFormat="1" applyFont="1"/>
    <xf numFmtId="0" fontId="41" fillId="22" borderId="22" xfId="0" applyFont="1" applyFill="1" applyBorder="1" applyAlignment="1">
      <alignment horizontal="center" vertical="center" wrapText="1"/>
    </xf>
    <xf numFmtId="10" fontId="0" fillId="0" borderId="0" xfId="6" applyNumberFormat="1" applyFont="1"/>
    <xf numFmtId="10" fontId="41" fillId="22" borderId="22" xfId="6" applyNumberFormat="1" applyFont="1" applyFill="1" applyBorder="1" applyAlignment="1">
      <alignment horizontal="center" vertical="center" wrapText="1"/>
    </xf>
    <xf numFmtId="10" fontId="25" fillId="0" borderId="0" xfId="6" applyNumberFormat="1" applyFont="1"/>
    <xf numFmtId="10" fontId="25" fillId="0" borderId="0" xfId="6" applyNumberFormat="1" applyFont="1" applyFill="1" applyBorder="1"/>
    <xf numFmtId="0" fontId="25" fillId="0" borderId="0" xfId="0" applyFont="1" applyAlignment="1">
      <alignment horizontal="center"/>
    </xf>
    <xf numFmtId="0" fontId="24" fillId="12" borderId="8" xfId="0" applyFont="1" applyFill="1" applyBorder="1" applyAlignment="1" applyProtection="1">
      <alignment horizontal="center" vertical="center" wrapText="1"/>
      <protection hidden="1"/>
    </xf>
    <xf numFmtId="9" fontId="47" fillId="0" borderId="1" xfId="0" applyNumberFormat="1" applyFont="1" applyBorder="1" applyAlignment="1" applyProtection="1">
      <alignment horizontal="center" vertical="center" wrapText="1"/>
    </xf>
    <xf numFmtId="10" fontId="41" fillId="21" borderId="7" xfId="4" applyNumberFormat="1" applyFont="1" applyFill="1" applyBorder="1" applyAlignment="1">
      <alignment horizontal="center" vertical="center" wrapText="1"/>
    </xf>
    <xf numFmtId="14" fontId="0" fillId="0" borderId="0" xfId="6" applyNumberFormat="1" applyFont="1"/>
    <xf numFmtId="10" fontId="5" fillId="0" borderId="0" xfId="6" applyNumberFormat="1" applyFont="1"/>
    <xf numFmtId="14" fontId="26" fillId="12" borderId="1" xfId="0" applyNumberFormat="1" applyFont="1" applyFill="1" applyBorder="1" applyAlignment="1" applyProtection="1">
      <alignment vertical="center" wrapText="1"/>
      <protection hidden="1"/>
    </xf>
    <xf numFmtId="0" fontId="0" fillId="0" borderId="0" xfId="6" applyNumberFormat="1" applyFont="1"/>
    <xf numFmtId="0" fontId="49" fillId="0" borderId="1" xfId="0" applyFont="1" applyBorder="1"/>
    <xf numFmtId="14" fontId="50" fillId="0" borderId="1" xfId="0" applyNumberFormat="1" applyFont="1" applyBorder="1"/>
    <xf numFmtId="0" fontId="49" fillId="0" borderId="1" xfId="0" quotePrefix="1" applyFont="1" applyBorder="1"/>
    <xf numFmtId="0" fontId="25" fillId="9" borderId="1" xfId="3" applyFont="1" applyFill="1" applyBorder="1" applyAlignment="1">
      <alignment horizontal="center" vertical="center" wrapText="1"/>
    </xf>
    <xf numFmtId="10" fontId="0" fillId="0" borderId="0" xfId="6" applyNumberFormat="1" applyFont="1" applyAlignment="1">
      <alignment horizontal="center" vertical="center"/>
    </xf>
    <xf numFmtId="14" fontId="9" fillId="0" borderId="1" xfId="0" quotePrefix="1" applyNumberFormat="1" applyFont="1" applyBorder="1"/>
    <xf numFmtId="0" fontId="9" fillId="0" borderId="1" xfId="0" applyFont="1" applyBorder="1"/>
    <xf numFmtId="0" fontId="0" fillId="0" borderId="7" xfId="0" applyBorder="1"/>
    <xf numFmtId="0" fontId="51" fillId="0" borderId="0" xfId="0" applyFont="1" applyAlignment="1">
      <alignment horizontal="center" vertical="center"/>
    </xf>
    <xf numFmtId="1" fontId="31" fillId="0" borderId="1" xfId="0" applyNumberFormat="1" applyFont="1" applyBorder="1" applyAlignment="1">
      <alignment horizontal="center" vertical="center"/>
    </xf>
    <xf numFmtId="0" fontId="43" fillId="19" borderId="1" xfId="0" applyFont="1" applyFill="1" applyBorder="1" applyAlignment="1">
      <alignment horizontal="center" vertical="center" wrapText="1"/>
    </xf>
    <xf numFmtId="0" fontId="9" fillId="0" borderId="1" xfId="0" applyFont="1" applyBorder="1" applyAlignment="1">
      <alignment wrapText="1"/>
    </xf>
    <xf numFmtId="14" fontId="24" fillId="0" borderId="1" xfId="0" applyNumberFormat="1" applyFont="1" applyBorder="1" applyAlignment="1" applyProtection="1">
      <alignment horizontal="center" vertical="center"/>
      <protection locked="0"/>
    </xf>
    <xf numFmtId="9" fontId="34" fillId="0" borderId="1" xfId="0" applyNumberFormat="1" applyFont="1" applyBorder="1" applyAlignment="1" applyProtection="1">
      <alignment horizontal="center" vertical="center" wrapText="1"/>
    </xf>
    <xf numFmtId="1" fontId="31" fillId="0" borderId="19" xfId="0" applyNumberFormat="1" applyFont="1" applyBorder="1" applyAlignment="1">
      <alignment horizontal="center" vertical="center"/>
    </xf>
    <xf numFmtId="10" fontId="25" fillId="15" borderId="0" xfId="0" applyNumberFormat="1" applyFont="1" applyFill="1" applyBorder="1"/>
    <xf numFmtId="9" fontId="34" fillId="0" borderId="28" xfId="0" applyNumberFormat="1" applyFont="1" applyBorder="1" applyAlignment="1" applyProtection="1">
      <alignment horizontal="center" vertical="center" wrapText="1"/>
    </xf>
    <xf numFmtId="0" fontId="0" fillId="0" borderId="0" xfId="0" applyFill="1" applyBorder="1"/>
    <xf numFmtId="10" fontId="41" fillId="21" borderId="1" xfId="4" applyNumberFormat="1" applyFont="1" applyFill="1" applyBorder="1" applyAlignment="1">
      <alignment horizontal="center" vertical="center" wrapText="1"/>
    </xf>
    <xf numFmtId="0" fontId="26" fillId="12" borderId="1" xfId="0" applyFont="1" applyFill="1" applyBorder="1" applyAlignment="1" applyProtection="1">
      <alignment horizontal="right" vertical="center" wrapText="1"/>
      <protection hidden="1"/>
    </xf>
    <xf numFmtId="14" fontId="26" fillId="12" borderId="1" xfId="0" applyNumberFormat="1" applyFont="1" applyFill="1" applyBorder="1" applyAlignment="1" applyProtection="1">
      <alignment horizontal="left" vertical="center" wrapText="1"/>
      <protection hidden="1"/>
    </xf>
    <xf numFmtId="14" fontId="36" fillId="12" borderId="1" xfId="0" applyNumberFormat="1" applyFont="1" applyFill="1" applyBorder="1" applyAlignment="1" applyProtection="1">
      <alignment horizontal="left" vertical="center" wrapText="1"/>
      <protection hidden="1"/>
    </xf>
    <xf numFmtId="0" fontId="26" fillId="9" borderId="1" xfId="0" applyFont="1" applyFill="1" applyBorder="1" applyAlignment="1" applyProtection="1">
      <alignment horizontal="right" vertical="top" wrapText="1"/>
      <protection hidden="1"/>
    </xf>
    <xf numFmtId="0" fontId="57" fillId="21" borderId="6" xfId="4" applyFont="1" applyFill="1" applyBorder="1" applyAlignment="1">
      <alignment horizontal="center" vertical="center" wrapText="1"/>
    </xf>
    <xf numFmtId="0" fontId="24" fillId="12" borderId="1" xfId="0" applyFont="1" applyFill="1" applyBorder="1" applyAlignment="1" applyProtection="1">
      <alignment horizontal="left" vertical="center" wrapText="1"/>
      <protection hidden="1"/>
    </xf>
    <xf numFmtId="0" fontId="25" fillId="9" borderId="1" xfId="3" applyFont="1" applyFill="1" applyBorder="1" applyAlignment="1">
      <alignment horizontal="center" vertical="center" wrapText="1"/>
    </xf>
    <xf numFmtId="0" fontId="24" fillId="17" borderId="8" xfId="0" applyFont="1" applyFill="1" applyBorder="1" applyAlignment="1">
      <alignment horizontal="left" vertical="center" wrapText="1"/>
    </xf>
    <xf numFmtId="0" fontId="36" fillId="12" borderId="1" xfId="0" applyFont="1" applyFill="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9" fontId="47" fillId="0" borderId="7" xfId="0" applyNumberFormat="1" applyFont="1" applyBorder="1" applyAlignment="1" applyProtection="1">
      <alignment horizontal="center" vertical="center" wrapText="1"/>
    </xf>
    <xf numFmtId="0" fontId="5" fillId="0" borderId="1" xfId="0" applyFont="1" applyBorder="1" applyAlignment="1">
      <alignment vertical="center" wrapText="1"/>
    </xf>
    <xf numFmtId="0" fontId="57" fillId="21" borderId="1" xfId="4" applyFont="1" applyFill="1" applyBorder="1" applyAlignment="1">
      <alignment horizontal="center" vertical="center" wrapText="1"/>
    </xf>
    <xf numFmtId="0" fontId="0" fillId="14" borderId="0" xfId="0" applyFill="1" applyBorder="1"/>
    <xf numFmtId="10" fontId="25" fillId="12" borderId="1" xfId="0" applyNumberFormat="1" applyFont="1" applyFill="1" applyBorder="1" applyAlignment="1">
      <alignment horizontal="center" vertical="center" wrapText="1"/>
    </xf>
    <xf numFmtId="0" fontId="30" fillId="26" borderId="1" xfId="2" applyFont="1" applyFill="1" applyBorder="1" applyAlignment="1">
      <alignment horizontal="center" vertical="center" wrapText="1"/>
    </xf>
    <xf numFmtId="0" fontId="36" fillId="12" borderId="8" xfId="0" applyFont="1" applyFill="1" applyBorder="1" applyAlignment="1" applyProtection="1">
      <alignment horizontal="left" vertical="center" wrapText="1"/>
      <protection hidden="1"/>
    </xf>
    <xf numFmtId="0" fontId="41" fillId="14" borderId="0" xfId="4" applyFont="1" applyFill="1" applyBorder="1" applyAlignment="1">
      <alignment horizontal="center" vertical="center" wrapText="1"/>
    </xf>
    <xf numFmtId="0" fontId="35" fillId="6" borderId="1" xfId="2" applyFont="1" applyBorder="1" applyAlignment="1">
      <alignment horizontal="center" vertical="center" wrapText="1"/>
    </xf>
    <xf numFmtId="0" fontId="24" fillId="0" borderId="0" xfId="0" applyFont="1" applyAlignment="1">
      <alignment vertical="center"/>
    </xf>
    <xf numFmtId="0" fontId="11" fillId="9" borderId="18" xfId="3" applyFont="1" applyFill="1" applyBorder="1" applyAlignment="1">
      <alignment horizontal="center" vertical="center" wrapText="1"/>
    </xf>
    <xf numFmtId="0" fontId="58" fillId="28" borderId="29" xfId="9" applyAlignment="1">
      <alignment horizontal="center" vertical="center" wrapText="1"/>
    </xf>
    <xf numFmtId="0" fontId="11" fillId="9" borderId="1" xfId="3" applyFont="1" applyFill="1" applyBorder="1" applyAlignment="1">
      <alignment horizontal="right" vertical="center" wrapText="1"/>
    </xf>
    <xf numFmtId="0" fontId="25" fillId="9" borderId="9"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16" xfId="0" applyFont="1" applyFill="1" applyBorder="1" applyAlignment="1">
      <alignment vertical="center" wrapText="1"/>
    </xf>
    <xf numFmtId="0" fontId="59" fillId="28" borderId="29" xfId="9" applyFont="1" applyAlignment="1">
      <alignment horizontal="center" vertical="center" wrapText="1"/>
    </xf>
    <xf numFmtId="0" fontId="16" fillId="14" borderId="10" xfId="0" applyNumberFormat="1" applyFont="1" applyFill="1" applyBorder="1" applyAlignment="1">
      <alignment horizontal="center" vertical="center" wrapText="1"/>
    </xf>
    <xf numFmtId="0" fontId="25" fillId="0" borderId="1" xfId="0" applyNumberFormat="1" applyFont="1" applyBorder="1" applyAlignment="1" applyProtection="1">
      <alignment horizontal="center" vertical="center" wrapText="1"/>
    </xf>
    <xf numFmtId="0" fontId="0" fillId="14" borderId="0" xfId="0" applyNumberFormat="1" applyFill="1" applyAlignment="1">
      <alignment horizontal="center"/>
    </xf>
    <xf numFmtId="0" fontId="0" fillId="0" borderId="0" xfId="0" applyNumberFormat="1" applyAlignment="1">
      <alignment horizontal="center"/>
    </xf>
    <xf numFmtId="0" fontId="57" fillId="21" borderId="1" xfId="4" applyNumberFormat="1" applyFont="1" applyFill="1" applyBorder="1" applyAlignment="1">
      <alignment horizontal="center" vertical="center" wrapText="1"/>
    </xf>
    <xf numFmtId="9" fontId="25" fillId="0" borderId="1" xfId="6" applyFont="1" applyBorder="1" applyAlignment="1" applyProtection="1">
      <alignment horizontal="center" vertical="center" wrapText="1"/>
    </xf>
    <xf numFmtId="0" fontId="57" fillId="21" borderId="7" xfId="4" applyFont="1" applyFill="1" applyBorder="1" applyAlignment="1">
      <alignment horizontal="center" vertical="center" wrapText="1"/>
    </xf>
    <xf numFmtId="0" fontId="57" fillId="21" borderId="26" xfId="4" applyFont="1" applyFill="1" applyBorder="1" applyAlignment="1">
      <alignment horizontal="center" vertical="center" wrapText="1"/>
    </xf>
    <xf numFmtId="0" fontId="16" fillId="14" borderId="0" xfId="0" applyFont="1" applyFill="1" applyBorder="1" applyAlignment="1">
      <alignment horizontal="center" vertical="center" wrapText="1"/>
    </xf>
    <xf numFmtId="0" fontId="41" fillId="14" borderId="0" xfId="4" applyFont="1" applyFill="1" applyBorder="1" applyAlignment="1">
      <alignment horizontal="center" vertical="center" wrapText="1"/>
    </xf>
    <xf numFmtId="0" fontId="57" fillId="21" borderId="1" xfId="4" applyNumberFormat="1" applyFont="1" applyFill="1" applyBorder="1" applyAlignment="1">
      <alignment horizontal="center" vertical="center" wrapText="1"/>
    </xf>
    <xf numFmtId="0" fontId="26" fillId="0" borderId="6" xfId="0" applyFont="1" applyFill="1" applyBorder="1" applyAlignment="1" applyProtection="1">
      <alignment horizontal="center" vertical="center" wrapText="1"/>
      <protection hidden="1"/>
    </xf>
    <xf numFmtId="10" fontId="41" fillId="0" borderId="0" xfId="4" applyNumberFormat="1"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xf>
    <xf numFmtId="0" fontId="24" fillId="0" borderId="1" xfId="0" applyFont="1" applyBorder="1" applyAlignment="1" applyProtection="1">
      <alignment horizontal="center"/>
      <protection locked="0"/>
    </xf>
    <xf numFmtId="9" fontId="24" fillId="12" borderId="1" xfId="6" applyNumberFormat="1" applyFont="1" applyFill="1" applyBorder="1" applyAlignment="1">
      <alignment horizontal="center"/>
    </xf>
    <xf numFmtId="14" fontId="25" fillId="24" borderId="6" xfId="0" applyNumberFormat="1" applyFont="1" applyFill="1" applyBorder="1" applyAlignment="1" applyProtection="1">
      <alignment horizontal="left"/>
      <protection locked="0"/>
    </xf>
    <xf numFmtId="0" fontId="41" fillId="14" borderId="0" xfId="4" applyFont="1" applyFill="1" applyBorder="1" applyAlignment="1">
      <alignment vertical="center" wrapText="1"/>
    </xf>
    <xf numFmtId="0" fontId="41" fillId="14" borderId="26" xfId="4" applyFont="1" applyFill="1" applyBorder="1" applyAlignment="1">
      <alignment vertical="center" wrapText="1"/>
    </xf>
    <xf numFmtId="0" fontId="41" fillId="7" borderId="0" xfId="4" applyFont="1" applyFill="1" applyBorder="1" applyAlignment="1">
      <alignment horizontal="center" vertical="center" wrapText="1"/>
    </xf>
    <xf numFmtId="0" fontId="61" fillId="30" borderId="26" xfId="10" applyFont="1" applyBorder="1" applyAlignment="1">
      <alignment horizontal="center" vertical="center" wrapText="1"/>
    </xf>
    <xf numFmtId="0" fontId="41" fillId="7" borderId="30" xfId="4" applyFont="1" applyFill="1" applyBorder="1" applyAlignment="1">
      <alignment horizontal="center" vertical="center" wrapText="1"/>
    </xf>
    <xf numFmtId="0" fontId="61" fillId="31" borderId="30" xfId="4" applyFont="1" applyFill="1" applyBorder="1" applyAlignment="1">
      <alignment horizontal="center" vertical="center" wrapText="1"/>
    </xf>
    <xf numFmtId="9" fontId="60" fillId="7" borderId="1" xfId="3" applyNumberFormat="1" applyFont="1" applyFill="1" applyBorder="1" applyAlignment="1">
      <alignment vertical="center" wrapText="1"/>
    </xf>
    <xf numFmtId="0" fontId="60" fillId="29" borderId="1" xfId="3" applyNumberFormat="1" applyFont="1" applyFill="1" applyBorder="1" applyAlignment="1">
      <alignment vertical="center" wrapText="1"/>
    </xf>
    <xf numFmtId="0" fontId="66" fillId="32" borderId="30" xfId="4" applyFont="1" applyFill="1" applyBorder="1" applyAlignment="1">
      <alignment horizontal="center" vertical="center" wrapText="1"/>
    </xf>
    <xf numFmtId="0" fontId="67" fillId="33" borderId="30" xfId="4" applyFont="1" applyFill="1" applyBorder="1" applyAlignment="1">
      <alignment horizontal="center" vertical="center" wrapText="1"/>
    </xf>
    <xf numFmtId="0" fontId="68" fillId="26" borderId="30" xfId="4" applyFont="1" applyFill="1" applyBorder="1" applyAlignment="1">
      <alignment horizontal="center" vertical="center" wrapText="1"/>
    </xf>
    <xf numFmtId="0" fontId="69" fillId="31" borderId="30" xfId="4" applyFont="1" applyFill="1" applyBorder="1" applyAlignment="1">
      <alignment horizontal="center" vertical="center" wrapText="1"/>
    </xf>
    <xf numFmtId="0" fontId="70" fillId="14" borderId="10" xfId="0" applyFont="1" applyFill="1" applyBorder="1" applyAlignment="1">
      <alignment horizontal="center" vertical="center" wrapText="1"/>
    </xf>
    <xf numFmtId="0" fontId="36" fillId="0" borderId="0" xfId="0" applyFont="1" applyAlignment="1">
      <alignment vertical="center" wrapText="1"/>
    </xf>
    <xf numFmtId="0" fontId="71" fillId="6" borderId="1" xfId="2" applyFont="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29" fillId="15" borderId="0" xfId="0" applyFont="1" applyFill="1" applyBorder="1" applyAlignment="1">
      <alignment vertical="center" wrapText="1"/>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4" fillId="0" borderId="0" xfId="0" applyFont="1" applyAlignment="1">
      <alignment horizontal="center" vertical="center" wrapText="1"/>
    </xf>
    <xf numFmtId="0" fontId="26" fillId="13" borderId="8" xfId="0" applyFont="1" applyFill="1" applyBorder="1" applyAlignment="1">
      <alignment horizontal="center" vertical="center" wrapText="1"/>
    </xf>
    <xf numFmtId="0" fontId="36" fillId="12" borderId="8" xfId="0" applyFont="1" applyFill="1" applyBorder="1" applyAlignment="1" applyProtection="1">
      <alignment horizontal="left" vertical="center" wrapText="1"/>
      <protection hidden="1"/>
    </xf>
    <xf numFmtId="0" fontId="57" fillId="21" borderId="1" xfId="4" applyFont="1" applyFill="1" applyBorder="1" applyAlignment="1">
      <alignment horizontal="center" vertical="center" wrapText="1"/>
    </xf>
    <xf numFmtId="0" fontId="57" fillId="21" borderId="7"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4" fillId="0" borderId="1" xfId="0" applyFont="1" applyFill="1" applyBorder="1" applyAlignment="1" applyProtection="1">
      <alignment horizontal="center" vertical="center" wrapText="1"/>
    </xf>
    <xf numFmtId="0" fontId="62" fillId="32" borderId="31" xfId="4" applyFont="1" applyFill="1" applyBorder="1" applyAlignment="1">
      <alignment horizontal="center" vertical="center" wrapText="1"/>
    </xf>
    <xf numFmtId="0" fontId="64" fillId="33" borderId="31" xfId="4" applyFont="1" applyFill="1" applyBorder="1" applyAlignment="1">
      <alignment horizontal="center" vertical="center" wrapText="1"/>
    </xf>
    <xf numFmtId="0" fontId="63" fillId="26" borderId="31" xfId="4" applyFont="1" applyFill="1" applyBorder="1" applyAlignment="1">
      <alignment horizontal="center" vertical="center" wrapText="1"/>
    </xf>
    <xf numFmtId="0" fontId="65" fillId="31" borderId="31" xfId="4" applyFont="1" applyFill="1" applyBorder="1" applyAlignment="1">
      <alignment horizontal="center" vertical="center" wrapText="1"/>
    </xf>
    <xf numFmtId="0" fontId="25" fillId="0" borderId="32" xfId="0" applyNumberFormat="1" applyFont="1" applyBorder="1" applyAlignment="1" applyProtection="1">
      <alignment horizontal="center" vertical="center" wrapText="1"/>
    </xf>
    <xf numFmtId="0" fontId="24" fillId="12" borderId="1" xfId="0" applyFont="1" applyFill="1" applyBorder="1" applyAlignment="1" applyProtection="1">
      <alignment horizontal="left" vertical="center" wrapText="1"/>
      <protection hidden="1"/>
    </xf>
    <xf numFmtId="0" fontId="24" fillId="0" borderId="0" xfId="0" applyFont="1" applyAlignment="1">
      <alignment horizontal="center" vertical="center" wrapText="1"/>
    </xf>
    <xf numFmtId="0" fontId="24" fillId="12" borderId="1" xfId="0" applyFont="1" applyFill="1" applyBorder="1" applyAlignment="1" applyProtection="1">
      <alignment horizontal="center" vertical="center" wrapText="1"/>
      <protection hidden="1"/>
    </xf>
    <xf numFmtId="10" fontId="0" fillId="0" borderId="0" xfId="6" applyNumberFormat="1" applyFont="1" applyAlignment="1">
      <alignment horizontal="center" vertical="center"/>
    </xf>
    <xf numFmtId="10" fontId="25" fillId="12" borderId="1" xfId="0" applyNumberFormat="1"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28" fillId="34" borderId="34" xfId="11" applyFont="1" applyBorder="1" applyAlignment="1">
      <alignment horizontal="center" vertical="center" wrapText="1"/>
    </xf>
    <xf numFmtId="0" fontId="28" fillId="34" borderId="33" xfId="11" applyFont="1" applyAlignment="1" applyProtection="1">
      <alignment vertical="center" wrapText="1"/>
      <protection hidden="1"/>
    </xf>
    <xf numFmtId="0" fontId="38" fillId="0" borderId="0" xfId="0" applyFont="1" applyAlignment="1">
      <alignment wrapText="1"/>
    </xf>
    <xf numFmtId="1" fontId="0" fillId="14" borderId="0" xfId="0" applyNumberFormat="1" applyFill="1" applyBorder="1"/>
    <xf numFmtId="0" fontId="75" fillId="14" borderId="0" xfId="1" applyFont="1" applyFill="1" applyBorder="1" applyAlignment="1">
      <alignment horizontal="right" vertical="center"/>
    </xf>
    <xf numFmtId="0" fontId="46" fillId="14" borderId="0" xfId="1" applyFont="1" applyFill="1" applyBorder="1" applyAlignment="1">
      <alignment vertical="center"/>
    </xf>
    <xf numFmtId="10" fontId="25" fillId="14" borderId="0" xfId="6" applyNumberFormat="1" applyFont="1" applyFill="1" applyBorder="1" applyAlignment="1">
      <alignment horizontal="center"/>
    </xf>
    <xf numFmtId="10" fontId="0" fillId="14" borderId="0" xfId="6" applyNumberFormat="1" applyFont="1" applyFill="1" applyBorder="1"/>
    <xf numFmtId="10" fontId="0" fillId="14" borderId="0" xfId="6" applyNumberFormat="1" applyFont="1" applyFill="1" applyBorder="1" applyAlignment="1">
      <alignment horizontal="center" vertical="center"/>
    </xf>
    <xf numFmtId="10" fontId="25" fillId="14" borderId="0" xfId="0" applyNumberFormat="1" applyFont="1" applyFill="1" applyBorder="1" applyAlignment="1">
      <alignment horizontal="center" vertical="center" wrapText="1"/>
    </xf>
    <xf numFmtId="10" fontId="25" fillId="37" borderId="1" xfId="0" applyNumberFormat="1" applyFont="1" applyFill="1" applyBorder="1" applyAlignment="1">
      <alignment horizontal="center" vertical="center" wrapText="1"/>
    </xf>
    <xf numFmtId="0" fontId="25" fillId="29" borderId="10"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54" fillId="29" borderId="8" xfId="5" applyFont="1" applyFill="1" applyBorder="1" applyAlignment="1" applyProtection="1">
      <alignment horizontal="center" vertical="center"/>
      <protection locked="0"/>
    </xf>
    <xf numFmtId="0" fontId="54" fillId="11" borderId="8" xfId="5" applyFont="1" applyFill="1" applyBorder="1" applyAlignment="1" applyProtection="1">
      <alignment horizontal="center" vertical="center"/>
      <protection locked="0"/>
    </xf>
    <xf numFmtId="0" fontId="6" fillId="29" borderId="8" xfId="5" applyFill="1" applyBorder="1" applyAlignment="1" applyProtection="1">
      <alignment horizontal="center" vertical="center"/>
      <protection locked="0"/>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36" fillId="12" borderId="1" xfId="0" applyFont="1" applyFill="1" applyBorder="1" applyAlignment="1" applyProtection="1">
      <alignment horizontal="center" vertical="center" wrapText="1"/>
      <protection hidden="1"/>
    </xf>
    <xf numFmtId="9" fontId="34" fillId="0" borderId="28" xfId="0" applyNumberFormat="1" applyFont="1" applyBorder="1" applyAlignment="1" applyProtection="1">
      <alignment horizontal="center" vertical="center" wrapText="1"/>
    </xf>
    <xf numFmtId="9" fontId="47" fillId="0" borderId="1" xfId="0" applyNumberFormat="1" applyFont="1" applyBorder="1" applyAlignment="1" applyProtection="1">
      <alignment horizontal="center" vertical="center" wrapText="1"/>
    </xf>
    <xf numFmtId="0" fontId="57" fillId="21" borderId="1"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0" fontId="57" fillId="21" borderId="1" xfId="4" applyFont="1" applyFill="1" applyBorder="1" applyAlignment="1">
      <alignment horizontal="center" vertical="center" wrapText="1"/>
    </xf>
    <xf numFmtId="0" fontId="57" fillId="21" borderId="6"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9" fontId="0" fillId="14" borderId="0" xfId="0" applyNumberFormat="1" applyFill="1" applyBorder="1"/>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36" fillId="12" borderId="1" xfId="0" applyFont="1" applyFill="1" applyBorder="1" applyAlignment="1" applyProtection="1">
      <alignment horizontal="left" vertical="center" wrapText="1"/>
      <protection hidden="1"/>
    </xf>
    <xf numFmtId="0" fontId="36" fillId="12" borderId="8"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0" fontId="41" fillId="14" borderId="0" xfId="4" applyFont="1" applyFill="1" applyBorder="1" applyAlignment="1">
      <alignment horizontal="center" vertical="center" wrapText="1"/>
    </xf>
    <xf numFmtId="0" fontId="57" fillId="21" borderId="1" xfId="4" applyNumberFormat="1" applyFont="1" applyFill="1" applyBorder="1" applyAlignment="1">
      <alignment horizontal="center" vertical="center" wrapText="1"/>
    </xf>
    <xf numFmtId="0" fontId="57" fillId="21" borderId="1" xfId="4" applyFont="1" applyFill="1" applyBorder="1" applyAlignment="1">
      <alignment horizontal="center" vertical="center" wrapText="1"/>
    </xf>
    <xf numFmtId="0" fontId="57" fillId="21" borderId="7" xfId="4" applyFont="1" applyFill="1" applyBorder="1" applyAlignment="1">
      <alignment horizontal="center" vertical="center" wrapText="1"/>
    </xf>
    <xf numFmtId="0" fontId="57" fillId="21" borderId="6"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16" fillId="14" borderId="0"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4" fillId="0" borderId="0" xfId="0" applyFont="1" applyAlignment="1">
      <alignment horizontal="center" vertical="center" wrapText="1"/>
    </xf>
    <xf numFmtId="0" fontId="41" fillId="14" borderId="0" xfId="4" applyFont="1" applyFill="1" applyBorder="1" applyAlignment="1">
      <alignment horizontal="center" vertical="center" wrapText="1"/>
    </xf>
    <xf numFmtId="0" fontId="57" fillId="21" borderId="1"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0" fontId="6" fillId="11" borderId="8" xfId="5" applyFill="1" applyBorder="1" applyAlignment="1" applyProtection="1">
      <alignment horizontal="center" vertical="center"/>
      <protection locked="0"/>
    </xf>
    <xf numFmtId="0" fontId="6" fillId="14" borderId="0" xfId="5" applyFill="1" applyAlignment="1" applyProtection="1">
      <alignment horizontal="center"/>
    </xf>
    <xf numFmtId="9" fontId="47" fillId="0" borderId="1" xfId="0" applyNumberFormat="1" applyFont="1" applyBorder="1" applyAlignment="1" applyProtection="1">
      <alignment horizontal="center" vertical="center" wrapText="1"/>
    </xf>
    <xf numFmtId="0" fontId="41" fillId="7" borderId="49" xfId="4" applyFont="1" applyFill="1" applyBorder="1" applyAlignment="1">
      <alignment horizontal="center" vertical="center" wrapText="1"/>
    </xf>
    <xf numFmtId="0" fontId="67" fillId="33" borderId="49" xfId="4" applyFont="1" applyFill="1" applyBorder="1" applyAlignment="1">
      <alignment horizontal="center" vertical="center" wrapText="1"/>
    </xf>
    <xf numFmtId="0" fontId="61" fillId="14" borderId="0" xfId="10" applyFont="1" applyFill="1" applyBorder="1" applyAlignment="1">
      <alignment horizontal="center" vertical="center" wrapText="1"/>
    </xf>
    <xf numFmtId="0" fontId="61" fillId="14" borderId="0" xfId="4" applyFont="1" applyFill="1" applyBorder="1" applyAlignment="1">
      <alignment horizontal="center" vertical="center" wrapText="1"/>
    </xf>
    <xf numFmtId="0" fontId="66" fillId="14" borderId="50" xfId="4" applyFont="1" applyFill="1" applyBorder="1" applyAlignment="1">
      <alignment horizontal="center" vertical="center" wrapText="1"/>
    </xf>
    <xf numFmtId="0" fontId="66" fillId="14" borderId="51" xfId="4" applyFont="1" applyFill="1" applyBorder="1" applyAlignment="1">
      <alignment horizontal="center" vertical="center" wrapText="1"/>
    </xf>
    <xf numFmtId="0" fontId="79" fillId="40" borderId="30" xfId="4" applyFont="1" applyFill="1" applyBorder="1" applyAlignment="1">
      <alignment horizontal="center" vertical="center" wrapText="1"/>
    </xf>
    <xf numFmtId="0" fontId="80" fillId="41" borderId="49" xfId="4" applyFont="1" applyFill="1" applyBorder="1" applyAlignment="1">
      <alignment horizontal="center" vertical="center" wrapText="1"/>
    </xf>
    <xf numFmtId="0" fontId="81" fillId="29" borderId="49" xfId="4" applyFont="1" applyFill="1" applyBorder="1" applyAlignment="1">
      <alignment horizontal="center" vertical="center" wrapText="1"/>
    </xf>
    <xf numFmtId="0" fontId="81" fillId="29" borderId="30" xfId="4" applyFont="1" applyFill="1" applyBorder="1" applyAlignment="1">
      <alignment horizontal="center" vertical="center" wrapText="1"/>
    </xf>
    <xf numFmtId="9" fontId="30" fillId="7" borderId="17" xfId="3" applyNumberFormat="1" applyFont="1" applyFill="1" applyBorder="1" applyAlignment="1">
      <alignment horizontal="left" vertical="center" wrapText="1"/>
    </xf>
    <xf numFmtId="0" fontId="30" fillId="42" borderId="14" xfId="3" applyNumberFormat="1" applyFont="1" applyFill="1" applyBorder="1" applyAlignment="1">
      <alignment horizontal="center" vertical="center" wrapText="1"/>
    </xf>
    <xf numFmtId="0" fontId="34" fillId="29" borderId="1" xfId="7" applyFont="1" applyFill="1" applyBorder="1" applyAlignment="1">
      <alignment horizontal="right" vertical="center" wrapText="1"/>
    </xf>
    <xf numFmtId="9" fontId="34" fillId="0" borderId="19" xfId="0" applyNumberFormat="1" applyFont="1" applyBorder="1" applyAlignment="1" applyProtection="1">
      <alignment horizontal="center" vertical="center" wrapText="1"/>
    </xf>
    <xf numFmtId="0" fontId="34" fillId="7" borderId="18" xfId="7" applyFont="1" applyFill="1" applyBorder="1" applyAlignment="1">
      <alignment horizontal="right" vertical="center" wrapText="1"/>
    </xf>
    <xf numFmtId="9" fontId="34" fillId="0" borderId="18" xfId="0" applyNumberFormat="1" applyFont="1" applyBorder="1" applyAlignment="1" applyProtection="1">
      <alignment horizontal="center" vertical="center" wrapText="1"/>
    </xf>
    <xf numFmtId="9" fontId="83" fillId="0" borderId="53" xfId="0" applyNumberFormat="1" applyFont="1" applyBorder="1" applyAlignment="1" applyProtection="1">
      <alignment horizontal="center" vertical="center" wrapText="1"/>
    </xf>
    <xf numFmtId="9" fontId="83" fillId="0" borderId="54" xfId="0" applyNumberFormat="1" applyFont="1" applyBorder="1" applyAlignment="1" applyProtection="1">
      <alignment horizontal="center" vertical="center" wrapText="1"/>
    </xf>
    <xf numFmtId="9" fontId="34" fillId="0" borderId="53" xfId="0" applyNumberFormat="1" applyFont="1" applyBorder="1" applyAlignment="1" applyProtection="1">
      <alignment horizontal="center" vertical="center" wrapText="1"/>
    </xf>
    <xf numFmtId="9" fontId="82" fillId="36" borderId="54" xfId="0" applyNumberFormat="1" applyFont="1" applyFill="1" applyBorder="1" applyAlignment="1" applyProtection="1">
      <alignment horizontal="center" vertical="center" wrapText="1"/>
    </xf>
    <xf numFmtId="0" fontId="34" fillId="40" borderId="19" xfId="8" applyFont="1" applyFill="1" applyBorder="1" applyAlignment="1">
      <alignment horizontal="right" vertical="center"/>
    </xf>
    <xf numFmtId="0" fontId="34" fillId="31" borderId="19" xfId="8" applyFont="1" applyFill="1" applyBorder="1" applyAlignment="1">
      <alignment horizontal="right" vertical="center"/>
    </xf>
    <xf numFmtId="9" fontId="85" fillId="14" borderId="0" xfId="0" applyNumberFormat="1" applyFont="1" applyFill="1" applyBorder="1" applyAlignment="1">
      <alignment horizontal="left"/>
    </xf>
    <xf numFmtId="1" fontId="25" fillId="0" borderId="1" xfId="0" applyNumberFormat="1" applyFont="1" applyBorder="1"/>
    <xf numFmtId="9" fontId="45" fillId="19" borderId="1" xfId="6" applyNumberFormat="1" applyFont="1" applyFill="1" applyBorder="1" applyAlignment="1">
      <alignment horizontal="center" vertical="center" wrapText="1"/>
    </xf>
    <xf numFmtId="9" fontId="5" fillId="0" borderId="0" xfId="6" applyNumberFormat="1" applyFont="1" applyAlignment="1">
      <alignment horizontal="center"/>
    </xf>
    <xf numFmtId="0" fontId="43" fillId="24" borderId="8" xfId="0" applyFont="1" applyFill="1" applyBorder="1" applyAlignment="1">
      <alignment horizontal="center"/>
    </xf>
    <xf numFmtId="0" fontId="43" fillId="0" borderId="0" xfId="0" applyFont="1"/>
    <xf numFmtId="10" fontId="43" fillId="14" borderId="0" xfId="6" applyNumberFormat="1" applyFont="1" applyFill="1" applyBorder="1" applyAlignment="1">
      <alignment horizontal="center"/>
    </xf>
    <xf numFmtId="0" fontId="25" fillId="12" borderId="1" xfId="0" applyFont="1" applyFill="1" applyBorder="1" applyAlignment="1" applyProtection="1">
      <alignment horizontal="center" vertical="center" wrapText="1"/>
      <protection hidden="1"/>
    </xf>
    <xf numFmtId="9" fontId="86" fillId="14" borderId="1" xfId="6" applyNumberFormat="1" applyFont="1" applyFill="1" applyBorder="1" applyAlignment="1" applyProtection="1">
      <alignment horizontal="center"/>
      <protection locked="0"/>
    </xf>
    <xf numFmtId="0" fontId="24" fillId="0" borderId="1" xfId="6" applyNumberFormat="1" applyFont="1" applyBorder="1" applyAlignment="1" applyProtection="1">
      <alignment horizontal="center" vertical="center"/>
      <protection locked="0"/>
    </xf>
    <xf numFmtId="0" fontId="24" fillId="0" borderId="1" xfId="0" applyFont="1" applyBorder="1" applyAlignment="1" applyProtection="1">
      <alignment horizontal="left" wrapText="1"/>
      <protection locked="0"/>
    </xf>
    <xf numFmtId="9" fontId="24" fillId="12" borderId="1" xfId="6" applyNumberFormat="1" applyFont="1" applyFill="1" applyBorder="1" applyAlignment="1">
      <alignment horizontal="center" vertical="center"/>
    </xf>
    <xf numFmtId="9" fontId="86" fillId="14" borderId="1" xfId="6" applyNumberFormat="1" applyFont="1" applyFill="1" applyBorder="1" applyAlignment="1" applyProtection="1">
      <alignment horizontal="center" vertical="center"/>
      <protection locked="0"/>
    </xf>
    <xf numFmtId="0" fontId="24" fillId="0" borderId="1" xfId="0" applyFont="1" applyBorder="1" applyAlignment="1" applyProtection="1">
      <alignment vertical="center"/>
      <protection locked="0"/>
    </xf>
    <xf numFmtId="0" fontId="24" fillId="0" borderId="1" xfId="0" applyFont="1" applyBorder="1" applyAlignment="1" applyProtection="1">
      <alignment horizontal="center" vertical="center"/>
      <protection locked="0"/>
    </xf>
    <xf numFmtId="0" fontId="28" fillId="34" borderId="33" xfId="11" applyFont="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0" fontId="25" fillId="12" borderId="1" xfId="0" applyFont="1" applyFill="1" applyBorder="1" applyAlignment="1" applyProtection="1">
      <alignment horizontal="center" vertical="center" wrapText="1"/>
      <protection hidden="1"/>
    </xf>
    <xf numFmtId="0" fontId="24" fillId="0" borderId="0" xfId="0" applyFont="1" applyAlignment="1">
      <alignment horizontal="center" vertical="center" wrapText="1"/>
    </xf>
    <xf numFmtId="0" fontId="24" fillId="12" borderId="1" xfId="0" applyFont="1" applyFill="1" applyBorder="1" applyAlignment="1" applyProtection="1">
      <alignment horizontal="center" vertical="center" wrapText="1"/>
      <protection hidden="1"/>
    </xf>
    <xf numFmtId="0" fontId="24" fillId="12" borderId="1" xfId="0" applyFont="1" applyFill="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0" fontId="24" fillId="0" borderId="11" xfId="12" applyFont="1" applyBorder="1" applyAlignment="1" applyProtection="1">
      <alignment horizontal="left" vertical="center" wrapText="1"/>
      <protection locked="0"/>
    </xf>
    <xf numFmtId="0" fontId="24" fillId="0" borderId="12" xfId="12" applyFont="1" applyBorder="1" applyAlignment="1" applyProtection="1">
      <alignment horizontal="left" vertical="center" wrapText="1"/>
      <protection locked="0"/>
    </xf>
    <xf numFmtId="0" fontId="24" fillId="0" borderId="2" xfId="12" applyFont="1" applyBorder="1" applyAlignment="1" applyProtection="1">
      <alignment horizontal="left" vertical="center" wrapText="1"/>
      <protection locked="0"/>
    </xf>
    <xf numFmtId="0" fontId="24" fillId="0" borderId="3" xfId="12" applyFont="1" applyBorder="1" applyAlignment="1" applyProtection="1">
      <alignment horizontal="left" vertical="center" wrapText="1"/>
      <protection locked="0"/>
    </xf>
    <xf numFmtId="0" fontId="24" fillId="0" borderId="35" xfId="0" applyFont="1" applyBorder="1" applyAlignment="1" applyProtection="1">
      <alignment vertical="center" wrapText="1"/>
    </xf>
    <xf numFmtId="0" fontId="24" fillId="0" borderId="36" xfId="0" applyFont="1" applyBorder="1" applyAlignment="1" applyProtection="1">
      <alignment vertical="center" wrapText="1"/>
    </xf>
    <xf numFmtId="0" fontId="24" fillId="0" borderId="22" xfId="0" applyFont="1" applyBorder="1" applyAlignment="1" applyProtection="1">
      <alignment vertical="center" wrapText="1"/>
    </xf>
    <xf numFmtId="0" fontId="24" fillId="0" borderId="0" xfId="0" applyFont="1" applyBorder="1" applyAlignment="1" applyProtection="1">
      <alignment vertical="center" wrapText="1"/>
    </xf>
    <xf numFmtId="0" fontId="24" fillId="0" borderId="15" xfId="0" applyFont="1" applyBorder="1" applyAlignment="1" applyProtection="1">
      <alignment vertical="center" wrapText="1"/>
    </xf>
    <xf numFmtId="0" fontId="24" fillId="0" borderId="9" xfId="0" applyFont="1" applyBorder="1" applyAlignment="1" applyProtection="1">
      <alignment vertical="center" wrapText="1"/>
    </xf>
    <xf numFmtId="0" fontId="24" fillId="0" borderId="10" xfId="0" applyFont="1" applyBorder="1" applyAlignment="1" applyProtection="1">
      <alignment vertical="center" wrapText="1"/>
    </xf>
    <xf numFmtId="0" fontId="24" fillId="0" borderId="16" xfId="0" applyFont="1" applyBorder="1" applyAlignment="1" applyProtection="1">
      <alignment vertical="center" wrapText="1"/>
    </xf>
    <xf numFmtId="0" fontId="24" fillId="0" borderId="1" xfId="13" applyFont="1" applyFill="1" applyBorder="1" applyAlignment="1" applyProtection="1">
      <alignment horizontal="center" vertical="center" wrapText="1"/>
      <protection hidden="1"/>
    </xf>
    <xf numFmtId="0" fontId="24" fillId="0" borderId="19" xfId="13"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36" fillId="0" borderId="1" xfId="13" applyFont="1" applyFill="1" applyBorder="1" applyAlignment="1" applyProtection="1">
      <alignment horizontal="left" vertical="center" wrapText="1"/>
      <protection hidden="1"/>
    </xf>
    <xf numFmtId="0" fontId="36" fillId="0" borderId="1" xfId="0" applyFont="1" applyFill="1" applyBorder="1" applyAlignment="1" applyProtection="1">
      <alignment horizontal="left" vertical="center" wrapText="1"/>
      <protection hidden="1"/>
    </xf>
    <xf numFmtId="0" fontId="87" fillId="0" borderId="1" xfId="0" applyFont="1" applyFill="1" applyBorder="1" applyAlignment="1" applyProtection="1">
      <alignment horizontal="left" vertical="center" wrapText="1"/>
      <protection locked="0"/>
    </xf>
    <xf numFmtId="0" fontId="88" fillId="0" borderId="1" xfId="0" applyFont="1" applyFill="1" applyBorder="1" applyAlignment="1">
      <alignment horizontal="center" vertical="center" wrapText="1"/>
    </xf>
    <xf numFmtId="0" fontId="36" fillId="0" borderId="19" xfId="13" applyFont="1" applyFill="1" applyBorder="1" applyAlignment="1" applyProtection="1">
      <alignment horizontal="left" vertical="center" wrapText="1"/>
      <protection hidden="1"/>
    </xf>
    <xf numFmtId="0" fontId="88" fillId="0" borderId="19" xfId="0" applyFont="1" applyFill="1" applyBorder="1" applyAlignment="1">
      <alignment horizontal="center" vertical="center" wrapText="1"/>
    </xf>
    <xf numFmtId="0" fontId="36" fillId="0" borderId="19" xfId="0" applyFont="1" applyFill="1" applyBorder="1" applyAlignment="1" applyProtection="1">
      <alignment horizontal="left" vertical="center" wrapText="1"/>
      <protection hidden="1"/>
    </xf>
    <xf numFmtId="0" fontId="30" fillId="34" borderId="34" xfId="11" applyFont="1" applyBorder="1" applyAlignment="1">
      <alignment horizontal="center" vertical="center" wrapText="1"/>
    </xf>
    <xf numFmtId="0" fontId="30" fillId="34" borderId="33" xfId="11" applyFont="1" applyAlignment="1">
      <alignment horizontal="center" vertical="center" wrapText="1"/>
    </xf>
    <xf numFmtId="0" fontId="36" fillId="0" borderId="55" xfId="13" applyFont="1" applyFill="1" applyBorder="1" applyAlignment="1" applyProtection="1">
      <alignment horizontal="left" vertical="center" wrapText="1"/>
      <protection hidden="1"/>
    </xf>
    <xf numFmtId="0" fontId="87" fillId="0" borderId="19" xfId="0" applyFont="1" applyFill="1" applyBorder="1" applyAlignment="1" applyProtection="1">
      <alignment horizontal="left" vertical="center" wrapText="1"/>
      <protection locked="0"/>
    </xf>
    <xf numFmtId="0" fontId="87" fillId="0" borderId="18" xfId="0" applyFont="1" applyFill="1" applyBorder="1" applyAlignment="1" applyProtection="1">
      <alignment horizontal="left" vertical="center" wrapText="1"/>
      <protection locked="0"/>
    </xf>
    <xf numFmtId="0" fontId="24" fillId="12" borderId="1" xfId="0" applyFont="1" applyFill="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9" fontId="47" fillId="0" borderId="1" xfId="0" applyNumberFormat="1" applyFont="1" applyBorder="1" applyAlignment="1" applyProtection="1">
      <alignment horizontal="center" vertical="center" wrapText="1"/>
    </xf>
    <xf numFmtId="0" fontId="36" fillId="12" borderId="1" xfId="0" applyFont="1" applyFill="1" applyBorder="1" applyAlignment="1" applyProtection="1">
      <alignment horizontal="left" vertical="center" wrapText="1"/>
      <protection hidden="1"/>
    </xf>
    <xf numFmtId="0" fontId="36" fillId="12" borderId="1" xfId="0" applyFont="1" applyFill="1" applyBorder="1" applyAlignment="1" applyProtection="1">
      <alignment horizontal="center" vertical="center" wrapText="1"/>
      <protection hidden="1"/>
    </xf>
    <xf numFmtId="9" fontId="47" fillId="0" borderId="1" xfId="0" applyNumberFormat="1" applyFont="1" applyBorder="1" applyAlignment="1" applyProtection="1">
      <alignment horizontal="center" vertical="center" wrapText="1"/>
    </xf>
    <xf numFmtId="9" fontId="47" fillId="0" borderId="0" xfId="0" applyNumberFormat="1" applyFont="1" applyFill="1" applyBorder="1" applyAlignment="1" applyProtection="1">
      <alignment horizontal="left" vertical="center" wrapText="1"/>
    </xf>
    <xf numFmtId="0" fontId="47" fillId="0" borderId="1" xfId="13" applyFont="1" applyBorder="1" applyAlignment="1" applyProtection="1">
      <alignment vertical="center" wrapText="1"/>
      <protection locked="0"/>
    </xf>
    <xf numFmtId="0" fontId="47" fillId="0" borderId="1" xfId="13"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47"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47" fillId="0" borderId="1" xfId="0" applyFont="1" applyBorder="1" applyAlignment="1" applyProtection="1">
      <alignment horizontal="justify" vertical="center" wrapText="1"/>
      <protection locked="0"/>
    </xf>
    <xf numFmtId="0" fontId="36" fillId="0" borderId="1" xfId="6" applyNumberFormat="1" applyFont="1" applyBorder="1" applyAlignment="1" applyProtection="1">
      <alignment horizontal="center" vertical="center"/>
      <protection locked="0"/>
    </xf>
    <xf numFmtId="0" fontId="36" fillId="0" borderId="1" xfId="0" applyFont="1" applyBorder="1" applyAlignment="1" applyProtection="1">
      <alignment horizontal="left" wrapText="1"/>
      <protection locked="0"/>
    </xf>
    <xf numFmtId="0" fontId="36" fillId="0" borderId="1" xfId="0" applyFont="1" applyBorder="1" applyAlignment="1" applyProtection="1">
      <alignment horizontal="left" vertical="center" wrapText="1"/>
      <protection locked="0"/>
    </xf>
    <xf numFmtId="0" fontId="90" fillId="0" borderId="1" xfId="0" applyNumberFormat="1" applyFont="1" applyBorder="1" applyAlignment="1" applyProtection="1">
      <alignment horizontal="center" vertical="center" wrapText="1"/>
    </xf>
    <xf numFmtId="9" fontId="90" fillId="0" borderId="1" xfId="6" applyFont="1" applyBorder="1" applyAlignment="1" applyProtection="1">
      <alignment horizontal="center" vertical="center" wrapText="1"/>
    </xf>
    <xf numFmtId="0" fontId="90" fillId="0" borderId="0" xfId="0" applyNumberFormat="1" applyFont="1" applyFill="1" applyBorder="1" applyAlignment="1" applyProtection="1">
      <alignment horizontal="center" vertical="center" wrapText="1"/>
    </xf>
    <xf numFmtId="9" fontId="36" fillId="0" borderId="1" xfId="6" applyNumberFormat="1" applyFont="1" applyFill="1" applyBorder="1" applyAlignment="1" applyProtection="1">
      <alignment horizontal="center" vertical="center"/>
      <protection locked="0"/>
    </xf>
    <xf numFmtId="0" fontId="36" fillId="0" borderId="1" xfId="14" applyNumberFormat="1" applyFont="1" applyFill="1" applyBorder="1" applyAlignment="1" applyProtection="1">
      <alignment horizontal="center" vertical="center"/>
      <protection locked="0"/>
    </xf>
    <xf numFmtId="9" fontId="24" fillId="0" borderId="1" xfId="6" applyNumberFormat="1" applyFont="1" applyBorder="1" applyAlignment="1" applyProtection="1">
      <alignment horizontal="center" vertical="center"/>
      <protection locked="0"/>
    </xf>
    <xf numFmtId="166" fontId="36" fillId="0" borderId="1" xfId="6" applyNumberFormat="1" applyFont="1" applyBorder="1" applyAlignment="1" applyProtection="1">
      <alignment horizontal="center" vertical="center"/>
      <protection locked="0"/>
    </xf>
    <xf numFmtId="9" fontId="36" fillId="0" borderId="1" xfId="0" applyNumberFormat="1" applyFont="1" applyBorder="1" applyAlignment="1" applyProtection="1">
      <alignment horizontal="center" vertical="center"/>
      <protection locked="0"/>
    </xf>
    <xf numFmtId="0" fontId="36" fillId="0" borderId="1" xfId="12" applyFont="1" applyBorder="1" applyAlignment="1" applyProtection="1">
      <alignment horizontal="left" wrapText="1"/>
      <protection locked="0"/>
    </xf>
    <xf numFmtId="0" fontId="36" fillId="0" borderId="1" xfId="0" applyFont="1" applyBorder="1" applyAlignment="1" applyProtection="1">
      <alignment vertical="center"/>
      <protection locked="0"/>
    </xf>
    <xf numFmtId="9" fontId="24" fillId="0" borderId="1" xfId="0" applyNumberFormat="1" applyFont="1" applyBorder="1" applyAlignment="1" applyProtection="1">
      <alignment horizontal="center" vertical="center"/>
      <protection locked="0"/>
    </xf>
    <xf numFmtId="0" fontId="31" fillId="0" borderId="1" xfId="6" applyNumberFormat="1" applyFont="1" applyBorder="1" applyAlignment="1" applyProtection="1">
      <alignment horizontal="center" vertical="center"/>
      <protection locked="0"/>
    </xf>
    <xf numFmtId="0" fontId="86" fillId="0" borderId="1" xfId="0" applyFont="1" applyBorder="1" applyAlignment="1" applyProtection="1">
      <alignment horizontal="left" vertical="center" wrapText="1"/>
      <protection locked="0"/>
    </xf>
    <xf numFmtId="4" fontId="31" fillId="0" borderId="1" xfId="6" applyNumberFormat="1" applyFont="1" applyBorder="1" applyAlignment="1" applyProtection="1">
      <alignment horizontal="center" vertical="center"/>
      <protection locked="0"/>
    </xf>
    <xf numFmtId="0" fontId="24" fillId="0" borderId="0" xfId="0" applyFont="1" applyAlignment="1" applyProtection="1">
      <alignment wrapText="1"/>
      <protection locked="0"/>
    </xf>
    <xf numFmtId="0" fontId="47" fillId="0" borderId="0" xfId="0" applyFont="1" applyAlignment="1" applyProtection="1">
      <alignment wrapText="1"/>
      <protection locked="0"/>
    </xf>
    <xf numFmtId="9" fontId="24" fillId="0" borderId="1" xfId="0" applyNumberFormat="1" applyFont="1" applyBorder="1" applyAlignment="1" applyProtection="1">
      <alignment vertical="center"/>
      <protection locked="0"/>
    </xf>
    <xf numFmtId="0" fontId="31" fillId="0" borderId="1" xfId="0" applyFont="1" applyBorder="1" applyAlignment="1" applyProtection="1">
      <alignment horizontal="left" vertical="center" wrapText="1"/>
      <protection locked="0"/>
    </xf>
    <xf numFmtId="2" fontId="24" fillId="0" borderId="1" xfId="0" applyNumberFormat="1" applyFont="1" applyBorder="1" applyAlignment="1" applyProtection="1">
      <alignment horizontal="center" vertical="center"/>
      <protection locked="0"/>
    </xf>
    <xf numFmtId="9" fontId="24" fillId="0" borderId="1" xfId="6" applyFont="1" applyBorder="1" applyAlignment="1" applyProtection="1">
      <alignment horizontal="center" vertical="center"/>
      <protection locked="0"/>
    </xf>
    <xf numFmtId="0" fontId="24" fillId="0" borderId="7"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5" fillId="7" borderId="7"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4" fillId="0" borderId="7" xfId="12" applyFont="1" applyBorder="1" applyAlignment="1" applyProtection="1">
      <alignment horizontal="left" vertical="center" wrapText="1"/>
      <protection locked="0"/>
    </xf>
    <xf numFmtId="0" fontId="24" fillId="0" borderId="6" xfId="12" applyFont="1" applyBorder="1" applyAlignment="1" applyProtection="1">
      <alignment horizontal="left" vertical="center" wrapText="1"/>
      <protection locked="0"/>
    </xf>
    <xf numFmtId="0" fontId="24" fillId="14" borderId="17" xfId="0" applyFont="1" applyFill="1" applyBorder="1" applyAlignment="1">
      <alignment horizontal="center" vertical="center" wrapText="1"/>
    </xf>
    <xf numFmtId="0" fontId="24" fillId="14" borderId="26" xfId="0" applyFont="1" applyFill="1" applyBorder="1" applyAlignment="1">
      <alignment horizontal="center" vertical="center" wrapText="1"/>
    </xf>
    <xf numFmtId="0" fontId="24" fillId="14" borderId="14" xfId="0" applyFont="1" applyFill="1" applyBorder="1" applyAlignment="1">
      <alignment horizontal="center" vertical="center" wrapText="1"/>
    </xf>
    <xf numFmtId="0" fontId="24" fillId="0" borderId="9" xfId="0" applyFont="1" applyBorder="1" applyAlignment="1" applyProtection="1">
      <alignment horizontal="center" vertical="center" wrapText="1"/>
    </xf>
    <xf numFmtId="0" fontId="24" fillId="0" borderId="10" xfId="0"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25" fillId="9" borderId="19"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3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9" fillId="15" borderId="1" xfId="0" applyFont="1" applyFill="1" applyBorder="1" applyAlignment="1">
      <alignment horizontal="center" vertical="center" wrapText="1"/>
    </xf>
    <xf numFmtId="0" fontId="29" fillId="15" borderId="19" xfId="0" applyFont="1" applyFill="1" applyBorder="1" applyAlignment="1">
      <alignment horizontal="center" vertical="center" wrapText="1"/>
    </xf>
    <xf numFmtId="0" fontId="24" fillId="0" borderId="20"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25" fillId="9" borderId="22" xfId="0" applyFont="1" applyFill="1" applyBorder="1" applyAlignment="1">
      <alignment horizontal="left" vertical="center" wrapText="1"/>
    </xf>
    <xf numFmtId="0" fontId="25" fillId="9" borderId="9" xfId="0" applyFont="1" applyFill="1" applyBorder="1" applyAlignment="1">
      <alignment horizontal="left" vertical="center" wrapText="1"/>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14" fontId="24" fillId="0" borderId="20" xfId="0" applyNumberFormat="1" applyFont="1" applyBorder="1" applyAlignment="1" applyProtection="1">
      <alignment horizontal="left" vertical="center" wrapText="1"/>
      <protection locked="0"/>
    </xf>
    <xf numFmtId="14" fontId="24" fillId="0" borderId="21" xfId="0" applyNumberFormat="1" applyFont="1" applyBorder="1" applyAlignment="1" applyProtection="1">
      <alignment horizontal="left" vertical="center" wrapText="1"/>
      <protection locked="0"/>
    </xf>
    <xf numFmtId="0" fontId="36" fillId="0" borderId="19" xfId="0" applyFont="1" applyBorder="1" applyAlignment="1" applyProtection="1">
      <alignment horizontal="left" vertical="top" wrapText="1"/>
    </xf>
    <xf numFmtId="0" fontId="36" fillId="0" borderId="25" xfId="0" applyFont="1" applyBorder="1" applyAlignment="1" applyProtection="1">
      <alignment horizontal="left" vertical="top" wrapText="1"/>
    </xf>
    <xf numFmtId="0" fontId="36" fillId="0" borderId="18" xfId="0" applyFont="1" applyBorder="1" applyAlignment="1" applyProtection="1">
      <alignment horizontal="left" vertical="top" wrapText="1"/>
    </xf>
    <xf numFmtId="0" fontId="87" fillId="12" borderId="19" xfId="0" applyFont="1" applyFill="1" applyBorder="1" applyAlignment="1" applyProtection="1">
      <alignment horizontal="center" vertical="center" wrapText="1"/>
    </xf>
    <xf numFmtId="0" fontId="87" fillId="12" borderId="25" xfId="0" applyFont="1" applyFill="1" applyBorder="1" applyAlignment="1" applyProtection="1">
      <alignment horizontal="center" vertical="center" wrapText="1"/>
    </xf>
    <xf numFmtId="0" fontId="87" fillId="12" borderId="18" xfId="0" applyFont="1" applyFill="1" applyBorder="1" applyAlignment="1" applyProtection="1">
      <alignment horizontal="center" vertical="center" wrapText="1"/>
    </xf>
    <xf numFmtId="0" fontId="30" fillId="34" borderId="1" xfId="11" applyFont="1" applyBorder="1" applyAlignment="1">
      <alignment horizontal="center" vertical="center"/>
    </xf>
    <xf numFmtId="0" fontId="12" fillId="15" borderId="0" xfId="0" applyFont="1" applyFill="1" applyBorder="1" applyAlignment="1">
      <alignment horizontal="center" vertical="center"/>
    </xf>
    <xf numFmtId="0" fontId="12" fillId="15" borderId="15" xfId="0" applyFont="1" applyFill="1" applyBorder="1" applyAlignment="1">
      <alignment horizontal="center" vertical="center"/>
    </xf>
    <xf numFmtId="0" fontId="9" fillId="12" borderId="1" xfId="0" applyFont="1" applyFill="1" applyBorder="1" applyAlignment="1" applyProtection="1">
      <alignment horizontal="left"/>
      <protection hidden="1"/>
    </xf>
    <xf numFmtId="0" fontId="9" fillId="12" borderId="1" xfId="3" applyFont="1" applyFill="1" applyBorder="1" applyAlignment="1" applyProtection="1">
      <alignment horizontal="left" vertical="center" wrapText="1"/>
    </xf>
    <xf numFmtId="0" fontId="28" fillId="34" borderId="38" xfId="11" applyFont="1" applyBorder="1" applyAlignment="1" applyProtection="1">
      <alignment horizontal="center" vertical="center" wrapText="1"/>
      <protection hidden="1"/>
    </xf>
    <xf numFmtId="0" fontId="28" fillId="34" borderId="39" xfId="11" applyFont="1" applyBorder="1" applyAlignment="1" applyProtection="1">
      <alignment horizontal="center" vertical="center" wrapText="1"/>
      <protection hidden="1"/>
    </xf>
    <xf numFmtId="0" fontId="28" fillId="34" borderId="40" xfId="11" applyFont="1" applyBorder="1" applyAlignment="1" applyProtection="1">
      <alignment horizontal="center" vertical="center" wrapText="1"/>
      <protection hidden="1"/>
    </xf>
    <xf numFmtId="0" fontId="25" fillId="8" borderId="7"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6" fillId="14" borderId="26" xfId="0" applyFont="1" applyFill="1" applyBorder="1" applyAlignment="1">
      <alignment horizontal="center" vertical="center" wrapText="1"/>
    </xf>
    <xf numFmtId="0" fontId="16" fillId="14" borderId="14" xfId="0" applyFont="1" applyFill="1" applyBorder="1" applyAlignment="1">
      <alignment horizontal="center" vertical="center" wrapText="1"/>
    </xf>
    <xf numFmtId="0" fontId="16" fillId="14" borderId="22" xfId="0" applyFont="1" applyFill="1" applyBorder="1" applyAlignment="1">
      <alignment horizontal="center" vertical="center" wrapText="1"/>
    </xf>
    <xf numFmtId="0" fontId="16" fillId="14" borderId="0" xfId="0" applyFont="1" applyFill="1" applyBorder="1" applyAlignment="1">
      <alignment horizontal="center" vertical="center" wrapText="1"/>
    </xf>
    <xf numFmtId="0" fontId="16" fillId="14" borderId="15" xfId="0" applyFont="1" applyFill="1" applyBorder="1" applyAlignment="1">
      <alignment horizontal="center" vertical="center" wrapText="1"/>
    </xf>
    <xf numFmtId="0" fontId="16" fillId="14" borderId="9"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33" fillId="14" borderId="17" xfId="0" applyFont="1" applyFill="1" applyBorder="1" applyAlignment="1">
      <alignment horizontal="center" vertical="center" wrapText="1"/>
    </xf>
    <xf numFmtId="0" fontId="33" fillId="14" borderId="14" xfId="0" applyFont="1" applyFill="1" applyBorder="1" applyAlignment="1">
      <alignment horizontal="center" vertical="center" wrapText="1"/>
    </xf>
    <xf numFmtId="0" fontId="33" fillId="14" borderId="22" xfId="0" applyFont="1" applyFill="1" applyBorder="1" applyAlignment="1">
      <alignment horizontal="center" vertical="center" wrapText="1"/>
    </xf>
    <xf numFmtId="0" fontId="33" fillId="14" borderId="15" xfId="0" applyFont="1" applyFill="1" applyBorder="1" applyAlignment="1">
      <alignment horizontal="center" vertical="center" wrapText="1"/>
    </xf>
    <xf numFmtId="0" fontId="33" fillId="14" borderId="9" xfId="0" applyFont="1" applyFill="1" applyBorder="1" applyAlignment="1">
      <alignment horizontal="center" vertical="center" wrapText="1"/>
    </xf>
    <xf numFmtId="0" fontId="33" fillId="14" borderId="16"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9" borderId="1" xfId="3"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9" borderId="7" xfId="3" applyFont="1" applyFill="1" applyBorder="1" applyAlignment="1">
      <alignment horizontal="left" vertical="center" wrapText="1"/>
    </xf>
    <xf numFmtId="0" fontId="25" fillId="9" borderId="6" xfId="3" applyFont="1" applyFill="1" applyBorder="1" applyAlignment="1">
      <alignment horizontal="left" vertical="center" wrapText="1"/>
    </xf>
    <xf numFmtId="0" fontId="25" fillId="9" borderId="1" xfId="3" applyFont="1" applyFill="1" applyBorder="1" applyAlignment="1">
      <alignment horizontal="left" vertical="center" wrapText="1"/>
    </xf>
    <xf numFmtId="0" fontId="24" fillId="12" borderId="7" xfId="0" applyFont="1" applyFill="1" applyBorder="1" applyAlignment="1" applyProtection="1">
      <alignment horizontal="left" vertical="center" wrapText="1"/>
      <protection hidden="1"/>
    </xf>
    <xf numFmtId="0" fontId="24" fillId="12" borderId="8" xfId="0" applyFont="1" applyFill="1" applyBorder="1" applyAlignment="1" applyProtection="1">
      <alignment horizontal="left" vertical="center" wrapText="1"/>
      <protection hidden="1"/>
    </xf>
    <xf numFmtId="0" fontId="24" fillId="12" borderId="6" xfId="0" applyFont="1" applyFill="1" applyBorder="1" applyAlignment="1" applyProtection="1">
      <alignment horizontal="left" vertical="center" wrapText="1"/>
      <protection hidden="1"/>
    </xf>
    <xf numFmtId="0" fontId="2" fillId="34" borderId="42" xfId="11" applyFont="1" applyBorder="1" applyAlignment="1" applyProtection="1">
      <alignment horizontal="center" vertical="center" wrapText="1"/>
      <protection hidden="1"/>
    </xf>
    <xf numFmtId="0" fontId="2" fillId="34" borderId="43" xfId="11" applyFont="1" applyBorder="1" applyAlignment="1" applyProtection="1">
      <alignment horizontal="center" vertical="center" wrapText="1"/>
      <protection hidden="1"/>
    </xf>
    <xf numFmtId="0" fontId="2" fillId="34" borderId="34" xfId="11" applyFont="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0" fontId="24" fillId="12" borderId="19" xfId="0" applyFont="1" applyFill="1" applyBorder="1" applyAlignment="1" applyProtection="1">
      <alignment horizontal="center" vertical="center" wrapText="1"/>
      <protection hidden="1"/>
    </xf>
    <xf numFmtId="0" fontId="24" fillId="12" borderId="25" xfId="0" applyFont="1" applyFill="1" applyBorder="1" applyAlignment="1" applyProtection="1">
      <alignment horizontal="center" vertical="center" wrapText="1"/>
      <protection hidden="1"/>
    </xf>
    <xf numFmtId="0" fontId="24" fillId="12" borderId="18" xfId="0" applyFont="1" applyFill="1" applyBorder="1" applyAlignment="1" applyProtection="1">
      <alignment horizontal="center" vertical="center" wrapText="1"/>
      <protection hidden="1"/>
    </xf>
    <xf numFmtId="0" fontId="24" fillId="0" borderId="22"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5" fillId="12" borderId="1" xfId="0" applyFont="1" applyFill="1" applyBorder="1" applyAlignment="1" applyProtection="1">
      <alignment horizontal="center" vertical="center" wrapText="1"/>
      <protection hidden="1"/>
    </xf>
    <xf numFmtId="0" fontId="26" fillId="13" borderId="7" xfId="0" applyFont="1" applyFill="1" applyBorder="1" applyAlignment="1">
      <alignment horizontal="center" vertical="center" wrapText="1"/>
    </xf>
    <xf numFmtId="0" fontId="26" fillId="13" borderId="8"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25" fillId="8" borderId="22"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5" borderId="7" xfId="4" applyFont="1" applyBorder="1" applyAlignment="1">
      <alignment horizontal="center" vertical="center" wrapText="1"/>
    </xf>
    <xf numFmtId="0" fontId="34" fillId="5" borderId="8" xfId="4" applyFont="1" applyBorder="1" applyAlignment="1">
      <alignment horizontal="center" vertical="center" wrapText="1"/>
    </xf>
    <xf numFmtId="0" fontId="34" fillId="5" borderId="6" xfId="4" applyFont="1" applyBorder="1" applyAlignment="1">
      <alignment horizontal="center" vertical="center" wrapText="1"/>
    </xf>
    <xf numFmtId="0" fontId="25" fillId="8"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6" fillId="13" borderId="6" xfId="0" applyFont="1" applyFill="1" applyBorder="1" applyAlignment="1">
      <alignment horizontal="center" vertical="center" wrapText="1"/>
    </xf>
    <xf numFmtId="0" fontId="29" fillId="15" borderId="18"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34" fillId="11" borderId="19" xfId="0" applyFont="1" applyFill="1" applyBorder="1" applyAlignment="1" applyProtection="1">
      <alignment horizontal="center" vertical="center" wrapText="1"/>
      <protection hidden="1"/>
    </xf>
    <xf numFmtId="0" fontId="34" fillId="11" borderId="25" xfId="0" applyFont="1" applyFill="1" applyBorder="1" applyAlignment="1" applyProtection="1">
      <alignment horizontal="center" vertical="center" wrapText="1"/>
      <protection hidden="1"/>
    </xf>
    <xf numFmtId="0" fontId="34" fillId="11" borderId="18" xfId="0" applyFont="1" applyFill="1" applyBorder="1" applyAlignment="1" applyProtection="1">
      <alignment horizontal="center" vertical="center" wrapText="1"/>
      <protection hidden="1"/>
    </xf>
    <xf numFmtId="0" fontId="25" fillId="8" borderId="1" xfId="0" applyFont="1" applyFill="1" applyBorder="1" applyAlignment="1">
      <alignment horizontal="left" vertical="center" wrapText="1"/>
    </xf>
    <xf numFmtId="0" fontId="31" fillId="12" borderId="1" xfId="0" applyFont="1" applyFill="1" applyBorder="1" applyAlignment="1" applyProtection="1">
      <alignment horizontal="left" vertical="center" wrapText="1"/>
      <protection hidden="1"/>
    </xf>
    <xf numFmtId="0" fontId="71" fillId="6" borderId="1" xfId="2" applyFont="1" applyBorder="1" applyAlignment="1">
      <alignment horizontal="center" vertical="center" wrapText="1"/>
    </xf>
    <xf numFmtId="0" fontId="24" fillId="12" borderId="1" xfId="0" applyFont="1" applyFill="1" applyBorder="1" applyAlignment="1" applyProtection="1">
      <alignment horizontal="center" vertical="center" wrapText="1"/>
      <protection hidden="1"/>
    </xf>
    <xf numFmtId="0" fontId="36" fillId="11" borderId="19" xfId="0" applyFont="1" applyFill="1" applyBorder="1" applyAlignment="1" applyProtection="1">
      <alignment horizontal="center" vertical="center" textRotation="90" wrapText="1"/>
      <protection hidden="1"/>
    </xf>
    <xf numFmtId="0" fontId="36" fillId="11" borderId="25" xfId="0" applyFont="1" applyFill="1" applyBorder="1" applyAlignment="1" applyProtection="1">
      <alignment horizontal="center" vertical="center" textRotation="90" wrapText="1"/>
      <protection hidden="1"/>
    </xf>
    <xf numFmtId="0" fontId="36" fillId="11" borderId="18" xfId="0" applyFont="1" applyFill="1" applyBorder="1" applyAlignment="1" applyProtection="1">
      <alignment horizontal="center" vertical="center" textRotation="90" wrapText="1"/>
      <protection hidden="1"/>
    </xf>
    <xf numFmtId="0" fontId="24" fillId="17" borderId="7" xfId="0" applyFont="1" applyFill="1" applyBorder="1" applyAlignment="1">
      <alignment horizontal="left" vertical="center" wrapText="1"/>
    </xf>
    <xf numFmtId="0" fontId="24" fillId="17" borderId="8" xfId="0" applyFont="1" applyFill="1" applyBorder="1" applyAlignment="1">
      <alignment horizontal="left" vertical="center" wrapText="1"/>
    </xf>
    <xf numFmtId="0" fontId="25" fillId="9" borderId="7" xfId="0" applyFont="1" applyFill="1" applyBorder="1" applyAlignment="1">
      <alignment horizontal="right" vertical="center" wrapText="1"/>
    </xf>
    <xf numFmtId="0" fontId="25" fillId="9" borderId="6" xfId="0" applyFont="1" applyFill="1" applyBorder="1" applyAlignment="1">
      <alignment horizontal="right" vertical="center" wrapText="1"/>
    </xf>
    <xf numFmtId="0" fontId="26" fillId="11" borderId="19" xfId="0" applyFont="1" applyFill="1" applyBorder="1" applyAlignment="1" applyProtection="1">
      <alignment horizontal="center" vertical="center" textRotation="90" wrapText="1"/>
      <protection hidden="1"/>
    </xf>
    <xf numFmtId="0" fontId="26" fillId="11" borderId="25" xfId="0" applyFont="1" applyFill="1" applyBorder="1" applyAlignment="1" applyProtection="1">
      <alignment horizontal="center" vertical="center" textRotation="90" wrapText="1"/>
      <protection hidden="1"/>
    </xf>
    <xf numFmtId="0" fontId="26" fillId="11" borderId="18" xfId="0" applyFont="1" applyFill="1" applyBorder="1" applyAlignment="1" applyProtection="1">
      <alignment horizontal="center" vertical="center" textRotation="90" wrapText="1"/>
      <protection hidden="1"/>
    </xf>
    <xf numFmtId="1" fontId="24" fillId="12" borderId="1" xfId="0" applyNumberFormat="1" applyFont="1" applyFill="1" applyBorder="1" applyAlignment="1" applyProtection="1">
      <alignment horizontal="center" vertical="center" wrapText="1"/>
      <protection hidden="1"/>
    </xf>
    <xf numFmtId="0" fontId="25" fillId="27" borderId="1" xfId="0" applyFont="1" applyFill="1" applyBorder="1" applyAlignment="1">
      <alignment horizontal="center" vertical="center" wrapText="1"/>
    </xf>
    <xf numFmtId="0" fontId="31" fillId="12" borderId="19" xfId="0" applyFont="1" applyFill="1" applyBorder="1" applyAlignment="1" applyProtection="1">
      <alignment horizontal="left" vertical="center" wrapText="1"/>
      <protection hidden="1"/>
    </xf>
    <xf numFmtId="0" fontId="31" fillId="12" borderId="25" xfId="0" applyFont="1" applyFill="1" applyBorder="1" applyAlignment="1" applyProtection="1">
      <alignment horizontal="left" vertical="center" wrapText="1"/>
      <protection hidden="1"/>
    </xf>
    <xf numFmtId="0" fontId="31" fillId="12" borderId="18" xfId="0" applyFont="1" applyFill="1" applyBorder="1" applyAlignment="1" applyProtection="1">
      <alignment horizontal="left" vertical="center" wrapText="1"/>
      <protection hidden="1"/>
    </xf>
    <xf numFmtId="0" fontId="26" fillId="11" borderId="41" xfId="0" applyFont="1" applyFill="1" applyBorder="1" applyAlignment="1" applyProtection="1">
      <alignment horizontal="center" vertical="center" textRotation="90" wrapText="1"/>
      <protection hidden="1"/>
    </xf>
    <xf numFmtId="0" fontId="60" fillId="34" borderId="42" xfId="11" applyFont="1" applyBorder="1" applyAlignment="1" applyProtection="1">
      <alignment horizontal="center" vertical="center" wrapText="1"/>
      <protection hidden="1"/>
    </xf>
    <xf numFmtId="0" fontId="60" fillId="34" borderId="43" xfId="11" applyFont="1" applyBorder="1" applyAlignment="1" applyProtection="1">
      <alignment horizontal="center" vertical="center" wrapText="1"/>
      <protection hidden="1"/>
    </xf>
    <xf numFmtId="0" fontId="60" fillId="34" borderId="34" xfId="11" applyFont="1" applyBorder="1" applyAlignment="1" applyProtection="1">
      <alignment horizontal="center" vertical="center" wrapText="1"/>
      <protection hidden="1"/>
    </xf>
    <xf numFmtId="0" fontId="31" fillId="0" borderId="41"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18" xfId="0" applyFont="1" applyBorder="1" applyAlignment="1" applyProtection="1">
      <alignment horizontal="center" vertical="center" wrapText="1"/>
    </xf>
    <xf numFmtId="0" fontId="34" fillId="11" borderId="41" xfId="0" applyFont="1" applyFill="1" applyBorder="1" applyAlignment="1" applyProtection="1">
      <alignment horizontal="center" vertical="center" wrapText="1"/>
      <protection hidden="1"/>
    </xf>
    <xf numFmtId="0" fontId="73" fillId="0" borderId="35" xfId="0" applyFont="1" applyBorder="1" applyAlignment="1" applyProtection="1">
      <alignment horizontal="center" vertical="center" wrapText="1"/>
    </xf>
    <xf numFmtId="0" fontId="73" fillId="0" borderId="37" xfId="0" applyFont="1" applyBorder="1" applyAlignment="1" applyProtection="1">
      <alignment horizontal="center" vertical="center" wrapText="1"/>
    </xf>
    <xf numFmtId="0" fontId="73" fillId="0" borderId="22" xfId="0" applyFont="1" applyBorder="1" applyAlignment="1" applyProtection="1">
      <alignment horizontal="center" vertical="center" wrapText="1"/>
    </xf>
    <xf numFmtId="0" fontId="73" fillId="0" borderId="15" xfId="0" applyFont="1" applyBorder="1" applyAlignment="1" applyProtection="1">
      <alignment horizontal="center" vertical="center" wrapText="1"/>
    </xf>
    <xf numFmtId="0" fontId="73" fillId="0" borderId="9" xfId="0" applyFont="1" applyBorder="1" applyAlignment="1" applyProtection="1">
      <alignment horizontal="center" vertical="center" wrapText="1"/>
    </xf>
    <xf numFmtId="0" fontId="73" fillId="0" borderId="16" xfId="0" applyFont="1" applyBorder="1" applyAlignment="1" applyProtection="1">
      <alignment horizontal="center" vertical="center" wrapText="1"/>
    </xf>
    <xf numFmtId="0" fontId="25" fillId="8" borderId="1" xfId="0" applyFont="1" applyFill="1" applyBorder="1" applyAlignment="1">
      <alignment vertical="center" wrapText="1"/>
    </xf>
    <xf numFmtId="0" fontId="26" fillId="9" borderId="7"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47" fillId="12" borderId="1" xfId="0" applyFont="1" applyFill="1" applyBorder="1" applyAlignment="1" applyProtection="1">
      <alignment horizontal="center" vertical="center" wrapText="1"/>
      <protection hidden="1"/>
    </xf>
    <xf numFmtId="0" fontId="47" fillId="12" borderId="1" xfId="0" applyFont="1" applyFill="1" applyBorder="1" applyAlignment="1" applyProtection="1">
      <alignment horizontal="left" vertical="center" wrapText="1"/>
      <protection hidden="1"/>
    </xf>
    <xf numFmtId="0" fontId="1" fillId="34" borderId="42" xfId="11" applyFont="1" applyBorder="1" applyAlignment="1" applyProtection="1">
      <alignment horizontal="center" vertical="center" wrapText="1"/>
      <protection hidden="1"/>
    </xf>
    <xf numFmtId="0" fontId="1" fillId="34" borderId="43" xfId="11" applyFont="1" applyBorder="1" applyAlignment="1" applyProtection="1">
      <alignment horizontal="center" vertical="center" wrapText="1"/>
      <protection hidden="1"/>
    </xf>
    <xf numFmtId="0" fontId="1" fillId="34" borderId="34" xfId="11" applyFont="1" applyBorder="1" applyAlignment="1" applyProtection="1">
      <alignment horizontal="center" vertical="center" wrapText="1"/>
      <protection hidden="1"/>
    </xf>
    <xf numFmtId="10" fontId="0" fillId="0" borderId="15" xfId="6" applyNumberFormat="1" applyFont="1" applyBorder="1" applyAlignment="1">
      <alignment horizontal="center" vertical="center"/>
    </xf>
    <xf numFmtId="10" fontId="0" fillId="0" borderId="25" xfId="6" applyNumberFormat="1" applyFont="1" applyBorder="1" applyAlignment="1">
      <alignment horizontal="center" vertical="center"/>
    </xf>
    <xf numFmtId="10" fontId="0" fillId="0" borderId="0" xfId="6" applyNumberFormat="1" applyFont="1" applyAlignment="1">
      <alignment horizontal="center" vertical="center"/>
    </xf>
    <xf numFmtId="0" fontId="25" fillId="29" borderId="1" xfId="0" applyFont="1" applyFill="1" applyBorder="1" applyAlignment="1">
      <alignment horizontal="right" vertical="center"/>
    </xf>
    <xf numFmtId="0" fontId="46" fillId="7" borderId="1" xfId="1" applyFont="1" applyFill="1" applyBorder="1" applyAlignment="1">
      <alignment horizontal="right" vertical="center"/>
    </xf>
    <xf numFmtId="0" fontId="40" fillId="21" borderId="9" xfId="0" applyFont="1" applyFill="1" applyBorder="1" applyAlignment="1">
      <alignment horizontal="center"/>
    </xf>
    <xf numFmtId="0" fontId="40" fillId="21" borderId="10" xfId="0" applyFont="1" applyFill="1" applyBorder="1" applyAlignment="1">
      <alignment horizontal="center"/>
    </xf>
    <xf numFmtId="0" fontId="36" fillId="12" borderId="7" xfId="0" applyFont="1" applyFill="1" applyBorder="1" applyAlignment="1" applyProtection="1">
      <alignment horizontal="left" vertical="center" wrapText="1"/>
      <protection hidden="1"/>
    </xf>
    <xf numFmtId="0" fontId="36" fillId="12" borderId="8" xfId="0" applyFont="1" applyFill="1" applyBorder="1" applyAlignment="1" applyProtection="1">
      <alignment horizontal="left" vertical="center" wrapText="1"/>
      <protection hidden="1"/>
    </xf>
    <xf numFmtId="0" fontId="36" fillId="12" borderId="6" xfId="0" applyFont="1" applyFill="1" applyBorder="1" applyAlignment="1" applyProtection="1">
      <alignment horizontal="left" vertical="center" wrapText="1"/>
      <protection hidden="1"/>
    </xf>
    <xf numFmtId="0" fontId="25" fillId="21" borderId="9" xfId="0" applyFont="1" applyFill="1" applyBorder="1" applyAlignment="1">
      <alignment horizontal="center"/>
    </xf>
    <xf numFmtId="0" fontId="25" fillId="21" borderId="10" xfId="0" applyFont="1" applyFill="1" applyBorder="1" applyAlignment="1">
      <alignment horizontal="center"/>
    </xf>
    <xf numFmtId="0" fontId="25" fillId="21" borderId="16" xfId="0" applyFont="1" applyFill="1" applyBorder="1" applyAlignment="1">
      <alignment horizontal="center"/>
    </xf>
    <xf numFmtId="0" fontId="25" fillId="18" borderId="1" xfId="0" applyFont="1" applyFill="1" applyBorder="1" applyAlignment="1">
      <alignment horizontal="center"/>
    </xf>
    <xf numFmtId="10" fontId="34" fillId="0" borderId="1" xfId="6" applyNumberFormat="1" applyFont="1" applyBorder="1" applyAlignment="1">
      <alignment horizontal="center"/>
    </xf>
    <xf numFmtId="10" fontId="25" fillId="0" borderId="1" xfId="6" applyNumberFormat="1" applyFont="1" applyBorder="1" applyAlignment="1">
      <alignment horizontal="center"/>
    </xf>
    <xf numFmtId="0" fontId="74" fillId="34" borderId="42" xfId="11" applyFont="1" applyBorder="1" applyAlignment="1" applyProtection="1">
      <alignment horizontal="center" vertical="center" wrapText="1"/>
      <protection hidden="1"/>
    </xf>
    <xf numFmtId="0" fontId="74" fillId="34" borderId="43" xfId="11" applyFont="1" applyBorder="1" applyAlignment="1" applyProtection="1">
      <alignment horizontal="center" vertical="center" wrapText="1"/>
      <protection hidden="1"/>
    </xf>
    <xf numFmtId="0" fontId="74" fillId="34" borderId="34" xfId="11" applyFont="1" applyBorder="1" applyAlignment="1" applyProtection="1">
      <alignment horizontal="center" vertical="center" wrapText="1"/>
      <protection hidden="1"/>
    </xf>
    <xf numFmtId="0" fontId="36" fillId="12" borderId="1" xfId="0" applyFont="1" applyFill="1" applyBorder="1" applyAlignment="1" applyProtection="1">
      <alignment horizontal="left" vertical="center" wrapText="1"/>
      <protection hidden="1"/>
    </xf>
    <xf numFmtId="1" fontId="0" fillId="0" borderId="22" xfId="0" applyNumberFormat="1" applyBorder="1" applyAlignment="1">
      <alignment horizontal="center" vertical="center"/>
    </xf>
    <xf numFmtId="0" fontId="31" fillId="12" borderId="1" xfId="0" applyFont="1" applyFill="1" applyBorder="1" applyAlignment="1" applyProtection="1">
      <alignment horizontal="center" vertical="center" wrapText="1"/>
      <protection hidden="1"/>
    </xf>
    <xf numFmtId="0" fontId="34" fillId="24" borderId="7" xfId="0" applyFont="1" applyFill="1" applyBorder="1" applyAlignment="1">
      <alignment horizontal="center"/>
    </xf>
    <xf numFmtId="0" fontId="34" fillId="24" borderId="8" xfId="0" applyFont="1" applyFill="1" applyBorder="1" applyAlignment="1">
      <alignment horizontal="center"/>
    </xf>
    <xf numFmtId="0" fontId="25" fillId="21" borderId="8" xfId="0" applyFont="1" applyFill="1" applyBorder="1" applyAlignment="1">
      <alignment horizontal="center"/>
    </xf>
    <xf numFmtId="0" fontId="25" fillId="21" borderId="6" xfId="0" applyFont="1" applyFill="1" applyBorder="1" applyAlignment="1">
      <alignment horizontal="center"/>
    </xf>
    <xf numFmtId="0" fontId="25" fillId="24" borderId="8" xfId="0" applyFont="1" applyFill="1" applyBorder="1" applyAlignment="1">
      <alignment horizontal="center"/>
    </xf>
    <xf numFmtId="0" fontId="26" fillId="9" borderId="7" xfId="0" applyFont="1" applyFill="1" applyBorder="1" applyAlignment="1" applyProtection="1">
      <alignment horizontal="center" vertical="top" wrapText="1"/>
      <protection hidden="1"/>
    </xf>
    <xf numFmtId="0" fontId="26" fillId="9" borderId="8" xfId="0" applyFont="1" applyFill="1" applyBorder="1" applyAlignment="1" applyProtection="1">
      <alignment horizontal="center" vertical="top" wrapText="1"/>
      <protection hidden="1"/>
    </xf>
    <xf numFmtId="0" fontId="26" fillId="9" borderId="6" xfId="0" applyFont="1" applyFill="1" applyBorder="1" applyAlignment="1" applyProtection="1">
      <alignment horizontal="center" vertical="top" wrapText="1"/>
      <protection hidden="1"/>
    </xf>
    <xf numFmtId="1" fontId="0" fillId="0" borderId="0" xfId="0" applyNumberFormat="1" applyBorder="1" applyAlignment="1">
      <alignment horizontal="center" vertical="center"/>
    </xf>
    <xf numFmtId="0" fontId="0" fillId="0" borderId="0" xfId="0" applyAlignment="1">
      <alignment horizontal="center" vertical="center"/>
    </xf>
    <xf numFmtId="0" fontId="40" fillId="21" borderId="18" xfId="0" applyFont="1" applyFill="1" applyBorder="1" applyAlignment="1">
      <alignment horizontal="center"/>
    </xf>
    <xf numFmtId="10" fontId="25" fillId="12" borderId="1" xfId="0" applyNumberFormat="1" applyFont="1" applyFill="1" applyBorder="1" applyAlignment="1">
      <alignment horizontal="center" vertical="center" wrapText="1"/>
    </xf>
    <xf numFmtId="0" fontId="29" fillId="15" borderId="0" xfId="0" applyFont="1" applyFill="1" applyBorder="1" applyAlignment="1">
      <alignment horizontal="center" vertical="center" wrapText="1"/>
    </xf>
    <xf numFmtId="10" fontId="40" fillId="22" borderId="1" xfId="0" applyNumberFormat="1" applyFont="1" applyFill="1" applyBorder="1" applyAlignment="1">
      <alignment horizontal="center" vertical="center" wrapText="1"/>
    </xf>
    <xf numFmtId="0" fontId="75" fillId="36" borderId="1" xfId="1" applyFont="1" applyFill="1" applyBorder="1" applyAlignment="1">
      <alignment horizontal="right" vertical="center"/>
    </xf>
    <xf numFmtId="10" fontId="25" fillId="36" borderId="1" xfId="6" applyNumberFormat="1" applyFont="1" applyFill="1" applyBorder="1" applyAlignment="1">
      <alignment horizontal="center"/>
    </xf>
    <xf numFmtId="0" fontId="25" fillId="11" borderId="1" xfId="0" applyFont="1" applyFill="1" applyBorder="1" applyAlignment="1">
      <alignment horizontal="right" vertical="center"/>
    </xf>
    <xf numFmtId="0" fontId="75" fillId="35" borderId="1" xfId="1" applyFont="1" applyFill="1" applyBorder="1" applyAlignment="1">
      <alignment horizontal="right" vertical="center"/>
    </xf>
    <xf numFmtId="0" fontId="25" fillId="37" borderId="1" xfId="0" applyFont="1" applyFill="1" applyBorder="1" applyAlignment="1">
      <alignment horizontal="right" vertical="center"/>
    </xf>
    <xf numFmtId="10" fontId="34" fillId="37" borderId="1" xfId="6" applyNumberFormat="1" applyFont="1" applyFill="1" applyBorder="1" applyAlignment="1">
      <alignment horizontal="center"/>
    </xf>
    <xf numFmtId="0" fontId="6" fillId="39" borderId="8" xfId="5" applyFill="1" applyBorder="1" applyAlignment="1" applyProtection="1">
      <alignment horizontal="center" vertical="center"/>
      <protection locked="0"/>
    </xf>
    <xf numFmtId="0" fontId="24" fillId="0" borderId="8" xfId="5" applyFont="1" applyBorder="1" applyAlignment="1" applyProtection="1">
      <alignment horizontal="left" vertical="center"/>
      <protection locked="0"/>
    </xf>
    <xf numFmtId="0" fontId="29" fillId="38" borderId="1" xfId="0" applyFont="1" applyFill="1" applyBorder="1" applyAlignment="1">
      <alignment horizontal="center" vertical="center" wrapText="1"/>
    </xf>
    <xf numFmtId="0" fontId="29" fillId="38" borderId="18" xfId="0" applyFont="1" applyFill="1" applyBorder="1" applyAlignment="1">
      <alignment horizontal="center" vertical="center" wrapText="1"/>
    </xf>
    <xf numFmtId="0" fontId="29" fillId="0" borderId="8" xfId="0" applyFont="1" applyFill="1" applyBorder="1" applyAlignment="1">
      <alignment horizontal="center" vertical="center" wrapText="1"/>
    </xf>
    <xf numFmtId="14" fontId="49" fillId="0" borderId="1" xfId="0" applyNumberFormat="1" applyFont="1" applyBorder="1" applyAlignment="1">
      <alignment horizontal="center"/>
    </xf>
    <xf numFmtId="0" fontId="49" fillId="0" borderId="1" xfId="0" applyFont="1" applyBorder="1" applyAlignment="1">
      <alignment horizontal="center"/>
    </xf>
    <xf numFmtId="0" fontId="9" fillId="0" borderId="0" xfId="0" applyFont="1" applyAlignment="1">
      <alignment horizontal="center"/>
    </xf>
    <xf numFmtId="0" fontId="76" fillId="38" borderId="7" xfId="0" applyFont="1" applyFill="1" applyBorder="1" applyAlignment="1" applyProtection="1">
      <alignment horizontal="center" vertical="center" wrapText="1"/>
      <protection hidden="1"/>
    </xf>
    <xf numFmtId="0" fontId="76" fillId="38" borderId="8" xfId="0" applyFont="1" applyFill="1" applyBorder="1" applyAlignment="1" applyProtection="1">
      <alignment horizontal="center" vertical="center" wrapText="1"/>
      <protection hidden="1"/>
    </xf>
    <xf numFmtId="0" fontId="76" fillId="38" borderId="6" xfId="0" applyFont="1" applyFill="1" applyBorder="1" applyAlignment="1" applyProtection="1">
      <alignment horizontal="center" vertical="center" wrapText="1"/>
      <protection hidden="1"/>
    </xf>
    <xf numFmtId="0" fontId="44" fillId="21" borderId="1" xfId="4" applyFont="1" applyFill="1" applyBorder="1" applyAlignment="1">
      <alignment horizontal="center" vertical="center" wrapText="1"/>
    </xf>
    <xf numFmtId="0" fontId="41" fillId="21" borderId="7" xfId="4" applyFont="1" applyFill="1" applyBorder="1" applyAlignment="1">
      <alignment horizontal="center" vertical="center" wrapText="1"/>
    </xf>
    <xf numFmtId="0" fontId="41" fillId="21" borderId="6" xfId="4" applyFont="1" applyFill="1" applyBorder="1" applyAlignment="1">
      <alignment horizontal="center" vertical="center" wrapText="1"/>
    </xf>
    <xf numFmtId="9" fontId="47" fillId="0" borderId="1" xfId="0" applyNumberFormat="1" applyFont="1" applyBorder="1" applyAlignment="1" applyProtection="1">
      <alignment horizontal="center" vertical="center" wrapText="1"/>
    </xf>
    <xf numFmtId="9" fontId="47" fillId="0" borderId="1" xfId="0" applyNumberFormat="1" applyFont="1" applyBorder="1" applyAlignment="1" applyProtection="1">
      <alignment horizontal="left" vertical="center" wrapText="1"/>
    </xf>
    <xf numFmtId="0" fontId="36" fillId="12" borderId="1" xfId="0" applyFont="1" applyFill="1" applyBorder="1" applyAlignment="1" applyProtection="1">
      <alignment horizontal="center" vertical="center" wrapText="1"/>
      <protection hidden="1"/>
    </xf>
    <xf numFmtId="9" fontId="47" fillId="0" borderId="1" xfId="0" applyNumberFormat="1" applyFont="1" applyBorder="1" applyAlignment="1" applyProtection="1">
      <alignment horizontal="left" vertical="top" wrapText="1"/>
    </xf>
    <xf numFmtId="0" fontId="34" fillId="0" borderId="27" xfId="8" applyFont="1" applyAlignment="1">
      <alignment horizontal="right"/>
    </xf>
    <xf numFmtId="9" fontId="34" fillId="0" borderId="28" xfId="0" applyNumberFormat="1" applyFont="1" applyBorder="1" applyAlignment="1" applyProtection="1">
      <alignment horizontal="center" vertical="center" wrapText="1"/>
    </xf>
    <xf numFmtId="0" fontId="34" fillId="25" borderId="7" xfId="7" applyFont="1" applyBorder="1" applyAlignment="1">
      <alignment horizontal="right"/>
    </xf>
    <xf numFmtId="0" fontId="34" fillId="25" borderId="8" xfId="7" applyFont="1" applyBorder="1" applyAlignment="1">
      <alignment horizontal="right"/>
    </xf>
    <xf numFmtId="0" fontId="34" fillId="25" borderId="6" xfId="7" applyFont="1" applyBorder="1" applyAlignment="1">
      <alignment horizontal="right"/>
    </xf>
    <xf numFmtId="9" fontId="34" fillId="0" borderId="7" xfId="0" applyNumberFormat="1" applyFont="1" applyBorder="1" applyAlignment="1" applyProtection="1">
      <alignment horizontal="center" vertical="center" wrapText="1"/>
    </xf>
    <xf numFmtId="9" fontId="34" fillId="0" borderId="8" xfId="0" applyNumberFormat="1" applyFont="1" applyBorder="1" applyAlignment="1" applyProtection="1">
      <alignment horizontal="center" vertical="center" wrapText="1"/>
    </xf>
    <xf numFmtId="0" fontId="34" fillId="0" borderId="46" xfId="8" applyFont="1" applyBorder="1" applyAlignment="1">
      <alignment horizontal="right"/>
    </xf>
    <xf numFmtId="0" fontId="34" fillId="0" borderId="47" xfId="8" applyFont="1" applyBorder="1" applyAlignment="1">
      <alignment horizontal="right"/>
    </xf>
    <xf numFmtId="9" fontId="34" fillId="0" borderId="44" xfId="0" applyNumberFormat="1" applyFont="1" applyBorder="1" applyAlignment="1" applyProtection="1">
      <alignment horizontal="center" vertical="center" wrapText="1"/>
    </xf>
    <xf numFmtId="9" fontId="34" fillId="0" borderId="45" xfId="0" applyNumberFormat="1" applyFont="1" applyBorder="1" applyAlignment="1" applyProtection="1">
      <alignment horizontal="center" vertical="center" wrapText="1"/>
    </xf>
    <xf numFmtId="9" fontId="34" fillId="0" borderId="6" xfId="0" applyNumberFormat="1" applyFont="1" applyBorder="1" applyAlignment="1" applyProtection="1">
      <alignment horizontal="center" vertical="center" wrapText="1"/>
    </xf>
    <xf numFmtId="9" fontId="47" fillId="0" borderId="0" xfId="0" applyNumberFormat="1" applyFont="1" applyFill="1" applyBorder="1" applyAlignment="1" applyProtection="1">
      <alignment horizontal="left" vertical="center" wrapText="1"/>
    </xf>
    <xf numFmtId="0" fontId="41" fillId="0" borderId="0" xfId="4" applyFont="1" applyFill="1" applyBorder="1" applyAlignment="1">
      <alignment horizontal="center" vertical="center" wrapText="1"/>
    </xf>
    <xf numFmtId="0" fontId="55" fillId="0" borderId="17"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6" xfId="0" applyFont="1" applyBorder="1" applyAlignment="1">
      <alignment horizontal="center" vertical="center" wrapText="1"/>
    </xf>
    <xf numFmtId="0" fontId="26" fillId="18" borderId="7" xfId="0" applyFont="1" applyFill="1" applyBorder="1" applyAlignment="1" applyProtection="1">
      <alignment horizontal="center" vertical="center" wrapText="1"/>
      <protection hidden="1"/>
    </xf>
    <xf numFmtId="0" fontId="26" fillId="18" borderId="8" xfId="0" applyFont="1" applyFill="1" applyBorder="1" applyAlignment="1" applyProtection="1">
      <alignment horizontal="center" vertical="center" wrapText="1"/>
      <protection hidden="1"/>
    </xf>
    <xf numFmtId="0" fontId="26" fillId="18" borderId="6" xfId="0" applyFont="1" applyFill="1" applyBorder="1" applyAlignment="1" applyProtection="1">
      <alignment horizontal="center" vertical="center" wrapText="1"/>
      <protection hidden="1"/>
    </xf>
    <xf numFmtId="0" fontId="43" fillId="25" borderId="7" xfId="7" applyFont="1" applyBorder="1" applyAlignment="1">
      <alignment horizontal="center" vertical="center"/>
    </xf>
    <xf numFmtId="0" fontId="43" fillId="25" borderId="8" xfId="7" applyFont="1" applyBorder="1" applyAlignment="1">
      <alignment horizontal="center" vertical="center"/>
    </xf>
    <xf numFmtId="0" fontId="43" fillId="25" borderId="6" xfId="7" applyFont="1" applyBorder="1" applyAlignment="1">
      <alignment horizontal="center" vertical="center"/>
    </xf>
    <xf numFmtId="0" fontId="43" fillId="0" borderId="26" xfId="8" applyFont="1" applyBorder="1" applyAlignment="1">
      <alignment horizontal="center" vertical="center"/>
    </xf>
    <xf numFmtId="0" fontId="43" fillId="0" borderId="14" xfId="8" applyFont="1" applyBorder="1" applyAlignment="1">
      <alignment horizontal="center" vertical="center"/>
    </xf>
    <xf numFmtId="0" fontId="25" fillId="29" borderId="1" xfId="8" applyFont="1" applyFill="1" applyBorder="1" applyAlignment="1">
      <alignment horizontal="right" vertical="center"/>
    </xf>
    <xf numFmtId="0" fontId="25" fillId="0" borderId="7" xfId="8" applyFont="1" applyBorder="1" applyAlignment="1">
      <alignment horizontal="right" vertical="center"/>
    </xf>
    <xf numFmtId="0" fontId="25" fillId="0" borderId="6" xfId="8" applyFont="1" applyBorder="1" applyAlignment="1">
      <alignment horizontal="right" vertical="center"/>
    </xf>
    <xf numFmtId="9" fontId="60" fillId="7" borderId="17" xfId="3" applyNumberFormat="1" applyFont="1" applyFill="1" applyBorder="1" applyAlignment="1">
      <alignment horizontal="left" vertical="center" wrapText="1"/>
    </xf>
    <xf numFmtId="9" fontId="60" fillId="7" borderId="9" xfId="3" applyNumberFormat="1" applyFont="1" applyFill="1" applyBorder="1" applyAlignment="1">
      <alignment horizontal="left" vertical="center" wrapText="1"/>
    </xf>
    <xf numFmtId="0" fontId="60" fillId="29" borderId="14" xfId="3" applyNumberFormat="1" applyFont="1" applyFill="1" applyBorder="1" applyAlignment="1">
      <alignment horizontal="center" vertical="center" wrapText="1"/>
    </xf>
    <xf numFmtId="0" fontId="60" fillId="29" borderId="16" xfId="3" applyNumberFormat="1" applyFont="1" applyFill="1" applyBorder="1" applyAlignment="1">
      <alignment horizontal="center" vertical="center" wrapText="1"/>
    </xf>
    <xf numFmtId="0" fontId="57" fillId="21" borderId="1" xfId="4" applyNumberFormat="1" applyFont="1" applyFill="1" applyBorder="1" applyAlignment="1">
      <alignment horizontal="center" vertical="center" wrapText="1"/>
    </xf>
    <xf numFmtId="0" fontId="25" fillId="14" borderId="7" xfId="7" applyFont="1" applyFill="1" applyBorder="1" applyAlignment="1">
      <alignment horizontal="right" vertical="center" wrapText="1"/>
    </xf>
    <xf numFmtId="0" fontId="25" fillId="14" borderId="6" xfId="7" applyFont="1" applyFill="1" applyBorder="1" applyAlignment="1">
      <alignment horizontal="right" vertical="center" wrapText="1"/>
    </xf>
    <xf numFmtId="0" fontId="41" fillId="14" borderId="0" xfId="4" applyFont="1" applyFill="1" applyBorder="1" applyAlignment="1">
      <alignment horizontal="center" vertical="center" wrapText="1"/>
    </xf>
    <xf numFmtId="0" fontId="57" fillId="21" borderId="1" xfId="4" applyFont="1" applyFill="1" applyBorder="1" applyAlignment="1">
      <alignment horizontal="center" vertical="center" wrapText="1"/>
    </xf>
    <xf numFmtId="0" fontId="57" fillId="21" borderId="7" xfId="4" applyFont="1" applyFill="1" applyBorder="1" applyAlignment="1">
      <alignment horizontal="center" vertical="center" wrapText="1"/>
    </xf>
    <xf numFmtId="0" fontId="57" fillId="21" borderId="6" xfId="4" applyFont="1" applyFill="1" applyBorder="1" applyAlignment="1">
      <alignment horizontal="center" vertical="center" wrapText="1"/>
    </xf>
    <xf numFmtId="10" fontId="41" fillId="21" borderId="1" xfId="4"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5" fillId="0" borderId="1" xfId="0" applyFont="1" applyBorder="1" applyAlignment="1">
      <alignment horizontal="center" vertical="center" wrapText="1"/>
    </xf>
    <xf numFmtId="0" fontId="29" fillId="15" borderId="22" xfId="0" applyFont="1" applyFill="1" applyBorder="1" applyAlignment="1">
      <alignment horizontal="center" vertical="center" wrapText="1"/>
    </xf>
    <xf numFmtId="0" fontId="57" fillId="21" borderId="7" xfId="4" applyNumberFormat="1" applyFont="1" applyFill="1" applyBorder="1" applyAlignment="1">
      <alignment horizontal="center" vertical="center" wrapText="1"/>
    </xf>
    <xf numFmtId="0" fontId="57" fillId="21" borderId="6" xfId="4" applyNumberFormat="1" applyFont="1" applyFill="1" applyBorder="1" applyAlignment="1">
      <alignment horizontal="center" vertical="center" wrapText="1"/>
    </xf>
    <xf numFmtId="0" fontId="26" fillId="9" borderId="1" xfId="0" applyFont="1" applyFill="1" applyBorder="1" applyAlignment="1" applyProtection="1">
      <alignment horizontal="right" vertical="top" wrapText="1"/>
      <protection hidden="1"/>
    </xf>
    <xf numFmtId="0" fontId="26" fillId="12" borderId="1" xfId="0" applyFont="1" applyFill="1" applyBorder="1" applyAlignment="1" applyProtection="1">
      <alignment horizontal="right" vertical="center" wrapText="1"/>
      <protection hidden="1"/>
    </xf>
    <xf numFmtId="9" fontId="60" fillId="7" borderId="9" xfId="3" applyNumberFormat="1" applyFont="1" applyFill="1" applyBorder="1" applyAlignment="1">
      <alignment horizontal="center" vertical="center" wrapText="1"/>
    </xf>
    <xf numFmtId="9" fontId="60" fillId="7" borderId="16" xfId="3" applyNumberFormat="1" applyFont="1" applyFill="1" applyBorder="1" applyAlignment="1">
      <alignment horizontal="center" vertical="center" wrapText="1"/>
    </xf>
    <xf numFmtId="0" fontId="77" fillId="0" borderId="19" xfId="0" applyNumberFormat="1" applyFont="1" applyBorder="1" applyAlignment="1" applyProtection="1">
      <alignment horizontal="center" vertical="center" wrapText="1"/>
    </xf>
    <xf numFmtId="0" fontId="77" fillId="0" borderId="18" xfId="0" applyNumberFormat="1" applyFont="1" applyBorder="1" applyAlignment="1" applyProtection="1">
      <alignment horizontal="center" vertical="center" wrapText="1"/>
    </xf>
    <xf numFmtId="0" fontId="78" fillId="29" borderId="48" xfId="4" applyFont="1" applyFill="1" applyBorder="1" applyAlignment="1">
      <alignment horizontal="center" vertical="center" wrapText="1"/>
    </xf>
    <xf numFmtId="0" fontId="41" fillId="7" borderId="48" xfId="4" applyFont="1" applyFill="1" applyBorder="1" applyAlignment="1">
      <alignment horizontal="center" vertical="center" wrapText="1"/>
    </xf>
    <xf numFmtId="0" fontId="76" fillId="38" borderId="1" xfId="0" applyFont="1" applyFill="1" applyBorder="1" applyAlignment="1" applyProtection="1">
      <alignment horizontal="center" vertical="center" wrapText="1"/>
      <protection hidden="1"/>
    </xf>
    <xf numFmtId="0" fontId="57" fillId="21" borderId="9" xfId="4" applyNumberFormat="1" applyFont="1" applyFill="1" applyBorder="1" applyAlignment="1">
      <alignment horizontal="center" vertical="center" wrapText="1"/>
    </xf>
    <xf numFmtId="0" fontId="57" fillId="21" borderId="16" xfId="4" applyNumberFormat="1" applyFont="1" applyFill="1" applyBorder="1" applyAlignment="1">
      <alignment horizontal="center" vertical="center" wrapText="1"/>
    </xf>
    <xf numFmtId="0" fontId="34" fillId="25" borderId="1" xfId="7" applyFont="1" applyBorder="1" applyAlignment="1">
      <alignment horizontal="right" vertical="center" wrapText="1"/>
    </xf>
    <xf numFmtId="0" fontId="34" fillId="0" borderId="1" xfId="8" applyFont="1" applyBorder="1" applyAlignment="1">
      <alignment horizontal="right" vertical="center"/>
    </xf>
    <xf numFmtId="9" fontId="47" fillId="14" borderId="0" xfId="0" applyNumberFormat="1" applyFont="1" applyFill="1" applyBorder="1" applyAlignment="1" applyProtection="1">
      <alignment horizontal="left" vertical="center" wrapText="1"/>
    </xf>
    <xf numFmtId="9" fontId="30" fillId="7" borderId="17" xfId="3" applyNumberFormat="1" applyFont="1" applyFill="1" applyBorder="1" applyAlignment="1">
      <alignment horizontal="left" vertical="center" wrapText="1"/>
    </xf>
    <xf numFmtId="9" fontId="30" fillId="7" borderId="9" xfId="3" applyNumberFormat="1" applyFont="1" applyFill="1" applyBorder="1" applyAlignment="1">
      <alignment horizontal="left" vertical="center" wrapText="1"/>
    </xf>
    <xf numFmtId="0" fontId="30" fillId="29" borderId="14" xfId="3" applyNumberFormat="1" applyFont="1" applyFill="1" applyBorder="1" applyAlignment="1">
      <alignment horizontal="center" vertical="center" wrapText="1"/>
    </xf>
    <xf numFmtId="0" fontId="30" fillId="29" borderId="16" xfId="3" applyNumberFormat="1" applyFont="1" applyFill="1" applyBorder="1" applyAlignment="1">
      <alignment horizontal="center" vertical="center" wrapText="1"/>
    </xf>
    <xf numFmtId="0" fontId="34" fillId="37" borderId="52" xfId="7" applyFont="1" applyFill="1" applyBorder="1" applyAlignment="1">
      <alignment horizontal="center" vertical="center" wrapText="1"/>
    </xf>
    <xf numFmtId="0" fontId="34" fillId="37" borderId="53" xfId="7" applyFont="1" applyFill="1" applyBorder="1" applyAlignment="1">
      <alignment horizontal="center" vertical="center" wrapText="1"/>
    </xf>
    <xf numFmtId="0" fontId="34" fillId="0" borderId="25" xfId="8" applyFont="1" applyBorder="1" applyAlignment="1">
      <alignment horizontal="right" vertical="center"/>
    </xf>
    <xf numFmtId="0" fontId="34" fillId="36" borderId="52" xfId="7" applyFont="1" applyFill="1" applyBorder="1" applyAlignment="1">
      <alignment horizontal="center" vertical="center" wrapText="1"/>
    </xf>
    <xf numFmtId="0" fontId="34" fillId="36" borderId="53" xfId="7" applyFont="1" applyFill="1" applyBorder="1" applyAlignment="1">
      <alignment horizontal="center" vertical="center" wrapText="1"/>
    </xf>
    <xf numFmtId="0" fontId="34" fillId="0" borderId="19" xfId="7" applyFont="1" applyFill="1" applyBorder="1" applyAlignment="1">
      <alignment horizontal="right" vertical="center" wrapText="1"/>
    </xf>
    <xf numFmtId="0" fontId="34" fillId="0" borderId="25" xfId="7" applyFont="1" applyFill="1" applyBorder="1" applyAlignment="1">
      <alignment horizontal="right" vertical="center" wrapText="1"/>
    </xf>
    <xf numFmtId="0" fontId="84" fillId="38" borderId="7" xfId="0" applyFont="1" applyFill="1" applyBorder="1" applyAlignment="1" applyProtection="1">
      <alignment horizontal="center" vertical="center" wrapText="1"/>
      <protection hidden="1"/>
    </xf>
    <xf numFmtId="0" fontId="84" fillId="38" borderId="8" xfId="0" applyFont="1" applyFill="1" applyBorder="1" applyAlignment="1" applyProtection="1">
      <alignment horizontal="center" vertical="center" wrapText="1"/>
      <protection hidden="1"/>
    </xf>
    <xf numFmtId="0" fontId="84" fillId="38" borderId="6" xfId="0" applyFont="1" applyFill="1" applyBorder="1" applyAlignment="1" applyProtection="1">
      <alignment horizontal="center" vertical="center" wrapText="1"/>
      <protection hidden="1"/>
    </xf>
    <xf numFmtId="0" fontId="6" fillId="14" borderId="0" xfId="5" applyFill="1" applyAlignment="1" applyProtection="1">
      <alignment horizontal="center"/>
    </xf>
  </cellXfs>
  <cellStyles count="15">
    <cellStyle name="20% - Énfasis1" xfId="1" builtinId="30"/>
    <cellStyle name="40% - Énfasis2" xfId="10" builtinId="35"/>
    <cellStyle name="40% - Énfasis6" xfId="2" builtinId="51"/>
    <cellStyle name="Celda de comprobación" xfId="11" builtinId="23"/>
    <cellStyle name="Celda vinculada" xfId="8" builtinId="24"/>
    <cellStyle name="Énfasis1" xfId="3" builtinId="29"/>
    <cellStyle name="Énfasis6" xfId="4" builtinId="49"/>
    <cellStyle name="Hipervínculo" xfId="5" builtinId="8"/>
    <cellStyle name="Millares" xfId="14" builtinId="3"/>
    <cellStyle name="Neutral" xfId="7" builtinId="28"/>
    <cellStyle name="Normal" xfId="0" builtinId="0"/>
    <cellStyle name="Normal 2" xfId="12"/>
    <cellStyle name="Normal 3" xfId="13"/>
    <cellStyle name="Porcentaje" xfId="6" builtinId="5"/>
    <cellStyle name="Salida" xfId="9" builtinId="21"/>
  </cellStyles>
  <dxfs count="537">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6500"/>
      </font>
      <fill>
        <patternFill>
          <bgColor rgb="FFFFEB9C"/>
        </patternFill>
      </fill>
    </dxf>
    <dxf>
      <font>
        <color rgb="FF9C6500"/>
      </font>
      <fill>
        <patternFill>
          <bgColor rgb="FFFFEB9C"/>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0006"/>
      </font>
      <fill>
        <patternFill>
          <bgColor rgb="FFFFC7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lor theme="6" tint="-0.499984740745262"/>
      </font>
      <fill>
        <patternFill>
          <bgColor theme="6" tint="0.79998168889431442"/>
        </patternFill>
      </fill>
    </dxf>
    <dxf>
      <font>
        <color rgb="FFE7E200"/>
      </font>
      <fill>
        <patternFill>
          <bgColor rgb="FFFFFFD1"/>
        </patternFill>
      </fill>
    </dxf>
    <dxf>
      <font>
        <color rgb="FFB0AC00"/>
      </font>
      <fill>
        <patternFill>
          <bgColor rgb="FFFFFFC1"/>
        </patternFill>
      </fill>
    </dxf>
    <dxf>
      <font>
        <condense val="0"/>
        <extend val="0"/>
        <color rgb="FF9C0006"/>
      </font>
      <fill>
        <patternFill>
          <bgColor rgb="FFFFC7CE"/>
        </patternFill>
      </fill>
    </dxf>
    <dxf>
      <font>
        <color theme="5" tint="-0.24994659260841701"/>
      </font>
      <fill>
        <patternFill>
          <bgColor theme="5" tint="0.79998168889431442"/>
        </patternFill>
      </fill>
    </dxf>
    <dxf>
      <font>
        <color theme="6" tint="-0.499984740745262"/>
      </font>
      <fill>
        <patternFill>
          <bgColor theme="6" tint="0.79998168889431442"/>
        </patternFill>
      </fill>
    </dxf>
    <dxf>
      <font>
        <color rgb="FFB0AC00"/>
      </font>
      <fill>
        <patternFill>
          <bgColor rgb="FFFFFFB9"/>
        </patternFill>
      </fill>
    </dxf>
    <dxf>
      <font>
        <condense val="0"/>
        <extend val="0"/>
        <color rgb="FF9C0006"/>
      </font>
      <fill>
        <patternFill>
          <bgColor rgb="FFFFC7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bgColor theme="0" tint="-4.9989318521683403E-2"/>
        </patternFill>
      </fill>
    </dxf>
    <dxf>
      <fill>
        <patternFill patternType="lightGrid">
          <fgColor theme="0" tint="-4.9989318521683403E-2"/>
          <bgColor theme="0"/>
        </patternFill>
      </fill>
    </dxf>
    <dxf>
      <fill>
        <patternFill>
          <bgColor theme="0" tint="-0.14996795556505021"/>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bgColor theme="0"/>
        </patternFill>
      </fill>
    </dxf>
    <dxf>
      <fill>
        <patternFill patternType="lightGrid">
          <fgColor theme="0" tint="-4.9989318521683403E-2"/>
          <bgColor theme="0"/>
        </patternFill>
      </fill>
    </dxf>
    <dxf>
      <fill>
        <patternFill patternType="lightGrid">
          <fgColor theme="0" tint="-4.9989318521683403E-2"/>
          <bgColor theme="0"/>
        </patternFill>
      </fill>
    </dxf>
    <dxf>
      <fill>
        <patternFill>
          <bgColor theme="0" tint="-4.9989318521683403E-2"/>
        </patternFill>
      </fill>
    </dxf>
    <dxf>
      <fill>
        <patternFill>
          <bgColor theme="0" tint="-4.9989318521683403E-2"/>
        </patternFill>
      </fill>
    </dxf>
    <dxf>
      <fill>
        <patternFill patternType="lightGrid">
          <fgColor theme="0" tint="-4.9989318521683403E-2"/>
          <bgColor theme="0"/>
        </patternFill>
      </fill>
    </dxf>
    <dxf>
      <fill>
        <patternFill patternType="lightGrid">
          <fgColor theme="0" tint="-4.9989318521683403E-2"/>
          <bgColor theme="0"/>
        </patternFill>
      </fill>
    </dxf>
    <dxf>
      <fill>
        <patternFill>
          <bgColor theme="0" tint="-4.9989318521683403E-2"/>
        </patternFill>
      </fill>
    </dxf>
    <dxf>
      <fill>
        <patternFill>
          <bgColor theme="0" tint="-4.9989318521683403E-2"/>
        </patternFill>
      </fill>
    </dxf>
    <dxf>
      <fill>
        <patternFill patternType="lightGrid">
          <fgColor theme="0" tint="-4.9989318521683403E-2"/>
          <bgColor theme="0"/>
        </patternFill>
      </fill>
    </dxf>
    <dxf>
      <fill>
        <patternFill patternType="lightGrid">
          <fgColor theme="0" tint="-4.9989318521683403E-2"/>
          <bgColor theme="0"/>
        </patternFill>
      </fill>
    </dxf>
    <dxf>
      <fill>
        <patternFill>
          <bgColor theme="0" tint="-4.9989318521683403E-2"/>
        </patternFill>
      </fill>
    </dxf>
    <dxf>
      <fill>
        <patternFill>
          <bgColor theme="0" tint="-4.9989318521683403E-2"/>
        </patternFill>
      </fill>
    </dxf>
    <dxf>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lor rgb="FFFF6600"/>
      </font>
      <fill>
        <patternFill>
          <bgColor theme="9"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24994659260841701"/>
      </font>
      <fill>
        <patternFill>
          <bgColor theme="9" tint="0.79998168889431442"/>
        </patternFill>
      </fill>
    </dxf>
    <dxf>
      <font>
        <condense val="0"/>
        <extend val="0"/>
        <color rgb="FF9C6500"/>
      </font>
      <fill>
        <patternFill>
          <bgColor rgb="FFFFEB9C"/>
        </patternFill>
      </fill>
    </dxf>
    <dxf>
      <font>
        <color theme="4" tint="-0.24994659260841701"/>
      </font>
      <fill>
        <patternFill>
          <bgColor theme="3"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lor rgb="FFFF6600"/>
      </font>
      <fill>
        <patternFill>
          <bgColor rgb="FFFFCC66"/>
        </patternFill>
      </fill>
    </dxf>
    <dxf>
      <font>
        <condense val="0"/>
        <extend val="0"/>
        <color rgb="FF9C6500"/>
      </font>
      <fill>
        <patternFill>
          <bgColor rgb="FFFFEB9C"/>
        </patternFill>
      </fill>
    </dxf>
    <dxf>
      <font>
        <color rgb="FF0070C0"/>
      </font>
      <fill>
        <patternFill>
          <bgColor theme="4" tint="0.59996337778862885"/>
        </patternFill>
      </fill>
    </dxf>
    <dxf>
      <font>
        <condense val="0"/>
        <extend val="0"/>
        <color rgb="FF006100"/>
      </font>
      <fill>
        <patternFill>
          <bgColor rgb="FFC6EFCE"/>
        </patternFill>
      </fill>
    </dxf>
    <dxf>
      <font>
        <color theme="6" tint="-0.499984740745262"/>
      </font>
      <fill>
        <patternFill>
          <bgColor theme="6" tint="0.79998168889431442"/>
        </patternFill>
      </fill>
    </dxf>
    <dxf>
      <font>
        <color rgb="FFE7E200"/>
      </font>
      <fill>
        <patternFill>
          <bgColor rgb="FFFFFFD1"/>
        </patternFill>
      </fill>
    </dxf>
    <dxf>
      <font>
        <color rgb="FFB0AC00"/>
      </font>
      <fill>
        <patternFill>
          <bgColor rgb="FFFFFFC1"/>
        </patternFill>
      </fill>
    </dxf>
    <dxf>
      <font>
        <condense val="0"/>
        <extend val="0"/>
        <color rgb="FF9C0006"/>
      </font>
      <fill>
        <patternFill>
          <bgColor rgb="FFFFC7CE"/>
        </patternFill>
      </fill>
    </dxf>
    <dxf>
      <font>
        <color theme="5" tint="-0.24994659260841701"/>
      </font>
      <fill>
        <patternFill>
          <bgColor theme="5" tint="0.79998168889431442"/>
        </patternFill>
      </fill>
    </dxf>
    <dxf>
      <font>
        <color theme="6" tint="-0.499984740745262"/>
      </font>
      <fill>
        <patternFill>
          <bgColor theme="6" tint="0.79998168889431442"/>
        </patternFill>
      </fill>
    </dxf>
    <dxf>
      <font>
        <color rgb="FFB0AC00"/>
      </font>
      <fill>
        <patternFill>
          <bgColor rgb="FFFFFFB9"/>
        </patternFill>
      </fill>
    </dxf>
    <dxf>
      <font>
        <condense val="0"/>
        <extend val="0"/>
        <color rgb="FF9C0006"/>
      </font>
      <fill>
        <patternFill>
          <bgColor rgb="FFFFC7CE"/>
        </patternFill>
      </fill>
    </dxf>
    <dxf>
      <fill>
        <patternFill patternType="lightGrid">
          <fgColor theme="0" tint="-4.9989318521683403E-2"/>
        </patternFill>
      </fill>
    </dxf>
    <dxf>
      <font>
        <color auto="1"/>
      </font>
      <fill>
        <patternFill patternType="lightGrid">
          <fgColor theme="0" tint="-4.9989318521683403E-2"/>
          <bgColor theme="0"/>
        </patternFill>
      </fill>
    </dxf>
    <dxf>
      <fill>
        <patternFill patternType="lightGrid">
          <fgColor theme="0" tint="-4.9989318521683403E-2"/>
        </patternFill>
      </fill>
    </dxf>
    <dxf>
      <font>
        <color auto="1"/>
      </font>
      <fill>
        <patternFill patternType="lightGrid">
          <fgColor theme="0" tint="-4.9989318521683403E-2"/>
          <bgColor theme="0"/>
        </patternFill>
      </fill>
    </dxf>
    <dxf>
      <font>
        <color theme="0" tint="-0.499984740745262"/>
      </font>
      <fill>
        <patternFill>
          <bgColor theme="5" tint="0.79998168889431442"/>
        </patternFill>
      </fill>
    </dxf>
    <dxf>
      <fill>
        <patternFill patternType="lightGrid">
          <fgColor theme="0" tint="-4.9989318521683403E-2"/>
          <bgColor theme="0"/>
        </patternFill>
      </fill>
    </dxf>
    <dxf>
      <fill>
        <patternFill patternType="lightGrid">
          <fgColor theme="0" tint="-4.9989318521683403E-2"/>
          <bgColor theme="0"/>
        </patternFill>
      </fill>
    </dxf>
    <dxf>
      <font>
        <condense val="0"/>
        <extend val="0"/>
        <color rgb="FF9C0006"/>
      </font>
      <fill>
        <patternFill>
          <bgColor rgb="FFFFC7CE"/>
        </patternFill>
      </fill>
    </dxf>
  </dxfs>
  <tableStyles count="0" defaultTableStyle="TableStyleMedium9" defaultPivotStyle="PivotStyleLight16"/>
  <colors>
    <mruColors>
      <color rgb="FF868300"/>
      <color rgb="FFC0BC00"/>
      <color rgb="FFFFFF61"/>
      <color rgb="FFFFFF33"/>
      <color rgb="FFFFFF99"/>
      <color rgb="FF8D42C6"/>
      <color rgb="FFFFFF66"/>
      <color rgb="FFFFFFB7"/>
      <color rgb="FF4040C0"/>
      <color rgb="FF3A3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7.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8.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9.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Avances Cuatrimestrales de Acciones por Riesgo de GESTIÓN</a:t>
            </a:r>
          </a:p>
        </c:rich>
      </c:tx>
      <c:layout>
        <c:manualLayout>
          <c:xMode val="edge"/>
          <c:yMode val="edge"/>
          <c:x val="0.16540266841644793"/>
          <c:y val="1.250002460634765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238992252575471E-2"/>
          <c:y val="0.16041701753503398"/>
          <c:w val="0.92524316248357041"/>
          <c:h val="0.67257620131860885"/>
        </c:manualLayout>
      </c:layout>
      <c:bar3DChart>
        <c:barDir val="col"/>
        <c:grouping val="clustered"/>
        <c:varyColors val="0"/>
        <c:ser>
          <c:idx val="1"/>
          <c:order val="0"/>
          <c:tx>
            <c:strRef>
              <c:f>RXC!$C$8</c:f>
              <c:strCache>
                <c:ptCount val="1"/>
                <c:pt idx="0">
                  <c:v>% 1ER CuaT</c:v>
                </c:pt>
              </c:strCache>
            </c:strRef>
          </c:tx>
          <c:spPr>
            <a:solidFill>
              <a:schemeClr val="accent2"/>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RXC!$C$9:$C$36</c:f>
              <c:numCache>
                <c:formatCode>0%</c:formatCode>
                <c:ptCount val="28"/>
                <c:pt idx="0">
                  <c:v>0</c:v>
                </c:pt>
                <c:pt idx="1">
                  <c:v>1</c:v>
                </c:pt>
                <c:pt idx="2">
                  <c:v>1</c:v>
                </c:pt>
                <c:pt idx="3">
                  <c:v>0</c:v>
                </c:pt>
                <c:pt idx="4">
                  <c:v>1</c:v>
                </c:pt>
                <c:pt idx="5">
                  <c:v>0</c:v>
                </c:pt>
                <c:pt idx="6">
                  <c:v>0</c:v>
                </c:pt>
                <c:pt idx="7">
                  <c:v>0</c:v>
                </c:pt>
                <c:pt idx="8">
                  <c:v>1</c:v>
                </c:pt>
                <c:pt idx="9">
                  <c:v>0.125</c:v>
                </c:pt>
                <c:pt idx="10">
                  <c:v>0</c:v>
                </c:pt>
                <c:pt idx="11">
                  <c:v>0</c:v>
                </c:pt>
                <c:pt idx="12">
                  <c:v>0</c:v>
                </c:pt>
                <c:pt idx="13">
                  <c:v>0</c:v>
                </c:pt>
                <c:pt idx="14">
                  <c:v>0.58333333333333326</c:v>
                </c:pt>
                <c:pt idx="15">
                  <c:v>8.3333333333333343E-2</c:v>
                </c:pt>
                <c:pt idx="16">
                  <c:v>0</c:v>
                </c:pt>
                <c:pt idx="17">
                  <c:v>0</c:v>
                </c:pt>
                <c:pt idx="18">
                  <c:v>0</c:v>
                </c:pt>
                <c:pt idx="19">
                  <c:v>0</c:v>
                </c:pt>
                <c:pt idx="20">
                  <c:v>0</c:v>
                </c:pt>
                <c:pt idx="21">
                  <c:v>0</c:v>
                </c:pt>
                <c:pt idx="22">
                  <c:v>0</c:v>
                </c:pt>
                <c:pt idx="23">
                  <c:v>0</c:v>
                </c:pt>
                <c:pt idx="24">
                  <c:v>0</c:v>
                </c:pt>
                <c:pt idx="25">
                  <c:v>0</c:v>
                </c:pt>
                <c:pt idx="26">
                  <c:v>0</c:v>
                </c:pt>
                <c:pt idx="27">
                  <c:v>0</c:v>
                </c:pt>
              </c:numCache>
            </c:numRef>
          </c:val>
        </c:ser>
        <c:ser>
          <c:idx val="2"/>
          <c:order val="1"/>
          <c:tx>
            <c:strRef>
              <c:f>RXC!$D$8</c:f>
              <c:strCache>
                <c:ptCount val="1"/>
                <c:pt idx="0">
                  <c:v>% 2DO CuaT</c:v>
                </c:pt>
              </c:strCache>
            </c:strRef>
          </c:tx>
          <c:spPr>
            <a:solidFill>
              <a:schemeClr val="accent3"/>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RXC!$D$9:$D$36</c:f>
              <c:numCache>
                <c:formatCode>0%</c:formatCode>
                <c:ptCount val="28"/>
                <c:pt idx="0">
                  <c:v>0</c:v>
                </c:pt>
                <c:pt idx="1">
                  <c:v>1</c:v>
                </c:pt>
                <c:pt idx="2">
                  <c:v>1</c:v>
                </c:pt>
                <c:pt idx="3">
                  <c:v>0.5</c:v>
                </c:pt>
                <c:pt idx="4">
                  <c:v>1</c:v>
                </c:pt>
                <c:pt idx="5">
                  <c:v>0</c:v>
                </c:pt>
                <c:pt idx="6">
                  <c:v>0</c:v>
                </c:pt>
                <c:pt idx="7">
                  <c:v>0</c:v>
                </c:pt>
                <c:pt idx="8">
                  <c:v>1</c:v>
                </c:pt>
                <c:pt idx="9">
                  <c:v>0.25</c:v>
                </c:pt>
                <c:pt idx="10">
                  <c:v>3.5000000000000003E-2</c:v>
                </c:pt>
                <c:pt idx="11">
                  <c:v>0.05</c:v>
                </c:pt>
                <c:pt idx="12">
                  <c:v>0.05</c:v>
                </c:pt>
                <c:pt idx="13">
                  <c:v>0.02</c:v>
                </c:pt>
                <c:pt idx="14">
                  <c:v>0.71666666666666667</c:v>
                </c:pt>
                <c:pt idx="15">
                  <c:v>0.5</c:v>
                </c:pt>
                <c:pt idx="16">
                  <c:v>0.67</c:v>
                </c:pt>
                <c:pt idx="17">
                  <c:v>0</c:v>
                </c:pt>
                <c:pt idx="18">
                  <c:v>0</c:v>
                </c:pt>
                <c:pt idx="19">
                  <c:v>0</c:v>
                </c:pt>
                <c:pt idx="20">
                  <c:v>0</c:v>
                </c:pt>
                <c:pt idx="21">
                  <c:v>0.21666666666666665</c:v>
                </c:pt>
                <c:pt idx="22">
                  <c:v>0.5</c:v>
                </c:pt>
                <c:pt idx="23">
                  <c:v>0.45</c:v>
                </c:pt>
                <c:pt idx="24">
                  <c:v>0</c:v>
                </c:pt>
                <c:pt idx="25">
                  <c:v>0</c:v>
                </c:pt>
                <c:pt idx="26">
                  <c:v>0</c:v>
                </c:pt>
                <c:pt idx="27">
                  <c:v>0</c:v>
                </c:pt>
              </c:numCache>
            </c:numRef>
          </c:val>
        </c:ser>
        <c:ser>
          <c:idx val="3"/>
          <c:order val="2"/>
          <c:tx>
            <c:strRef>
              <c:f>RXC!$E$8</c:f>
              <c:strCache>
                <c:ptCount val="1"/>
                <c:pt idx="0">
                  <c:v>% 3ER CuaT</c:v>
                </c:pt>
              </c:strCache>
            </c:strRef>
          </c:tx>
          <c:spPr>
            <a:solidFill>
              <a:schemeClr val="accent4"/>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RXC!$E$9:$E$36</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er>
        <c:ser>
          <c:idx val="0"/>
          <c:order val="3"/>
          <c:tx>
            <c:strRef>
              <c:f>RXC!$F$8</c:f>
              <c:strCache>
                <c:ptCount val="1"/>
                <c:pt idx="0">
                  <c:v>% Avance 
(Ultimo  Seguimeinto)</c:v>
                </c:pt>
              </c:strCache>
            </c:strRef>
          </c:tx>
          <c:spPr>
            <a:solidFill>
              <a:schemeClr val="accent1"/>
            </a:solidFill>
            <a:ln>
              <a:noFill/>
            </a:ln>
            <a:effectLst/>
            <a:sp3d/>
          </c:spPr>
          <c:invertIfNegative val="0"/>
          <c:cat>
            <c:strRef>
              <c:f>RXC!$A$9:$A$36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RXC!$F$9:$F$36</c:f>
            </c:numRef>
          </c:val>
        </c:ser>
        <c:dLbls>
          <c:showLegendKey val="0"/>
          <c:showVal val="0"/>
          <c:showCatName val="0"/>
          <c:showSerName val="0"/>
          <c:showPercent val="0"/>
          <c:showBubbleSize val="0"/>
        </c:dLbls>
        <c:gapWidth val="150"/>
        <c:shape val="box"/>
        <c:axId val="684295680"/>
        <c:axId val="684297360"/>
        <c:axId val="0"/>
      </c:bar3DChart>
      <c:catAx>
        <c:axId val="6842956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297360"/>
        <c:crosses val="autoZero"/>
        <c:auto val="1"/>
        <c:lblAlgn val="ctr"/>
        <c:lblOffset val="100"/>
        <c:noMultiLvlLbl val="0"/>
      </c:catAx>
      <c:valAx>
        <c:axId val="6842973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295680"/>
        <c:crosses val="autoZero"/>
        <c:crossBetween val="between"/>
      </c:valAx>
      <c:spPr>
        <a:noFill/>
        <a:ln>
          <a:noFill/>
        </a:ln>
        <a:effectLst/>
      </c:spPr>
    </c:plotArea>
    <c:legend>
      <c:legendPos val="b"/>
      <c:layout>
        <c:manualLayout>
          <c:xMode val="edge"/>
          <c:yMode val="edge"/>
          <c:x val="0.239718134285614"/>
          <c:y val="0.9172446425590024"/>
          <c:w val="0.320371824740174"/>
          <c:h val="6.4470481637942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(Sistema)</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CONT!$K$9:$L$9</c:f>
              <c:strCache>
                <c:ptCount val="2"/>
                <c:pt idx="0">
                  <c:v>AUT</c:v>
                </c:pt>
                <c:pt idx="1">
                  <c:v>MAN</c:v>
                </c:pt>
              </c:strCache>
            </c:strRef>
          </c:cat>
          <c:val>
            <c:numRef>
              <c:f>CONT!$M$10:$M$11</c:f>
              <c:numCache>
                <c:formatCode>General</c:formatCode>
                <c:ptCount val="2"/>
                <c:pt idx="0">
                  <c:v>5.3571428571428568E-2</c:v>
                </c:pt>
                <c:pt idx="1">
                  <c:v>0.9464285714285714</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(Evidencias)</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FFC000"/>
              </a:solidFill>
              <a:ln w="25400">
                <a:solidFill>
                  <a:schemeClr val="lt1"/>
                </a:solidFill>
              </a:ln>
              <a:effectLst/>
              <a:sp3d contourW="25400">
                <a:contourClr>
                  <a:schemeClr val="lt1"/>
                </a:contourClr>
              </a:sp3d>
            </c:spPr>
          </c:dPt>
          <c:dPt>
            <c:idx val="1"/>
            <c:bubble3D val="0"/>
            <c:explosion val="13"/>
            <c:spPr>
              <a:solidFill>
                <a:srgbClr val="C0BC0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CONT!$T$9:$U$9</c:f>
              <c:strCache>
                <c:ptCount val="2"/>
                <c:pt idx="0">
                  <c:v>SI</c:v>
                </c:pt>
                <c:pt idx="1">
                  <c:v>NO</c:v>
                </c:pt>
              </c:strCache>
            </c:strRef>
          </c:cat>
          <c:val>
            <c:numRef>
              <c:f>CONT!$V$10:$V$11</c:f>
              <c:numCache>
                <c:formatCode>General</c:formatCode>
                <c:ptCount val="2"/>
                <c:pt idx="0">
                  <c:v>0.9642857142857143</c:v>
                </c:pt>
                <c:pt idx="1">
                  <c:v>3.5714285714285712E-2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(Efectividad)</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C'!$A$10:$B$11</c:f>
              <c:strCache>
                <c:ptCount val="2"/>
                <c:pt idx="0">
                  <c:v>Controles Efectivos</c:v>
                </c:pt>
                <c:pt idx="1">
                  <c:v>Controles NO Efectivos</c:v>
                </c:pt>
              </c:strCache>
            </c:strRef>
          </c:cat>
          <c:val>
            <c:numRef>
              <c:f>'CONT C'!$G$10:$G$11</c:f>
              <c:numCache>
                <c:formatCode>0%</c:formatCode>
                <c:ptCount val="2"/>
                <c:pt idx="0">
                  <c:v>0.98148148148148151</c:v>
                </c:pt>
                <c:pt idx="1">
                  <c:v>1.8518518518518517E-2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5.000000000000001E-2"/>
          <c:y val="0.83420056867891512"/>
          <c:w val="0.8999999637976156"/>
          <c:h val="0.1588549868766403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(Documentación)</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C'!$H$9:$I$9</c:f>
              <c:strCache>
                <c:ptCount val="2"/>
                <c:pt idx="0">
                  <c:v>SI</c:v>
                </c:pt>
                <c:pt idx="1">
                  <c:v>NO</c:v>
                </c:pt>
              </c:strCache>
            </c:strRef>
          </c:cat>
          <c:val>
            <c:numRef>
              <c:f>'CONT C'!$J$10:$J$11</c:f>
              <c:numCache>
                <c:formatCode>General</c:formatCode>
                <c:ptCount val="2"/>
                <c:pt idx="0">
                  <c:v>0.83333333333333337</c:v>
                </c:pt>
                <c:pt idx="1">
                  <c:v>0.16666666666666666</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(Responsable)</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9999"/>
              </a:solidFill>
              <a:ln w="25400">
                <a:solidFill>
                  <a:schemeClr val="lt1"/>
                </a:solidFill>
              </a:ln>
              <a:effectLst/>
              <a:sp3d contourW="25400">
                <a:contourClr>
                  <a:schemeClr val="lt1"/>
                </a:contourClr>
              </a:sp3d>
            </c:spPr>
          </c:dPt>
          <c:dPt>
            <c:idx val="1"/>
            <c:bubble3D val="0"/>
            <c:explosion val="13"/>
            <c:spPr>
              <a:solidFill>
                <a:srgbClr val="CC0066"/>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C'!$N$9:$O$9</c:f>
              <c:strCache>
                <c:ptCount val="2"/>
                <c:pt idx="0">
                  <c:v>SI</c:v>
                </c:pt>
                <c:pt idx="1">
                  <c:v>NO</c:v>
                </c:pt>
              </c:strCache>
            </c:strRef>
          </c:cat>
          <c:val>
            <c:numRef>
              <c:f>'CONT C'!$P$10:$P$11</c:f>
              <c:numCache>
                <c:formatCode>General</c:formatCode>
                <c:ptCount val="2"/>
                <c:pt idx="0">
                  <c:v>1</c:v>
                </c:pt>
                <c:pt idx="1">
                  <c:v>0</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(Periodicidad)</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C5C0"/>
              </a:solidFill>
              <a:ln w="25400">
                <a:solidFill>
                  <a:schemeClr val="lt1"/>
                </a:solidFill>
              </a:ln>
              <a:effectLst/>
              <a:sp3d contourW="25400">
                <a:contourClr>
                  <a:schemeClr val="lt1"/>
                </a:contourClr>
              </a:sp3d>
            </c:spPr>
          </c:dPt>
          <c:dPt>
            <c:idx val="1"/>
            <c:bubble3D val="0"/>
            <c:explosion val="13"/>
            <c:spPr>
              <a:solidFill>
                <a:srgbClr val="D11DA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C'!$Q$9:$R$9</c:f>
              <c:strCache>
                <c:ptCount val="2"/>
                <c:pt idx="0">
                  <c:v>SI</c:v>
                </c:pt>
                <c:pt idx="1">
                  <c:v>NO</c:v>
                </c:pt>
              </c:strCache>
            </c:strRef>
          </c:cat>
          <c:val>
            <c:numRef>
              <c:f>'CONT C'!$S$10:$S$11</c:f>
              <c:numCache>
                <c:formatCode>General</c:formatCode>
                <c:ptCount val="2"/>
                <c:pt idx="0">
                  <c:v>0.92592592592592593</c:v>
                </c:pt>
                <c:pt idx="1">
                  <c:v>7.407407407407407E-2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Tipo de </a:t>
            </a:r>
          </a:p>
          <a:p>
            <a:pPr>
              <a:defRPr sz="1000" b="1"/>
            </a:pPr>
            <a:r>
              <a:rPr lang="es-ES" sz="1000" b="1"/>
              <a:t>Control</a:t>
            </a:r>
          </a:p>
        </c:rich>
      </c:tx>
      <c:layout>
        <c:manualLayout>
          <c:xMode val="edge"/>
          <c:yMode val="edge"/>
          <c:x val="0.12251270224601797"/>
          <c:y val="0.41743979370999679"/>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4100989032000141"/>
          <c:w val="1"/>
          <c:h val="0.85899010967999856"/>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C'!$C$8:$D$9</c:f>
              <c:strCache>
                <c:ptCount val="2"/>
                <c:pt idx="0">
                  <c:v>Preventivos</c:v>
                </c:pt>
                <c:pt idx="1">
                  <c:v>Correctivos</c:v>
                </c:pt>
              </c:strCache>
            </c:strRef>
          </c:cat>
          <c:val>
            <c:numRef>
              <c:f>'CONT C'!$C$12:$D$12</c:f>
              <c:numCache>
                <c:formatCode>General</c:formatCode>
                <c:ptCount val="2"/>
                <c:pt idx="0">
                  <c:v>52</c:v>
                </c:pt>
                <c:pt idx="1">
                  <c:v>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0.73513557933179208"/>
          <c:y val="0.6584472993507392"/>
          <c:w val="0.21614120584497135"/>
          <c:h val="0.2496386296083850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(Sistema)</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C'!$K$9:$L$9</c:f>
              <c:strCache>
                <c:ptCount val="2"/>
                <c:pt idx="0">
                  <c:v>AUT</c:v>
                </c:pt>
                <c:pt idx="1">
                  <c:v>MAN</c:v>
                </c:pt>
              </c:strCache>
            </c:strRef>
          </c:cat>
          <c:val>
            <c:numRef>
              <c:f>'CONT C'!$M$10:$M$11</c:f>
              <c:numCache>
                <c:formatCode>General</c:formatCode>
                <c:ptCount val="2"/>
                <c:pt idx="0">
                  <c:v>9.2592592592592587E-2</c:v>
                </c:pt>
                <c:pt idx="1">
                  <c:v>0.90740740740740744</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(Evidencias)</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FFC000"/>
              </a:solidFill>
              <a:ln w="25400">
                <a:solidFill>
                  <a:schemeClr val="lt1"/>
                </a:solidFill>
              </a:ln>
              <a:effectLst/>
              <a:sp3d contourW="25400">
                <a:contourClr>
                  <a:schemeClr val="lt1"/>
                </a:contourClr>
              </a:sp3d>
            </c:spPr>
          </c:dPt>
          <c:dPt>
            <c:idx val="1"/>
            <c:bubble3D val="0"/>
            <c:explosion val="13"/>
            <c:spPr>
              <a:solidFill>
                <a:srgbClr val="C0BC0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 C'!$T$9:$U$9</c:f>
              <c:strCache>
                <c:ptCount val="2"/>
                <c:pt idx="0">
                  <c:v>SI</c:v>
                </c:pt>
                <c:pt idx="1">
                  <c:v>NO</c:v>
                </c:pt>
              </c:strCache>
            </c:strRef>
          </c:cat>
          <c:val>
            <c:numRef>
              <c:f>'CONT C'!$V$10:$V$11</c:f>
              <c:numCache>
                <c:formatCode>General</c:formatCode>
                <c:ptCount val="2"/>
                <c:pt idx="0">
                  <c:v>0.90740740740740744</c:v>
                </c:pt>
                <c:pt idx="1">
                  <c:v>9.2592592592592587E-2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971014492753624E-2"/>
          <c:y val="0.10106303949336311"/>
          <c:w val="0.87163561076604557"/>
          <c:h val="0.85026788406119325"/>
        </c:manualLayout>
      </c:layout>
      <c:pie3DChart>
        <c:varyColors val="1"/>
        <c:ser>
          <c:idx val="0"/>
          <c:order val="0"/>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3">
                          <a:lumMod val="50000"/>
                        </a:schemeClr>
                      </a:solidFill>
                      <a:latin typeface="+mn-lt"/>
                      <a:ea typeface="+mn-ea"/>
                      <a:cs typeface="+mn-cs"/>
                    </a:defRPr>
                  </a:pPr>
                  <a:endParaRPr lang="es-CO"/>
                </a:p>
              </c:txPr>
              <c:dLblPos val="bestFit"/>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868300"/>
                      </a:solidFill>
                      <a:latin typeface="+mn-lt"/>
                      <a:ea typeface="+mn-ea"/>
                      <a:cs typeface="+mn-cs"/>
                    </a:defRPr>
                  </a:pPr>
                  <a:endParaRPr lang="es-CO"/>
                </a:p>
              </c:txPr>
              <c:dLblPos val="bestFit"/>
              <c:showLegendKey val="0"/>
              <c:showVal val="0"/>
              <c:showCatName val="0"/>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50000"/>
                        </a:schemeClr>
                      </a:solidFill>
                      <a:latin typeface="+mn-lt"/>
                      <a:ea typeface="+mn-ea"/>
                      <a:cs typeface="+mn-cs"/>
                    </a:defRPr>
                  </a:pPr>
                  <a:endParaRPr lang="es-CO"/>
                </a:p>
              </c:txPr>
              <c:dLblPos val="bestFit"/>
              <c:showLegendKey val="0"/>
              <c:showVal val="0"/>
              <c:showCatName val="0"/>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53735"/>
                      </a:solidFill>
                      <a:latin typeface="+mn-lt"/>
                      <a:ea typeface="+mn-ea"/>
                      <a:cs typeface="+mn-cs"/>
                    </a:defRPr>
                  </a:pPr>
                  <a:endParaRPr lang="es-CO"/>
                </a:p>
              </c:txPr>
              <c:dLblPos val="bestFit"/>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CYER!$N$10:$N$13</c:f>
              <c:strCache>
                <c:ptCount val="4"/>
                <c:pt idx="0">
                  <c:v>Zona de Riesgo BAJA</c:v>
                </c:pt>
                <c:pt idx="1">
                  <c:v>Zona de Riesgo MODERADA</c:v>
                </c:pt>
                <c:pt idx="2">
                  <c:v>Zona de Riesgo ALTA</c:v>
                </c:pt>
                <c:pt idx="3">
                  <c:v>Zona de Riesgo EXTREMA</c:v>
                </c:pt>
              </c:strCache>
            </c:strRef>
          </c:cat>
          <c:val>
            <c:numRef>
              <c:f>CYER!$O$10:$O$13</c:f>
              <c:numCache>
                <c:formatCode>General</c:formatCode>
                <c:ptCount val="4"/>
                <c:pt idx="0">
                  <c:v>0</c:v>
                </c:pt>
                <c:pt idx="1">
                  <c:v>0</c:v>
                </c:pt>
                <c:pt idx="2">
                  <c:v>0.8214285714285714</c:v>
                </c:pt>
                <c:pt idx="3">
                  <c:v>0.17857142857142858</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Avances Cuatrimestrales de Acciones por Riesgo de CORRUPCIÓN</a:t>
            </a:r>
          </a:p>
        </c:rich>
      </c:tx>
      <c:layout>
        <c:manualLayout>
          <c:xMode val="edge"/>
          <c:yMode val="edge"/>
          <c:x val="0.16540266841644793"/>
          <c:y val="1.250002460634765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4100244957198E-2"/>
          <c:y val="0.16041701753503398"/>
          <c:w val="0.94874551026228371"/>
          <c:h val="0.67257620131860885"/>
        </c:manualLayout>
      </c:layout>
      <c:bar3DChart>
        <c:barDir val="col"/>
        <c:grouping val="clustered"/>
        <c:varyColors val="0"/>
        <c:ser>
          <c:idx val="1"/>
          <c:order val="0"/>
          <c:tx>
            <c:strRef>
              <c:f>'RXC C'!$C$8</c:f>
              <c:strCache>
                <c:ptCount val="1"/>
                <c:pt idx="0">
                  <c:v>% 1ER CuaT</c:v>
                </c:pt>
              </c:strCache>
            </c:strRef>
          </c:tx>
          <c:spPr>
            <a:solidFill>
              <a:schemeClr val="accent2"/>
            </a:solidFill>
            <a:ln>
              <a:noFill/>
            </a:ln>
            <a:effectLst/>
            <a:sp3d/>
          </c:spPr>
          <c:invertIfNegative val="0"/>
          <c:cat>
            <c:strRef>
              <c:f>'RXC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'RXC C'!$C$9:$C$42</c:f>
              <c:numCache>
                <c:formatCode>0%</c:formatCode>
                <c:ptCount val="34"/>
                <c:pt idx="0">
                  <c:v>1</c:v>
                </c:pt>
                <c:pt idx="1">
                  <c:v>0</c:v>
                </c:pt>
                <c:pt idx="2">
                  <c:v>0</c:v>
                </c:pt>
                <c:pt idx="3">
                  <c:v>0</c:v>
                </c:pt>
                <c:pt idx="4">
                  <c:v>1</c:v>
                </c:pt>
                <c:pt idx="5">
                  <c:v>1</c:v>
                </c:pt>
                <c:pt idx="6">
                  <c:v>0</c:v>
                </c:pt>
                <c:pt idx="7">
                  <c:v>0</c:v>
                </c:pt>
                <c:pt idx="8">
                  <c:v>0</c:v>
                </c:pt>
                <c:pt idx="9">
                  <c:v>0</c:v>
                </c:pt>
                <c:pt idx="10">
                  <c:v>0</c:v>
                </c:pt>
                <c:pt idx="11">
                  <c:v>0</c:v>
                </c:pt>
                <c:pt idx="12">
                  <c:v>0.2</c:v>
                </c:pt>
                <c:pt idx="13">
                  <c:v>0.75</c:v>
                </c:pt>
                <c:pt idx="14">
                  <c:v>0</c:v>
                </c:pt>
                <c:pt idx="15">
                  <c:v>0</c:v>
                </c:pt>
                <c:pt idx="16">
                  <c:v>0</c:v>
                </c:pt>
                <c:pt idx="17">
                  <c:v>0</c:v>
                </c:pt>
                <c:pt idx="18">
                  <c:v>0</c:v>
                </c:pt>
                <c:pt idx="19">
                  <c:v>0</c:v>
                </c:pt>
                <c:pt idx="20">
                  <c:v>0.25</c:v>
                </c:pt>
                <c:pt idx="21">
                  <c:v>0.25</c:v>
                </c:pt>
                <c:pt idx="22">
                  <c:v>0.25</c:v>
                </c:pt>
                <c:pt idx="23">
                  <c:v>0</c:v>
                </c:pt>
                <c:pt idx="24">
                  <c:v>0</c:v>
                </c:pt>
                <c:pt idx="25">
                  <c:v>0</c:v>
                </c:pt>
                <c:pt idx="26">
                  <c:v>4.9999999999999996E-2</c:v>
                </c:pt>
                <c:pt idx="27">
                  <c:v>0.85</c:v>
                </c:pt>
                <c:pt idx="28">
                  <c:v>0</c:v>
                </c:pt>
                <c:pt idx="29">
                  <c:v>0</c:v>
                </c:pt>
                <c:pt idx="30">
                  <c:v>7.7034358047016263E-2</c:v>
                </c:pt>
                <c:pt idx="31">
                  <c:v>0</c:v>
                </c:pt>
                <c:pt idx="32">
                  <c:v>0</c:v>
                </c:pt>
                <c:pt idx="33">
                  <c:v>0</c:v>
                </c:pt>
              </c:numCache>
            </c:numRef>
          </c:val>
        </c:ser>
        <c:ser>
          <c:idx val="2"/>
          <c:order val="1"/>
          <c:tx>
            <c:strRef>
              <c:f>'RXC C'!$D$8</c:f>
              <c:strCache>
                <c:ptCount val="1"/>
                <c:pt idx="0">
                  <c:v>% 2DO CuaT</c:v>
                </c:pt>
              </c:strCache>
            </c:strRef>
          </c:tx>
          <c:spPr>
            <a:solidFill>
              <a:schemeClr val="accent3"/>
            </a:solidFill>
            <a:ln>
              <a:noFill/>
            </a:ln>
            <a:effectLst/>
            <a:sp3d/>
          </c:spPr>
          <c:invertIfNegative val="0"/>
          <c:cat>
            <c:strRef>
              <c:f>'RXC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'RXC C'!$D$9:$D$42</c:f>
              <c:numCache>
                <c:formatCode>0%</c:formatCode>
                <c:ptCount val="34"/>
                <c:pt idx="0">
                  <c:v>1</c:v>
                </c:pt>
                <c:pt idx="1">
                  <c:v>0</c:v>
                </c:pt>
                <c:pt idx="2">
                  <c:v>0</c:v>
                </c:pt>
                <c:pt idx="3">
                  <c:v>0</c:v>
                </c:pt>
                <c:pt idx="4">
                  <c:v>1</c:v>
                </c:pt>
                <c:pt idx="5">
                  <c:v>1</c:v>
                </c:pt>
                <c:pt idx="6">
                  <c:v>0</c:v>
                </c:pt>
                <c:pt idx="7">
                  <c:v>0</c:v>
                </c:pt>
                <c:pt idx="8">
                  <c:v>0</c:v>
                </c:pt>
                <c:pt idx="9">
                  <c:v>0.02</c:v>
                </c:pt>
                <c:pt idx="10">
                  <c:v>1.6666666666666666E-2</c:v>
                </c:pt>
                <c:pt idx="11">
                  <c:v>0.02</c:v>
                </c:pt>
                <c:pt idx="12">
                  <c:v>0.25</c:v>
                </c:pt>
                <c:pt idx="13">
                  <c:v>0.75</c:v>
                </c:pt>
                <c:pt idx="14">
                  <c:v>0.6</c:v>
                </c:pt>
                <c:pt idx="15">
                  <c:v>0.6</c:v>
                </c:pt>
                <c:pt idx="16">
                  <c:v>0.6</c:v>
                </c:pt>
                <c:pt idx="17">
                  <c:v>0.6</c:v>
                </c:pt>
                <c:pt idx="18">
                  <c:v>0.6</c:v>
                </c:pt>
                <c:pt idx="19">
                  <c:v>0</c:v>
                </c:pt>
                <c:pt idx="20">
                  <c:v>0.6</c:v>
                </c:pt>
                <c:pt idx="21">
                  <c:v>0.6</c:v>
                </c:pt>
                <c:pt idx="22">
                  <c:v>0.6</c:v>
                </c:pt>
                <c:pt idx="23">
                  <c:v>0.33333333333333331</c:v>
                </c:pt>
                <c:pt idx="24">
                  <c:v>0</c:v>
                </c:pt>
                <c:pt idx="25">
                  <c:v>0</c:v>
                </c:pt>
                <c:pt idx="26">
                  <c:v>4.9999999999999996E-2</c:v>
                </c:pt>
                <c:pt idx="27">
                  <c:v>0.85</c:v>
                </c:pt>
                <c:pt idx="28">
                  <c:v>0</c:v>
                </c:pt>
                <c:pt idx="29">
                  <c:v>0</c:v>
                </c:pt>
                <c:pt idx="30">
                  <c:v>0.23110307414104878</c:v>
                </c:pt>
                <c:pt idx="31">
                  <c:v>0</c:v>
                </c:pt>
                <c:pt idx="32">
                  <c:v>0</c:v>
                </c:pt>
                <c:pt idx="33">
                  <c:v>0</c:v>
                </c:pt>
              </c:numCache>
            </c:numRef>
          </c:val>
        </c:ser>
        <c:ser>
          <c:idx val="3"/>
          <c:order val="2"/>
          <c:tx>
            <c:strRef>
              <c:f>'RXC C'!$E$8</c:f>
              <c:strCache>
                <c:ptCount val="1"/>
                <c:pt idx="0">
                  <c:v>% 3ER CuaT</c:v>
                </c:pt>
              </c:strCache>
            </c:strRef>
          </c:tx>
          <c:spPr>
            <a:solidFill>
              <a:schemeClr val="accent4"/>
            </a:solidFill>
            <a:ln>
              <a:noFill/>
            </a:ln>
            <a:effectLst/>
            <a:sp3d/>
          </c:spPr>
          <c:invertIfNegative val="0"/>
          <c:cat>
            <c:strRef>
              <c:f>'RXC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'RXC C'!$E$9:$E$42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dLbls>
          <c:showLegendKey val="0"/>
          <c:showVal val="0"/>
          <c:showCatName val="0"/>
          <c:showSerName val="0"/>
          <c:showPercent val="0"/>
          <c:showBubbleSize val="0"/>
        </c:dLbls>
        <c:gapWidth val="150"/>
        <c:shape val="box"/>
        <c:axId val="684305760"/>
        <c:axId val="684307440"/>
        <c:axId val="0"/>
      </c:bar3DChart>
      <c:catAx>
        <c:axId val="6843057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684307440"/>
        <c:crosses val="autoZero"/>
        <c:auto val="1"/>
        <c:lblAlgn val="ctr"/>
        <c:lblOffset val="100"/>
        <c:noMultiLvlLbl val="0"/>
      </c:catAx>
      <c:valAx>
        <c:axId val="6843074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05760"/>
        <c:crosses val="autoZero"/>
        <c:crossBetween val="between"/>
      </c:valAx>
      <c:spPr>
        <a:noFill/>
        <a:ln>
          <a:noFill/>
        </a:ln>
        <a:effectLst/>
      </c:spPr>
    </c:plotArea>
    <c:legend>
      <c:legendPos val="b"/>
      <c:layout>
        <c:manualLayout>
          <c:xMode val="edge"/>
          <c:yMode val="edge"/>
          <c:x val="0.239718134285614"/>
          <c:y val="0.9172446425590024"/>
          <c:w val="0.52056351738822593"/>
          <c:h val="6.944506550999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971014492753624E-2"/>
          <c:y val="0.10106303949336311"/>
          <c:w val="0.87163561076604557"/>
          <c:h val="0.85026788406119325"/>
        </c:manualLayout>
      </c:layout>
      <c:pie3DChart>
        <c:varyColors val="1"/>
        <c:ser>
          <c:idx val="0"/>
          <c:order val="0"/>
          <c:dPt>
            <c:idx val="0"/>
            <c:bubble3D val="0"/>
            <c:explosion val="3"/>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868300"/>
                      </a:solidFill>
                      <a:latin typeface="+mn-lt"/>
                      <a:ea typeface="+mn-ea"/>
                      <a:cs typeface="+mn-cs"/>
                    </a:defRPr>
                  </a:pPr>
                  <a:endParaRPr lang="es-CO"/>
                </a:p>
              </c:txPr>
              <c:dLblPos val="bestFit"/>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53735"/>
                      </a:solidFill>
                      <a:latin typeface="+mn-lt"/>
                      <a:ea typeface="+mn-ea"/>
                      <a:cs typeface="+mn-cs"/>
                    </a:defRPr>
                  </a:pPr>
                  <a:endParaRPr lang="es-CO"/>
                </a:p>
              </c:txPr>
              <c:dLblPos val="bestFit"/>
              <c:showLegendKey val="0"/>
              <c:showVal val="0"/>
              <c:showCatName val="0"/>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50000"/>
                        </a:schemeClr>
                      </a:solidFill>
                      <a:latin typeface="+mn-lt"/>
                      <a:ea typeface="+mn-ea"/>
                      <a:cs typeface="+mn-cs"/>
                    </a:defRPr>
                  </a:pPr>
                  <a:endParaRPr lang="es-CO"/>
                </a:p>
              </c:txPr>
              <c:dLblPos val="bestFit"/>
              <c:showLegendKey val="0"/>
              <c:showVal val="0"/>
              <c:showCatName val="0"/>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mn-lt"/>
                      <a:ea typeface="+mn-ea"/>
                      <a:cs typeface="+mn-cs"/>
                    </a:defRPr>
                  </a:pPr>
                  <a:endParaRPr lang="es-CO"/>
                </a:p>
              </c:txPr>
              <c:dLblPos val="bestFit"/>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'CYER C'!$N$10:$N$11</c:f>
              <c:strCache>
                <c:ptCount val="2"/>
                <c:pt idx="0">
                  <c:v>Zona de Riesgo MODERADA</c:v>
                </c:pt>
                <c:pt idx="1">
                  <c:v>Zona de Riesgo EXTREMA</c:v>
                </c:pt>
              </c:strCache>
            </c:strRef>
          </c:cat>
          <c:val>
            <c:numRef>
              <c:f>'CYER C'!$O$10:$O$11</c:f>
              <c:numCache>
                <c:formatCode>General</c:formatCode>
                <c:ptCount val="2"/>
                <c:pt idx="0">
                  <c:v>0.97058823529411764</c:v>
                </c:pt>
                <c:pt idx="1">
                  <c:v>2.9411764705882353E-2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Cumplimiento Respecto a Plazos y Avance Mapa de </a:t>
            </a:r>
            <a:r>
              <a:rPr lang="es-CO" sz="1050" b="1" i="0" u="none" strike="noStrike" baseline="0">
                <a:effectLst/>
              </a:rPr>
              <a:t>Riesgos de GESTIÓN </a:t>
            </a:r>
            <a:endParaRPr lang="es-CO" sz="1050" b="1">
              <a:solidFill>
                <a:schemeClr val="accent4">
                  <a:lumMod val="20000"/>
                  <a:lumOff val="80000"/>
                </a:schemeClr>
              </a:solidFill>
            </a:endParaRPr>
          </a:p>
        </c:rich>
      </c:tx>
      <c:layout>
        <c:manualLayout>
          <c:xMode val="edge"/>
          <c:yMode val="edge"/>
          <c:x val="0.17083374761454209"/>
          <c:y val="2.500000000000000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AYCM!$A$19</c:f>
              <c:strCache>
                <c:ptCount val="1"/>
                <c:pt idx="0">
                  <c:v>Cumplimiento Riesgos de GESTIÓN (Respecto a los plazos establecidos)</c:v>
                </c:pt>
              </c:strCache>
            </c:strRef>
          </c:tx>
          <c:spPr>
            <a:solidFill>
              <a:schemeClr val="accent2"/>
            </a:solidFill>
            <a:ln>
              <a:noFill/>
            </a:ln>
            <a:effectLst/>
            <a:sp3d/>
          </c:spPr>
          <c:invertIfNegative val="0"/>
          <c:cat>
            <c:strRef>
              <c:f>AYCM!$C$8:$E$8</c:f>
              <c:strCache>
                <c:ptCount val="3"/>
                <c:pt idx="0">
                  <c:v>% 1ER CuaT</c:v>
                </c:pt>
                <c:pt idx="1">
                  <c:v>% 2DO CuaT</c:v>
                </c:pt>
                <c:pt idx="2">
                  <c:v>% 3ER CuaT</c:v>
                </c:pt>
              </c:strCache>
            </c:strRef>
          </c:cat>
          <c:val>
            <c:numRef>
              <c:f>AYCM!$C$19:$E$19</c:f>
              <c:numCache>
                <c:formatCode>0%</c:formatCode>
                <c:ptCount val="3"/>
                <c:pt idx="0">
                  <c:v>0.17424749163879599</c:v>
                </c:pt>
                <c:pt idx="1">
                  <c:v>0.40058372352285398</c:v>
                </c:pt>
                <c:pt idx="2">
                  <c:v>0</c:v>
                </c:pt>
              </c:numCache>
            </c:numRef>
          </c:val>
        </c:ser>
        <c:ser>
          <c:idx val="0"/>
          <c:order val="1"/>
          <c:tx>
            <c:strRef>
              <c:f>AYCM!$A$20</c:f>
              <c:strCache>
                <c:ptCount val="1"/>
                <c:pt idx="0">
                  <c:v>% Avance Riesgos de GESTIÓN </c:v>
                </c:pt>
              </c:strCache>
            </c:strRef>
          </c:tx>
          <c:spPr>
            <a:solidFill>
              <a:schemeClr val="accent1"/>
            </a:solidFill>
            <a:ln>
              <a:noFill/>
            </a:ln>
            <a:effectLst/>
            <a:sp3d/>
          </c:spPr>
          <c:invertIfNegative val="0"/>
          <c:cat>
            <c:strRef>
              <c:f>AYCM!$C$8:$E$8</c:f>
              <c:strCache>
                <c:ptCount val="3"/>
                <c:pt idx="0">
                  <c:v>% 1ER CuaT</c:v>
                </c:pt>
                <c:pt idx="1">
                  <c:v>% 2DO CuaT</c:v>
                </c:pt>
                <c:pt idx="2">
                  <c:v>% 3ER CuaT</c:v>
                </c:pt>
              </c:strCache>
            </c:strRef>
          </c:cat>
          <c:val>
            <c:numRef>
              <c:f>AYCM!$C$20:$E$20</c:f>
              <c:numCache>
                <c:formatCode>0%</c:formatCode>
                <c:ptCount val="3"/>
                <c:pt idx="0">
                  <c:v>0.17424749163879599</c:v>
                </c:pt>
                <c:pt idx="1">
                  <c:v>0.40058372352285398</c:v>
                </c:pt>
                <c:pt idx="2">
                  <c:v>0</c:v>
                </c:pt>
              </c:numCache>
            </c:numRef>
          </c:val>
        </c:ser>
        <c:dLbls>
          <c:showLegendKey val="0"/>
          <c:showVal val="0"/>
          <c:showCatName val="0"/>
          <c:showSerName val="0"/>
          <c:showPercent val="0"/>
          <c:showBubbleSize val="0"/>
        </c:dLbls>
        <c:gapWidth val="150"/>
        <c:shape val="box"/>
        <c:axId val="684346640"/>
        <c:axId val="684349440"/>
        <c:axId val="0"/>
      </c:bar3DChart>
      <c:catAx>
        <c:axId val="684346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49440"/>
        <c:crosses val="autoZero"/>
        <c:auto val="1"/>
        <c:lblAlgn val="ctr"/>
        <c:lblOffset val="100"/>
        <c:noMultiLvlLbl val="0"/>
      </c:catAx>
      <c:valAx>
        <c:axId val="6843494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46640"/>
        <c:crosses val="autoZero"/>
        <c:crossBetween val="between"/>
      </c:valAx>
      <c:spPr>
        <a:noFill/>
        <a:ln>
          <a:noFill/>
        </a:ln>
        <a:effectLst/>
      </c:spPr>
    </c:plotArea>
    <c:legend>
      <c:legendPos val="b"/>
      <c:layout>
        <c:manualLayout>
          <c:xMode val="edge"/>
          <c:yMode val="edge"/>
          <c:x val="0.10652070242970266"/>
          <c:y val="0.91724458166212697"/>
          <c:w val="0.83480753296876586"/>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1295603674540683"/>
          <c:y val="2.9143804392871939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AYCM!$A$19</c:f>
              <c:strCache>
                <c:ptCount val="1"/>
                <c:pt idx="0">
                  <c:v>Cumplimiento Riesgos de GESTIÓN (Respecto a los plazos establecidos)</c:v>
                </c:pt>
              </c:strCache>
            </c:strRef>
          </c:tx>
          <c:explosion val="7"/>
          <c:dPt>
            <c:idx val="0"/>
            <c:bubble3D val="0"/>
            <c:spPr>
              <a:solidFill>
                <a:schemeClr val="accent2"/>
              </a:solidFill>
              <a:ln w="25400" cap="flat" cmpd="sng" algn="ctr">
                <a:solidFill>
                  <a:schemeClr val="accent2">
                    <a:shade val="50000"/>
                  </a:schemeClr>
                </a:solidFill>
                <a:prstDash val="solid"/>
              </a:ln>
              <a:effectLst/>
              <a:sp3d contourW="25400">
                <a:contourClr>
                  <a:schemeClr val="accent2">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AYCM!$F$19:$G$19</c:f>
              <c:numCache>
                <c:formatCode>0%</c:formatCode>
                <c:ptCount val="2"/>
                <c:pt idx="0">
                  <c:v>0.40058372352285398</c:v>
                </c:pt>
                <c:pt idx="1">
                  <c:v>0.59941627647714602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388196267133276"/>
          <c:y val="5.721397983146842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AYCM!$A$20</c:f>
              <c:strCache>
                <c:ptCount val="1"/>
                <c:pt idx="0">
                  <c:v>% Avance Riesgos de GESTIÓN </c:v>
                </c:pt>
              </c:strCache>
            </c:strRef>
          </c:tx>
          <c:explosion val="7"/>
          <c:dPt>
            <c:idx val="0"/>
            <c:bubble3D val="0"/>
            <c:spPr>
              <a:solidFill>
                <a:schemeClr val="accent1"/>
              </a:solidFill>
              <a:ln w="25400" cap="flat" cmpd="sng" algn="ctr">
                <a:solidFill>
                  <a:schemeClr val="accent1">
                    <a:shade val="50000"/>
                  </a:schemeClr>
                </a:solidFill>
                <a:prstDash val="solid"/>
              </a:ln>
              <a:effectLst/>
              <a:sp3d contourW="25400">
                <a:contourClr>
                  <a:schemeClr val="accent1">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AYCM!$F$20:$G$20</c:f>
              <c:numCache>
                <c:formatCode>0%</c:formatCode>
                <c:ptCount val="2"/>
                <c:pt idx="0">
                  <c:v>0.40058372352285398</c:v>
                </c:pt>
                <c:pt idx="1">
                  <c:v>0.59941627647714602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Cumplimiento Respecto a Plazos y Avance Mapa de </a:t>
            </a:r>
            <a:r>
              <a:rPr lang="es-CO" sz="1050" b="1" i="0" u="none" strike="noStrike" baseline="0">
                <a:effectLst/>
              </a:rPr>
              <a:t>Riesgos de CORRUPCIÓN</a:t>
            </a:r>
            <a:endParaRPr lang="es-CO" sz="1050" b="1">
              <a:solidFill>
                <a:schemeClr val="accent4">
                  <a:lumMod val="20000"/>
                  <a:lumOff val="80000"/>
                </a:schemeClr>
              </a:solidFill>
            </a:endParaRPr>
          </a:p>
        </c:rich>
      </c:tx>
      <c:layout>
        <c:manualLayout>
          <c:xMode val="edge"/>
          <c:yMode val="edge"/>
          <c:x val="0.17083374761454209"/>
          <c:y val="2.500000000000000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'AYCM C'!$A$14</c:f>
              <c:strCache>
                <c:ptCount val="1"/>
                <c:pt idx="0">
                  <c:v>Cumplimiento Riesgos de CORRUPCIÓN (Respecto a los plazos establecidos)</c:v>
                </c:pt>
              </c:strCache>
            </c:strRef>
          </c:tx>
          <c:spPr>
            <a:solidFill>
              <a:schemeClr val="accent2"/>
            </a:solidFill>
            <a:ln>
              <a:noFill/>
            </a:ln>
            <a:effectLst/>
            <a:sp3d/>
          </c:spPr>
          <c:invertIfNegative val="0"/>
          <c:cat>
            <c:strRef>
              <c:f>'AYCM C'!$C$8:$E$8</c:f>
              <c:strCache>
                <c:ptCount val="3"/>
                <c:pt idx="0">
                  <c:v>% 1ER CuaT</c:v>
                </c:pt>
                <c:pt idx="1">
                  <c:v>% 2DO CuaT</c:v>
                </c:pt>
                <c:pt idx="2">
                  <c:v>% 3ER CuaT</c:v>
                </c:pt>
              </c:strCache>
            </c:strRef>
          </c:cat>
          <c:val>
            <c:numRef>
              <c:f>'AYCM C'!$C$14:$E$14</c:f>
              <c:numCache>
                <c:formatCode>0%</c:formatCode>
                <c:ptCount val="3"/>
                <c:pt idx="0">
                  <c:v>0.24291617473435656</c:v>
                </c:pt>
                <c:pt idx="1">
                  <c:v>0.42483333929614925</c:v>
                </c:pt>
                <c:pt idx="2">
                  <c:v>0</c:v>
                </c:pt>
              </c:numCache>
            </c:numRef>
          </c:val>
        </c:ser>
        <c:ser>
          <c:idx val="0"/>
          <c:order val="1"/>
          <c:tx>
            <c:strRef>
              <c:f>'AYCM C'!$A$15</c:f>
              <c:strCache>
                <c:ptCount val="1"/>
                <c:pt idx="0">
                  <c:v>% Avance Riesgo de CORRUPCIÓN </c:v>
                </c:pt>
              </c:strCache>
            </c:strRef>
          </c:tx>
          <c:spPr>
            <a:solidFill>
              <a:schemeClr val="accent1"/>
            </a:solidFill>
            <a:ln>
              <a:noFill/>
            </a:ln>
            <a:effectLst/>
            <a:sp3d/>
          </c:spPr>
          <c:invertIfNegative val="0"/>
          <c:cat>
            <c:strRef>
              <c:f>'AYCM C'!$C$8:$E$8</c:f>
              <c:strCache>
                <c:ptCount val="3"/>
                <c:pt idx="0">
                  <c:v>% 1ER CuaT</c:v>
                </c:pt>
                <c:pt idx="1">
                  <c:v>% 2DO CuaT</c:v>
                </c:pt>
                <c:pt idx="2">
                  <c:v>% 3ER CuaT</c:v>
                </c:pt>
              </c:strCache>
            </c:strRef>
          </c:cat>
          <c:val>
            <c:numRef>
              <c:f>'AYCM C'!$C$15:$E$15</c:f>
              <c:numCache>
                <c:formatCode>0%</c:formatCode>
                <c:ptCount val="3"/>
                <c:pt idx="0">
                  <c:v>0.24291617473435656</c:v>
                </c:pt>
                <c:pt idx="1">
                  <c:v>0.43242161878525515</c:v>
                </c:pt>
                <c:pt idx="2">
                  <c:v>0</c:v>
                </c:pt>
              </c:numCache>
            </c:numRef>
          </c:val>
        </c:ser>
        <c:dLbls>
          <c:showLegendKey val="0"/>
          <c:showVal val="0"/>
          <c:showCatName val="0"/>
          <c:showSerName val="0"/>
          <c:showPercent val="0"/>
          <c:showBubbleSize val="0"/>
        </c:dLbls>
        <c:gapWidth val="150"/>
        <c:shape val="box"/>
        <c:axId val="684357280"/>
        <c:axId val="684360080"/>
        <c:axId val="0"/>
      </c:bar3DChart>
      <c:catAx>
        <c:axId val="6843572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60080"/>
        <c:crosses val="autoZero"/>
        <c:auto val="1"/>
        <c:lblAlgn val="ctr"/>
        <c:lblOffset val="100"/>
        <c:noMultiLvlLbl val="0"/>
      </c:catAx>
      <c:valAx>
        <c:axId val="6843600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57280"/>
        <c:crosses val="autoZero"/>
        <c:crossBetween val="between"/>
      </c:valAx>
      <c:spPr>
        <a:noFill/>
        <a:ln>
          <a:noFill/>
        </a:ln>
        <a:effectLst/>
      </c:spPr>
    </c:plotArea>
    <c:legend>
      <c:legendPos val="b"/>
      <c:layout>
        <c:manualLayout>
          <c:xMode val="edge"/>
          <c:yMode val="edge"/>
          <c:x val="0.10652070242970266"/>
          <c:y val="0.91724458166212697"/>
          <c:w val="0.81308316093889499"/>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a:t>Cumplimiento Riesgos de CORRUPCIÓN (Respecto a plazos establecidos)</a:t>
            </a:r>
          </a:p>
        </c:rich>
      </c:tx>
      <c:layout>
        <c:manualLayout>
          <c:xMode val="edge"/>
          <c:yMode val="edge"/>
          <c:x val="9.4437518226888312E-2"/>
          <c:y val="1.0736289542754521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 C'!$A$14</c:f>
              <c:strCache>
                <c:ptCount val="1"/>
                <c:pt idx="0">
                  <c:v>Cumplimiento Riesgos de CORRUPCIÓN (Respecto a los plazos establecidos)</c:v>
                </c:pt>
              </c:strCache>
            </c:strRef>
          </c:tx>
          <c:explosion val="7"/>
          <c:dPt>
            <c:idx val="0"/>
            <c:bubble3D val="0"/>
            <c:spPr>
              <a:solidFill>
                <a:schemeClr val="accent2"/>
              </a:solidFill>
              <a:ln w="25400" cap="flat" cmpd="sng" algn="ctr">
                <a:solidFill>
                  <a:schemeClr val="accent2">
                    <a:shade val="50000"/>
                  </a:schemeClr>
                </a:solidFill>
                <a:prstDash val="solid"/>
              </a:ln>
              <a:effectLst/>
              <a:sp3d contourW="25400">
                <a:contourClr>
                  <a:schemeClr val="accent2">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 C'!$F$14:$G$14</c:f>
              <c:numCache>
                <c:formatCode>0%</c:formatCode>
                <c:ptCount val="2"/>
                <c:pt idx="0">
                  <c:v>0.42483333929614925</c:v>
                </c:pt>
                <c:pt idx="1">
                  <c:v>0.57516666070385081</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388196267133276"/>
          <c:y val="5.721397983146842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'AYCM C'!$A$15</c:f>
              <c:strCache>
                <c:ptCount val="1"/>
                <c:pt idx="0">
                  <c:v>% Avance Riesgo de CORRUPCIÓN </c:v>
                </c:pt>
              </c:strCache>
            </c:strRef>
          </c:tx>
          <c:explosion val="7"/>
          <c:dPt>
            <c:idx val="0"/>
            <c:bubble3D val="0"/>
            <c:spPr>
              <a:solidFill>
                <a:schemeClr val="accent1"/>
              </a:solidFill>
              <a:ln w="25400" cap="flat" cmpd="sng" algn="ctr">
                <a:solidFill>
                  <a:schemeClr val="accent1">
                    <a:shade val="50000"/>
                  </a:schemeClr>
                </a:solidFill>
                <a:prstDash val="solid"/>
              </a:ln>
              <a:effectLst/>
              <a:sp3d contourW="25400">
                <a:contourClr>
                  <a:schemeClr val="accent1">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dLblPos val="in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'AYCM C'!$F$15:$G$15</c:f>
              <c:numCache>
                <c:formatCode>0%</c:formatCode>
                <c:ptCount val="2"/>
                <c:pt idx="0">
                  <c:v>0.43242161878525515</c:v>
                </c:pt>
                <c:pt idx="1">
                  <c:v>0.5675783812147448</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accent4">
                    <a:lumMod val="20000"/>
                    <a:lumOff val="80000"/>
                  </a:schemeClr>
                </a:solidFill>
                <a:latin typeface="+mn-lt"/>
                <a:ea typeface="+mn-ea"/>
                <a:cs typeface="+mn-cs"/>
              </a:defRPr>
            </a:pPr>
            <a:r>
              <a:rPr lang="es-CO" sz="1000" b="1">
                <a:solidFill>
                  <a:schemeClr val="accent4">
                    <a:lumMod val="20000"/>
                    <a:lumOff val="80000"/>
                  </a:schemeClr>
                </a:solidFill>
              </a:rPr>
              <a:t>Resultados Cuatrimestrales MAPA DE RIESGO </a:t>
            </a:r>
          </a:p>
        </c:rich>
      </c:tx>
      <c:layout>
        <c:manualLayout>
          <c:xMode val="edge"/>
          <c:yMode val="edge"/>
          <c:x val="0.1360708036495438"/>
          <c:y val="1.308234908136483E-2"/>
        </c:manualLayout>
      </c:layout>
      <c:overlay val="0"/>
      <c:spPr>
        <a:solidFill>
          <a:srgbClr val="7030A0"/>
        </a:solidFill>
        <a:ln>
          <a:noFill/>
        </a:ln>
        <a:effectLst/>
      </c:spPr>
      <c:txPr>
        <a:bodyPr rot="0" spcFirstLastPara="1" vertOverflow="ellipsis" vert="horz" wrap="square" anchor="ctr" anchorCtr="1"/>
        <a:lstStyle/>
        <a:p>
          <a:pPr>
            <a:defRPr sz="100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AVANCE!$A$11</c:f>
              <c:strCache>
                <c:ptCount val="1"/>
                <c:pt idx="0">
                  <c:v>Cumplimiento MAPA Respecto a Plazos</c:v>
                </c:pt>
              </c:strCache>
            </c:strRef>
          </c:tx>
          <c:spPr>
            <a:solidFill>
              <a:srgbClr val="FFFF61"/>
            </a:solidFill>
            <a:ln>
              <a:noFill/>
            </a:ln>
            <a:effectLst/>
            <a:scene3d>
              <a:camera prst="orthographicFront"/>
              <a:lightRig rig="threePt" dir="t"/>
            </a:scene3d>
            <a:sp3d>
              <a:bevelT/>
            </a:sp3d>
          </c:spPr>
          <c:invertIfNegative val="0"/>
          <c:cat>
            <c:strRef>
              <c:f>AVANCE!$C$8:$E$8</c:f>
              <c:strCache>
                <c:ptCount val="3"/>
                <c:pt idx="0">
                  <c:v>% 1ER CuaT</c:v>
                </c:pt>
                <c:pt idx="1">
                  <c:v>% 2DO CuaT</c:v>
                </c:pt>
                <c:pt idx="2">
                  <c:v>% 3ER CuaT</c:v>
                </c:pt>
              </c:strCache>
            </c:strRef>
          </c:cat>
          <c:val>
            <c:numRef>
              <c:f>AVANCE!$C$11:$E$11</c:f>
              <c:numCache>
                <c:formatCode>0%</c:formatCode>
                <c:ptCount val="3"/>
                <c:pt idx="0">
                  <c:v>0.20971661415358461</c:v>
                </c:pt>
                <c:pt idx="1">
                  <c:v>0.41310926725000852</c:v>
                </c:pt>
                <c:pt idx="2">
                  <c:v>0</c:v>
                </c:pt>
              </c:numCache>
            </c:numRef>
          </c:val>
        </c:ser>
        <c:ser>
          <c:idx val="0"/>
          <c:order val="1"/>
          <c:tx>
            <c:strRef>
              <c:f>AVANCE!$A$14</c:f>
              <c:strCache>
                <c:ptCount val="1"/>
                <c:pt idx="0">
                  <c:v>AVANCE DEL MAPA</c:v>
                </c:pt>
              </c:strCache>
            </c:strRef>
          </c:tx>
          <c:spPr>
            <a:solidFill>
              <a:srgbClr val="C0BC00"/>
            </a:solidFill>
            <a:ln>
              <a:noFill/>
            </a:ln>
            <a:effectLst/>
            <a:scene3d>
              <a:camera prst="orthographicFront"/>
              <a:lightRig rig="threePt" dir="t"/>
            </a:scene3d>
            <a:sp3d>
              <a:bevelT/>
            </a:sp3d>
          </c:spPr>
          <c:invertIfNegative val="0"/>
          <c:cat>
            <c:strRef>
              <c:f>AVANCE!$C$8:$E$8</c:f>
              <c:strCache>
                <c:ptCount val="3"/>
                <c:pt idx="0">
                  <c:v>% 1ER CuaT</c:v>
                </c:pt>
                <c:pt idx="1">
                  <c:v>% 2DO CuaT</c:v>
                </c:pt>
                <c:pt idx="2">
                  <c:v>% 3ER CuaT</c:v>
                </c:pt>
              </c:strCache>
            </c:strRef>
          </c:cat>
          <c:val>
            <c:numRef>
              <c:f>AVANCE!$C$14:$E$14</c:f>
              <c:numCache>
                <c:formatCode>0%</c:formatCode>
                <c:ptCount val="3"/>
                <c:pt idx="0">
                  <c:v>0.20971661415358461</c:v>
                </c:pt>
                <c:pt idx="1">
                  <c:v>0.41702880673645831</c:v>
                </c:pt>
                <c:pt idx="2">
                  <c:v>0</c:v>
                </c:pt>
              </c:numCache>
            </c:numRef>
          </c:val>
        </c:ser>
        <c:dLbls>
          <c:showLegendKey val="0"/>
          <c:showVal val="0"/>
          <c:showCatName val="0"/>
          <c:showSerName val="0"/>
          <c:showPercent val="0"/>
          <c:showBubbleSize val="0"/>
        </c:dLbls>
        <c:gapWidth val="150"/>
        <c:shape val="box"/>
        <c:axId val="526299920"/>
        <c:axId val="526301600"/>
        <c:axId val="0"/>
      </c:bar3DChart>
      <c:catAx>
        <c:axId val="5262999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301600"/>
        <c:crosses val="autoZero"/>
        <c:auto val="1"/>
        <c:lblAlgn val="ctr"/>
        <c:lblOffset val="100"/>
        <c:noMultiLvlLbl val="0"/>
      </c:catAx>
      <c:valAx>
        <c:axId val="526301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299920"/>
        <c:crosses val="autoZero"/>
        <c:crossBetween val="between"/>
      </c:valAx>
      <c:spPr>
        <a:noFill/>
        <a:ln>
          <a:noFill/>
        </a:ln>
        <a:effectLst/>
      </c:spPr>
    </c:plotArea>
    <c:legend>
      <c:legendPos val="b"/>
      <c:layout>
        <c:manualLayout>
          <c:xMode val="edge"/>
          <c:yMode val="edge"/>
          <c:x val="3.3461442319710024E-3"/>
          <c:y val="0.9241890857392826"/>
          <c:w val="0.99499250093738278"/>
          <c:h val="7.58109142607174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s-CO" sz="900" b="1"/>
              <a:t>Cumplimiento del</a:t>
            </a:r>
            <a:r>
              <a:rPr lang="es-CO" sz="900" b="1" baseline="0"/>
              <a:t> Riesgo </a:t>
            </a:r>
            <a:r>
              <a:rPr lang="es-CO" sz="900" b="1"/>
              <a:t>Respecto a Plazos</a:t>
            </a:r>
          </a:p>
        </c:rich>
      </c:tx>
      <c:layout>
        <c:manualLayout>
          <c:xMode val="edge"/>
          <c:yMode val="edge"/>
          <c:x val="0.12103231123413326"/>
          <c:y val="2.1505358705161855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AVANCE!$B$9</c:f>
              <c:strCache>
                <c:ptCount val="1"/>
                <c:pt idx="0">
                  <c:v>Gestión</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accent1">
                  <a:shade val="95000"/>
                  <a:satMod val="105000"/>
                </a:schemeClr>
              </a:solidFill>
              <a:prstDash val="solid"/>
            </a:ln>
            <a:effectLst>
              <a:outerShdw blurRad="40000" dist="23000" dir="5400000" rotWithShape="0">
                <a:srgbClr val="000000">
                  <a:alpha val="35000"/>
                </a:srgbClr>
              </a:outerShdw>
            </a:effectLst>
            <a:sp3d contourW="9525">
              <a:contourClr>
                <a:schemeClr val="accent1">
                  <a:shade val="95000"/>
                  <a:satMod val="105000"/>
                </a:schemeClr>
              </a:contourClr>
            </a:sp3d>
          </c:spPr>
          <c:invertIfNegative val="0"/>
          <c:cat>
            <c:strRef>
              <c:f>AVANCE!$C$8:$E$8</c:f>
              <c:strCache>
                <c:ptCount val="3"/>
                <c:pt idx="0">
                  <c:v>% 1ER CuaT</c:v>
                </c:pt>
                <c:pt idx="1">
                  <c:v>% 2DO CuaT</c:v>
                </c:pt>
                <c:pt idx="2">
                  <c:v>% 3ER CuaT</c:v>
                </c:pt>
              </c:strCache>
            </c:strRef>
          </c:cat>
          <c:val>
            <c:numRef>
              <c:f>AVANCE!$C$9:$E$9</c:f>
              <c:numCache>
                <c:formatCode>0%</c:formatCode>
                <c:ptCount val="3"/>
                <c:pt idx="0">
                  <c:v>0.17424749163879599</c:v>
                </c:pt>
                <c:pt idx="1">
                  <c:v>0.40058372352285398</c:v>
                </c:pt>
                <c:pt idx="2">
                  <c:v>0</c:v>
                </c:pt>
              </c:numCache>
            </c:numRef>
          </c:val>
        </c:ser>
        <c:ser>
          <c:idx val="0"/>
          <c:order val="1"/>
          <c:tx>
            <c:strRef>
              <c:f>AVANCE!$B$10</c:f>
              <c:strCache>
                <c:ptCount val="1"/>
                <c:pt idx="0">
                  <c:v>Corrupción</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a:sp3d contourW="9525">
              <a:contourClr>
                <a:schemeClr val="accent2">
                  <a:shade val="95000"/>
                  <a:satMod val="105000"/>
                </a:schemeClr>
              </a:contourClr>
            </a:sp3d>
          </c:spPr>
          <c:invertIfNegative val="0"/>
          <c:cat>
            <c:strRef>
              <c:f>AVANCE!$C$8:$E$8</c:f>
              <c:strCache>
                <c:ptCount val="3"/>
                <c:pt idx="0">
                  <c:v>% 1ER CuaT</c:v>
                </c:pt>
                <c:pt idx="1">
                  <c:v>% 2DO CuaT</c:v>
                </c:pt>
                <c:pt idx="2">
                  <c:v>% 3ER CuaT</c:v>
                </c:pt>
              </c:strCache>
            </c:strRef>
          </c:cat>
          <c:val>
            <c:numRef>
              <c:f>AVANCE!$C$10:$E$10</c:f>
              <c:numCache>
                <c:formatCode>0%</c:formatCode>
                <c:ptCount val="3"/>
                <c:pt idx="0">
                  <c:v>0.24291617473435656</c:v>
                </c:pt>
                <c:pt idx="1">
                  <c:v>0.42483333929614925</c:v>
                </c:pt>
                <c:pt idx="2">
                  <c:v>0</c:v>
                </c:pt>
              </c:numCache>
            </c:numRef>
          </c:val>
        </c:ser>
        <c:dLbls>
          <c:showLegendKey val="0"/>
          <c:showVal val="0"/>
          <c:showCatName val="0"/>
          <c:showSerName val="0"/>
          <c:showPercent val="0"/>
          <c:showBubbleSize val="0"/>
        </c:dLbls>
        <c:gapWidth val="150"/>
        <c:shape val="box"/>
        <c:axId val="526304960"/>
        <c:axId val="526304400"/>
        <c:axId val="0"/>
      </c:bar3DChart>
      <c:catAx>
        <c:axId val="5263049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304400"/>
        <c:crosses val="autoZero"/>
        <c:auto val="1"/>
        <c:lblAlgn val="ctr"/>
        <c:lblOffset val="100"/>
        <c:noMultiLvlLbl val="0"/>
      </c:catAx>
      <c:valAx>
        <c:axId val="5263044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304960"/>
        <c:crosses val="autoZero"/>
        <c:crossBetween val="between"/>
      </c:valAx>
      <c:spPr>
        <a:noFill/>
        <a:ln>
          <a:noFill/>
        </a:ln>
        <a:effectLst/>
      </c:spPr>
    </c:plotArea>
    <c:legend>
      <c:legendPos val="b"/>
      <c:layout>
        <c:manualLayout>
          <c:xMode val="edge"/>
          <c:yMode val="edge"/>
          <c:x val="0.10652070242970266"/>
          <c:y val="0.91724458166212697"/>
          <c:w val="0.78864324240529005"/>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s-CO" sz="900" b="1"/>
              <a:t>% de Avance del Riesgo </a:t>
            </a:r>
          </a:p>
        </c:rich>
      </c:tx>
      <c:layout>
        <c:manualLayout>
          <c:xMode val="edge"/>
          <c:yMode val="edge"/>
          <c:x val="0.26665233398726185"/>
          <c:y val="1.456091426071740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08566800840322"/>
          <c:y val="0.13145603674540682"/>
          <c:w val="0.86686680458221754"/>
          <c:h val="0.65220570866141736"/>
        </c:manualLayout>
      </c:layout>
      <c:bar3DChart>
        <c:barDir val="col"/>
        <c:grouping val="clustered"/>
        <c:varyColors val="0"/>
        <c:ser>
          <c:idx val="1"/>
          <c:order val="0"/>
          <c:tx>
            <c:strRef>
              <c:f>AVANCE!$B$12</c:f>
              <c:strCache>
                <c:ptCount val="1"/>
                <c:pt idx="0">
                  <c:v>Gestión</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accent1">
                  <a:shade val="95000"/>
                  <a:satMod val="105000"/>
                </a:schemeClr>
              </a:solidFill>
              <a:prstDash val="solid"/>
            </a:ln>
            <a:effectLst>
              <a:outerShdw blurRad="40000" dist="23000" dir="5400000" rotWithShape="0">
                <a:srgbClr val="000000">
                  <a:alpha val="35000"/>
                </a:srgbClr>
              </a:outerShdw>
            </a:effectLst>
            <a:sp3d contourW="9525">
              <a:contourClr>
                <a:schemeClr val="accent1">
                  <a:shade val="95000"/>
                  <a:satMod val="105000"/>
                </a:schemeClr>
              </a:contourClr>
            </a:sp3d>
          </c:spPr>
          <c:invertIfNegative val="0"/>
          <c:cat>
            <c:strRef>
              <c:f>AVANCE!$C$8:$E$8</c:f>
              <c:strCache>
                <c:ptCount val="3"/>
                <c:pt idx="0">
                  <c:v>% 1ER CuaT</c:v>
                </c:pt>
                <c:pt idx="1">
                  <c:v>% 2DO CuaT</c:v>
                </c:pt>
                <c:pt idx="2">
                  <c:v>% 3ER CuaT</c:v>
                </c:pt>
              </c:strCache>
            </c:strRef>
          </c:cat>
          <c:val>
            <c:numRef>
              <c:f>AVANCE!$C$12:$E$12</c:f>
              <c:numCache>
                <c:formatCode>0%</c:formatCode>
                <c:ptCount val="3"/>
                <c:pt idx="0">
                  <c:v>0.17424749163879599</c:v>
                </c:pt>
                <c:pt idx="1">
                  <c:v>0.40058372352285398</c:v>
                </c:pt>
                <c:pt idx="2">
                  <c:v>0</c:v>
                </c:pt>
              </c:numCache>
            </c:numRef>
          </c:val>
        </c:ser>
        <c:ser>
          <c:idx val="0"/>
          <c:order val="1"/>
          <c:tx>
            <c:strRef>
              <c:f>AVANCE!$B$13</c:f>
              <c:strCache>
                <c:ptCount val="1"/>
                <c:pt idx="0">
                  <c:v>Corrupción</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a:sp3d contourW="9525">
              <a:contourClr>
                <a:schemeClr val="accent2">
                  <a:shade val="95000"/>
                  <a:satMod val="105000"/>
                </a:schemeClr>
              </a:contourClr>
            </a:sp3d>
          </c:spPr>
          <c:invertIfNegative val="0"/>
          <c:cat>
            <c:strRef>
              <c:f>AVANCE!$C$8:$E$8</c:f>
              <c:strCache>
                <c:ptCount val="3"/>
                <c:pt idx="0">
                  <c:v>% 1ER CuaT</c:v>
                </c:pt>
                <c:pt idx="1">
                  <c:v>% 2DO CuaT</c:v>
                </c:pt>
                <c:pt idx="2">
                  <c:v>% 3ER CuaT</c:v>
                </c:pt>
              </c:strCache>
            </c:strRef>
          </c:cat>
          <c:val>
            <c:numRef>
              <c:f>AVANCE!$C$13:$E$13</c:f>
              <c:numCache>
                <c:formatCode>0%</c:formatCode>
                <c:ptCount val="3"/>
                <c:pt idx="0">
                  <c:v>0.24291617473435656</c:v>
                </c:pt>
                <c:pt idx="1">
                  <c:v>0.43242161878525515</c:v>
                </c:pt>
                <c:pt idx="2">
                  <c:v>0</c:v>
                </c:pt>
              </c:numCache>
            </c:numRef>
          </c:val>
        </c:ser>
        <c:dLbls>
          <c:showLegendKey val="0"/>
          <c:showVal val="0"/>
          <c:showCatName val="0"/>
          <c:showSerName val="0"/>
          <c:showPercent val="0"/>
          <c:showBubbleSize val="0"/>
        </c:dLbls>
        <c:gapWidth val="150"/>
        <c:shape val="box"/>
        <c:axId val="526307760"/>
        <c:axId val="526309440"/>
        <c:axId val="0"/>
      </c:bar3DChart>
      <c:catAx>
        <c:axId val="5263077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309440"/>
        <c:crosses val="autoZero"/>
        <c:auto val="1"/>
        <c:lblAlgn val="ctr"/>
        <c:lblOffset val="100"/>
        <c:noMultiLvlLbl val="0"/>
      </c:catAx>
      <c:valAx>
        <c:axId val="5263094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307760"/>
        <c:crosses val="autoZero"/>
        <c:crossBetween val="between"/>
      </c:valAx>
      <c:spPr>
        <a:noFill/>
        <a:ln>
          <a:noFill/>
        </a:ln>
        <a:effectLst/>
      </c:spPr>
    </c:plotArea>
    <c:legend>
      <c:legendPos val="b"/>
      <c:layout>
        <c:manualLayout>
          <c:xMode val="edge"/>
          <c:yMode val="edge"/>
          <c:x val="0.10652070242970266"/>
          <c:y val="0.91724458166212697"/>
          <c:w val="0.78864324240529005"/>
          <c:h val="8.2755577427821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a:solidFill>
                  <a:schemeClr val="accent4">
                    <a:lumMod val="20000"/>
                    <a:lumOff val="80000"/>
                  </a:schemeClr>
                </a:solidFill>
              </a:rPr>
              <a:t>Avance de las Acciones por Riesgo de GESTIÓN</a:t>
            </a:r>
          </a:p>
        </c:rich>
      </c:tx>
      <c:layout>
        <c:manualLayout>
          <c:xMode val="edge"/>
          <c:yMode val="edge"/>
          <c:x val="0.24967037755896174"/>
          <c:y val="1.661517763230802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378584451445586E-2"/>
          <c:y val="0.14437528420331536"/>
          <c:w val="0.943877878655767"/>
          <c:h val="0.66417223918419777"/>
        </c:manualLayout>
      </c:layout>
      <c:bar3DChart>
        <c:barDir val="col"/>
        <c:grouping val="clustered"/>
        <c:varyColors val="0"/>
        <c:ser>
          <c:idx val="1"/>
          <c:order val="0"/>
          <c:tx>
            <c:strRef>
              <c:f>AXR!$F$8</c:f>
              <c:strCache>
                <c:ptCount val="1"/>
                <c:pt idx="0">
                  <c:v>% Avance 
(Ultimo  Seguimiento)</c:v>
                </c:pt>
              </c:strCache>
            </c:strRef>
          </c:tx>
          <c:spPr>
            <a:solidFill>
              <a:schemeClr val="accent2"/>
            </a:solidFill>
            <a:ln>
              <a:noFill/>
            </a:ln>
            <a:effectLst/>
            <a:sp3d/>
          </c:spPr>
          <c:invertIfNegative val="0"/>
          <c:cat>
            <c:strRef>
              <c:f>AXR!$A$9:$A$36</c:f>
              <c:strCache>
                <c:ptCount val="28"/>
                <c:pt idx="0">
                  <c:v>1G</c:v>
                </c:pt>
                <c:pt idx="1">
                  <c:v>2G</c:v>
                </c:pt>
                <c:pt idx="2">
                  <c:v>3G</c:v>
                </c:pt>
                <c:pt idx="3">
                  <c:v>4G</c:v>
                </c:pt>
                <c:pt idx="4">
                  <c:v>5G</c:v>
                </c:pt>
                <c:pt idx="5">
                  <c:v>6G</c:v>
                </c:pt>
                <c:pt idx="6">
                  <c:v>7G</c:v>
                </c:pt>
                <c:pt idx="7">
                  <c:v>8G</c:v>
                </c:pt>
                <c:pt idx="8">
                  <c:v>9G</c:v>
                </c:pt>
                <c:pt idx="9">
                  <c:v>10G</c:v>
                </c:pt>
                <c:pt idx="10">
                  <c:v>11G</c:v>
                </c:pt>
                <c:pt idx="11">
                  <c:v>12G</c:v>
                </c:pt>
                <c:pt idx="12">
                  <c:v>13G</c:v>
                </c:pt>
                <c:pt idx="13">
                  <c:v>14G</c:v>
                </c:pt>
                <c:pt idx="14">
                  <c:v>15G</c:v>
                </c:pt>
                <c:pt idx="15">
                  <c:v>16G</c:v>
                </c:pt>
                <c:pt idx="16">
                  <c:v>17G</c:v>
                </c:pt>
                <c:pt idx="17">
                  <c:v>18G</c:v>
                </c:pt>
                <c:pt idx="18">
                  <c:v>19G</c:v>
                </c:pt>
                <c:pt idx="19">
                  <c:v>20G</c:v>
                </c:pt>
                <c:pt idx="20">
                  <c:v>21G</c:v>
                </c:pt>
                <c:pt idx="21">
                  <c:v>22G</c:v>
                </c:pt>
                <c:pt idx="22">
                  <c:v>23G</c:v>
                </c:pt>
                <c:pt idx="23">
                  <c:v>24G</c:v>
                </c:pt>
                <c:pt idx="24">
                  <c:v>25G</c:v>
                </c:pt>
                <c:pt idx="25">
                  <c:v>26G</c:v>
                </c:pt>
                <c:pt idx="26">
                  <c:v>27G</c:v>
                </c:pt>
                <c:pt idx="27">
                  <c:v>28G</c:v>
                </c:pt>
              </c:strCache>
            </c:strRef>
          </c:cat>
          <c:val>
            <c:numRef>
              <c:f>AXR!$F$9:$F$36</c:f>
              <c:numCache>
                <c:formatCode>0%</c:formatCode>
                <c:ptCount val="28"/>
                <c:pt idx="0">
                  <c:v>0</c:v>
                </c:pt>
                <c:pt idx="1">
                  <c:v>1</c:v>
                </c:pt>
                <c:pt idx="2">
                  <c:v>1</c:v>
                </c:pt>
                <c:pt idx="3">
                  <c:v>0.5</c:v>
                </c:pt>
                <c:pt idx="4">
                  <c:v>1</c:v>
                </c:pt>
                <c:pt idx="5">
                  <c:v>0</c:v>
                </c:pt>
                <c:pt idx="6">
                  <c:v>0</c:v>
                </c:pt>
                <c:pt idx="7">
                  <c:v>0</c:v>
                </c:pt>
                <c:pt idx="8">
                  <c:v>1</c:v>
                </c:pt>
                <c:pt idx="9">
                  <c:v>0.25</c:v>
                </c:pt>
                <c:pt idx="10">
                  <c:v>3.5000000000000003E-2</c:v>
                </c:pt>
                <c:pt idx="11">
                  <c:v>0.05</c:v>
                </c:pt>
                <c:pt idx="12">
                  <c:v>0.05</c:v>
                </c:pt>
                <c:pt idx="13">
                  <c:v>0.02</c:v>
                </c:pt>
                <c:pt idx="14">
                  <c:v>0.71666666666666667</c:v>
                </c:pt>
                <c:pt idx="15">
                  <c:v>0.5</c:v>
                </c:pt>
                <c:pt idx="16">
                  <c:v>0.67</c:v>
                </c:pt>
                <c:pt idx="17">
                  <c:v>0</c:v>
                </c:pt>
                <c:pt idx="18">
                  <c:v>0</c:v>
                </c:pt>
                <c:pt idx="19">
                  <c:v>0</c:v>
                </c:pt>
                <c:pt idx="20">
                  <c:v>0</c:v>
                </c:pt>
                <c:pt idx="21">
                  <c:v>0.21666666666666665</c:v>
                </c:pt>
                <c:pt idx="22">
                  <c:v>0.5</c:v>
                </c:pt>
                <c:pt idx="23">
                  <c:v>0.45</c:v>
                </c:pt>
                <c:pt idx="24">
                  <c:v>0</c:v>
                </c:pt>
                <c:pt idx="25">
                  <c:v>0</c:v>
                </c:pt>
                <c:pt idx="26">
                  <c:v>0</c:v>
                </c:pt>
                <c:pt idx="27">
                  <c:v>0</c:v>
                </c:pt>
              </c:numCache>
            </c:numRef>
          </c:val>
        </c:ser>
        <c:dLbls>
          <c:showLegendKey val="0"/>
          <c:showVal val="0"/>
          <c:showCatName val="0"/>
          <c:showSerName val="0"/>
          <c:showPercent val="0"/>
          <c:showBubbleSize val="0"/>
        </c:dLbls>
        <c:gapWidth val="150"/>
        <c:shape val="box"/>
        <c:axId val="684308000"/>
        <c:axId val="684309680"/>
        <c:axId val="0"/>
      </c:bar3DChart>
      <c:catAx>
        <c:axId val="684308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09680"/>
        <c:crosses val="autoZero"/>
        <c:auto val="1"/>
        <c:lblAlgn val="ctr"/>
        <c:lblOffset val="100"/>
        <c:noMultiLvlLbl val="0"/>
      </c:catAx>
      <c:valAx>
        <c:axId val="6843096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08000"/>
        <c:crosses val="autoZero"/>
        <c:crossBetween val="between"/>
      </c:valAx>
      <c:spPr>
        <a:noFill/>
        <a:ln>
          <a:noFill/>
        </a:ln>
        <a:effectLst/>
      </c:spPr>
    </c:plotArea>
    <c:legend>
      <c:legendPos val="b"/>
      <c:layout>
        <c:manualLayout>
          <c:xMode val="edge"/>
          <c:yMode val="edge"/>
          <c:x val="0.35297940159400276"/>
          <c:y val="0.88437378813737821"/>
          <c:w val="0.29132288187615957"/>
          <c:h val="0.107292862125056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accent4">
                    <a:lumMod val="20000"/>
                    <a:lumOff val="80000"/>
                  </a:schemeClr>
                </a:solidFill>
                <a:latin typeface="+mn-lt"/>
                <a:ea typeface="+mn-ea"/>
                <a:cs typeface="+mn-cs"/>
              </a:defRPr>
            </a:pPr>
            <a:r>
              <a:rPr lang="en-US" sz="1000" b="1">
                <a:solidFill>
                  <a:schemeClr val="accent4">
                    <a:lumMod val="20000"/>
                    <a:lumOff val="80000"/>
                  </a:schemeClr>
                </a:solidFill>
              </a:rPr>
              <a:t>Cumplimiento MAPA DE RIESGO</a:t>
            </a:r>
          </a:p>
        </c:rich>
      </c:tx>
      <c:layout>
        <c:manualLayout>
          <c:xMode val="edge"/>
          <c:yMode val="edge"/>
          <c:x val="0.11479380028476832"/>
          <c:y val="8.6494869959436883E-3"/>
        </c:manualLayout>
      </c:layout>
      <c:overlay val="0"/>
      <c:spPr>
        <a:solidFill>
          <a:srgbClr val="7030A0"/>
        </a:solid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128212746991517E-2"/>
          <c:y val="0.22898908689045444"/>
          <c:w val="0.83138394493141188"/>
          <c:h val="0.7710109131095455"/>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AVANCE!$A$11</c:f>
              <c:strCache>
                <c:ptCount val="1"/>
                <c:pt idx="0">
                  <c:v>Cumplimiento MAPA Respecto a Plazos</c:v>
                </c:pt>
              </c:strCache>
            </c:strRef>
          </c:tx>
          <c:explosion val="7"/>
          <c:dPt>
            <c:idx val="0"/>
            <c:bubble3D val="0"/>
            <c:spPr>
              <a:solidFill>
                <a:srgbClr val="FFFF61"/>
              </a:solidFill>
              <a:ln w="25400" cap="flat" cmpd="sng" algn="ctr">
                <a:solidFill>
                  <a:srgbClr val="FFFF61"/>
                </a:solidFill>
                <a:prstDash val="solid"/>
              </a:ln>
              <a:effectLst/>
              <a:sp3d contourW="25400">
                <a:contourClr>
                  <a:schemeClr val="accent2">
                    <a:shade val="50000"/>
                  </a:schemeClr>
                </a:contourClr>
              </a:sp3d>
            </c:spPr>
          </c:dPt>
          <c:dPt>
            <c:idx val="1"/>
            <c:bubble3D val="0"/>
            <c:spPr>
              <a:solidFill>
                <a:schemeClr val="bg1">
                  <a:lumMod val="95000"/>
                </a:schemeClr>
              </a:solidFill>
              <a:ln w="25400">
                <a:solidFill>
                  <a:schemeClr val="bg1">
                    <a:lumMod val="85000"/>
                  </a:schemeClr>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contourW="25400">
                <a:bevelT w="63500" h="25400"/>
                <a:contourClr>
                  <a:schemeClr val="bg1">
                    <a:lumMod val="85000"/>
                  </a:schemeClr>
                </a:contourClr>
              </a:sp3d>
            </c:spPr>
          </c:dPt>
          <c:dLbls>
            <c:dLbl>
              <c:idx val="0"/>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ysClr val="windowText" lastClr="000000"/>
                      </a:solidFill>
                      <a:effectLst>
                        <a:outerShdw blurRad="38100" dist="25400" dir="5400000" algn="ctr" rotWithShape="0">
                          <a:srgbClr val="6E747A">
                            <a:alpha val="43000"/>
                          </a:srgbClr>
                        </a:outerShdw>
                      </a:effectLst>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AVANCE!$F$11:$G$11</c:f>
              <c:numCache>
                <c:formatCode>0%</c:formatCode>
                <c:ptCount val="2"/>
                <c:pt idx="0">
                  <c:v>0.41310926725000852</c:v>
                </c:pt>
                <c:pt idx="1">
                  <c:v>0.58689073274999148</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n-US" sz="1050" b="1">
                <a:solidFill>
                  <a:schemeClr val="accent4">
                    <a:lumMod val="20000"/>
                    <a:lumOff val="80000"/>
                  </a:schemeClr>
                </a:solidFill>
              </a:rPr>
              <a:t>Avance MAPA DE RIESGO</a:t>
            </a:r>
          </a:p>
        </c:rich>
      </c:tx>
      <c:layout>
        <c:manualLayout>
          <c:xMode val="edge"/>
          <c:yMode val="edge"/>
          <c:x val="0.19104652359631513"/>
          <c:y val="8.6494869959436883E-3"/>
        </c:manualLayout>
      </c:layout>
      <c:overlay val="0"/>
      <c:spPr>
        <a:solidFill>
          <a:srgbClr val="7030A0"/>
        </a:solidFill>
        <a:ln>
          <a:noFill/>
        </a:ln>
        <a:effectLst/>
      </c:spPr>
    </c:title>
    <c:autoTitleDeleted val="0"/>
    <c:view3D>
      <c:rotX val="30"/>
      <c:rotY val="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5001972792616612E-2"/>
          <c:y val="0.12292829873538536"/>
          <c:w val="0.94576321342185166"/>
          <c:h val="0.87707170126461464"/>
        </c:manualLayout>
      </c:layout>
      <c:pie3DChart>
        <c:varyColors val="1"/>
        <c:ser>
          <c:idx val="0"/>
          <c:order val="0"/>
          <c:tx>
            <c:strRef>
              <c:f>AYCM!$O$10</c:f>
              <c:strCache>
                <c:ptCount val="1"/>
              </c:strCache>
            </c:strRef>
          </c:tx>
          <c:dPt>
            <c:idx val="0"/>
            <c:bubble3D val="0"/>
            <c:explosion val="3"/>
            <c:spPr>
              <a:solidFill>
                <a:schemeClr val="accent3">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1"/>
            <c:bubble3D val="0"/>
            <c:explosion val="2"/>
            <c:spPr>
              <a:solidFill>
                <a:srgbClr val="FFFF66"/>
              </a:solidFill>
              <a:ln w="25400">
                <a:solidFill>
                  <a:schemeClr val="lt1"/>
                </a:solidFill>
              </a:ln>
              <a:effectLst/>
              <a:scene3d>
                <a:camera prst="orthographicFront"/>
                <a:lightRig rig="threePt" dir="t"/>
              </a:scene3d>
              <a:sp3d contourW="25400">
                <a:bevelT prst="angle"/>
                <a:contourClr>
                  <a:schemeClr val="lt1"/>
                </a:contourClr>
              </a:sp3d>
            </c:spPr>
          </c:dPt>
          <c:dPt>
            <c:idx val="2"/>
            <c:bubble3D val="0"/>
            <c:explosion val="3"/>
            <c:spPr>
              <a:solidFill>
                <a:schemeClr val="accent6">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dPt>
            <c:idx val="3"/>
            <c:bubble3D val="0"/>
            <c:explosion val="3"/>
            <c:spPr>
              <a:solidFill>
                <a:schemeClr val="accent2">
                  <a:lumMod val="60000"/>
                  <a:lumOff val="40000"/>
                </a:schemeClr>
              </a:solidFill>
              <a:ln w="25400">
                <a:solidFill>
                  <a:schemeClr val="lt1"/>
                </a:solidFill>
              </a:ln>
              <a:effectLst/>
              <a:scene3d>
                <a:camera prst="orthographicFront"/>
                <a:lightRig rig="threePt" dir="t"/>
              </a:scene3d>
              <a:sp3d contourW="25400">
                <a:bevelT prst="angle"/>
                <a:contourClr>
                  <a:schemeClr val="lt1"/>
                </a:contourClr>
              </a:sp3d>
            </c:spPr>
          </c:dPt>
          <c:cat>
            <c:multiLvlStrRef>
              <c:f>AYCM!$N$11:$N$13</c:f>
            </c:multiLvlStrRef>
          </c:cat>
          <c:val>
            <c:numRef>
              <c:f>AYCM!$O$11:$O$13</c:f>
            </c:numRef>
          </c:val>
        </c:ser>
        <c:ser>
          <c:idx val="1"/>
          <c:order val="1"/>
          <c:tx>
            <c:strRef>
              <c:f>AVANCE!$A$14</c:f>
              <c:strCache>
                <c:ptCount val="1"/>
                <c:pt idx="0">
                  <c:v>AVANCE DEL MAPA</c:v>
                </c:pt>
              </c:strCache>
            </c:strRef>
          </c:tx>
          <c:explosion val="7"/>
          <c:dPt>
            <c:idx val="0"/>
            <c:bubble3D val="0"/>
            <c:explosion val="0"/>
            <c:spPr>
              <a:solidFill>
                <a:srgbClr val="C0BC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explosion val="10"/>
            <c:spPr>
              <a:pattFill prst="pct70">
                <a:fgClr>
                  <a:schemeClr val="bg1">
                    <a:lumMod val="95000"/>
                  </a:schemeClr>
                </a:fgClr>
                <a:bgClr>
                  <a:schemeClr val="bg1"/>
                </a:bgClr>
              </a:pattFill>
              <a:ln w="25400">
                <a:solidFill>
                  <a:schemeClr val="bg1">
                    <a:lumMod val="50000"/>
                  </a:schemeClr>
                </a:solidFill>
              </a:ln>
              <a:effectLst>
                <a:innerShdw blurRad="63500" dist="50800" dir="16200000">
                  <a:prstClr val="black">
                    <a:alpha val="50000"/>
                  </a:prstClr>
                </a:innerShdw>
              </a:effectLst>
              <a:scene3d>
                <a:camera prst="orthographicFront"/>
                <a:lightRig rig="threePt" dir="t">
                  <a:rot lat="0" lon="0" rev="1200000"/>
                </a:lightRig>
              </a:scene3d>
              <a:sp3d>
                <a:bevelT w="63500" h="25400" prst="softRound"/>
                <a:contourClr>
                  <a:srgbClr val="000000"/>
                </a:contourClr>
              </a:sp3d>
            </c:spPr>
          </c:dPt>
          <c:dLbls>
            <c:dLbl>
              <c:idx val="0"/>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cap="none" spc="0" baseline="0">
                      <a:ln w="0">
                        <a:noFill/>
                      </a:ln>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cap="none" spc="0" baseline="0">
                    <a:ln w="0"/>
                    <a:solidFill>
                      <a:schemeClr val="bg1"/>
                    </a:solidFill>
                    <a:effectLst>
                      <a:outerShdw blurRad="38100" dist="25400" dir="5400000" algn="ctr" rotWithShape="0">
                        <a:srgbClr val="6E747A">
                          <a:alpha val="43000"/>
                        </a:srgbClr>
                      </a:outerShdw>
                    </a:effectLst>
                    <a:latin typeface="+mn-lt"/>
                    <a:ea typeface="+mn-ea"/>
                    <a:cs typeface="+mn-cs"/>
                  </a:defRPr>
                </a:pPr>
                <a:endParaRPr lang="es-CO"/>
              </a:p>
            </c:txPr>
            <c:dLblPos val="ctr"/>
            <c:showLegendKey val="0"/>
            <c:showVal val="0"/>
            <c:showCatName val="0"/>
            <c:showSerName val="0"/>
            <c:showPercent val="0"/>
            <c:showBubbleSize val="0"/>
            <c:extLst>
              <c:ext xmlns:c15="http://schemas.microsoft.com/office/drawing/2012/chart" uri="{CE6537A1-D6FC-4f65-9D91-7224C49458BB}"/>
            </c:extLst>
          </c:dLbls>
          <c:val>
            <c:numRef>
              <c:f>AVANCE!$F$14:$G$14</c:f>
              <c:numCache>
                <c:formatCode>0%</c:formatCode>
                <c:ptCount val="2"/>
                <c:pt idx="0">
                  <c:v>0.41702880673645831</c:v>
                </c:pt>
                <c:pt idx="1">
                  <c:v>0.58297119326354174</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r>
              <a:rPr lang="es-CO" sz="1050" b="1" i="0" u="none" strike="noStrike" baseline="0">
                <a:effectLst/>
              </a:rPr>
              <a:t>Avance de las Acciones por Riesgo de </a:t>
            </a:r>
            <a:r>
              <a:rPr lang="es-CO" sz="1050" b="1">
                <a:solidFill>
                  <a:schemeClr val="accent4">
                    <a:lumMod val="20000"/>
                    <a:lumOff val="80000"/>
                  </a:schemeClr>
                </a:solidFill>
              </a:rPr>
              <a:t>CORRUPCIÓN</a:t>
            </a:r>
          </a:p>
        </c:rich>
      </c:tx>
      <c:layout>
        <c:manualLayout>
          <c:xMode val="edge"/>
          <c:yMode val="edge"/>
          <c:x val="0.16540266841644793"/>
          <c:y val="1.2500024606347651E-2"/>
        </c:manualLayout>
      </c:layout>
      <c:overlay val="0"/>
      <c:spPr>
        <a:solidFill>
          <a:srgbClr val="7030A0"/>
        </a:solidFill>
        <a:ln>
          <a:noFill/>
        </a:ln>
        <a:effectLst/>
      </c:spPr>
      <c:txPr>
        <a:bodyPr rot="0" spcFirstLastPara="1" vertOverflow="ellipsis" vert="horz" wrap="square" anchor="ctr" anchorCtr="1"/>
        <a:lstStyle/>
        <a:p>
          <a:pPr>
            <a:defRPr sz="1050" b="1" i="0" u="none" strike="noStrike" kern="1200" spc="0" baseline="0">
              <a:solidFill>
                <a:schemeClr val="accent4">
                  <a:lumMod val="20000"/>
                  <a:lumOff val="8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08986252956004E-2"/>
          <c:y val="0.14221452555683478"/>
          <c:w val="0.9377611028819417"/>
          <c:h val="0.67257604308985997"/>
        </c:manualLayout>
      </c:layout>
      <c:bar3DChart>
        <c:barDir val="col"/>
        <c:grouping val="clustered"/>
        <c:varyColors val="0"/>
        <c:ser>
          <c:idx val="1"/>
          <c:order val="0"/>
          <c:tx>
            <c:strRef>
              <c:f>'AXR C'!$F$8</c:f>
              <c:strCache>
                <c:ptCount val="1"/>
                <c:pt idx="0">
                  <c:v>% Avance 
(Ultimo  Seguimeinto)</c:v>
                </c:pt>
              </c:strCache>
            </c:strRef>
          </c:tx>
          <c:spPr>
            <a:solidFill>
              <a:schemeClr val="accent2"/>
            </a:solidFill>
            <a:ln>
              <a:noFill/>
            </a:ln>
            <a:effectLst/>
            <a:sp3d/>
          </c:spPr>
          <c:invertIfNegative val="0"/>
          <c:cat>
            <c:strRef>
              <c:f>'AXR C'!$A$9:$A$42</c:f>
              <c:strCache>
                <c:ptCount val="34"/>
                <c:pt idx="0">
                  <c:v>1C</c:v>
                </c:pt>
                <c:pt idx="1">
                  <c:v>2C</c:v>
                </c:pt>
                <c:pt idx="2">
                  <c:v>3C</c:v>
                </c:pt>
                <c:pt idx="3">
                  <c:v>4C</c:v>
                </c:pt>
                <c:pt idx="4">
                  <c:v>5C</c:v>
                </c:pt>
                <c:pt idx="5">
                  <c:v>6C</c:v>
                </c:pt>
                <c:pt idx="6">
                  <c:v>7C</c:v>
                </c:pt>
                <c:pt idx="7">
                  <c:v>8C</c:v>
                </c:pt>
                <c:pt idx="8">
                  <c:v>9C</c:v>
                </c:pt>
                <c:pt idx="9">
                  <c:v>10C</c:v>
                </c:pt>
                <c:pt idx="10">
                  <c:v>11C</c:v>
                </c:pt>
                <c:pt idx="11">
                  <c:v>12C</c:v>
                </c:pt>
                <c:pt idx="12">
                  <c:v>13C</c:v>
                </c:pt>
                <c:pt idx="13">
                  <c:v>14C</c:v>
                </c:pt>
                <c:pt idx="14">
                  <c:v>15C</c:v>
                </c:pt>
                <c:pt idx="15">
                  <c:v>16C</c:v>
                </c:pt>
                <c:pt idx="16">
                  <c:v>17C</c:v>
                </c:pt>
                <c:pt idx="17">
                  <c:v>18C</c:v>
                </c:pt>
                <c:pt idx="18">
                  <c:v>19C</c:v>
                </c:pt>
                <c:pt idx="19">
                  <c:v>20C</c:v>
                </c:pt>
                <c:pt idx="20">
                  <c:v>21C</c:v>
                </c:pt>
                <c:pt idx="21">
                  <c:v>22C</c:v>
                </c:pt>
                <c:pt idx="22">
                  <c:v>23C</c:v>
                </c:pt>
                <c:pt idx="23">
                  <c:v>24C</c:v>
                </c:pt>
                <c:pt idx="24">
                  <c:v>25C</c:v>
                </c:pt>
                <c:pt idx="25">
                  <c:v>26C</c:v>
                </c:pt>
                <c:pt idx="26">
                  <c:v>27C</c:v>
                </c:pt>
                <c:pt idx="27">
                  <c:v>28C</c:v>
                </c:pt>
                <c:pt idx="28">
                  <c:v>29C</c:v>
                </c:pt>
                <c:pt idx="29">
                  <c:v>30C</c:v>
                </c:pt>
                <c:pt idx="30">
                  <c:v>31C</c:v>
                </c:pt>
                <c:pt idx="31">
                  <c:v>32C</c:v>
                </c:pt>
                <c:pt idx="32">
                  <c:v>33C</c:v>
                </c:pt>
                <c:pt idx="33">
                  <c:v>34C</c:v>
                </c:pt>
              </c:strCache>
            </c:strRef>
          </c:cat>
          <c:val>
            <c:numRef>
              <c:f>'AXR C'!$F$9:$F$42</c:f>
              <c:numCache>
                <c:formatCode>0%</c:formatCode>
                <c:ptCount val="34"/>
                <c:pt idx="0">
                  <c:v>1</c:v>
                </c:pt>
                <c:pt idx="1">
                  <c:v>0</c:v>
                </c:pt>
                <c:pt idx="2">
                  <c:v>0</c:v>
                </c:pt>
                <c:pt idx="3">
                  <c:v>0</c:v>
                </c:pt>
                <c:pt idx="4">
                  <c:v>1</c:v>
                </c:pt>
                <c:pt idx="5">
                  <c:v>1</c:v>
                </c:pt>
                <c:pt idx="6">
                  <c:v>0</c:v>
                </c:pt>
                <c:pt idx="7">
                  <c:v>0</c:v>
                </c:pt>
                <c:pt idx="8">
                  <c:v>0</c:v>
                </c:pt>
                <c:pt idx="9">
                  <c:v>0.02</c:v>
                </c:pt>
                <c:pt idx="10">
                  <c:v>1.6666666666666666E-2</c:v>
                </c:pt>
                <c:pt idx="11">
                  <c:v>0.02</c:v>
                </c:pt>
                <c:pt idx="12">
                  <c:v>0.25</c:v>
                </c:pt>
                <c:pt idx="13">
                  <c:v>0.75</c:v>
                </c:pt>
                <c:pt idx="14">
                  <c:v>0.6</c:v>
                </c:pt>
                <c:pt idx="15">
                  <c:v>0.6</c:v>
                </c:pt>
                <c:pt idx="16">
                  <c:v>0.6</c:v>
                </c:pt>
                <c:pt idx="17">
                  <c:v>0.6</c:v>
                </c:pt>
                <c:pt idx="18">
                  <c:v>0.6</c:v>
                </c:pt>
                <c:pt idx="19">
                  <c:v>0</c:v>
                </c:pt>
                <c:pt idx="20">
                  <c:v>0.6</c:v>
                </c:pt>
                <c:pt idx="21">
                  <c:v>0.6</c:v>
                </c:pt>
                <c:pt idx="22">
                  <c:v>0.6</c:v>
                </c:pt>
                <c:pt idx="23">
                  <c:v>0.33333333333333331</c:v>
                </c:pt>
                <c:pt idx="24">
                  <c:v>0</c:v>
                </c:pt>
                <c:pt idx="25">
                  <c:v>0</c:v>
                </c:pt>
                <c:pt idx="26">
                  <c:v>4.9999999999999996E-2</c:v>
                </c:pt>
                <c:pt idx="27">
                  <c:v>0.85</c:v>
                </c:pt>
                <c:pt idx="28">
                  <c:v>0</c:v>
                </c:pt>
                <c:pt idx="29">
                  <c:v>0</c:v>
                </c:pt>
                <c:pt idx="30">
                  <c:v>0.23110307414104878</c:v>
                </c:pt>
                <c:pt idx="31">
                  <c:v>0</c:v>
                </c:pt>
                <c:pt idx="32">
                  <c:v>0</c:v>
                </c:pt>
                <c:pt idx="33">
                  <c:v>0</c:v>
                </c:pt>
              </c:numCache>
            </c:numRef>
          </c:val>
        </c:ser>
        <c:dLbls>
          <c:showLegendKey val="0"/>
          <c:showVal val="0"/>
          <c:showCatName val="0"/>
          <c:showSerName val="0"/>
          <c:showPercent val="0"/>
          <c:showBubbleSize val="0"/>
        </c:dLbls>
        <c:gapWidth val="150"/>
        <c:shape val="box"/>
        <c:axId val="684312480"/>
        <c:axId val="684314160"/>
        <c:axId val="0"/>
      </c:bar3DChart>
      <c:catAx>
        <c:axId val="684312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684314160"/>
        <c:crosses val="autoZero"/>
        <c:auto val="1"/>
        <c:lblAlgn val="ctr"/>
        <c:lblOffset val="100"/>
        <c:noMultiLvlLbl val="0"/>
      </c:catAx>
      <c:valAx>
        <c:axId val="6843141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4312480"/>
        <c:crosses val="autoZero"/>
        <c:crossBetween val="between"/>
        <c:majorUnit val="0.1"/>
      </c:valAx>
      <c:spPr>
        <a:noFill/>
        <a:ln>
          <a:noFill/>
        </a:ln>
        <a:effectLst/>
      </c:spPr>
    </c:plotArea>
    <c:legend>
      <c:legendPos val="b"/>
      <c:layout>
        <c:manualLayout>
          <c:xMode val="edge"/>
          <c:yMode val="edge"/>
          <c:x val="0.26704057484617699"/>
          <c:y val="0.88083963883003502"/>
          <c:w val="0.55335032915967475"/>
          <c:h val="0.119160361169964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(Efectividad)</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CONT!$A$10:$B$11</c:f>
              <c:strCache>
                <c:ptCount val="2"/>
                <c:pt idx="0">
                  <c:v>Controles Efectivos</c:v>
                </c:pt>
                <c:pt idx="1">
                  <c:v>Controles NO Efectivos</c:v>
                </c:pt>
              </c:strCache>
            </c:strRef>
          </c:cat>
          <c:val>
            <c:numRef>
              <c:f>CONT!$G$10:$G$11</c:f>
              <c:numCache>
                <c:formatCode>0%</c:formatCode>
                <c:ptCount val="2"/>
                <c:pt idx="0">
                  <c:v>0.8928571428571429</c:v>
                </c:pt>
                <c:pt idx="1">
                  <c:v>0.10714285714285714</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5.000000000000001E-2"/>
          <c:y val="0.83420056867891512"/>
          <c:w val="0.8999999637976156"/>
          <c:h val="0.1588549868766403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Ejercicio del Control (Documentación)</a:t>
            </a:r>
          </a:p>
        </c:rich>
      </c:tx>
      <c:layout>
        <c:manualLayout>
          <c:xMode val="edge"/>
          <c:yMode val="edge"/>
          <c:x val="0.23853287037037035"/>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285EA0"/>
              </a:solidFill>
              <a:ln w="25400">
                <a:solidFill>
                  <a:schemeClr val="lt1"/>
                </a:solidFill>
              </a:ln>
              <a:effectLst/>
              <a:sp3d contourW="25400">
                <a:contourClr>
                  <a:schemeClr val="lt1"/>
                </a:contourClr>
              </a:sp3d>
            </c:spPr>
          </c:dPt>
          <c:dPt>
            <c:idx val="1"/>
            <c:bubble3D val="0"/>
            <c:explosion val="13"/>
            <c:spPr>
              <a:solidFill>
                <a:srgbClr val="B24340"/>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CONT!$H$9:$I$9</c:f>
              <c:strCache>
                <c:ptCount val="2"/>
                <c:pt idx="0">
                  <c:v>SI</c:v>
                </c:pt>
                <c:pt idx="1">
                  <c:v>NO</c:v>
                </c:pt>
              </c:strCache>
            </c:strRef>
          </c:cat>
          <c:val>
            <c:numRef>
              <c:f>CONT!$J$10:$J$11</c:f>
              <c:numCache>
                <c:formatCode>General</c:formatCode>
                <c:ptCount val="2"/>
                <c:pt idx="0">
                  <c:v>0.9107142857142857</c:v>
                </c:pt>
                <c:pt idx="1">
                  <c:v>8.9285714285714288E-2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(Responsable)</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9999"/>
              </a:solidFill>
              <a:ln w="25400">
                <a:solidFill>
                  <a:schemeClr val="lt1"/>
                </a:solidFill>
              </a:ln>
              <a:effectLst/>
              <a:sp3d contourW="25400">
                <a:contourClr>
                  <a:schemeClr val="lt1"/>
                </a:contourClr>
              </a:sp3d>
            </c:spPr>
          </c:dPt>
          <c:dPt>
            <c:idx val="1"/>
            <c:bubble3D val="0"/>
            <c:explosion val="13"/>
            <c:spPr>
              <a:solidFill>
                <a:srgbClr val="CC0066"/>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CONT!$N$9:$O$9</c:f>
              <c:strCache>
                <c:ptCount val="2"/>
                <c:pt idx="0">
                  <c:v>SI</c:v>
                </c:pt>
                <c:pt idx="1">
                  <c:v>NO</c:v>
                </c:pt>
              </c:strCache>
            </c:strRef>
          </c:cat>
          <c:val>
            <c:numRef>
              <c:f>CONT!$P$10:$P$11</c:f>
              <c:numCache>
                <c:formatCode>General</c:formatCode>
                <c:ptCount val="2"/>
                <c:pt idx="0">
                  <c:v>0.9821428571428571</c:v>
                </c:pt>
                <c:pt idx="1">
                  <c:v>1.7857142857142856E-2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Seguimiento</a:t>
            </a:r>
            <a:r>
              <a:rPr lang="es-ES" sz="1000" b="1" baseline="0"/>
              <a:t> al</a:t>
            </a:r>
            <a:r>
              <a:rPr lang="es-ES" sz="1000" b="1"/>
              <a:t> Control (Periodicidad)</a:t>
            </a:r>
          </a:p>
        </c:rich>
      </c:tx>
      <c:layout>
        <c:manualLayout>
          <c:xMode val="edge"/>
          <c:yMode val="edge"/>
          <c:x val="0.20324027777777781"/>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750000000000001"/>
          <c:w val="1"/>
          <c:h val="0.73122648731408579"/>
        </c:manualLayout>
      </c:layout>
      <c:pie3DChart>
        <c:varyColors val="1"/>
        <c:ser>
          <c:idx val="0"/>
          <c:order val="0"/>
          <c:dPt>
            <c:idx val="0"/>
            <c:bubble3D val="0"/>
            <c:spPr>
              <a:solidFill>
                <a:srgbClr val="00C5C0"/>
              </a:solidFill>
              <a:ln w="25400">
                <a:solidFill>
                  <a:schemeClr val="lt1"/>
                </a:solidFill>
              </a:ln>
              <a:effectLst/>
              <a:sp3d contourW="25400">
                <a:contourClr>
                  <a:schemeClr val="lt1"/>
                </a:contourClr>
              </a:sp3d>
            </c:spPr>
          </c:dPt>
          <c:dPt>
            <c:idx val="1"/>
            <c:bubble3D val="0"/>
            <c:explosion val="13"/>
            <c:spPr>
              <a:solidFill>
                <a:srgbClr val="D11DA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CONT!$Q$9:$R$9</c:f>
              <c:strCache>
                <c:ptCount val="2"/>
                <c:pt idx="0">
                  <c:v>SI</c:v>
                </c:pt>
                <c:pt idx="1">
                  <c:v>NO</c:v>
                </c:pt>
              </c:strCache>
            </c:strRef>
          </c:cat>
          <c:val>
            <c:numRef>
              <c:f>CONT!$S$10:$S$11</c:f>
              <c:numCache>
                <c:formatCode>General</c:formatCode>
                <c:ptCount val="2"/>
                <c:pt idx="0">
                  <c:v>0.8214285714285714</c:v>
                </c:pt>
                <c:pt idx="1">
                  <c:v>0.17857142857142858</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4.9999837089270374E-2"/>
          <c:y val="0.87586723534558175"/>
          <c:w val="0.8999999637976156"/>
          <c:h val="0.117188320209973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ES" sz="1000" b="1"/>
              <a:t>Tipo de </a:t>
            </a:r>
          </a:p>
          <a:p>
            <a:pPr>
              <a:defRPr sz="1000" b="1"/>
            </a:pPr>
            <a:r>
              <a:rPr lang="es-ES" sz="1000" b="1"/>
              <a:t>Control</a:t>
            </a:r>
          </a:p>
        </c:rich>
      </c:tx>
      <c:layout>
        <c:manualLayout>
          <c:xMode val="edge"/>
          <c:yMode val="edge"/>
          <c:x val="0.12251270224601797"/>
          <c:y val="0.41743979370999679"/>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15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4100989032000141"/>
          <c:w val="1"/>
          <c:h val="0.85899010967999856"/>
        </c:manualLayout>
      </c:layout>
      <c:pie3DChart>
        <c:varyColors val="1"/>
        <c:ser>
          <c:idx val="0"/>
          <c:order val="0"/>
          <c:dPt>
            <c:idx val="0"/>
            <c:bubble3D val="0"/>
            <c:spPr>
              <a:solidFill>
                <a:schemeClr val="tx2"/>
              </a:solidFill>
              <a:ln w="25400">
                <a:solidFill>
                  <a:schemeClr val="lt1"/>
                </a:solidFill>
              </a:ln>
              <a:effectLst/>
              <a:sp3d contourW="25400">
                <a:contourClr>
                  <a:schemeClr val="lt1"/>
                </a:contourClr>
              </a:sp3d>
            </c:spPr>
          </c:dPt>
          <c:dPt>
            <c:idx val="1"/>
            <c:bubble3D val="0"/>
            <c:explosion val="13"/>
            <c:spPr>
              <a:solidFill>
                <a:schemeClr val="accent2"/>
              </a:solidFill>
              <a:ln w="25400">
                <a:solidFill>
                  <a:schemeClr val="bg1"/>
                </a:solidFill>
              </a:ln>
              <a:effectLst/>
              <a:sp3d contourW="25400">
                <a:contourClr>
                  <a:schemeClr val="bg1"/>
                </a:contourClr>
              </a:sp3d>
            </c:spPr>
          </c:dPt>
          <c:dLbls>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dLbl>
              <c:idx val="1"/>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95000"/>
                        </a:schemeClr>
                      </a:solidFill>
                      <a:latin typeface="+mn-lt"/>
                      <a:ea typeface="+mn-ea"/>
                      <a:cs typeface="+mn-cs"/>
                    </a:defRPr>
                  </a:pPr>
                  <a:endParaRPr lang="es-CO"/>
                </a:p>
              </c:txPr>
              <c:dLblPos val="inEnd"/>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CONT!$C$8:$D$9</c:f>
              <c:strCache>
                <c:ptCount val="2"/>
                <c:pt idx="0">
                  <c:v>Preventivos</c:v>
                </c:pt>
                <c:pt idx="1">
                  <c:v>Correctivos</c:v>
                </c:pt>
              </c:strCache>
            </c:strRef>
          </c:cat>
          <c:val>
            <c:numRef>
              <c:f>CONT!$C$12:$D$12</c:f>
              <c:numCache>
                <c:formatCode>General</c:formatCode>
                <c:ptCount val="2"/>
                <c:pt idx="0">
                  <c:v>54</c:v>
                </c:pt>
                <c:pt idx="1">
                  <c:v>2</c:v>
                </c:pt>
              </c:numCache>
            </c:numRef>
          </c:val>
        </c:ser>
        <c:dLbls>
          <c:dLblPos val="inEnd"/>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0.73513557933179208"/>
          <c:y val="0.6584472993507392"/>
          <c:w val="0.21614120584497135"/>
          <c:h val="0.2496386296083850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rtilla Gu&#237;a'!A2:A16"/></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3.xml"/><Relationship Id="rId1" Type="http://schemas.openxmlformats.org/officeDocument/2006/relationships/image" Target="../media/image1.png"/><Relationship Id="rId4"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3" Type="http://schemas.openxmlformats.org/officeDocument/2006/relationships/hyperlink" Target="#ESTADISTICAS!A1"/><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chart" Target="../charts/chart6.xml"/><Relationship Id="rId7" Type="http://schemas.openxmlformats.org/officeDocument/2006/relationships/hyperlink" Target="#ESTADISTICAS!A1"/><Relationship Id="rId2" Type="http://schemas.openxmlformats.org/officeDocument/2006/relationships/chart" Target="../charts/chart5.xml"/><Relationship Id="rId1" Type="http://schemas.openxmlformats.org/officeDocument/2006/relationships/image" Target="../media/image1.png"/><Relationship Id="rId6" Type="http://schemas.openxmlformats.org/officeDocument/2006/relationships/chart" Target="../charts/chart9.xml"/><Relationship Id="rId5" Type="http://schemas.openxmlformats.org/officeDocument/2006/relationships/chart" Target="../charts/chart8.xml"/><Relationship Id="rId10" Type="http://schemas.openxmlformats.org/officeDocument/2006/relationships/chart" Target="../charts/chart11.xml"/><Relationship Id="rId4" Type="http://schemas.openxmlformats.org/officeDocument/2006/relationships/chart" Target="../charts/chart7.xml"/><Relationship Id="rId9"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chart" Target="../charts/chart13.xml"/><Relationship Id="rId7" Type="http://schemas.openxmlformats.org/officeDocument/2006/relationships/hyperlink" Target="#ESTADISTICAS!A1"/><Relationship Id="rId2" Type="http://schemas.openxmlformats.org/officeDocument/2006/relationships/chart" Target="../charts/chart12.xml"/><Relationship Id="rId1" Type="http://schemas.openxmlformats.org/officeDocument/2006/relationships/image" Target="../media/image1.png"/><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18.xml"/><Relationship Id="rId4" Type="http://schemas.openxmlformats.org/officeDocument/2006/relationships/chart" Target="../charts/chart14.xml"/><Relationship Id="rId9"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4"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4"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rtilla Gu&#237;a'!A41:A55"/></Relationships>
</file>

<file path=xl/drawings/_rels/drawing2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7.xml"/><Relationship Id="rId7" Type="http://schemas.openxmlformats.org/officeDocument/2006/relationships/chart" Target="../charts/chart30.xml"/><Relationship Id="rId2" Type="http://schemas.openxmlformats.org/officeDocument/2006/relationships/image" Target="../media/image3.jpeg"/><Relationship Id="rId1" Type="http://schemas.openxmlformats.org/officeDocument/2006/relationships/hyperlink" Target="#ESTADISTICAS!A1"/><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3" Type="http://schemas.openxmlformats.org/officeDocument/2006/relationships/image" Target="../media/image16.wmf"/><Relationship Id="rId18" Type="http://schemas.openxmlformats.org/officeDocument/2006/relationships/image" Target="../media/image21.jpeg"/><Relationship Id="rId26" Type="http://schemas.openxmlformats.org/officeDocument/2006/relationships/image" Target="../media/image29.png"/><Relationship Id="rId39" Type="http://schemas.openxmlformats.org/officeDocument/2006/relationships/image" Target="../media/image42.png"/><Relationship Id="rId21" Type="http://schemas.openxmlformats.org/officeDocument/2006/relationships/image" Target="../media/image24.jpeg"/><Relationship Id="rId34" Type="http://schemas.openxmlformats.org/officeDocument/2006/relationships/image" Target="../media/image37.png"/><Relationship Id="rId42" Type="http://schemas.openxmlformats.org/officeDocument/2006/relationships/image" Target="../media/image45.png"/><Relationship Id="rId7" Type="http://schemas.openxmlformats.org/officeDocument/2006/relationships/image" Target="../media/image10.wmf"/><Relationship Id="rId2" Type="http://schemas.openxmlformats.org/officeDocument/2006/relationships/image" Target="../media/image5.png"/><Relationship Id="rId16" Type="http://schemas.openxmlformats.org/officeDocument/2006/relationships/image" Target="../media/image19.jpeg"/><Relationship Id="rId20" Type="http://schemas.openxmlformats.org/officeDocument/2006/relationships/image" Target="../media/image23.png"/><Relationship Id="rId29" Type="http://schemas.openxmlformats.org/officeDocument/2006/relationships/image" Target="../media/image32.png"/><Relationship Id="rId41" Type="http://schemas.openxmlformats.org/officeDocument/2006/relationships/image" Target="../media/image44.png"/><Relationship Id="rId1" Type="http://schemas.openxmlformats.org/officeDocument/2006/relationships/image" Target="../media/image4.png"/><Relationship Id="rId6" Type="http://schemas.openxmlformats.org/officeDocument/2006/relationships/image" Target="../media/image9.wmf"/><Relationship Id="rId11" Type="http://schemas.openxmlformats.org/officeDocument/2006/relationships/image" Target="../media/image14.emf"/><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5" Type="http://schemas.openxmlformats.org/officeDocument/2006/relationships/image" Target="../media/image8.png"/><Relationship Id="rId15" Type="http://schemas.openxmlformats.org/officeDocument/2006/relationships/image" Target="../media/image18.wmf"/><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10" Type="http://schemas.openxmlformats.org/officeDocument/2006/relationships/image" Target="../media/image13.wmf"/><Relationship Id="rId19" Type="http://schemas.openxmlformats.org/officeDocument/2006/relationships/image" Target="../media/image22.png"/><Relationship Id="rId31" Type="http://schemas.openxmlformats.org/officeDocument/2006/relationships/image" Target="../media/image34.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wmf"/><Relationship Id="rId22" Type="http://schemas.openxmlformats.org/officeDocument/2006/relationships/image" Target="../media/image25.jpe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 Id="rId8" Type="http://schemas.openxmlformats.org/officeDocument/2006/relationships/image" Target="../media/image11.wmf"/><Relationship Id="rId3" Type="http://schemas.openxmlformats.org/officeDocument/2006/relationships/image" Target="../media/image6.png"/><Relationship Id="rId12" Type="http://schemas.openxmlformats.org/officeDocument/2006/relationships/image" Target="../media/image15.wmf"/><Relationship Id="rId17" Type="http://schemas.openxmlformats.org/officeDocument/2006/relationships/image" Target="../media/image20.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s>
</file>

<file path=xl/drawings/_rels/drawing3.xml.rels><?xml version="1.0" encoding="UTF-8" standalone="yes"?>
<Relationships xmlns="http://schemas.openxmlformats.org/package/2006/relationships"><Relationship Id="rId3" Type="http://schemas.openxmlformats.org/officeDocument/2006/relationships/hyperlink" Target="#'Cartilla Gu&#237;a'!A165:A179"/><Relationship Id="rId2" Type="http://schemas.openxmlformats.org/officeDocument/2006/relationships/image" Target="../media/image1.png"/><Relationship Id="rId1" Type="http://schemas.openxmlformats.org/officeDocument/2006/relationships/hyperlink" Target="#'Cartilla Gu&#237;a'!A107:A121"/></Relationships>
</file>

<file path=xl/drawings/_rels/drawing4.xml.rels><?xml version="1.0" encoding="UTF-8" standalone="yes"?>
<Relationships xmlns="http://schemas.openxmlformats.org/package/2006/relationships"><Relationship Id="rId3" Type="http://schemas.openxmlformats.org/officeDocument/2006/relationships/hyperlink" Target="#'Cartilla Gu&#237;a'!A225:A239"/><Relationship Id="rId2" Type="http://schemas.openxmlformats.org/officeDocument/2006/relationships/image" Target="../media/image1.png"/><Relationship Id="rId1" Type="http://schemas.openxmlformats.org/officeDocument/2006/relationships/hyperlink" Target="#'Cartilla Gu&#237;a'!A193:A207"/></Relationships>
</file>

<file path=xl/drawings/_rels/drawing5.xml.rels><?xml version="1.0" encoding="UTF-8" standalone="yes"?>
<Relationships xmlns="http://schemas.openxmlformats.org/package/2006/relationships"><Relationship Id="rId3" Type="http://schemas.openxmlformats.org/officeDocument/2006/relationships/hyperlink" Target="#'Cartilla Gu&#237;a'!A286:A300"/><Relationship Id="rId2" Type="http://schemas.openxmlformats.org/officeDocument/2006/relationships/image" Target="../media/image1.png"/><Relationship Id="rId1" Type="http://schemas.openxmlformats.org/officeDocument/2006/relationships/hyperlink" Target="#'Cartilla Gu&#237;a'!A243:A257"/></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ESTADISTICA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656</xdr:colOff>
      <xdr:row>4</xdr:row>
      <xdr:rowOff>32756</xdr:rowOff>
    </xdr:from>
    <xdr:to>
      <xdr:col>2</xdr:col>
      <xdr:colOff>328104</xdr:colOff>
      <xdr:row>4</xdr:row>
      <xdr:rowOff>382005</xdr:rowOff>
    </xdr:to>
    <xdr:sp macro="" textlink="">
      <xdr:nvSpPr>
        <xdr:cNvPr id="2" name="1 Anillo" descr="Ayuda">
          <a:hlinkClick xmlns:r="http://schemas.openxmlformats.org/officeDocument/2006/relationships" r:id="rId1"/>
        </xdr:cNvPr>
        <xdr:cNvSpPr/>
      </xdr:nvSpPr>
      <xdr:spPr>
        <a:xfrm>
          <a:off x="6201854" y="1355673"/>
          <a:ext cx="349250" cy="349249"/>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0</xdr:col>
      <xdr:colOff>933450</xdr:colOff>
      <xdr:row>0</xdr:row>
      <xdr:rowOff>114300</xdr:rowOff>
    </xdr:from>
    <xdr:to>
      <xdr:col>0</xdr:col>
      <xdr:colOff>1809750</xdr:colOff>
      <xdr:row>2</xdr:row>
      <xdr:rowOff>95250</xdr:rowOff>
    </xdr:to>
    <xdr:pic>
      <xdr:nvPicPr>
        <xdr:cNvPr id="2108"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114300"/>
          <a:ext cx="8763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76200</xdr:rowOff>
        </xdr:from>
        <xdr:to>
          <xdr:col>0</xdr:col>
          <xdr:colOff>504825</xdr:colOff>
          <xdr:row>19</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76200</xdr:rowOff>
        </xdr:from>
        <xdr:to>
          <xdr:col>0</xdr:col>
          <xdr:colOff>504825</xdr:colOff>
          <xdr:row>19</xdr:row>
          <xdr:rowOff>466725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76200</xdr:rowOff>
        </xdr:from>
        <xdr:to>
          <xdr:col>0</xdr:col>
          <xdr:colOff>504825</xdr:colOff>
          <xdr:row>20</xdr:row>
          <xdr:rowOff>466725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76200</xdr:rowOff>
        </xdr:from>
        <xdr:to>
          <xdr:col>0</xdr:col>
          <xdr:colOff>504825</xdr:colOff>
          <xdr:row>21</xdr:row>
          <xdr:rowOff>466725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76200</xdr:rowOff>
        </xdr:from>
        <xdr:to>
          <xdr:col>0</xdr:col>
          <xdr:colOff>504825</xdr:colOff>
          <xdr:row>23</xdr:row>
          <xdr:rowOff>466725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76200</xdr:rowOff>
        </xdr:from>
        <xdr:to>
          <xdr:col>0</xdr:col>
          <xdr:colOff>504825</xdr:colOff>
          <xdr:row>26</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76200</xdr:rowOff>
        </xdr:from>
        <xdr:to>
          <xdr:col>0</xdr:col>
          <xdr:colOff>504825</xdr:colOff>
          <xdr:row>26</xdr:row>
          <xdr:rowOff>466725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76200</xdr:rowOff>
        </xdr:from>
        <xdr:to>
          <xdr:col>0</xdr:col>
          <xdr:colOff>504825</xdr:colOff>
          <xdr:row>27</xdr:row>
          <xdr:rowOff>466725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xdr:row>
          <xdr:rowOff>76200</xdr:rowOff>
        </xdr:from>
        <xdr:to>
          <xdr:col>0</xdr:col>
          <xdr:colOff>504825</xdr:colOff>
          <xdr:row>28</xdr:row>
          <xdr:rowOff>466725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76200</xdr:rowOff>
        </xdr:from>
        <xdr:to>
          <xdr:col>0</xdr:col>
          <xdr:colOff>504825</xdr:colOff>
          <xdr:row>29</xdr:row>
          <xdr:rowOff>466725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76200</xdr:rowOff>
        </xdr:from>
        <xdr:to>
          <xdr:col>0</xdr:col>
          <xdr:colOff>504825</xdr:colOff>
          <xdr:row>31</xdr:row>
          <xdr:rowOff>466725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76200</xdr:rowOff>
        </xdr:from>
        <xdr:to>
          <xdr:col>0</xdr:col>
          <xdr:colOff>504825</xdr:colOff>
          <xdr:row>30</xdr:row>
          <xdr:rowOff>466725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76200</xdr:rowOff>
        </xdr:from>
        <xdr:to>
          <xdr:col>0</xdr:col>
          <xdr:colOff>504825</xdr:colOff>
          <xdr:row>22</xdr:row>
          <xdr:rowOff>466725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solidFill>
              <a:srgbClr val="DEE6F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28575</xdr:rowOff>
    </xdr:from>
    <xdr:to>
      <xdr:col>1</xdr:col>
      <xdr:colOff>819150</xdr:colOff>
      <xdr:row>2</xdr:row>
      <xdr:rowOff>247650</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28575"/>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381000</xdr:colOff>
      <xdr:row>0</xdr:row>
      <xdr:rowOff>174069</xdr:rowOff>
    </xdr:from>
    <xdr:to>
      <xdr:col>12</xdr:col>
      <xdr:colOff>590550</xdr:colOff>
      <xdr:row>2</xdr:row>
      <xdr:rowOff>266700</xdr:rowOff>
    </xdr:to>
    <xdr:pic>
      <xdr:nvPicPr>
        <xdr:cNvPr id="4" name="Imagen 3"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20125" y="174069"/>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76199</xdr:colOff>
      <xdr:row>7</xdr:row>
      <xdr:rowOff>9530</xdr:rowOff>
    </xdr:from>
    <xdr:to>
      <xdr:col>10</xdr:col>
      <xdr:colOff>876300</xdr:colOff>
      <xdr:row>18</xdr:row>
      <xdr:rowOff>171449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1876425</xdr:colOff>
      <xdr:row>0</xdr:row>
      <xdr:rowOff>38100</xdr:rowOff>
    </xdr:from>
    <xdr:to>
      <xdr:col>6</xdr:col>
      <xdr:colOff>2647950</xdr:colOff>
      <xdr:row>3</xdr:row>
      <xdr:rowOff>25956</xdr:rowOff>
    </xdr:to>
    <xdr:pic>
      <xdr:nvPicPr>
        <xdr:cNvPr id="6" name="Imagen 5"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57950" y="38100"/>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76199</xdr:colOff>
      <xdr:row>7</xdr:row>
      <xdr:rowOff>9530</xdr:rowOff>
    </xdr:from>
    <xdr:to>
      <xdr:col>11</xdr:col>
      <xdr:colOff>428625</xdr:colOff>
      <xdr:row>13</xdr:row>
      <xdr:rowOff>428625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1876425</xdr:colOff>
      <xdr:row>0</xdr:row>
      <xdr:rowOff>38100</xdr:rowOff>
    </xdr:from>
    <xdr:to>
      <xdr:col>6</xdr:col>
      <xdr:colOff>2647950</xdr:colOff>
      <xdr:row>3</xdr:row>
      <xdr:rowOff>25956</xdr:rowOff>
    </xdr:to>
    <xdr:pic>
      <xdr:nvPicPr>
        <xdr:cNvPr id="5" name="Imagen 4"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57950" y="38100"/>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76199</xdr:colOff>
      <xdr:row>7</xdr:row>
      <xdr:rowOff>19055</xdr:rowOff>
    </xdr:from>
    <xdr:to>
      <xdr:col>10</xdr:col>
      <xdr:colOff>962025</xdr:colOff>
      <xdr:row>18</xdr:row>
      <xdr:rowOff>66674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1847850</xdr:colOff>
      <xdr:row>0</xdr:row>
      <xdr:rowOff>28575</xdr:rowOff>
    </xdr:from>
    <xdr:to>
      <xdr:col>6</xdr:col>
      <xdr:colOff>2619375</xdr:colOff>
      <xdr:row>3</xdr:row>
      <xdr:rowOff>16431</xdr:rowOff>
    </xdr:to>
    <xdr:pic>
      <xdr:nvPicPr>
        <xdr:cNvPr id="5" name="Imagen 4"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3150"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1</xdr:col>
      <xdr:colOff>828675</xdr:colOff>
      <xdr:row>2</xdr:row>
      <xdr:rowOff>175708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76200</xdr:colOff>
      <xdr:row>7</xdr:row>
      <xdr:rowOff>9530</xdr:rowOff>
    </xdr:from>
    <xdr:to>
      <xdr:col>10</xdr:col>
      <xdr:colOff>981075</xdr:colOff>
      <xdr:row>13</xdr:row>
      <xdr:rowOff>485774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1876425</xdr:colOff>
      <xdr:row>0</xdr:row>
      <xdr:rowOff>38100</xdr:rowOff>
    </xdr:from>
    <xdr:to>
      <xdr:col>6</xdr:col>
      <xdr:colOff>2647950</xdr:colOff>
      <xdr:row>3</xdr:row>
      <xdr:rowOff>25956</xdr:rowOff>
    </xdr:to>
    <xdr:pic>
      <xdr:nvPicPr>
        <xdr:cNvPr id="5" name="Imagen 4" descr="http://www.libertadyprogresonline.org/wp-content/uploads/2014/08/estad%C3%ADsticas.jp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57950" y="38100"/>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1190625</xdr:colOff>
      <xdr:row>0</xdr:row>
      <xdr:rowOff>0</xdr:rowOff>
    </xdr:from>
    <xdr:to>
      <xdr:col>1</xdr:col>
      <xdr:colOff>133350</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0"/>
          <a:ext cx="590550"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12</xdr:row>
      <xdr:rowOff>38100</xdr:rowOff>
    </xdr:from>
    <xdr:to>
      <xdr:col>1</xdr:col>
      <xdr:colOff>370276</xdr:colOff>
      <xdr:row>21</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409573</xdr:colOff>
      <xdr:row>12</xdr:row>
      <xdr:rowOff>38100</xdr:rowOff>
    </xdr:from>
    <xdr:to>
      <xdr:col>5</xdr:col>
      <xdr:colOff>27373</xdr:colOff>
      <xdr:row>21</xdr:row>
      <xdr:rowOff>152400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85725</xdr:colOff>
      <xdr:row>12</xdr:row>
      <xdr:rowOff>47625</xdr:rowOff>
    </xdr:from>
    <xdr:to>
      <xdr:col>19</xdr:col>
      <xdr:colOff>255975</xdr:colOff>
      <xdr:row>21</xdr:row>
      <xdr:rowOff>161925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285749</xdr:colOff>
      <xdr:row>12</xdr:row>
      <xdr:rowOff>47625</xdr:rowOff>
    </xdr:from>
    <xdr:to>
      <xdr:col>22</xdr:col>
      <xdr:colOff>1408499</xdr:colOff>
      <xdr:row>21</xdr:row>
      <xdr:rowOff>161925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9526</xdr:colOff>
      <xdr:row>7</xdr:row>
      <xdr:rowOff>38100</xdr:rowOff>
    </xdr:from>
    <xdr:to>
      <xdr:col>23</xdr:col>
      <xdr:colOff>1857375</xdr:colOff>
      <xdr:row>11</xdr:row>
      <xdr:rowOff>161925</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22</xdr:col>
      <xdr:colOff>695325</xdr:colOff>
      <xdr:row>0</xdr:row>
      <xdr:rowOff>47625</xdr:rowOff>
    </xdr:from>
    <xdr:to>
      <xdr:col>22</xdr:col>
      <xdr:colOff>1466850</xdr:colOff>
      <xdr:row>3</xdr:row>
      <xdr:rowOff>35481</xdr:rowOff>
    </xdr:to>
    <xdr:pic>
      <xdr:nvPicPr>
        <xdr:cNvPr id="9" name="Imagen 8" descr="http://www.libertadyprogresonline.org/wp-content/uploads/2014/08/estad%C3%ADsticas.jpg">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7245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12</xdr:row>
      <xdr:rowOff>38100</xdr:rowOff>
    </xdr:from>
    <xdr:to>
      <xdr:col>11</xdr:col>
      <xdr:colOff>313125</xdr:colOff>
      <xdr:row>21</xdr:row>
      <xdr:rowOff>152400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1447800</xdr:colOff>
      <xdr:row>12</xdr:row>
      <xdr:rowOff>38100</xdr:rowOff>
    </xdr:from>
    <xdr:to>
      <xdr:col>23</xdr:col>
      <xdr:colOff>1856175</xdr:colOff>
      <xdr:row>21</xdr:row>
      <xdr:rowOff>152400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1190625</xdr:colOff>
      <xdr:row>0</xdr:row>
      <xdr:rowOff>0</xdr:rowOff>
    </xdr:from>
    <xdr:to>
      <xdr:col>1</xdr:col>
      <xdr:colOff>133350</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0"/>
          <a:ext cx="590550"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12</xdr:row>
      <xdr:rowOff>38100</xdr:rowOff>
    </xdr:from>
    <xdr:to>
      <xdr:col>1</xdr:col>
      <xdr:colOff>370276</xdr:colOff>
      <xdr:row>21</xdr:row>
      <xdr:rowOff>152400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409573</xdr:colOff>
      <xdr:row>12</xdr:row>
      <xdr:rowOff>38100</xdr:rowOff>
    </xdr:from>
    <xdr:to>
      <xdr:col>5</xdr:col>
      <xdr:colOff>27373</xdr:colOff>
      <xdr:row>21</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85725</xdr:colOff>
      <xdr:row>12</xdr:row>
      <xdr:rowOff>47625</xdr:rowOff>
    </xdr:from>
    <xdr:to>
      <xdr:col>19</xdr:col>
      <xdr:colOff>255975</xdr:colOff>
      <xdr:row>21</xdr:row>
      <xdr:rowOff>161925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285749</xdr:colOff>
      <xdr:row>12</xdr:row>
      <xdr:rowOff>47625</xdr:rowOff>
    </xdr:from>
    <xdr:to>
      <xdr:col>22</xdr:col>
      <xdr:colOff>1408499</xdr:colOff>
      <xdr:row>21</xdr:row>
      <xdr:rowOff>161925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9526</xdr:colOff>
      <xdr:row>7</xdr:row>
      <xdr:rowOff>38100</xdr:rowOff>
    </xdr:from>
    <xdr:to>
      <xdr:col>23</xdr:col>
      <xdr:colOff>1857375</xdr:colOff>
      <xdr:row>11</xdr:row>
      <xdr:rowOff>161925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22</xdr:col>
      <xdr:colOff>695325</xdr:colOff>
      <xdr:row>0</xdr:row>
      <xdr:rowOff>47625</xdr:rowOff>
    </xdr:from>
    <xdr:to>
      <xdr:col>22</xdr:col>
      <xdr:colOff>1466850</xdr:colOff>
      <xdr:row>3</xdr:row>
      <xdr:rowOff>35481</xdr:rowOff>
    </xdr:to>
    <xdr:pic>
      <xdr:nvPicPr>
        <xdr:cNvPr id="8" name="Imagen 7" descr="http://www.libertadyprogresonline.org/wp-content/uploads/2014/08/estad%C3%ADsticas.jpg">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4405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12</xdr:row>
      <xdr:rowOff>38100</xdr:rowOff>
    </xdr:from>
    <xdr:to>
      <xdr:col>11</xdr:col>
      <xdr:colOff>313125</xdr:colOff>
      <xdr:row>21</xdr:row>
      <xdr:rowOff>152400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1447800</xdr:colOff>
      <xdr:row>12</xdr:row>
      <xdr:rowOff>38100</xdr:rowOff>
    </xdr:from>
    <xdr:to>
      <xdr:col>23</xdr:col>
      <xdr:colOff>1856175</xdr:colOff>
      <xdr:row>21</xdr:row>
      <xdr:rowOff>152400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552450</xdr:colOff>
      <xdr:row>0</xdr:row>
      <xdr:rowOff>0</xdr:rowOff>
    </xdr:from>
    <xdr:to>
      <xdr:col>0</xdr:col>
      <xdr:colOff>1228725</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0"/>
          <a:ext cx="67627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771525</xdr:colOff>
      <xdr:row>0</xdr:row>
      <xdr:rowOff>47625</xdr:rowOff>
    </xdr:from>
    <xdr:to>
      <xdr:col>13</xdr:col>
      <xdr:colOff>1543050</xdr:colOff>
      <xdr:row>3</xdr:row>
      <xdr:rowOff>35481</xdr:rowOff>
    </xdr:to>
    <xdr:pic>
      <xdr:nvPicPr>
        <xdr:cNvPr id="3" name="Imagen 2"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0580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28574</xdr:colOff>
      <xdr:row>7</xdr:row>
      <xdr:rowOff>266700</xdr:rowOff>
    </xdr:from>
    <xdr:to>
      <xdr:col>18</xdr:col>
      <xdr:colOff>971549</xdr:colOff>
      <xdr:row>13</xdr:row>
      <xdr:rowOff>180974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552450</xdr:colOff>
      <xdr:row>0</xdr:row>
      <xdr:rowOff>0</xdr:rowOff>
    </xdr:from>
    <xdr:to>
      <xdr:col>0</xdr:col>
      <xdr:colOff>1228725</xdr:colOff>
      <xdr:row>2</xdr:row>
      <xdr:rowOff>175708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0"/>
          <a:ext cx="67627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771525</xdr:colOff>
      <xdr:row>0</xdr:row>
      <xdr:rowOff>47625</xdr:rowOff>
    </xdr:from>
    <xdr:to>
      <xdr:col>13</xdr:col>
      <xdr:colOff>1543050</xdr:colOff>
      <xdr:row>3</xdr:row>
      <xdr:rowOff>35481</xdr:rowOff>
    </xdr:to>
    <xdr:pic>
      <xdr:nvPicPr>
        <xdr:cNvPr id="3" name="Imagen 2"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05800" y="4762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9524</xdr:colOff>
      <xdr:row>7</xdr:row>
      <xdr:rowOff>57150</xdr:rowOff>
    </xdr:from>
    <xdr:to>
      <xdr:col>18</xdr:col>
      <xdr:colOff>952499</xdr:colOff>
      <xdr:row>12</xdr:row>
      <xdr:rowOff>142874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904875</xdr:colOff>
      <xdr:row>0</xdr:row>
      <xdr:rowOff>19050</xdr:rowOff>
    </xdr:from>
    <xdr:to>
      <xdr:col>1</xdr:col>
      <xdr:colOff>304800</xdr:colOff>
      <xdr:row>3</xdr:row>
      <xdr:rowOff>4258</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1905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1847850</xdr:colOff>
      <xdr:row>0</xdr:row>
      <xdr:rowOff>28575</xdr:rowOff>
    </xdr:from>
    <xdr:to>
      <xdr:col>6</xdr:col>
      <xdr:colOff>2619375</xdr:colOff>
      <xdr:row>3</xdr:row>
      <xdr:rowOff>16431</xdr:rowOff>
    </xdr:to>
    <xdr:pic>
      <xdr:nvPicPr>
        <xdr:cNvPr id="5" name="Imagen 4"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3150"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7</xdr:row>
      <xdr:rowOff>38100</xdr:rowOff>
    </xdr:from>
    <xdr:to>
      <xdr:col>7</xdr:col>
      <xdr:colOff>2085975</xdr:colOff>
      <xdr:row>29</xdr:row>
      <xdr:rowOff>133350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20</xdr:row>
      <xdr:rowOff>57150</xdr:rowOff>
    </xdr:from>
    <xdr:to>
      <xdr:col>2</xdr:col>
      <xdr:colOff>276225</xdr:colOff>
      <xdr:row>29</xdr:row>
      <xdr:rowOff>152400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371476</xdr:colOff>
      <xdr:row>20</xdr:row>
      <xdr:rowOff>57150</xdr:rowOff>
    </xdr:from>
    <xdr:to>
      <xdr:col>5</xdr:col>
      <xdr:colOff>1428751</xdr:colOff>
      <xdr:row>29</xdr:row>
      <xdr:rowOff>152400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923984</xdr:colOff>
      <xdr:row>3</xdr:row>
      <xdr:rowOff>50492</xdr:rowOff>
    </xdr:from>
    <xdr:to>
      <xdr:col>3</xdr:col>
      <xdr:colOff>1268749</xdr:colOff>
      <xdr:row>5</xdr:row>
      <xdr:rowOff>4983</xdr:rowOff>
    </xdr:to>
    <xdr:sp macro="" textlink="">
      <xdr:nvSpPr>
        <xdr:cNvPr id="3" name="2 Anillo" descr="Ayuda">
          <a:hlinkClick xmlns:r="http://schemas.openxmlformats.org/officeDocument/2006/relationships" r:id="rId1"/>
        </xdr:cNvPr>
        <xdr:cNvSpPr/>
      </xdr:nvSpPr>
      <xdr:spPr>
        <a:xfrm>
          <a:off x="7771401" y="844242"/>
          <a:ext cx="344765" cy="314324"/>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0</xdr:col>
      <xdr:colOff>1206502</xdr:colOff>
      <xdr:row>0</xdr:row>
      <xdr:rowOff>63500</xdr:rowOff>
    </xdr:from>
    <xdr:to>
      <xdr:col>0</xdr:col>
      <xdr:colOff>1989668</xdr:colOff>
      <xdr:row>2</xdr:row>
      <xdr:rowOff>232833</xdr:rowOff>
    </xdr:to>
    <xdr:pic>
      <xdr:nvPicPr>
        <xdr:cNvPr id="4"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2" y="63500"/>
          <a:ext cx="783166"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1047750</xdr:colOff>
      <xdr:row>35</xdr:row>
      <xdr:rowOff>867833</xdr:rowOff>
    </xdr:from>
    <xdr:to>
      <xdr:col>3</xdr:col>
      <xdr:colOff>1392515</xdr:colOff>
      <xdr:row>36</xdr:row>
      <xdr:rowOff>303741</xdr:rowOff>
    </xdr:to>
    <xdr:sp macro="" textlink="">
      <xdr:nvSpPr>
        <xdr:cNvPr id="6" name="2 Anillo" descr="Ayuda">
          <a:hlinkClick xmlns:r="http://schemas.openxmlformats.org/officeDocument/2006/relationships" r:id="rId1"/>
        </xdr:cNvPr>
        <xdr:cNvSpPr/>
      </xdr:nvSpPr>
      <xdr:spPr>
        <a:xfrm>
          <a:off x="7895167" y="26701750"/>
          <a:ext cx="344765" cy="314324"/>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904875</xdr:colOff>
      <xdr:row>0</xdr:row>
      <xdr:rowOff>19050</xdr:rowOff>
    </xdr:from>
    <xdr:to>
      <xdr:col>1</xdr:col>
      <xdr:colOff>304800</xdr:colOff>
      <xdr:row>3</xdr:row>
      <xdr:rowOff>4258</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1905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1847850</xdr:colOff>
      <xdr:row>0</xdr:row>
      <xdr:rowOff>28575</xdr:rowOff>
    </xdr:from>
    <xdr:to>
      <xdr:col>6</xdr:col>
      <xdr:colOff>2619375</xdr:colOff>
      <xdr:row>3</xdr:row>
      <xdr:rowOff>16431</xdr:rowOff>
    </xdr:to>
    <xdr:pic>
      <xdr:nvPicPr>
        <xdr:cNvPr id="3" name="Imagen 2"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7</xdr:row>
      <xdr:rowOff>38100</xdr:rowOff>
    </xdr:from>
    <xdr:to>
      <xdr:col>7</xdr:col>
      <xdr:colOff>2085975</xdr:colOff>
      <xdr:row>24</xdr:row>
      <xdr:rowOff>133350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15</xdr:row>
      <xdr:rowOff>57150</xdr:rowOff>
    </xdr:from>
    <xdr:to>
      <xdr:col>2</xdr:col>
      <xdr:colOff>276225</xdr:colOff>
      <xdr:row>24</xdr:row>
      <xdr:rowOff>152400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371476</xdr:colOff>
      <xdr:row>15</xdr:row>
      <xdr:rowOff>57150</xdr:rowOff>
    </xdr:from>
    <xdr:to>
      <xdr:col>5</xdr:col>
      <xdr:colOff>1428751</xdr:colOff>
      <xdr:row>24</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1847850</xdr:colOff>
      <xdr:row>0</xdr:row>
      <xdr:rowOff>28575</xdr:rowOff>
    </xdr:from>
    <xdr:to>
      <xdr:col>6</xdr:col>
      <xdr:colOff>2619375</xdr:colOff>
      <xdr:row>3</xdr:row>
      <xdr:rowOff>16431</xdr:rowOff>
    </xdr:to>
    <xdr:pic>
      <xdr:nvPicPr>
        <xdr:cNvPr id="3" name="Imagen 2" descr="http://www.libertadyprogresonline.org/wp-content/uploads/2014/08/estad%C3%ADsticas.jpg">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28575"/>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1371601</xdr:colOff>
      <xdr:row>14</xdr:row>
      <xdr:rowOff>38100</xdr:rowOff>
    </xdr:from>
    <xdr:to>
      <xdr:col>7</xdr:col>
      <xdr:colOff>1914526</xdr:colOff>
      <xdr:row>23</xdr:row>
      <xdr:rowOff>152400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923925</xdr:colOff>
      <xdr:row>0</xdr:row>
      <xdr:rowOff>0</xdr:rowOff>
    </xdr:from>
    <xdr:to>
      <xdr:col>0</xdr:col>
      <xdr:colOff>1581150</xdr:colOff>
      <xdr:row>2</xdr:row>
      <xdr:rowOff>175708</xdr:rowOff>
    </xdr:to>
    <xdr:pic>
      <xdr:nvPicPr>
        <xdr:cNvPr id="7" name="Imagen 6" descr="escud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5" y="0"/>
          <a:ext cx="657225" cy="556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14</xdr:row>
      <xdr:rowOff>38100</xdr:rowOff>
    </xdr:from>
    <xdr:to>
      <xdr:col>3</xdr:col>
      <xdr:colOff>295275</xdr:colOff>
      <xdr:row>23</xdr:row>
      <xdr:rowOff>152400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552450</xdr:colOff>
      <xdr:row>14</xdr:row>
      <xdr:rowOff>47625</xdr:rowOff>
    </xdr:from>
    <xdr:to>
      <xdr:col>6</xdr:col>
      <xdr:colOff>1123950</xdr:colOff>
      <xdr:row>23</xdr:row>
      <xdr:rowOff>161925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38100</xdr:colOff>
      <xdr:row>7</xdr:row>
      <xdr:rowOff>47625</xdr:rowOff>
    </xdr:from>
    <xdr:to>
      <xdr:col>6</xdr:col>
      <xdr:colOff>2369820</xdr:colOff>
      <xdr:row>13</xdr:row>
      <xdr:rowOff>228600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2419350</xdr:colOff>
      <xdr:row>7</xdr:row>
      <xdr:rowOff>47625</xdr:rowOff>
    </xdr:from>
    <xdr:to>
      <xdr:col>7</xdr:col>
      <xdr:colOff>2093595</xdr:colOff>
      <xdr:row>13</xdr:row>
      <xdr:rowOff>228600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1</xdr:col>
      <xdr:colOff>228599</xdr:colOff>
      <xdr:row>42</xdr:row>
      <xdr:rowOff>15088</xdr:rowOff>
    </xdr:from>
    <xdr:ext cx="5591176" cy="11624462"/>
    <xdr:sp macro="" textlink="">
      <xdr:nvSpPr>
        <xdr:cNvPr id="17" name="16 CuadroTexto"/>
        <xdr:cNvSpPr txBox="1"/>
      </xdr:nvSpPr>
      <xdr:spPr>
        <a:xfrm>
          <a:off x="3971924" y="9378163"/>
          <a:ext cx="5591176" cy="11624462"/>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100" b="1" baseline="0">
              <a:solidFill>
                <a:srgbClr val="C00000"/>
              </a:solidFill>
              <a:latin typeface="+mn-lt"/>
              <a:ea typeface="+mn-ea"/>
              <a:cs typeface="+mn-cs"/>
            </a:rPr>
            <a:t>Posibles Riesgo de CORRUPCIÓN:</a:t>
          </a:r>
          <a:endParaRPr lang="es-CO" sz="1100" b="1">
            <a:solidFill>
              <a:srgbClr val="C00000"/>
            </a:solidFill>
            <a:latin typeface="+mn-lt"/>
            <a:ea typeface="+mn-ea"/>
            <a:cs typeface="+mn-cs"/>
          </a:endParaRPr>
        </a:p>
        <a:p>
          <a:pPr lvl="0"/>
          <a:endParaRPr lang="es-ES" sz="800" i="1">
            <a:solidFill>
              <a:schemeClr val="dk1"/>
            </a:solidFill>
            <a:latin typeface="+mn-lt"/>
            <a:ea typeface="+mn-ea"/>
            <a:cs typeface="+mn-cs"/>
          </a:endParaRPr>
        </a:p>
        <a:p>
          <a:pPr lvl="0"/>
          <a:r>
            <a:rPr lang="es-CO" b="1" i="1"/>
            <a:t>*</a:t>
          </a:r>
          <a:r>
            <a:rPr lang="es-CO" b="1" i="1" baseline="0"/>
            <a:t> </a:t>
          </a:r>
          <a:r>
            <a:rPr lang="es-CO" b="1" i="1"/>
            <a:t>Alta Dirección. </a:t>
          </a:r>
        </a:p>
        <a:p>
          <a:pPr lvl="0"/>
          <a:r>
            <a:rPr lang="es-CO"/>
            <a:t>+ Concentración de autoridad o exceso de poder</a:t>
          </a:r>
        </a:p>
        <a:p>
          <a:pPr lvl="0"/>
          <a:r>
            <a:rPr lang="es-CO"/>
            <a:t>+ Extralimitación de funciones</a:t>
          </a:r>
        </a:p>
        <a:p>
          <a:pPr lvl="0"/>
          <a:r>
            <a:rPr lang="es-CO"/>
            <a:t>+ Ausencia de canales de comunicación</a:t>
          </a:r>
        </a:p>
        <a:p>
          <a:pPr lvl="0"/>
          <a:r>
            <a:rPr lang="es-CO"/>
            <a:t>+ Amiguismo y clientelismo</a:t>
          </a:r>
        </a:p>
        <a:p>
          <a:pPr lvl="0"/>
          <a:endParaRPr lang="es-CO"/>
        </a:p>
        <a:p>
          <a:pPr lvl="0"/>
          <a:r>
            <a:rPr lang="es-CO" b="1"/>
            <a:t>* </a:t>
          </a:r>
          <a:r>
            <a:rPr lang="es-CO" b="1" i="1"/>
            <a:t>Financieros </a:t>
          </a:r>
        </a:p>
        <a:p>
          <a:pPr lvl="0"/>
          <a:r>
            <a:rPr lang="es-CO"/>
            <a:t>+ Inclusión de gastos no autorizados</a:t>
          </a:r>
        </a:p>
        <a:p>
          <a:pPr lvl="0"/>
          <a:r>
            <a:rPr lang="es-CO"/>
            <a:t>+ Inversiones de dineros públicos en entidades de dudosa solidez financiera, a cambio de beneficios indebidos para servidores públicos encargados de su administración</a:t>
          </a:r>
        </a:p>
        <a:p>
          <a:pPr lvl="0"/>
          <a:r>
            <a:rPr lang="es-CO"/>
            <a:t>+ Inexistencia de registros auxiliares que permitan identificar y controlar los rubros de inversión</a:t>
          </a:r>
        </a:p>
        <a:p>
          <a:pPr lvl="0"/>
          <a:r>
            <a:rPr lang="es-CO"/>
            <a:t>+ Archivos contables con vacíos de información</a:t>
          </a:r>
        </a:p>
        <a:p>
          <a:pPr lvl="0"/>
          <a:r>
            <a:rPr lang="es-CO"/>
            <a:t>+ Afectar rubros que no corresponden con el objeto del gasto en beneficio propio o a cambio de una retribución económica</a:t>
          </a:r>
        </a:p>
        <a:p>
          <a:pPr lvl="0"/>
          <a:endParaRPr lang="es-CO"/>
        </a:p>
        <a:p>
          <a:pPr lvl="0"/>
          <a:r>
            <a:rPr lang="es-CO" b="1" i="1"/>
            <a:t>* De contratación </a:t>
          </a:r>
        </a:p>
        <a:p>
          <a:pPr lvl="0"/>
          <a:r>
            <a:rPr lang="es-CO" i="1"/>
            <a:t>+ </a:t>
          </a:r>
          <a:r>
            <a:rPr lang="es-CO"/>
            <a:t>Estudios previos o de factibilidad superficiales</a:t>
          </a:r>
        </a:p>
        <a:p>
          <a:pPr lvl="0"/>
          <a:r>
            <a:rPr lang="es-CO"/>
            <a:t>+ Estudios previos o de factibilidad manipulados por personal interesado en el futuro proceso de contratación (Estableciendo necesidades inexistentes o aspectos que benefician a una firma en particular)</a:t>
          </a:r>
        </a:p>
        <a:p>
          <a:pPr lvl="0"/>
          <a:r>
            <a:rPr lang="es-CO"/>
            <a:t>+ Pliegos de condiciones hechos a la medida de una firma en particular</a:t>
          </a:r>
        </a:p>
        <a:p>
          <a:pPr lvl="0"/>
          <a:r>
            <a:rPr lang="es-CO"/>
            <a:t>+ Disposiciones establecidas en los pliegos de condiciones que permiten a los participantes direccionar los procesos hacia un grupo en particular, como la media geométrica</a:t>
          </a:r>
        </a:p>
        <a:p>
          <a:pPr lvl="0"/>
          <a:r>
            <a:rPr lang="es-CO"/>
            <a:t>+  Restricción de la participación a través de visitas obligatorias innecesarias, establecidas en el pliego de condiciones</a:t>
          </a:r>
        </a:p>
        <a:p>
          <a:pPr lvl="0"/>
          <a:r>
            <a:rPr lang="es-CO"/>
            <a:t>+</a:t>
          </a:r>
          <a:r>
            <a:rPr lang="es-CO" baseline="0"/>
            <a:t> </a:t>
          </a:r>
          <a:r>
            <a:rPr lang="es-CO"/>
            <a:t>Adendas que cambian condiciones generales del proceso para favorecer a grupos determinados</a:t>
          </a:r>
        </a:p>
        <a:p>
          <a:pPr lvl="0"/>
          <a:r>
            <a:rPr lang="es-CO"/>
            <a:t>+ Urgencia manifiesta inexistente</a:t>
          </a:r>
        </a:p>
        <a:p>
          <a:pPr lvl="0"/>
          <a:r>
            <a:rPr lang="es-CO"/>
            <a:t>+</a:t>
          </a:r>
          <a:r>
            <a:rPr lang="es-CO" baseline="0"/>
            <a:t> </a:t>
          </a:r>
          <a:r>
            <a:rPr lang="es-CO"/>
            <a:t>Designar supervisores que no cuentan con conocimientos suficientes para desempeñar la función</a:t>
          </a:r>
        </a:p>
        <a:p>
          <a:pPr lvl="0"/>
          <a:r>
            <a:rPr lang="es-CO"/>
            <a:t>+ Concentrar las labores de supervisión de múltiples contratos en poco personal</a:t>
          </a:r>
        </a:p>
        <a:p>
          <a:pPr lvl="0"/>
          <a:r>
            <a:rPr lang="es-CO"/>
            <a:t>+ Contratar con compañías de papel, las cuales son especialmente creadas para participar procesos específicos, que no cuentan con experiencia, pero si con músculo financiero</a:t>
          </a:r>
        </a:p>
        <a:p>
          <a:pPr lvl="0"/>
          <a:endParaRPr lang="es-CO"/>
        </a:p>
        <a:p>
          <a:pPr lvl="0"/>
          <a:r>
            <a:rPr lang="es-CO" b="1" i="1"/>
            <a:t>* De información y documentación</a:t>
          </a:r>
        </a:p>
        <a:p>
          <a:pPr lvl="0"/>
          <a:r>
            <a:rPr lang="es-CO" i="0"/>
            <a:t>+</a:t>
          </a:r>
          <a:r>
            <a:rPr lang="es-CO"/>
            <a:t> Concentración de información de determinadas actividades o procesos en una persona</a:t>
          </a:r>
        </a:p>
        <a:p>
          <a:pPr lvl="0"/>
          <a:r>
            <a:rPr lang="es-CO"/>
            <a:t>+ Sistemas de información susceptibles de manipulación o adulteración</a:t>
          </a:r>
        </a:p>
        <a:p>
          <a:pPr lvl="0"/>
          <a:r>
            <a:rPr lang="es-CO"/>
            <a:t>+ Ocultar a la ciudadanía la información considerada pública</a:t>
          </a:r>
        </a:p>
        <a:p>
          <a:pPr lvl="0"/>
          <a:r>
            <a:rPr lang="es-CO"/>
            <a:t>+</a:t>
          </a:r>
          <a:r>
            <a:rPr lang="es-CO" baseline="0"/>
            <a:t> </a:t>
          </a:r>
          <a:r>
            <a:rPr lang="es-CO"/>
            <a:t>Deficiencias en el manejo documental y de archivo</a:t>
          </a:r>
        </a:p>
        <a:p>
          <a:pPr lvl="0"/>
          <a:endParaRPr lang="es-CO" sz="1100" baseline="0">
            <a:solidFill>
              <a:schemeClr val="dk1"/>
            </a:solidFill>
            <a:latin typeface="+mn-lt"/>
            <a:ea typeface="+mn-ea"/>
            <a:cs typeface="+mn-cs"/>
          </a:endParaRPr>
        </a:p>
        <a:p>
          <a:pPr lvl="0"/>
          <a:r>
            <a:rPr lang="es-CO" b="1"/>
            <a:t>* </a:t>
          </a:r>
          <a:r>
            <a:rPr lang="es-CO" b="1" i="1"/>
            <a:t>De investigación y sanción</a:t>
          </a:r>
          <a:r>
            <a:rPr lang="es-CO" b="1"/>
            <a:t> </a:t>
          </a:r>
        </a:p>
        <a:p>
          <a:pPr lvl="0"/>
          <a:r>
            <a:rPr lang="es-CO"/>
            <a:t>+ Fallos amañados</a:t>
          </a:r>
        </a:p>
        <a:p>
          <a:pPr lvl="0"/>
          <a:r>
            <a:rPr lang="es-CO"/>
            <a:t>+ Dilatación de los procesos con el propósito de obtener el vencimiento de términos o la prescripción del mismo</a:t>
          </a:r>
        </a:p>
        <a:p>
          <a:pPr lvl="0"/>
          <a:r>
            <a:rPr lang="es-CO"/>
            <a:t>+ Desconocimiento de la ley, mediante interpretaciones subjetivas de las normas vigentes para evitar o postergar su aplicación</a:t>
          </a:r>
        </a:p>
        <a:p>
          <a:pPr lvl="0"/>
          <a:r>
            <a:rPr lang="es-CO"/>
            <a:t>+ Exceder las facultades legales en los fallos</a:t>
          </a:r>
        </a:p>
        <a:p>
          <a:pPr lvl="0"/>
          <a:r>
            <a:rPr lang="es-CO"/>
            <a:t>+ Soborno (Cohecho)</a:t>
          </a:r>
        </a:p>
        <a:p>
          <a:pPr lvl="0"/>
          <a:endParaRPr lang="es-CO"/>
        </a:p>
        <a:p>
          <a:pPr lvl="0"/>
          <a:r>
            <a:rPr lang="es-CO" b="1"/>
            <a:t>* </a:t>
          </a:r>
          <a:r>
            <a:rPr lang="es-CO" b="1" i="1"/>
            <a:t>De actividades regulatorias</a:t>
          </a:r>
          <a:r>
            <a:rPr lang="es-CO" b="1"/>
            <a:t> </a:t>
          </a:r>
        </a:p>
        <a:p>
          <a:pPr lvl="0"/>
          <a:r>
            <a:rPr lang="es-CO"/>
            <a:t>+ Decisiones ajustadas a intereses particulares</a:t>
          </a:r>
        </a:p>
        <a:p>
          <a:pPr lvl="0"/>
          <a:r>
            <a:rPr lang="es-CO"/>
            <a:t>+ Tráfico de influencias, (amiguismo, persona influyente)</a:t>
          </a:r>
        </a:p>
        <a:p>
          <a:pPr lvl="0"/>
          <a:r>
            <a:rPr lang="es-CO"/>
            <a:t>+ Soborno (Cohecho)</a:t>
          </a:r>
        </a:p>
        <a:p>
          <a:pPr lvl="0"/>
          <a:endParaRPr lang="es-CO"/>
        </a:p>
        <a:p>
          <a:pPr lvl="0"/>
          <a:r>
            <a:rPr lang="es-CO" b="1"/>
            <a:t>* </a:t>
          </a:r>
          <a:r>
            <a:rPr lang="es-CO" b="1" i="1"/>
            <a:t>De trámites y/o servicios internos y externos</a:t>
          </a:r>
          <a:r>
            <a:rPr lang="es-CO" b="1"/>
            <a:t> </a:t>
          </a:r>
        </a:p>
        <a:p>
          <a:pPr lvl="0"/>
          <a:r>
            <a:rPr lang="es-CO"/>
            <a:t>+ Cobro por realización del trámite, (Concusión)</a:t>
          </a:r>
        </a:p>
        <a:p>
          <a:pPr lvl="0"/>
          <a:r>
            <a:rPr lang="es-CO"/>
            <a:t>+ Tráfico de influencias, (amiguismo, persona influyente)</a:t>
          </a:r>
        </a:p>
        <a:p>
          <a:pPr lvl="0"/>
          <a:r>
            <a:rPr lang="es-CO"/>
            <a:t>+ Falta de información sobre el estado del proceso del trámite al interior de la entidad</a:t>
          </a:r>
        </a:p>
        <a:p>
          <a:pPr lvl="0"/>
          <a:endParaRPr lang="es-CO" sz="1100" baseline="0">
            <a:solidFill>
              <a:schemeClr val="dk1"/>
            </a:solidFill>
            <a:latin typeface="+mn-lt"/>
            <a:ea typeface="+mn-ea"/>
            <a:cs typeface="+mn-cs"/>
          </a:endParaRPr>
        </a:p>
        <a:p>
          <a:pPr lvl="0"/>
          <a:r>
            <a:rPr lang="es-CO" sz="1100" b="1" baseline="0">
              <a:solidFill>
                <a:schemeClr val="dk1"/>
              </a:solidFill>
              <a:latin typeface="+mn-lt"/>
              <a:ea typeface="+mn-ea"/>
              <a:cs typeface="+mn-cs"/>
            </a:rPr>
            <a:t>* </a:t>
          </a:r>
          <a:r>
            <a:rPr lang="es-CO" b="1" i="1"/>
            <a:t>De reconocimiento de un derecho</a:t>
          </a:r>
        </a:p>
        <a:p>
          <a:pPr lvl="0"/>
          <a:r>
            <a:rPr lang="es-CO" sz="1100" baseline="0">
              <a:solidFill>
                <a:schemeClr val="dk1"/>
              </a:solidFill>
              <a:latin typeface="+mn-lt"/>
              <a:ea typeface="+mn-ea"/>
              <a:cs typeface="+mn-cs"/>
            </a:rPr>
            <a:t>+ </a:t>
          </a:r>
          <a:r>
            <a:rPr lang="es-CO"/>
            <a:t>Cobrar por el trámite, (Concusión)</a:t>
          </a:r>
        </a:p>
        <a:p>
          <a:pPr lvl="0"/>
          <a:r>
            <a:rPr lang="es-CO"/>
            <a:t>+ Imposibilitar el otorgamiento de diploma</a:t>
          </a:r>
        </a:p>
        <a:p>
          <a:pPr lvl="0"/>
          <a:r>
            <a:rPr lang="es-CO"/>
            <a:t>+ Ofrecer beneficios económicos para acelerar la expedición de diploma o para su obtención sin el cumplimiento de todos los requisitos legales</a:t>
          </a:r>
        </a:p>
        <a:p>
          <a:pPr lvl="0"/>
          <a:r>
            <a:rPr lang="es-CO"/>
            <a:t>+ Tráfico de influencias, (amiguismo, persona influyente)</a:t>
          </a:r>
          <a:endParaRPr lang="es-ES" sz="1100" baseline="0">
            <a:solidFill>
              <a:schemeClr val="dk1"/>
            </a:solidFill>
            <a:latin typeface="+mn-lt"/>
            <a:ea typeface="+mn-ea"/>
            <a:cs typeface="+mn-cs"/>
          </a:endParaRPr>
        </a:p>
      </xdr:txBody>
    </xdr:sp>
    <xdr:clientData/>
  </xdr:oneCellAnchor>
  <xdr:oneCellAnchor>
    <xdr:from>
      <xdr:col>1</xdr:col>
      <xdr:colOff>609600</xdr:colOff>
      <xdr:row>194</xdr:row>
      <xdr:rowOff>185632</xdr:rowOff>
    </xdr:from>
    <xdr:ext cx="5238750" cy="1986826"/>
    <xdr:sp macro="" textlink="">
      <xdr:nvSpPr>
        <xdr:cNvPr id="27" name="26 CuadroTexto"/>
        <xdr:cNvSpPr txBox="1"/>
      </xdr:nvSpPr>
      <xdr:spPr>
        <a:xfrm>
          <a:off x="4352925" y="38504707"/>
          <a:ext cx="5238750" cy="1986826"/>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spAutoFit/>
        </a:bodyPr>
        <a:lstStyle/>
        <a:p>
          <a:r>
            <a:rPr lang="es-ES" sz="1100">
              <a:solidFill>
                <a:schemeClr val="dk1"/>
              </a:solidFill>
              <a:latin typeface="+mn-lt"/>
              <a:ea typeface="+mn-ea"/>
              <a:cs typeface="+mn-cs"/>
            </a:rPr>
            <a:t>Pueden</a:t>
          </a:r>
          <a:r>
            <a:rPr lang="es-ES" sz="1100" baseline="0">
              <a:solidFill>
                <a:schemeClr val="dk1"/>
              </a:solidFill>
              <a:latin typeface="+mn-lt"/>
              <a:ea typeface="+mn-ea"/>
              <a:cs typeface="+mn-cs"/>
            </a:rPr>
            <a:t> existir controles de Gestión, Operativos o Legales, y p</a:t>
          </a:r>
          <a:r>
            <a:rPr lang="es-ES" sz="1100">
              <a:solidFill>
                <a:schemeClr val="dk1"/>
              </a:solidFill>
              <a:latin typeface="+mn-lt"/>
              <a:ea typeface="+mn-ea"/>
              <a:cs typeface="+mn-cs"/>
            </a:rPr>
            <a:t>ara la evaluación de los controles existentes para cada uno de los riesgos, es necesario:</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Establecer si son </a:t>
          </a:r>
          <a:r>
            <a:rPr lang="es-ES" sz="1100" b="1">
              <a:solidFill>
                <a:schemeClr val="dk1"/>
              </a:solidFill>
              <a:latin typeface="+mn-lt"/>
              <a:ea typeface="+mn-ea"/>
              <a:cs typeface="+mn-cs"/>
            </a:rPr>
            <a:t>preventivos</a:t>
          </a:r>
          <a:r>
            <a:rPr lang="es-ES" sz="1100">
              <a:solidFill>
                <a:schemeClr val="dk1"/>
              </a:solidFill>
              <a:latin typeface="+mn-lt"/>
              <a:ea typeface="+mn-ea"/>
              <a:cs typeface="+mn-cs"/>
            </a:rPr>
            <a:t> o </a:t>
          </a:r>
          <a:r>
            <a:rPr lang="es-ES" sz="1100" b="1">
              <a:solidFill>
                <a:schemeClr val="dk1"/>
              </a:solidFill>
              <a:latin typeface="+mn-lt"/>
              <a:ea typeface="+mn-ea"/>
              <a:cs typeface="+mn-cs"/>
            </a:rPr>
            <a:t>correctivos</a:t>
          </a:r>
          <a:r>
            <a:rPr lang="es-ES" sz="1100">
              <a:solidFill>
                <a:schemeClr val="dk1"/>
              </a:solidFill>
              <a:latin typeface="+mn-lt"/>
              <a:ea typeface="+mn-ea"/>
              <a:cs typeface="+mn-cs"/>
            </a:rPr>
            <a:t>, entendiéndose estos como:</a:t>
          </a:r>
        </a:p>
        <a:p>
          <a:r>
            <a:rPr lang="es-ES" sz="1100">
              <a:solidFill>
                <a:schemeClr val="dk1"/>
              </a:solidFill>
              <a:latin typeface="+mn-lt"/>
              <a:ea typeface="+mn-ea"/>
              <a:cs typeface="+mn-cs"/>
            </a:rPr>
            <a:t> </a:t>
          </a:r>
        </a:p>
        <a:p>
          <a:r>
            <a:rPr lang="es-ES" sz="1100" i="1">
              <a:solidFill>
                <a:schemeClr val="dk1"/>
              </a:solidFill>
              <a:latin typeface="+mn-lt"/>
              <a:ea typeface="+mn-ea"/>
              <a:cs typeface="+mn-cs"/>
            </a:rPr>
            <a:t>Preventivos, </a:t>
          </a:r>
          <a:r>
            <a:rPr lang="es-ES" sz="1100">
              <a:solidFill>
                <a:schemeClr val="dk1"/>
              </a:solidFill>
              <a:latin typeface="+mn-lt"/>
              <a:ea typeface="+mn-ea"/>
              <a:cs typeface="+mn-cs"/>
            </a:rPr>
            <a:t>aquellos que actúan para eliminar las causas del riesgo, para prevenir su ocurrencia o materialización.</a:t>
          </a:r>
        </a:p>
        <a:p>
          <a:r>
            <a:rPr lang="es-ES" sz="1100" i="1">
              <a:solidFill>
                <a:schemeClr val="dk1"/>
              </a:solidFill>
              <a:latin typeface="+mn-lt"/>
              <a:ea typeface="+mn-ea"/>
              <a:cs typeface="+mn-cs"/>
            </a:rPr>
            <a:t> </a:t>
          </a:r>
          <a:endParaRPr lang="es-ES" sz="1100">
            <a:solidFill>
              <a:schemeClr val="dk1"/>
            </a:solidFill>
            <a:latin typeface="+mn-lt"/>
            <a:ea typeface="+mn-ea"/>
            <a:cs typeface="+mn-cs"/>
          </a:endParaRPr>
        </a:p>
        <a:p>
          <a:r>
            <a:rPr lang="es-ES" sz="1100" i="1">
              <a:solidFill>
                <a:schemeClr val="dk1"/>
              </a:solidFill>
              <a:latin typeface="+mn-lt"/>
              <a:ea typeface="+mn-ea"/>
              <a:cs typeface="+mn-cs"/>
            </a:rPr>
            <a:t>Correctivos, </a:t>
          </a:r>
          <a:r>
            <a:rPr lang="es-ES" sz="1100">
              <a:solidFill>
                <a:schemeClr val="dk1"/>
              </a:solidFill>
              <a:latin typeface="+mn-lt"/>
              <a:ea typeface="+mn-ea"/>
              <a:cs typeface="+mn-cs"/>
            </a:rPr>
            <a:t>aquellos que permiten el restablecimiento de la actividad después de ser detectado un evento no deseable; también permiten la modificación de las acciones que propiciaron su ocurrencia.</a:t>
          </a:r>
        </a:p>
      </xdr:txBody>
    </xdr:sp>
    <xdr:clientData/>
  </xdr:oneCellAnchor>
  <xdr:twoCellAnchor>
    <xdr:from>
      <xdr:col>0</xdr:col>
      <xdr:colOff>447675</xdr:colOff>
      <xdr:row>242</xdr:row>
      <xdr:rowOff>28575</xdr:rowOff>
    </xdr:from>
    <xdr:to>
      <xdr:col>1</xdr:col>
      <xdr:colOff>209550</xdr:colOff>
      <xdr:row>244</xdr:row>
      <xdr:rowOff>114300</xdr:rowOff>
    </xdr:to>
    <xdr:pic>
      <xdr:nvPicPr>
        <xdr:cNvPr id="10252" name="Picture 1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31318200"/>
          <a:ext cx="3505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twoCellAnchor>
    <xdr:from>
      <xdr:col>0</xdr:col>
      <xdr:colOff>114300</xdr:colOff>
      <xdr:row>244</xdr:row>
      <xdr:rowOff>95250</xdr:rowOff>
    </xdr:from>
    <xdr:to>
      <xdr:col>1</xdr:col>
      <xdr:colOff>733425</xdr:colOff>
      <xdr:row>250</xdr:row>
      <xdr:rowOff>47625</xdr:rowOff>
    </xdr:to>
    <xdr:pic>
      <xdr:nvPicPr>
        <xdr:cNvPr id="10253" name="Picture 1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31765875"/>
          <a:ext cx="43624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twoCellAnchor>
    <xdr:from>
      <xdr:col>0</xdr:col>
      <xdr:colOff>247650</xdr:colOff>
      <xdr:row>262</xdr:row>
      <xdr:rowOff>171450</xdr:rowOff>
    </xdr:from>
    <xdr:to>
      <xdr:col>1</xdr:col>
      <xdr:colOff>438150</xdr:colOff>
      <xdr:row>266</xdr:row>
      <xdr:rowOff>161925</xdr:rowOff>
    </xdr:to>
    <xdr:pic>
      <xdr:nvPicPr>
        <xdr:cNvPr id="10257" name="Picture 1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51444525"/>
          <a:ext cx="3933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oneCellAnchor>
    <xdr:from>
      <xdr:col>1</xdr:col>
      <xdr:colOff>971549</xdr:colOff>
      <xdr:row>245</xdr:row>
      <xdr:rowOff>19050</xdr:rowOff>
    </xdr:from>
    <xdr:ext cx="4857751" cy="7048500"/>
    <xdr:sp macro="" textlink="">
      <xdr:nvSpPr>
        <xdr:cNvPr id="34" name="33 CuadroTexto"/>
        <xdr:cNvSpPr txBox="1"/>
      </xdr:nvSpPr>
      <xdr:spPr>
        <a:xfrm>
          <a:off x="4714874" y="48053625"/>
          <a:ext cx="4857751" cy="7048500"/>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CO" sz="1100">
              <a:solidFill>
                <a:schemeClr val="dk1"/>
              </a:solidFill>
              <a:latin typeface="+mn-lt"/>
              <a:ea typeface="+mn-ea"/>
              <a:cs typeface="+mn-cs"/>
            </a:rPr>
            <a:t>Estas posibles acciones a tomar según Calificación del Riesgo son:</a:t>
          </a:r>
        </a:p>
        <a:p>
          <a:endParaRPr lang="es-CO" sz="1100">
            <a:solidFill>
              <a:schemeClr val="dk1"/>
            </a:solidFill>
            <a:latin typeface="+mn-lt"/>
            <a:ea typeface="+mn-ea"/>
            <a:cs typeface="+mn-cs"/>
          </a:endParaRPr>
        </a:p>
        <a:p>
          <a:r>
            <a:rPr lang="es-CO" sz="1100" b="1">
              <a:solidFill>
                <a:sysClr val="windowText" lastClr="000000"/>
              </a:solidFill>
              <a:latin typeface="+mn-lt"/>
              <a:ea typeface="+mn-ea"/>
              <a:cs typeface="+mn-cs"/>
            </a:rPr>
            <a:t>*</a:t>
          </a:r>
          <a:r>
            <a:rPr lang="es-CO" sz="1100" b="1" baseline="0">
              <a:solidFill>
                <a:sysClr val="windowText" lastClr="000000"/>
              </a:solidFill>
              <a:latin typeface="+mn-lt"/>
              <a:ea typeface="+mn-ea"/>
              <a:cs typeface="+mn-cs"/>
            </a:rPr>
            <a:t> </a:t>
          </a:r>
          <a:r>
            <a:rPr lang="es-CO" sz="1100" b="1">
              <a:solidFill>
                <a:sysClr val="windowText" lastClr="000000"/>
              </a:solidFill>
              <a:latin typeface="+mn-lt"/>
              <a:ea typeface="+mn-ea"/>
              <a:cs typeface="+mn-cs"/>
            </a:rPr>
            <a:t>Para Riesgos de </a:t>
          </a:r>
          <a:r>
            <a:rPr lang="es-CO" sz="1100" b="1">
              <a:solidFill>
                <a:schemeClr val="accent1">
                  <a:lumMod val="75000"/>
                </a:schemeClr>
              </a:solidFill>
              <a:latin typeface="+mn-lt"/>
              <a:ea typeface="+mn-ea"/>
              <a:cs typeface="+mn-cs"/>
            </a:rPr>
            <a:t>GESTIÓN:</a:t>
          </a:r>
          <a:endParaRPr lang="es-ES" sz="1100" b="1">
            <a:solidFill>
              <a:schemeClr val="accent1">
                <a:lumMod val="75000"/>
              </a:schemeClr>
            </a:solidFill>
            <a:latin typeface="+mn-lt"/>
            <a:ea typeface="+mn-ea"/>
            <a:cs typeface="+mn-cs"/>
          </a:endParaRPr>
        </a:p>
        <a:p>
          <a:r>
            <a:rPr lang="es-CO" sz="1100">
              <a:solidFill>
                <a:schemeClr val="dk1"/>
              </a:solidFill>
              <a:latin typeface="+mn-lt"/>
              <a:ea typeface="+mn-ea"/>
              <a:cs typeface="+mn-cs"/>
            </a:rPr>
            <a:t> </a:t>
          </a:r>
          <a:endParaRPr lang="es-ES" sz="1100" b="1">
            <a:solidFill>
              <a:schemeClr val="dk1"/>
            </a:solidFill>
            <a:latin typeface="+mn-lt"/>
            <a:ea typeface="+mn-ea"/>
            <a:cs typeface="+mn-cs"/>
          </a:endParaRPr>
        </a:p>
        <a:p>
          <a:pPr lvl="0"/>
          <a:r>
            <a:rPr lang="es-ES" sz="1100" b="1">
              <a:solidFill>
                <a:schemeClr val="dk1"/>
              </a:solidFill>
              <a:latin typeface="+mn-lt"/>
              <a:ea typeface="+mn-ea"/>
              <a:cs typeface="+mn-cs"/>
            </a:rPr>
            <a:t>Eliminar la Causa:</a:t>
          </a:r>
          <a:r>
            <a:rPr lang="es-ES" sz="1100" b="1" baseline="0">
              <a:solidFill>
                <a:schemeClr val="dk1"/>
              </a:solidFill>
              <a:latin typeface="+mn-lt"/>
              <a:ea typeface="+mn-ea"/>
              <a:cs typeface="+mn-cs"/>
            </a:rPr>
            <a:t>  </a:t>
          </a:r>
          <a:r>
            <a:rPr lang="es-ES" sz="1100" b="0" baseline="0">
              <a:solidFill>
                <a:schemeClr val="dk1"/>
              </a:solidFill>
              <a:latin typeface="+mn-lt"/>
              <a:ea typeface="+mn-ea"/>
              <a:cs typeface="+mn-cs"/>
            </a:rPr>
            <a:t>eliminar  la actividad que ocasiona el riesgo, en la medida de lo posible.</a:t>
          </a:r>
        </a:p>
        <a:p>
          <a:pPr lvl="0"/>
          <a:endParaRPr lang="es-ES" sz="1100" b="1">
            <a:solidFill>
              <a:schemeClr val="dk1"/>
            </a:solidFill>
            <a:latin typeface="+mn-lt"/>
            <a:ea typeface="+mn-ea"/>
            <a:cs typeface="+mn-cs"/>
          </a:endParaRPr>
        </a:p>
        <a:p>
          <a:pPr lvl="0"/>
          <a:r>
            <a:rPr lang="es-ES" sz="1100" b="1">
              <a:solidFill>
                <a:schemeClr val="dk1"/>
              </a:solidFill>
              <a:latin typeface="+mn-lt"/>
              <a:ea typeface="+mn-ea"/>
              <a:cs typeface="+mn-cs"/>
            </a:rPr>
            <a:t>Compartir o Transferir el Riesgo: </a:t>
          </a:r>
          <a:r>
            <a:rPr lang="es-ES" sz="1100">
              <a:solidFill>
                <a:schemeClr val="dk1"/>
              </a:solidFill>
              <a:latin typeface="+mn-lt"/>
              <a:ea typeface="+mn-ea"/>
              <a:cs typeface="+mn-cs"/>
            </a:rPr>
            <a:t>medidas que permitan reducir el efecto del riesgo, mediante el traspaso de las pérdidas a otras organizaciones, a través de contratos seguros y, otros mecanismos que logran compartir el riesgo, como los contratos a riesgo compartido.</a:t>
          </a:r>
        </a:p>
        <a:p>
          <a:r>
            <a:rPr lang="es-ES" sz="1100">
              <a:solidFill>
                <a:schemeClr val="dk1"/>
              </a:solidFill>
              <a:latin typeface="+mn-lt"/>
              <a:ea typeface="+mn-ea"/>
              <a:cs typeface="+mn-cs"/>
            </a:rPr>
            <a:t> </a:t>
          </a:r>
        </a:p>
        <a:p>
          <a:pPr lvl="0"/>
          <a:r>
            <a:rPr lang="es-ES" sz="1100" b="1">
              <a:solidFill>
                <a:schemeClr val="dk1"/>
              </a:solidFill>
              <a:latin typeface="+mn-lt"/>
              <a:ea typeface="+mn-ea"/>
              <a:cs typeface="+mn-cs"/>
            </a:rPr>
            <a:t>Asumir el riesgo: </a:t>
          </a:r>
          <a:r>
            <a:rPr lang="es-ES" sz="1100">
              <a:solidFill>
                <a:schemeClr val="dk1"/>
              </a:solidFill>
              <a:latin typeface="+mn-lt"/>
              <a:ea typeface="+mn-ea"/>
              <a:cs typeface="+mn-cs"/>
            </a:rPr>
            <a:t>aceptarlo sin necesidad de tomar otras medidas de control diferentes a las que se poseen.   </a:t>
          </a:r>
        </a:p>
        <a:p>
          <a:endParaRPr lang="es-E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a:t>
          </a:r>
          <a:r>
            <a:rPr lang="es-CO" sz="1100" b="1" baseline="0">
              <a:solidFill>
                <a:schemeClr val="dk1"/>
              </a:solidFill>
              <a:effectLst/>
              <a:latin typeface="+mn-lt"/>
              <a:ea typeface="+mn-ea"/>
              <a:cs typeface="+mn-cs"/>
            </a:rPr>
            <a:t> </a:t>
          </a:r>
          <a:r>
            <a:rPr lang="es-CO" sz="1100" b="1">
              <a:solidFill>
                <a:schemeClr val="dk1"/>
              </a:solidFill>
              <a:effectLst/>
              <a:latin typeface="+mn-lt"/>
              <a:ea typeface="+mn-ea"/>
              <a:cs typeface="+mn-cs"/>
            </a:rPr>
            <a:t>Para Riesgos de </a:t>
          </a:r>
          <a:r>
            <a:rPr lang="es-CO" sz="1100" b="1">
              <a:solidFill>
                <a:schemeClr val="accent1">
                  <a:lumMod val="75000"/>
                </a:schemeClr>
              </a:solidFill>
              <a:effectLst/>
              <a:latin typeface="+mn-lt"/>
              <a:ea typeface="+mn-ea"/>
              <a:cs typeface="+mn-cs"/>
            </a:rPr>
            <a:t>GESTIÓN</a:t>
          </a:r>
          <a:r>
            <a:rPr lang="es-CO" sz="1100" b="1">
              <a:solidFill>
                <a:schemeClr val="dk1"/>
              </a:solidFill>
              <a:effectLst/>
              <a:latin typeface="+mn-lt"/>
              <a:ea typeface="+mn-ea"/>
              <a:cs typeface="+mn-cs"/>
            </a:rPr>
            <a:t> y </a:t>
          </a:r>
          <a:r>
            <a:rPr lang="es-CO" sz="1100" b="1">
              <a:solidFill>
                <a:schemeClr val="accent2">
                  <a:lumMod val="75000"/>
                </a:schemeClr>
              </a:solidFill>
              <a:effectLst/>
              <a:latin typeface="+mn-lt"/>
              <a:ea typeface="+mn-ea"/>
              <a:cs typeface="+mn-cs"/>
            </a:rPr>
            <a:t>CORRUPCIÓN</a:t>
          </a:r>
          <a:r>
            <a:rPr lang="es-CO" sz="1100" b="1">
              <a:solidFill>
                <a:schemeClr val="dk1"/>
              </a:solidFill>
              <a:effectLst/>
              <a:latin typeface="+mn-lt"/>
              <a:ea typeface="+mn-ea"/>
              <a:cs typeface="+mn-cs"/>
            </a:rPr>
            <a:t>:</a:t>
          </a:r>
          <a:endParaRPr lang="es-CO">
            <a:effectLst/>
          </a:endParaRPr>
        </a:p>
        <a:p>
          <a:r>
            <a:rPr lang="es-ES" sz="1100">
              <a:solidFill>
                <a:schemeClr val="dk1"/>
              </a:solidFill>
              <a:latin typeface="+mn-lt"/>
              <a:ea typeface="+mn-ea"/>
              <a:cs typeface="+mn-cs"/>
            </a:rPr>
            <a:t> </a:t>
          </a:r>
        </a:p>
        <a:p>
          <a:r>
            <a:rPr lang="es-ES" sz="1100" b="1">
              <a:solidFill>
                <a:schemeClr val="dk1"/>
              </a:solidFill>
              <a:effectLst/>
              <a:latin typeface="+mn-lt"/>
              <a:ea typeface="+mn-ea"/>
              <a:cs typeface="+mn-cs"/>
            </a:rPr>
            <a:t>Evitar la Posibilidad: </a:t>
          </a:r>
          <a:r>
            <a:rPr lang="es-ES" sz="1100">
              <a:solidFill>
                <a:schemeClr val="dk1"/>
              </a:solidFill>
              <a:effectLst/>
              <a:latin typeface="+mn-lt"/>
              <a:ea typeface="+mn-ea"/>
              <a:cs typeface="+mn-cs"/>
            </a:rPr>
            <a:t>tomar las medidas encaminadas a prevenir su materialización (medidas de prevención). Se logra cuando al interior de los procesos se generan cambios sustanciales por mejoramiento, rediseño o eliminación, resultado de unos adecuados controles y acciones emprendidas. </a:t>
          </a:r>
          <a:r>
            <a:rPr lang="es-ES" sz="1100" i="1">
              <a:solidFill>
                <a:schemeClr val="dk1"/>
              </a:solidFill>
              <a:effectLst/>
              <a:latin typeface="+mn-lt"/>
              <a:ea typeface="+mn-ea"/>
              <a:cs typeface="+mn-cs"/>
            </a:rPr>
            <a:t>Ejemplo: mantenimiento preventivo de los equipos, desarrollo tecnológico, etc.</a:t>
          </a:r>
          <a:endParaRPr lang="es-CO">
            <a:effectLst/>
          </a:endParaRPr>
        </a:p>
        <a:p>
          <a:r>
            <a:rPr lang="es-ES" sz="1100">
              <a:solidFill>
                <a:schemeClr val="dk1"/>
              </a:solidFill>
              <a:effectLst/>
              <a:latin typeface="+mn-lt"/>
              <a:ea typeface="+mn-ea"/>
              <a:cs typeface="+mn-cs"/>
            </a:rPr>
            <a:t> </a:t>
          </a:r>
          <a:endParaRPr lang="es-CO">
            <a:effectLst/>
          </a:endParaRPr>
        </a:p>
        <a:p>
          <a:r>
            <a:rPr lang="es-ES" sz="1100" b="1">
              <a:solidFill>
                <a:schemeClr val="dk1"/>
              </a:solidFill>
              <a:effectLst/>
              <a:latin typeface="+mn-lt"/>
              <a:ea typeface="+mn-ea"/>
              <a:cs typeface="+mn-cs"/>
            </a:rPr>
            <a:t>Reducir el Riesgo: </a:t>
          </a:r>
          <a:r>
            <a:rPr lang="es-ES" sz="1100">
              <a:solidFill>
                <a:schemeClr val="dk1"/>
              </a:solidFill>
              <a:effectLst/>
              <a:latin typeface="+mn-lt"/>
              <a:ea typeface="+mn-ea"/>
              <a:cs typeface="+mn-cs"/>
            </a:rPr>
            <a:t>medidas orientadas a disminuir tanto la posibilidad (medidas de prevención), como el impacto (medidas de protección o correctivas), mediante la optimización de procedimientos y la implementación de controles.</a:t>
          </a:r>
          <a:endParaRPr lang="es-ES" sz="1100">
            <a:solidFill>
              <a:schemeClr val="dk1"/>
            </a:solidFill>
            <a:latin typeface="+mn-lt"/>
            <a:ea typeface="+mn-ea"/>
            <a:cs typeface="+mn-cs"/>
          </a:endParaRPr>
        </a:p>
        <a:p>
          <a:endParaRPr lang="es-ES" sz="1100">
            <a:solidFill>
              <a:schemeClr val="dk1"/>
            </a:solidFill>
            <a:latin typeface="+mn-lt"/>
            <a:ea typeface="+mn-ea"/>
            <a:cs typeface="+mn-cs"/>
          </a:endParaRPr>
        </a:p>
        <a:p>
          <a:r>
            <a:rPr lang="es-ES" sz="1100">
              <a:solidFill>
                <a:schemeClr val="dk1"/>
              </a:solidFill>
              <a:latin typeface="+mn-lt"/>
              <a:ea typeface="+mn-ea"/>
              <a:cs typeface="+mn-cs"/>
            </a:rPr>
            <a:t>O en caso de </a:t>
          </a:r>
          <a:r>
            <a:rPr lang="es-ES" sz="1100" b="1">
              <a:solidFill>
                <a:schemeClr val="dk1"/>
              </a:solidFill>
              <a:latin typeface="+mn-lt"/>
              <a:ea typeface="+mn-ea"/>
              <a:cs typeface="+mn-cs"/>
            </a:rPr>
            <a:t>riesgo residual</a:t>
          </a:r>
          <a:r>
            <a:rPr lang="es-ES" sz="1100">
              <a:solidFill>
                <a:schemeClr val="dk1"/>
              </a:solidFill>
              <a:latin typeface="+mn-lt"/>
              <a:ea typeface="+mn-ea"/>
              <a:cs typeface="+mn-cs"/>
            </a:rPr>
            <a:t>, dado por reducción o transferencia del riesgo, el responsable del proceso o representante legal puede aceptar la pérdida residual probable y elaborar los planes de contingencia para su manejo.</a:t>
          </a:r>
        </a:p>
        <a:p>
          <a:r>
            <a:rPr lang="es-ES" sz="1100">
              <a:solidFill>
                <a:schemeClr val="dk1"/>
              </a:solidFill>
              <a:latin typeface="+mn-lt"/>
              <a:ea typeface="+mn-ea"/>
              <a:cs typeface="+mn-cs"/>
            </a:rPr>
            <a:t> </a:t>
          </a:r>
        </a:p>
        <a:p>
          <a:r>
            <a:rPr lang="es-ES" sz="1100">
              <a:solidFill>
                <a:schemeClr val="dk1"/>
              </a:solidFill>
              <a:latin typeface="+mn-lt"/>
              <a:ea typeface="+mn-ea"/>
              <a:cs typeface="+mn-cs"/>
            </a:rPr>
            <a:t>Para escoger las acciones que van a tratar el riesgo, también tiene que tener en cuenta que:</a:t>
          </a:r>
        </a:p>
        <a:p>
          <a:endParaRPr lang="es-ES" sz="1100">
            <a:solidFill>
              <a:schemeClr val="dk1"/>
            </a:solidFill>
            <a:latin typeface="+mn-lt"/>
            <a:ea typeface="+mn-ea"/>
            <a:cs typeface="+mn-cs"/>
          </a:endParaRPr>
        </a:p>
        <a:p>
          <a:pPr lvl="0"/>
          <a:r>
            <a:rPr lang="es-ES" sz="1100">
              <a:solidFill>
                <a:schemeClr val="dk1"/>
              </a:solidFill>
              <a:latin typeface="+mn-lt"/>
              <a:ea typeface="+mn-ea"/>
              <a:cs typeface="+mn-cs"/>
            </a:rPr>
            <a:t>- En caso</a:t>
          </a:r>
          <a:r>
            <a:rPr lang="es-ES" sz="1100" baseline="0">
              <a:solidFill>
                <a:schemeClr val="dk1"/>
              </a:solidFill>
              <a:latin typeface="+mn-lt"/>
              <a:ea typeface="+mn-ea"/>
              <a:cs typeface="+mn-cs"/>
            </a:rPr>
            <a:t> que el riesgo se encuentre en las zonas Moderadas o Altas, d</a:t>
          </a:r>
          <a:r>
            <a:rPr lang="es-ES" sz="1100">
              <a:solidFill>
                <a:schemeClr val="dk1"/>
              </a:solidFill>
              <a:latin typeface="+mn-lt"/>
              <a:ea typeface="+mn-ea"/>
              <a:cs typeface="+mn-cs"/>
            </a:rPr>
            <a:t>ebe realizar un análisis del costo beneficio, costo de la implementación</a:t>
          </a:r>
          <a:r>
            <a:rPr lang="es-ES" sz="1100" baseline="0">
              <a:solidFill>
                <a:schemeClr val="dk1"/>
              </a:solidFill>
              <a:latin typeface="+mn-lt"/>
              <a:ea typeface="+mn-ea"/>
              <a:cs typeface="+mn-cs"/>
            </a:rPr>
            <a:t> de la acción contra el beneficio</a:t>
          </a:r>
          <a:r>
            <a:rPr lang="es-ES" sz="1100">
              <a:solidFill>
                <a:schemeClr val="dk1"/>
              </a:solidFill>
              <a:latin typeface="+mn-lt"/>
              <a:ea typeface="+mn-ea"/>
              <a:cs typeface="+mn-cs"/>
            </a:rPr>
            <a:t> de la</a:t>
          </a:r>
          <a:r>
            <a:rPr lang="es-ES" sz="1100" baseline="0">
              <a:solidFill>
                <a:schemeClr val="dk1"/>
              </a:solidFill>
              <a:latin typeface="+mn-lt"/>
              <a:ea typeface="+mn-ea"/>
              <a:cs typeface="+mn-cs"/>
            </a:rPr>
            <a:t> misma.</a:t>
          </a:r>
          <a:endParaRPr lang="es-ES" sz="1100">
            <a:solidFill>
              <a:schemeClr val="dk1"/>
            </a:solidFill>
            <a:latin typeface="+mn-lt"/>
            <a:ea typeface="+mn-ea"/>
            <a:cs typeface="+mn-cs"/>
          </a:endParaRP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 Siempre que el riesgo sea calificado en la zona Extrema, con impacto Catastrófico, se aconseja elminar la causa del riesgo, y diseñar planes de contingencia, para protegerse en caso de su ocurrencia</a:t>
          </a:r>
        </a:p>
      </xdr:txBody>
    </xdr:sp>
    <xdr:clientData/>
  </xdr:oneCellAnchor>
  <xdr:twoCellAnchor editAs="oneCell">
    <xdr:from>
      <xdr:col>0</xdr:col>
      <xdr:colOff>38100</xdr:colOff>
      <xdr:row>202</xdr:row>
      <xdr:rowOff>152400</xdr:rowOff>
    </xdr:from>
    <xdr:to>
      <xdr:col>1</xdr:col>
      <xdr:colOff>0</xdr:colOff>
      <xdr:row>219</xdr:row>
      <xdr:rowOff>152400</xdr:rowOff>
    </xdr:to>
    <xdr:pic>
      <xdr:nvPicPr>
        <xdr:cNvPr id="10260" name="68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39995475"/>
          <a:ext cx="37052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9524</xdr:colOff>
      <xdr:row>111</xdr:row>
      <xdr:rowOff>57151</xdr:rowOff>
    </xdr:from>
    <xdr:to>
      <xdr:col>6</xdr:col>
      <xdr:colOff>857249</xdr:colOff>
      <xdr:row>129</xdr:row>
      <xdr:rowOff>180975</xdr:rowOff>
    </xdr:to>
    <xdr:pic>
      <xdr:nvPicPr>
        <xdr:cNvPr id="10261" name="3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43449" y="22564726"/>
          <a:ext cx="4810125" cy="3552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66676</xdr:colOff>
      <xdr:row>297</xdr:row>
      <xdr:rowOff>142876</xdr:rowOff>
    </xdr:from>
    <xdr:ext cx="9505949" cy="3162300"/>
    <xdr:sp macro="" textlink="">
      <xdr:nvSpPr>
        <xdr:cNvPr id="52" name="51 CuadroTexto"/>
        <xdr:cNvSpPr txBox="1"/>
      </xdr:nvSpPr>
      <xdr:spPr>
        <a:xfrm>
          <a:off x="66676" y="58083451"/>
          <a:ext cx="9505949" cy="3162300"/>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Algunas de las acciones tienden  a controlar la </a:t>
          </a:r>
          <a:r>
            <a:rPr lang="es-ES" sz="1100" i="1">
              <a:solidFill>
                <a:schemeClr val="dk1"/>
              </a:solidFill>
              <a:latin typeface="+mn-lt"/>
              <a:ea typeface="+mn-ea"/>
              <a:cs typeface="+mn-cs"/>
            </a:rPr>
            <a:t>Posibilidad </a:t>
          </a:r>
          <a:r>
            <a:rPr lang="es-ES" sz="1100">
              <a:solidFill>
                <a:schemeClr val="dk1"/>
              </a:solidFill>
              <a:latin typeface="+mn-lt"/>
              <a:ea typeface="+mn-ea"/>
              <a:cs typeface="+mn-cs"/>
            </a:rPr>
            <a:t>y otras el </a:t>
          </a:r>
          <a:r>
            <a:rPr lang="es-ES" sz="1100" i="1">
              <a:solidFill>
                <a:schemeClr val="dk1"/>
              </a:solidFill>
              <a:latin typeface="+mn-lt"/>
              <a:ea typeface="+mn-ea"/>
              <a:cs typeface="+mn-cs"/>
            </a:rPr>
            <a:t>impacto </a:t>
          </a:r>
          <a:r>
            <a:rPr lang="es-ES" sz="1100" i="0">
              <a:solidFill>
                <a:schemeClr val="dk1"/>
              </a:solidFill>
              <a:latin typeface="+mn-lt"/>
              <a:ea typeface="+mn-ea"/>
              <a:cs typeface="+mn-cs"/>
            </a:rPr>
            <a:t>Son</a:t>
          </a:r>
          <a:r>
            <a:rPr lang="es-ES" sz="1100">
              <a:solidFill>
                <a:schemeClr val="dk1"/>
              </a:solidFill>
              <a:latin typeface="+mn-lt"/>
              <a:ea typeface="+mn-ea"/>
              <a:cs typeface="+mn-cs"/>
            </a:rPr>
            <a:t>:</a:t>
          </a:r>
        </a:p>
        <a:p>
          <a:r>
            <a:rPr lang="es-ES" sz="1100">
              <a:solidFill>
                <a:schemeClr val="dk1"/>
              </a:solidFill>
              <a:latin typeface="+mn-lt"/>
              <a:ea typeface="+mn-ea"/>
              <a:cs typeface="+mn-cs"/>
            </a:rPr>
            <a:t> </a:t>
          </a:r>
        </a:p>
        <a:p>
          <a:r>
            <a:rPr lang="es-ES" sz="1100" b="1" i="1">
              <a:solidFill>
                <a:schemeClr val="dk1"/>
              </a:solidFill>
              <a:latin typeface="+mn-lt"/>
              <a:ea typeface="+mn-ea"/>
              <a:cs typeface="+mn-cs"/>
            </a:rPr>
            <a:t>POSIBILIDAD						</a:t>
          </a:r>
          <a:r>
            <a:rPr lang="es-ES" sz="1100" b="1" i="1">
              <a:solidFill>
                <a:schemeClr val="dk1"/>
              </a:solidFill>
              <a:effectLst/>
              <a:latin typeface="+mn-lt"/>
              <a:ea typeface="+mn-ea"/>
              <a:cs typeface="+mn-cs"/>
            </a:rPr>
            <a:t>IMPACTO</a:t>
          </a:r>
        </a:p>
        <a:p>
          <a:r>
            <a:rPr lang="es-ES" sz="1100">
              <a:solidFill>
                <a:schemeClr val="dk1"/>
              </a:solidFill>
              <a:latin typeface="+mn-lt"/>
              <a:ea typeface="+mn-ea"/>
              <a:cs typeface="+mn-cs"/>
            </a:rPr>
            <a:t>Planes de auditoria					</a:t>
          </a:r>
          <a:r>
            <a:rPr lang="es-ES" sz="1100">
              <a:solidFill>
                <a:schemeClr val="dk1"/>
              </a:solidFill>
              <a:effectLst/>
              <a:latin typeface="+mn-lt"/>
              <a:ea typeface="+mn-ea"/>
              <a:cs typeface="+mn-cs"/>
            </a:rPr>
            <a:t>Planes de contingencia</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Condiciones contractuales					</a:t>
          </a:r>
          <a:r>
            <a:rPr lang="es-ES" sz="1100">
              <a:solidFill>
                <a:schemeClr val="dk1"/>
              </a:solidFill>
              <a:effectLst/>
              <a:latin typeface="+mn-lt"/>
              <a:ea typeface="+mn-ea"/>
              <a:cs typeface="+mn-cs"/>
            </a:rPr>
            <a:t>Arreglos contractuales</a:t>
          </a:r>
          <a:endParaRPr lang="es-ES" sz="1100">
            <a:solidFill>
              <a:schemeClr val="dk1"/>
            </a:solidFill>
            <a:latin typeface="+mn-lt"/>
            <a:ea typeface="+mn-ea"/>
            <a:cs typeface="+mn-cs"/>
          </a:endParaRPr>
        </a:p>
        <a:p>
          <a:pPr lvl="0"/>
          <a:r>
            <a:rPr lang="es-ES" sz="1100">
              <a:solidFill>
                <a:schemeClr val="dk1"/>
              </a:solidFill>
              <a:latin typeface="+mn-lt"/>
              <a:ea typeface="+mn-ea"/>
              <a:cs typeface="+mn-cs"/>
            </a:rPr>
            <a:t>Revisiones formales de requerimientos, especificaciones, diseños, ingeniería y operaciones	</a:t>
          </a:r>
          <a:r>
            <a:rPr lang="es-ES" sz="1100">
              <a:solidFill>
                <a:schemeClr val="dk1"/>
              </a:solidFill>
              <a:effectLst/>
              <a:latin typeface="+mn-lt"/>
              <a:ea typeface="+mn-ea"/>
              <a:cs typeface="+mn-cs"/>
            </a:rPr>
            <a:t>Condiciones contractuales</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Inspecciones y controles a los procesos				</a:t>
          </a:r>
          <a:r>
            <a:rPr lang="es-ES" sz="1100">
              <a:solidFill>
                <a:schemeClr val="dk1"/>
              </a:solidFill>
              <a:effectLst/>
              <a:latin typeface="+mn-lt"/>
              <a:ea typeface="+mn-ea"/>
              <a:cs typeface="+mn-cs"/>
            </a:rPr>
            <a:t>Características de diseño</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Administración de  la inversión y la cartera				P</a:t>
          </a:r>
          <a:r>
            <a:rPr lang="es-ES" sz="1100">
              <a:solidFill>
                <a:schemeClr val="dk1"/>
              </a:solidFill>
              <a:effectLst/>
              <a:latin typeface="+mn-lt"/>
              <a:ea typeface="+mn-ea"/>
              <a:cs typeface="+mn-cs"/>
            </a:rPr>
            <a:t>lanes de recuperación ante desastres o siniestros</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Administración de los proyectos					</a:t>
          </a:r>
          <a:r>
            <a:rPr lang="es-ES" sz="1100">
              <a:solidFill>
                <a:schemeClr val="dk1"/>
              </a:solidFill>
              <a:effectLst/>
              <a:latin typeface="+mn-lt"/>
              <a:ea typeface="+mn-ea"/>
              <a:cs typeface="+mn-cs"/>
            </a:rPr>
            <a:t>Establecimiento de políticas para controlar los fraudes</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Mantenimientos preventivos					</a:t>
          </a:r>
          <a:r>
            <a:rPr lang="es-ES" sz="1100">
              <a:solidFill>
                <a:schemeClr val="dk1"/>
              </a:solidFill>
              <a:effectLst/>
              <a:latin typeface="+mn-lt"/>
              <a:ea typeface="+mn-ea"/>
              <a:cs typeface="+mn-cs"/>
            </a:rPr>
            <a:t>Minimizar la exposición a fuentes de riesgo</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Aseguramiento de la calidad					</a:t>
          </a:r>
          <a:r>
            <a:rPr lang="es-ES" sz="1100">
              <a:solidFill>
                <a:schemeClr val="dk1"/>
              </a:solidFill>
              <a:effectLst/>
              <a:latin typeface="+mn-lt"/>
              <a:ea typeface="+mn-ea"/>
              <a:cs typeface="+mn-cs"/>
            </a:rPr>
            <a:t>Planeación de cartera</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Investigación y desarrollo tecnológico				</a:t>
          </a:r>
          <a:r>
            <a:rPr lang="es-ES" sz="1100">
              <a:solidFill>
                <a:schemeClr val="dk1"/>
              </a:solidFill>
              <a:effectLst/>
              <a:latin typeface="+mn-lt"/>
              <a:ea typeface="+mn-ea"/>
              <a:cs typeface="+mn-cs"/>
            </a:rPr>
            <a:t>Separación o reubicación de una actividad y recurso</a:t>
          </a:r>
          <a:endParaRPr lang="es-E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Capacitaciones						</a:t>
          </a:r>
          <a:r>
            <a:rPr lang="es-ES" sz="1100">
              <a:solidFill>
                <a:schemeClr val="dk1"/>
              </a:solidFill>
              <a:effectLst/>
              <a:latin typeface="+mn-lt"/>
              <a:ea typeface="+mn-ea"/>
              <a:cs typeface="+mn-cs"/>
            </a:rPr>
            <a:t>Relaciones públicas</a:t>
          </a:r>
          <a:endParaRPr lang="es-ES" sz="1100">
            <a:solidFill>
              <a:schemeClr val="dk1"/>
            </a:solidFill>
            <a:latin typeface="+mn-lt"/>
            <a:ea typeface="+mn-ea"/>
            <a:cs typeface="+mn-cs"/>
          </a:endParaRPr>
        </a:p>
        <a:p>
          <a:pPr lvl="0"/>
          <a:r>
            <a:rPr lang="es-ES" sz="1100">
              <a:solidFill>
                <a:schemeClr val="dk1"/>
              </a:solidFill>
              <a:latin typeface="+mn-lt"/>
              <a:ea typeface="+mn-ea"/>
              <a:cs typeface="+mn-cs"/>
            </a:rPr>
            <a:t>Supervisiones</a:t>
          </a:r>
        </a:p>
        <a:p>
          <a:pPr lvl="0"/>
          <a:r>
            <a:rPr lang="es-ES" sz="1100">
              <a:solidFill>
                <a:schemeClr val="dk1"/>
              </a:solidFill>
              <a:latin typeface="+mn-lt"/>
              <a:ea typeface="+mn-ea"/>
              <a:cs typeface="+mn-cs"/>
            </a:rPr>
            <a:t>Comprobaciones</a:t>
          </a:r>
        </a:p>
        <a:p>
          <a:pPr lvl="0"/>
          <a:r>
            <a:rPr lang="es-ES" sz="1100">
              <a:solidFill>
                <a:schemeClr val="dk1"/>
              </a:solidFill>
              <a:latin typeface="+mn-lt"/>
              <a:ea typeface="+mn-ea"/>
              <a:cs typeface="+mn-cs"/>
            </a:rPr>
            <a:t>Acuerdos organizacionales</a:t>
          </a:r>
        </a:p>
        <a:p>
          <a:pPr lvl="0"/>
          <a:r>
            <a:rPr lang="es-ES" sz="1100">
              <a:solidFill>
                <a:schemeClr val="dk1"/>
              </a:solidFill>
              <a:latin typeface="+mn-lt"/>
              <a:ea typeface="+mn-ea"/>
              <a:cs typeface="+mn-cs"/>
            </a:rPr>
            <a:t>Controles técnicos</a:t>
          </a:r>
        </a:p>
        <a:p>
          <a:pPr lvl="0"/>
          <a:r>
            <a:rPr lang="es-ES" sz="1100">
              <a:solidFill>
                <a:schemeClr val="dk1"/>
              </a:solidFill>
              <a:latin typeface="+mn-lt"/>
              <a:ea typeface="+mn-ea"/>
              <a:cs typeface="+mn-cs"/>
            </a:rPr>
            <a:t>Entre otros</a:t>
          </a:r>
        </a:p>
      </xdr:txBody>
    </xdr:sp>
    <xdr:clientData/>
  </xdr:oneCellAnchor>
  <xdr:oneCellAnchor>
    <xdr:from>
      <xdr:col>2</xdr:col>
      <xdr:colOff>1</xdr:colOff>
      <xdr:row>282</xdr:row>
      <xdr:rowOff>133351</xdr:rowOff>
    </xdr:from>
    <xdr:ext cx="4838700" cy="2705099"/>
    <xdr:sp macro="" textlink="">
      <xdr:nvSpPr>
        <xdr:cNvPr id="56" name="55 CuadroTexto"/>
        <xdr:cNvSpPr txBox="1"/>
      </xdr:nvSpPr>
      <xdr:spPr>
        <a:xfrm>
          <a:off x="4733926" y="55216426"/>
          <a:ext cx="4838700" cy="2705099"/>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Las acciones que decida implementar deben:</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Ser Factibles y Efectivas, tales como: la implementación de las políticas, definición de estándares, optimización de procesos y procedimientos y cambios físicos, entre otros.</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Considerar la viabilidad jurídica, técnica, institucional, financiera y económica y se puede realizar con base en los criterios de: La valoración del riesgo, y El balance entre el costo de la implementación de cada acción contra el beneficio de la misma.</a:t>
          </a:r>
        </a:p>
        <a:p>
          <a:r>
            <a:rPr lang="es-ES" sz="1100">
              <a:solidFill>
                <a:schemeClr val="dk1"/>
              </a:solidFill>
              <a:latin typeface="+mn-lt"/>
              <a:ea typeface="+mn-ea"/>
              <a:cs typeface="+mn-cs"/>
            </a:rPr>
            <a:t> </a:t>
          </a:r>
        </a:p>
        <a:p>
          <a:r>
            <a:rPr lang="es-ES" sz="1100">
              <a:solidFill>
                <a:schemeClr val="dk1"/>
              </a:solidFill>
              <a:latin typeface="+mn-lt"/>
              <a:ea typeface="+mn-ea"/>
              <a:cs typeface="+mn-cs"/>
            </a:rPr>
            <a:t>Una vez escogida la acción debe </a:t>
          </a:r>
          <a:r>
            <a:rPr lang="pt-BR" sz="1100">
              <a:solidFill>
                <a:schemeClr val="dk1"/>
              </a:solidFill>
              <a:latin typeface="+mn-lt"/>
              <a:ea typeface="+mn-ea"/>
              <a:cs typeface="+mn-cs"/>
            </a:rPr>
            <a:t>Identificar </a:t>
          </a:r>
          <a:r>
            <a:rPr lang="es-CO" sz="1100">
              <a:solidFill>
                <a:schemeClr val="dk1"/>
              </a:solidFill>
              <a:latin typeface="+mn-lt"/>
              <a:ea typeface="+mn-ea"/>
              <a:cs typeface="+mn-cs"/>
            </a:rPr>
            <a:t>los </a:t>
          </a:r>
          <a:r>
            <a:rPr lang="es-ES" sz="1100">
              <a:solidFill>
                <a:schemeClr val="dk1"/>
              </a:solidFill>
              <a:latin typeface="+mn-lt"/>
              <a:ea typeface="+mn-ea"/>
              <a:cs typeface="+mn-cs"/>
            </a:rPr>
            <a:t>responsables de </a:t>
          </a:r>
          <a:r>
            <a:rPr lang="es-CO" sz="1100">
              <a:solidFill>
                <a:schemeClr val="dk1"/>
              </a:solidFill>
              <a:latin typeface="+mn-lt"/>
              <a:ea typeface="+mn-ea"/>
              <a:cs typeface="+mn-cs"/>
            </a:rPr>
            <a:t>las</a:t>
          </a:r>
          <a:r>
            <a:rPr lang="pt-BR" sz="1100">
              <a:solidFill>
                <a:schemeClr val="dk1"/>
              </a:solidFill>
              <a:latin typeface="+mn-lt"/>
              <a:ea typeface="+mn-ea"/>
              <a:cs typeface="+mn-cs"/>
            </a:rPr>
            <a:t> áreas o </a:t>
          </a:r>
          <a:r>
            <a:rPr lang="es-CO" sz="1100">
              <a:solidFill>
                <a:schemeClr val="dk1"/>
              </a:solidFill>
              <a:latin typeface="+mn-lt"/>
              <a:ea typeface="+mn-ea"/>
              <a:cs typeface="+mn-cs"/>
            </a:rPr>
            <a:t>dependencias </a:t>
          </a:r>
          <a:r>
            <a:rPr lang="es-ES" sz="1100">
              <a:solidFill>
                <a:schemeClr val="dk1"/>
              </a:solidFill>
              <a:latin typeface="+mn-lt"/>
              <a:ea typeface="+mn-ea"/>
              <a:cs typeface="+mn-cs"/>
            </a:rPr>
            <a:t>para llevar a cabo las acciones y definir unos indicadores que permitan verificar el cumplimiento para tomar medidas correctivas cuando sea necesario.  Con el fin de consignarlos en el Mapa de Riesgos.</a:t>
          </a:r>
        </a:p>
      </xdr:txBody>
    </xdr:sp>
    <xdr:clientData/>
  </xdr:oneCellAnchor>
  <xdr:twoCellAnchor editAs="oneCell">
    <xdr:from>
      <xdr:col>0</xdr:col>
      <xdr:colOff>28575</xdr:colOff>
      <xdr:row>113</xdr:row>
      <xdr:rowOff>142874</xdr:rowOff>
    </xdr:from>
    <xdr:to>
      <xdr:col>1</xdr:col>
      <xdr:colOff>680318</xdr:colOff>
      <xdr:row>122</xdr:row>
      <xdr:rowOff>190499</xdr:rowOff>
    </xdr:to>
    <xdr:pic>
      <xdr:nvPicPr>
        <xdr:cNvPr id="10267" name="38 Imagen"/>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2824"/>
        <a:stretch>
          <a:fillRect/>
        </a:stretch>
      </xdr:blipFill>
      <xdr:spPr bwMode="auto">
        <a:xfrm>
          <a:off x="28575" y="12572999"/>
          <a:ext cx="4395068"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123</xdr:row>
      <xdr:rowOff>9525</xdr:rowOff>
    </xdr:from>
    <xdr:to>
      <xdr:col>1</xdr:col>
      <xdr:colOff>732794</xdr:colOff>
      <xdr:row>131</xdr:row>
      <xdr:rowOff>47625</xdr:rowOff>
    </xdr:to>
    <xdr:pic>
      <xdr:nvPicPr>
        <xdr:cNvPr id="10268" name="39 Ima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 y="14344650"/>
          <a:ext cx="4438019"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131</xdr:row>
      <xdr:rowOff>142875</xdr:rowOff>
    </xdr:from>
    <xdr:to>
      <xdr:col>1</xdr:col>
      <xdr:colOff>765613</xdr:colOff>
      <xdr:row>134</xdr:row>
      <xdr:rowOff>180975</xdr:rowOff>
    </xdr:to>
    <xdr:pic>
      <xdr:nvPicPr>
        <xdr:cNvPr id="10269" name="40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6002000"/>
          <a:ext cx="4508938"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135</xdr:row>
      <xdr:rowOff>19050</xdr:rowOff>
    </xdr:from>
    <xdr:to>
      <xdr:col>1</xdr:col>
      <xdr:colOff>823136</xdr:colOff>
      <xdr:row>142</xdr:row>
      <xdr:rowOff>76200</xdr:rowOff>
    </xdr:to>
    <xdr:pic>
      <xdr:nvPicPr>
        <xdr:cNvPr id="10270" name="41 Image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16640175"/>
          <a:ext cx="4566461"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135</xdr:row>
      <xdr:rowOff>28575</xdr:rowOff>
    </xdr:from>
    <xdr:to>
      <xdr:col>6</xdr:col>
      <xdr:colOff>642366</xdr:colOff>
      <xdr:row>142</xdr:row>
      <xdr:rowOff>180975</xdr:rowOff>
    </xdr:to>
    <xdr:pic>
      <xdr:nvPicPr>
        <xdr:cNvPr id="10271" name="42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772025" y="27108150"/>
          <a:ext cx="4566666"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143</xdr:row>
      <xdr:rowOff>161925</xdr:rowOff>
    </xdr:from>
    <xdr:to>
      <xdr:col>1</xdr:col>
      <xdr:colOff>809133</xdr:colOff>
      <xdr:row>151</xdr:row>
      <xdr:rowOff>152400</xdr:rowOff>
    </xdr:to>
    <xdr:pic>
      <xdr:nvPicPr>
        <xdr:cNvPr id="10272" name="60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8575" y="28765500"/>
          <a:ext cx="4523883"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942975</xdr:colOff>
      <xdr:row>143</xdr:row>
      <xdr:rowOff>123825</xdr:rowOff>
    </xdr:from>
    <xdr:to>
      <xdr:col>6</xdr:col>
      <xdr:colOff>498725</xdr:colOff>
      <xdr:row>152</xdr:row>
      <xdr:rowOff>180975</xdr:rowOff>
    </xdr:to>
    <xdr:pic>
      <xdr:nvPicPr>
        <xdr:cNvPr id="10273" name="61 Imagen"/>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86300" y="28727400"/>
          <a:ext cx="45087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152</xdr:row>
      <xdr:rowOff>142875</xdr:rowOff>
    </xdr:from>
    <xdr:to>
      <xdr:col>1</xdr:col>
      <xdr:colOff>872714</xdr:colOff>
      <xdr:row>161</xdr:row>
      <xdr:rowOff>161925</xdr:rowOff>
    </xdr:to>
    <xdr:pic>
      <xdr:nvPicPr>
        <xdr:cNvPr id="10274" name="62 Imagen"/>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625" y="30460950"/>
          <a:ext cx="4568414"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226</xdr:row>
      <xdr:rowOff>171449</xdr:rowOff>
    </xdr:from>
    <xdr:to>
      <xdr:col>0</xdr:col>
      <xdr:colOff>3559493</xdr:colOff>
      <xdr:row>234</xdr:row>
      <xdr:rowOff>9524</xdr:rowOff>
    </xdr:to>
    <xdr:pic>
      <xdr:nvPicPr>
        <xdr:cNvPr id="10276" name="65 Imagen"/>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3350" y="44586524"/>
          <a:ext cx="342614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267</xdr:row>
      <xdr:rowOff>28575</xdr:rowOff>
    </xdr:from>
    <xdr:to>
      <xdr:col>1</xdr:col>
      <xdr:colOff>952500</xdr:colOff>
      <xdr:row>284</xdr:row>
      <xdr:rowOff>123825</xdr:rowOff>
    </xdr:to>
    <xdr:pic>
      <xdr:nvPicPr>
        <xdr:cNvPr id="10277" name="66 Imagen"/>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52254150"/>
          <a:ext cx="46958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206</xdr:row>
      <xdr:rowOff>0</xdr:rowOff>
    </xdr:from>
    <xdr:to>
      <xdr:col>6</xdr:col>
      <xdr:colOff>896813</xdr:colOff>
      <xdr:row>224</xdr:row>
      <xdr:rowOff>47625</xdr:rowOff>
    </xdr:to>
    <xdr:pic>
      <xdr:nvPicPr>
        <xdr:cNvPr id="5" name="Imagen 4"/>
        <xdr:cNvPicPr>
          <a:picLocks noChangeAspect="1"/>
        </xdr:cNvPicPr>
      </xdr:nvPicPr>
      <xdr:blipFill>
        <a:blip xmlns:r="http://schemas.openxmlformats.org/officeDocument/2006/relationships" r:embed="rId16"/>
        <a:stretch>
          <a:fillRect/>
        </a:stretch>
      </xdr:blipFill>
      <xdr:spPr>
        <a:xfrm>
          <a:off x="3848100" y="40605075"/>
          <a:ext cx="5745038" cy="3476625"/>
        </a:xfrm>
        <a:prstGeom prst="rect">
          <a:avLst/>
        </a:prstGeom>
      </xdr:spPr>
    </xdr:pic>
    <xdr:clientData/>
  </xdr:twoCellAnchor>
  <xdr:twoCellAnchor editAs="oneCell">
    <xdr:from>
      <xdr:col>0</xdr:col>
      <xdr:colOff>0</xdr:colOff>
      <xdr:row>0</xdr:row>
      <xdr:rowOff>0</xdr:rowOff>
    </xdr:from>
    <xdr:to>
      <xdr:col>6</xdr:col>
      <xdr:colOff>942975</xdr:colOff>
      <xdr:row>1</xdr:row>
      <xdr:rowOff>57150</xdr:rowOff>
    </xdr:to>
    <xdr:pic>
      <xdr:nvPicPr>
        <xdr:cNvPr id="44" name="Imagen 43"/>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96393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3209925</xdr:colOff>
      <xdr:row>0</xdr:row>
      <xdr:rowOff>1023466</xdr:rowOff>
    </xdr:from>
    <xdr:to>
      <xdr:col>3</xdr:col>
      <xdr:colOff>409575</xdr:colOff>
      <xdr:row>0</xdr:row>
      <xdr:rowOff>1524000</xdr:rowOff>
    </xdr:to>
    <xdr:pic>
      <xdr:nvPicPr>
        <xdr:cNvPr id="6" name="Imagen 5"/>
        <xdr:cNvPicPr>
          <a:picLocks noChangeAspect="1"/>
        </xdr:cNvPicPr>
      </xdr:nvPicPr>
      <xdr:blipFill rotWithShape="1">
        <a:blip xmlns:r="http://schemas.openxmlformats.org/officeDocument/2006/relationships" r:embed="rId18">
          <a:clrChange>
            <a:clrFrom>
              <a:srgbClr val="FFFFFF"/>
            </a:clrFrom>
            <a:clrTo>
              <a:srgbClr val="FFFFFF">
                <a:alpha val="0"/>
              </a:srgbClr>
            </a:clrTo>
          </a:clrChange>
        </a:blip>
        <a:srcRect l="29509" r="31185" b="28030"/>
        <a:stretch/>
      </xdr:blipFill>
      <xdr:spPr>
        <a:xfrm>
          <a:off x="3209925" y="1023466"/>
          <a:ext cx="2924175" cy="500534"/>
        </a:xfrm>
        <a:prstGeom prst="rect">
          <a:avLst/>
        </a:prstGeom>
      </xdr:spPr>
    </xdr:pic>
    <xdr:clientData/>
  </xdr:twoCellAnchor>
  <xdr:twoCellAnchor editAs="oneCell">
    <xdr:from>
      <xdr:col>0</xdr:col>
      <xdr:colOff>1</xdr:colOff>
      <xdr:row>3</xdr:row>
      <xdr:rowOff>85725</xdr:rowOff>
    </xdr:from>
    <xdr:to>
      <xdr:col>0</xdr:col>
      <xdr:colOff>3703361</xdr:colOff>
      <xdr:row>9</xdr:row>
      <xdr:rowOff>76200</xdr:rowOff>
    </xdr:to>
    <xdr:pic>
      <xdr:nvPicPr>
        <xdr:cNvPr id="9" name="Imagen 8"/>
        <xdr:cNvPicPr>
          <a:picLocks noChangeAspect="1"/>
        </xdr:cNvPicPr>
      </xdr:nvPicPr>
      <xdr:blipFill>
        <a:blip xmlns:r="http://schemas.openxmlformats.org/officeDocument/2006/relationships" r:embed="rId19"/>
        <a:stretch>
          <a:fillRect/>
        </a:stretch>
      </xdr:blipFill>
      <xdr:spPr>
        <a:xfrm>
          <a:off x="1" y="2019300"/>
          <a:ext cx="3703360" cy="1133475"/>
        </a:xfrm>
        <a:prstGeom prst="rect">
          <a:avLst/>
        </a:prstGeom>
      </xdr:spPr>
    </xdr:pic>
    <xdr:clientData/>
  </xdr:twoCellAnchor>
  <xdr:twoCellAnchor editAs="oneCell">
    <xdr:from>
      <xdr:col>0</xdr:col>
      <xdr:colOff>47625</xdr:colOff>
      <xdr:row>8</xdr:row>
      <xdr:rowOff>161761</xdr:rowOff>
    </xdr:from>
    <xdr:to>
      <xdr:col>0</xdr:col>
      <xdr:colOff>3733121</xdr:colOff>
      <xdr:row>21</xdr:row>
      <xdr:rowOff>104774</xdr:rowOff>
    </xdr:to>
    <xdr:pic>
      <xdr:nvPicPr>
        <xdr:cNvPr id="14" name="Imagen 13"/>
        <xdr:cNvPicPr>
          <a:picLocks noChangeAspect="1"/>
        </xdr:cNvPicPr>
      </xdr:nvPicPr>
      <xdr:blipFill>
        <a:blip xmlns:r="http://schemas.openxmlformats.org/officeDocument/2006/relationships" r:embed="rId20"/>
        <a:stretch>
          <a:fillRect/>
        </a:stretch>
      </xdr:blipFill>
      <xdr:spPr>
        <a:xfrm>
          <a:off x="47625" y="3047836"/>
          <a:ext cx="3685496" cy="2419513"/>
        </a:xfrm>
        <a:prstGeom prst="rect">
          <a:avLst/>
        </a:prstGeom>
      </xdr:spPr>
    </xdr:pic>
    <xdr:clientData/>
  </xdr:twoCellAnchor>
  <xdr:twoCellAnchor editAs="oneCell">
    <xdr:from>
      <xdr:col>1</xdr:col>
      <xdr:colOff>82124</xdr:colOff>
      <xdr:row>1</xdr:row>
      <xdr:rowOff>161925</xdr:rowOff>
    </xdr:from>
    <xdr:to>
      <xdr:col>6</xdr:col>
      <xdr:colOff>919408</xdr:colOff>
      <xdr:row>22</xdr:row>
      <xdr:rowOff>179069</xdr:rowOff>
    </xdr:to>
    <xdr:pic>
      <xdr:nvPicPr>
        <xdr:cNvPr id="15" name="Imagen 14"/>
        <xdr:cNvPicPr>
          <a:picLocks noChangeAspect="1"/>
        </xdr:cNvPicPr>
      </xdr:nvPicPr>
      <xdr:blipFill>
        <a:blip xmlns:r="http://schemas.openxmlformats.org/officeDocument/2006/relationships" r:embed="rId21"/>
        <a:stretch>
          <a:fillRect/>
        </a:stretch>
      </xdr:blipFill>
      <xdr:spPr>
        <a:xfrm>
          <a:off x="3825449" y="1714500"/>
          <a:ext cx="5790284" cy="4017644"/>
        </a:xfrm>
        <a:prstGeom prst="rect">
          <a:avLst/>
        </a:prstGeom>
      </xdr:spPr>
    </xdr:pic>
    <xdr:clientData/>
  </xdr:twoCellAnchor>
  <xdr:twoCellAnchor editAs="oneCell">
    <xdr:from>
      <xdr:col>0</xdr:col>
      <xdr:colOff>0</xdr:colOff>
      <xdr:row>23</xdr:row>
      <xdr:rowOff>0</xdr:rowOff>
    </xdr:from>
    <xdr:to>
      <xdr:col>6</xdr:col>
      <xdr:colOff>862293</xdr:colOff>
      <xdr:row>37</xdr:row>
      <xdr:rowOff>0</xdr:rowOff>
    </xdr:to>
    <xdr:pic>
      <xdr:nvPicPr>
        <xdr:cNvPr id="16" name="Imagen 15"/>
        <xdr:cNvPicPr>
          <a:picLocks noChangeAspect="1"/>
        </xdr:cNvPicPr>
      </xdr:nvPicPr>
      <xdr:blipFill>
        <a:blip xmlns:r="http://schemas.openxmlformats.org/officeDocument/2006/relationships" r:embed="rId22"/>
        <a:stretch>
          <a:fillRect/>
        </a:stretch>
      </xdr:blipFill>
      <xdr:spPr>
        <a:xfrm>
          <a:off x="0" y="5743575"/>
          <a:ext cx="9558618" cy="2667000"/>
        </a:xfrm>
        <a:prstGeom prst="rect">
          <a:avLst/>
        </a:prstGeom>
      </xdr:spPr>
    </xdr:pic>
    <xdr:clientData/>
  </xdr:twoCellAnchor>
  <xdr:twoCellAnchor editAs="oneCell">
    <xdr:from>
      <xdr:col>0</xdr:col>
      <xdr:colOff>0</xdr:colOff>
      <xdr:row>39</xdr:row>
      <xdr:rowOff>152400</xdr:rowOff>
    </xdr:from>
    <xdr:to>
      <xdr:col>1</xdr:col>
      <xdr:colOff>753376</xdr:colOff>
      <xdr:row>42</xdr:row>
      <xdr:rowOff>180975</xdr:rowOff>
    </xdr:to>
    <xdr:pic>
      <xdr:nvPicPr>
        <xdr:cNvPr id="18" name="Imagen 17"/>
        <xdr:cNvPicPr>
          <a:picLocks noChangeAspect="1"/>
        </xdr:cNvPicPr>
      </xdr:nvPicPr>
      <xdr:blipFill rotWithShape="1">
        <a:blip xmlns:r="http://schemas.openxmlformats.org/officeDocument/2006/relationships" r:embed="rId23"/>
        <a:srcRect l="12924" t="1587" r="2333" b="-1587"/>
        <a:stretch/>
      </xdr:blipFill>
      <xdr:spPr>
        <a:xfrm>
          <a:off x="0" y="8943975"/>
          <a:ext cx="4496701" cy="600075"/>
        </a:xfrm>
        <a:prstGeom prst="rect">
          <a:avLst/>
        </a:prstGeom>
      </xdr:spPr>
    </xdr:pic>
    <xdr:clientData/>
  </xdr:twoCellAnchor>
  <xdr:twoCellAnchor editAs="oneCell">
    <xdr:from>
      <xdr:col>0</xdr:col>
      <xdr:colOff>1</xdr:colOff>
      <xdr:row>42</xdr:row>
      <xdr:rowOff>85726</xdr:rowOff>
    </xdr:from>
    <xdr:to>
      <xdr:col>1</xdr:col>
      <xdr:colOff>218410</xdr:colOff>
      <xdr:row>48</xdr:row>
      <xdr:rowOff>133350</xdr:rowOff>
    </xdr:to>
    <xdr:pic>
      <xdr:nvPicPr>
        <xdr:cNvPr id="20" name="Imagen 19"/>
        <xdr:cNvPicPr>
          <a:picLocks noChangeAspect="1"/>
        </xdr:cNvPicPr>
      </xdr:nvPicPr>
      <xdr:blipFill>
        <a:blip xmlns:r="http://schemas.openxmlformats.org/officeDocument/2006/relationships" r:embed="rId24"/>
        <a:stretch>
          <a:fillRect/>
        </a:stretch>
      </xdr:blipFill>
      <xdr:spPr>
        <a:xfrm>
          <a:off x="1" y="9448801"/>
          <a:ext cx="3961734" cy="1190624"/>
        </a:xfrm>
        <a:prstGeom prst="rect">
          <a:avLst/>
        </a:prstGeom>
      </xdr:spPr>
    </xdr:pic>
    <xdr:clientData/>
  </xdr:twoCellAnchor>
  <xdr:oneCellAnchor>
    <xdr:from>
      <xdr:col>0</xdr:col>
      <xdr:colOff>142875</xdr:colOff>
      <xdr:row>55</xdr:row>
      <xdr:rowOff>85725</xdr:rowOff>
    </xdr:from>
    <xdr:ext cx="3705225" cy="1704975"/>
    <xdr:sp macro="" textlink="">
      <xdr:nvSpPr>
        <xdr:cNvPr id="63" name="16 CuadroTexto"/>
        <xdr:cNvSpPr txBox="1"/>
      </xdr:nvSpPr>
      <xdr:spPr>
        <a:xfrm>
          <a:off x="142875" y="11925300"/>
          <a:ext cx="3705225" cy="1704975"/>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pPr lvl="0"/>
          <a:r>
            <a:rPr lang="es-ES" sz="1100" b="1" i="1">
              <a:solidFill>
                <a:schemeClr val="dk1"/>
              </a:solidFill>
              <a:latin typeface="+mn-lt"/>
              <a:ea typeface="+mn-ea"/>
              <a:cs typeface="+mn-cs"/>
            </a:rPr>
            <a:t>Riesgo de GESTIÓN: </a:t>
          </a:r>
          <a:r>
            <a:rPr lang="es-ES" sz="1100" i="0">
              <a:solidFill>
                <a:schemeClr val="dk1"/>
              </a:solidFill>
              <a:latin typeface="+mn-lt"/>
              <a:ea typeface="+mn-ea"/>
              <a:cs typeface="+mn-cs"/>
            </a:rPr>
            <a:t>P</a:t>
          </a:r>
          <a:r>
            <a:rPr lang="es-ES" sz="1100">
              <a:solidFill>
                <a:schemeClr val="dk1"/>
              </a:solidFill>
              <a:latin typeface="+mn-lt"/>
              <a:ea typeface="+mn-ea"/>
              <a:cs typeface="+mn-cs"/>
            </a:rPr>
            <a:t>osibilidad de ocurrencia de un evento que pueda entorpecer el normal desarrollo de las funciones de la Universidad y afectar el logro de sus objetivos.</a:t>
          </a:r>
        </a:p>
        <a:p>
          <a:pPr lvl="0"/>
          <a:endParaRPr lang="es-ES" sz="1100">
            <a:solidFill>
              <a:schemeClr val="dk1"/>
            </a:solidFill>
            <a:latin typeface="+mn-lt"/>
            <a:ea typeface="+mn-ea"/>
            <a:cs typeface="+mn-cs"/>
          </a:endParaRPr>
        </a:p>
        <a:p>
          <a:pPr lvl="0"/>
          <a:r>
            <a:rPr lang="es-ES" sz="1100" b="1" i="1">
              <a:solidFill>
                <a:schemeClr val="dk1"/>
              </a:solidFill>
              <a:effectLst/>
              <a:latin typeface="+mn-lt"/>
              <a:ea typeface="+mn-ea"/>
              <a:cs typeface="+mn-cs"/>
            </a:rPr>
            <a:t>Riesgo de CORRUPCIÓN</a:t>
          </a:r>
          <a:r>
            <a:rPr lang="es-ES" sz="1100" b="1">
              <a:solidFill>
                <a:schemeClr val="dk1"/>
              </a:solidFill>
              <a:effectLst/>
              <a:latin typeface="+mn-lt"/>
              <a:ea typeface="+mn-ea"/>
              <a:cs typeface="+mn-cs"/>
            </a:rPr>
            <a:t>: </a:t>
          </a:r>
          <a:r>
            <a:rPr lang="es-CO" sz="1100">
              <a:solidFill>
                <a:schemeClr val="dk1"/>
              </a:solidFill>
              <a:effectLst/>
              <a:latin typeface="+mn-lt"/>
              <a:ea typeface="+mn-ea"/>
              <a:cs typeface="+mn-cs"/>
            </a:rPr>
            <a:t>Posibilidad de que por acción u omisión, mediante el uso indebido del poder, de los recursos o de la información, se lesionen los intereses de laUniversidad y en consecuencia del Estado, para la obtención de un beneficio particular</a:t>
          </a:r>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endParaRPr lang="es-ES" sz="1100">
            <a:solidFill>
              <a:schemeClr val="dk1"/>
            </a:solidFill>
            <a:latin typeface="+mn-lt"/>
            <a:ea typeface="+mn-ea"/>
            <a:cs typeface="+mn-cs"/>
          </a:endParaRPr>
        </a:p>
      </xdr:txBody>
    </xdr:sp>
    <xdr:clientData/>
  </xdr:oneCellAnchor>
  <xdr:twoCellAnchor editAs="oneCell">
    <xdr:from>
      <xdr:col>0</xdr:col>
      <xdr:colOff>1</xdr:colOff>
      <xdr:row>48</xdr:row>
      <xdr:rowOff>161925</xdr:rowOff>
    </xdr:from>
    <xdr:to>
      <xdr:col>1</xdr:col>
      <xdr:colOff>190500</xdr:colOff>
      <xdr:row>54</xdr:row>
      <xdr:rowOff>28575</xdr:rowOff>
    </xdr:to>
    <xdr:pic>
      <xdr:nvPicPr>
        <xdr:cNvPr id="25" name="Imagen 24"/>
        <xdr:cNvPicPr>
          <a:picLocks noChangeAspect="1"/>
        </xdr:cNvPicPr>
      </xdr:nvPicPr>
      <xdr:blipFill>
        <a:blip xmlns:r="http://schemas.openxmlformats.org/officeDocument/2006/relationships" r:embed="rId25"/>
        <a:stretch>
          <a:fillRect/>
        </a:stretch>
      </xdr:blipFill>
      <xdr:spPr>
        <a:xfrm>
          <a:off x="1" y="10668000"/>
          <a:ext cx="3933824" cy="1009650"/>
        </a:xfrm>
        <a:prstGeom prst="rect">
          <a:avLst/>
        </a:prstGeom>
      </xdr:spPr>
    </xdr:pic>
    <xdr:clientData/>
  </xdr:twoCellAnchor>
  <xdr:twoCellAnchor editAs="oneCell">
    <xdr:from>
      <xdr:col>0</xdr:col>
      <xdr:colOff>0</xdr:colOff>
      <xdr:row>106</xdr:row>
      <xdr:rowOff>0</xdr:rowOff>
    </xdr:from>
    <xdr:to>
      <xdr:col>2</xdr:col>
      <xdr:colOff>215541</xdr:colOff>
      <xdr:row>109</xdr:row>
      <xdr:rowOff>57150</xdr:rowOff>
    </xdr:to>
    <xdr:pic>
      <xdr:nvPicPr>
        <xdr:cNvPr id="2" name="Imagen 1"/>
        <xdr:cNvPicPr>
          <a:picLocks noChangeAspect="1"/>
        </xdr:cNvPicPr>
      </xdr:nvPicPr>
      <xdr:blipFill rotWithShape="1">
        <a:blip xmlns:r="http://schemas.openxmlformats.org/officeDocument/2006/relationships" r:embed="rId26"/>
        <a:srcRect l="10965"/>
        <a:stretch/>
      </xdr:blipFill>
      <xdr:spPr>
        <a:xfrm>
          <a:off x="0" y="21555075"/>
          <a:ext cx="4949466" cy="628650"/>
        </a:xfrm>
        <a:prstGeom prst="rect">
          <a:avLst/>
        </a:prstGeom>
      </xdr:spPr>
    </xdr:pic>
    <xdr:clientData/>
  </xdr:twoCellAnchor>
  <xdr:twoCellAnchor editAs="oneCell">
    <xdr:from>
      <xdr:col>0</xdr:col>
      <xdr:colOff>1</xdr:colOff>
      <xdr:row>108</xdr:row>
      <xdr:rowOff>133351</xdr:rowOff>
    </xdr:from>
    <xdr:to>
      <xdr:col>1</xdr:col>
      <xdr:colOff>600076</xdr:colOff>
      <xdr:row>113</xdr:row>
      <xdr:rowOff>156320</xdr:rowOff>
    </xdr:to>
    <xdr:pic>
      <xdr:nvPicPr>
        <xdr:cNvPr id="8" name="Imagen 7"/>
        <xdr:cNvPicPr>
          <a:picLocks noChangeAspect="1"/>
        </xdr:cNvPicPr>
      </xdr:nvPicPr>
      <xdr:blipFill>
        <a:blip xmlns:r="http://schemas.openxmlformats.org/officeDocument/2006/relationships" r:embed="rId27"/>
        <a:stretch>
          <a:fillRect/>
        </a:stretch>
      </xdr:blipFill>
      <xdr:spPr>
        <a:xfrm>
          <a:off x="1" y="22069426"/>
          <a:ext cx="4343400" cy="975469"/>
        </a:xfrm>
        <a:prstGeom prst="rect">
          <a:avLst/>
        </a:prstGeom>
      </xdr:spPr>
    </xdr:pic>
    <xdr:clientData/>
  </xdr:twoCellAnchor>
  <xdr:oneCellAnchor>
    <xdr:from>
      <xdr:col>2</xdr:col>
      <xdr:colOff>1</xdr:colOff>
      <xdr:row>153</xdr:row>
      <xdr:rowOff>190499</xdr:rowOff>
    </xdr:from>
    <xdr:ext cx="4838699" cy="6486525"/>
    <xdr:sp macro="" textlink="">
      <xdr:nvSpPr>
        <xdr:cNvPr id="48" name="22 CuadroTexto"/>
        <xdr:cNvSpPr txBox="1"/>
      </xdr:nvSpPr>
      <xdr:spPr>
        <a:xfrm>
          <a:off x="4733926" y="30699074"/>
          <a:ext cx="4838699" cy="6486525"/>
        </a:xfrm>
        <a:prstGeom prst="rect">
          <a:avLst/>
        </a:prstGeom>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Entendiéndose por </a:t>
          </a:r>
        </a:p>
        <a:p>
          <a:r>
            <a:rPr lang="es-ES" sz="1100" i="1">
              <a:solidFill>
                <a:schemeClr val="dk1"/>
              </a:solidFill>
              <a:latin typeface="+mn-lt"/>
              <a:ea typeface="+mn-ea"/>
              <a:cs typeface="+mn-cs"/>
            </a:rPr>
            <a:t>posibilidad de ocurrencia del Riesgo</a:t>
          </a:r>
          <a:r>
            <a:rPr lang="es-ES" sz="1100">
              <a:solidFill>
                <a:schemeClr val="dk1"/>
              </a:solidFill>
              <a:latin typeface="+mn-lt"/>
              <a:ea typeface="+mn-ea"/>
              <a:cs typeface="+mn-cs"/>
            </a:rPr>
            <a:t>, la frecuencia la presencia de factores internos y externos que pueden propiciar el riesgo de gestión, aunque éste no se haya presentado nunca.  </a:t>
          </a:r>
        </a:p>
        <a:p>
          <a:endParaRPr lang="es-ES" sz="1100">
            <a:solidFill>
              <a:schemeClr val="dk1"/>
            </a:solidFill>
            <a:latin typeface="+mn-lt"/>
            <a:ea typeface="+mn-ea"/>
            <a:cs typeface="+mn-cs"/>
          </a:endParaRPr>
        </a:p>
        <a:p>
          <a:r>
            <a:rPr lang="es-ES" sz="1100">
              <a:solidFill>
                <a:schemeClr val="dk1"/>
              </a:solidFill>
              <a:latin typeface="+mn-lt"/>
              <a:ea typeface="+mn-ea"/>
              <a:cs typeface="+mn-cs"/>
            </a:rPr>
            <a:t>Y como</a:t>
          </a:r>
        </a:p>
        <a:p>
          <a:pPr algn="just"/>
          <a:r>
            <a:rPr lang="es-ES" sz="1100" i="1">
              <a:solidFill>
                <a:schemeClr val="dk1"/>
              </a:solidFill>
              <a:latin typeface="+mn-lt"/>
              <a:ea typeface="+mn-ea"/>
              <a:cs typeface="+mn-cs"/>
            </a:rPr>
            <a:t>Impacto (En Riesgos de Gestión - RG)</a:t>
          </a:r>
          <a:r>
            <a:rPr lang="es-ES" sz="1100">
              <a:solidFill>
                <a:schemeClr val="dk1"/>
              </a:solidFill>
              <a:latin typeface="+mn-lt"/>
              <a:ea typeface="+mn-ea"/>
              <a:cs typeface="+mn-cs"/>
            </a:rPr>
            <a:t>, el efecto o consecuencias que puede ocasionar al proceso y a la Universidad la materialización del riesgo de gestión.</a:t>
          </a:r>
        </a:p>
        <a:p>
          <a:pPr algn="just"/>
          <a:r>
            <a:rPr lang="es-ES" sz="1100" i="1">
              <a:solidFill>
                <a:schemeClr val="dk1"/>
              </a:solidFill>
              <a:effectLst/>
              <a:latin typeface="+mn-lt"/>
              <a:ea typeface="+mn-ea"/>
              <a:cs typeface="+mn-cs"/>
            </a:rPr>
            <a:t>Impacto (En Riesgos de Corrupción- RC), </a:t>
          </a:r>
          <a:r>
            <a:rPr lang="es-ES" sz="1100">
              <a:solidFill>
                <a:schemeClr val="dk1"/>
              </a:solidFill>
              <a:latin typeface="+mn-lt"/>
              <a:ea typeface="+mn-ea"/>
              <a:cs typeface="+mn-cs"/>
            </a:rPr>
            <a:t>el impacto de la materialización de un riesgo de corrupción es único, por cuanto lesiona la imagen, la credibilidad, la transparencia y la probidad de las entidades y del Estado, afectando los recursos públicos, la confianza y el cumplimiento de las funciones de la administración, siendo por tanto inaceptable la materialización de un riesgo de corrupción.</a:t>
          </a:r>
        </a:p>
        <a:p>
          <a:r>
            <a:rPr lang="es-ES" sz="1100">
              <a:solidFill>
                <a:schemeClr val="dk1"/>
              </a:solidFill>
              <a:latin typeface="+mn-lt"/>
              <a:ea typeface="+mn-ea"/>
              <a:cs typeface="+mn-cs"/>
            </a:rPr>
            <a:t> </a:t>
          </a:r>
        </a:p>
        <a:p>
          <a:r>
            <a:rPr lang="es-ES" sz="1100">
              <a:solidFill>
                <a:schemeClr val="dk1"/>
              </a:solidFill>
              <a:latin typeface="+mn-lt"/>
              <a:ea typeface="+mn-ea"/>
              <a:cs typeface="+mn-cs"/>
            </a:rPr>
            <a:t>Para adelantar el análisis del riesgo se deben considerar los siguientes aspectos, así como sus análisis cualitativos y cuantitativos:</a:t>
          </a:r>
        </a:p>
        <a:p>
          <a:r>
            <a:rPr lang="es-ES" sz="1100">
              <a:solidFill>
                <a:schemeClr val="dk1"/>
              </a:solidFill>
              <a:latin typeface="+mn-lt"/>
              <a:ea typeface="+mn-ea"/>
              <a:cs typeface="+mn-cs"/>
            </a:rPr>
            <a:t> </a:t>
          </a:r>
        </a:p>
        <a:p>
          <a:pPr lvl="0"/>
          <a:r>
            <a:rPr lang="es-ES" sz="1100">
              <a:solidFill>
                <a:schemeClr val="dk1"/>
              </a:solidFill>
              <a:latin typeface="+mn-lt"/>
              <a:ea typeface="+mn-ea"/>
              <a:cs typeface="+mn-cs"/>
            </a:rPr>
            <a:t>La </a:t>
          </a:r>
          <a:r>
            <a:rPr lang="es-ES" sz="1100" i="1">
              <a:solidFill>
                <a:schemeClr val="dk1"/>
              </a:solidFill>
              <a:latin typeface="+mn-lt"/>
              <a:ea typeface="+mn-ea"/>
              <a:cs typeface="+mn-cs"/>
            </a:rPr>
            <a:t>Calificación del Riesgo: </a:t>
          </a:r>
          <a:r>
            <a:rPr lang="es-ES" sz="1100">
              <a:solidFill>
                <a:schemeClr val="dk1"/>
              </a:solidFill>
              <a:latin typeface="+mn-lt"/>
              <a:ea typeface="+mn-ea"/>
              <a:cs typeface="+mn-cs"/>
            </a:rPr>
            <a:t>deben calificar cada riesgo identificado mediante el elemento anterior, a través del análisis cualitativo y/o cuantitativo que le haga a la posibilidad de ocurrencia del riesgo y el impacto (RG) de éste. </a:t>
          </a:r>
        </a:p>
        <a:p>
          <a:pPr marL="0" marR="0" lvl="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La </a:t>
          </a:r>
          <a:r>
            <a:rPr lang="es-ES" sz="1100" i="1">
              <a:solidFill>
                <a:schemeClr val="dk1"/>
              </a:solidFill>
              <a:latin typeface="+mn-lt"/>
              <a:ea typeface="+mn-ea"/>
              <a:cs typeface="+mn-cs"/>
            </a:rPr>
            <a:t>Evaluación del Riesgo: </a:t>
          </a:r>
          <a:r>
            <a:rPr lang="es-ES" sz="1100">
              <a:solidFill>
                <a:schemeClr val="dk1"/>
              </a:solidFill>
              <a:latin typeface="+mn-lt"/>
              <a:ea typeface="+mn-ea"/>
              <a:cs typeface="+mn-cs"/>
            </a:rPr>
            <a:t>permite comparar los resultados de su calificación, con los criterios definidos para establecer el grado de exposición de la Universidad al riesgo, ubicándolo en una zona de riesgo y de esta forma distinguir entre los riesgos Bajos, Moderados, altos o Extremos y fijar las prioridades de las acciones requeridas para su tratamiento.</a:t>
          </a:r>
        </a:p>
        <a:p>
          <a:pPr algn="just"/>
          <a:endParaRPr lang="es-ES" sz="1100" baseline="0">
            <a:solidFill>
              <a:schemeClr val="dk1"/>
            </a:solidFill>
            <a:latin typeface="+mn-lt"/>
            <a:ea typeface="+mn-ea"/>
            <a:cs typeface="+mn-cs"/>
          </a:endParaRPr>
        </a:p>
        <a:p>
          <a:pPr algn="just"/>
          <a:r>
            <a:rPr lang="es-ES" sz="1100">
              <a:solidFill>
                <a:schemeClr val="dk1"/>
              </a:solidFill>
              <a:latin typeface="+mn-lt"/>
              <a:ea typeface="+mn-ea"/>
              <a:cs typeface="+mn-cs"/>
            </a:rPr>
            <a:t>Con el Elemento Análisis de Riesgos y su diligenciamiento, se busca que el proceso o la Universidad obtenga los siguientes resultados:</a:t>
          </a:r>
        </a:p>
        <a:p>
          <a:pPr algn="just"/>
          <a:r>
            <a:rPr lang="es-ES" sz="1100">
              <a:solidFill>
                <a:schemeClr val="dk1"/>
              </a:solidFill>
              <a:latin typeface="+mn-lt"/>
              <a:ea typeface="+mn-ea"/>
              <a:cs typeface="+mn-cs"/>
            </a:rPr>
            <a:t> </a:t>
          </a:r>
        </a:p>
        <a:p>
          <a:pPr lvl="0" algn="just"/>
          <a:r>
            <a:rPr lang="es-ES" sz="1100">
              <a:solidFill>
                <a:schemeClr val="dk1"/>
              </a:solidFill>
              <a:latin typeface="+mn-lt"/>
              <a:ea typeface="+mn-ea"/>
              <a:cs typeface="+mn-cs"/>
            </a:rPr>
            <a:t>Establecer la posibilidad de ocurrencia de los riesgos, que pueden disminuir la capacidad de proceso y la Universidad, para cumplir su propósito.</a:t>
          </a:r>
        </a:p>
        <a:p>
          <a:pPr algn="just"/>
          <a:r>
            <a:rPr lang="es-ES" sz="1100">
              <a:solidFill>
                <a:schemeClr val="dk1"/>
              </a:solidFill>
              <a:latin typeface="+mn-lt"/>
              <a:ea typeface="+mn-ea"/>
              <a:cs typeface="+mn-cs"/>
            </a:rPr>
            <a:t> </a:t>
          </a:r>
        </a:p>
        <a:p>
          <a:pPr lvl="0" algn="just"/>
          <a:r>
            <a:rPr lang="es-ES" sz="1100">
              <a:solidFill>
                <a:schemeClr val="dk1"/>
              </a:solidFill>
              <a:latin typeface="+mn-lt"/>
              <a:ea typeface="+mn-ea"/>
              <a:cs typeface="+mn-cs"/>
            </a:rPr>
            <a:t> Medir el impacto (en RG), las consecuencias del riesgo sobre las personas, los recursos, los objetivos institucionales o el desarrollo de los procesos.</a:t>
          </a:r>
        </a:p>
        <a:p>
          <a:pPr algn="just"/>
          <a:r>
            <a:rPr lang="es-ES" sz="1100">
              <a:solidFill>
                <a:schemeClr val="dk1"/>
              </a:solidFill>
              <a:latin typeface="+mn-lt"/>
              <a:ea typeface="+mn-ea"/>
              <a:cs typeface="+mn-cs"/>
            </a:rPr>
            <a:t> </a:t>
          </a:r>
        </a:p>
        <a:p>
          <a:pPr lvl="0" algn="just"/>
          <a:r>
            <a:rPr lang="es-ES" sz="1100">
              <a:solidFill>
                <a:schemeClr val="dk1"/>
              </a:solidFill>
              <a:latin typeface="+mn-lt"/>
              <a:ea typeface="+mn-ea"/>
              <a:cs typeface="+mn-cs"/>
            </a:rPr>
            <a:t> Establecer criterios de calificación y evaluación de los riesgos que permiten tomar decisiones pertinentes sobre su tratamiento.</a:t>
          </a:r>
          <a:endParaRPr lang="es-ES" sz="1100" baseline="0">
            <a:solidFill>
              <a:schemeClr val="dk1"/>
            </a:solidFill>
            <a:latin typeface="+mn-lt"/>
            <a:ea typeface="+mn-ea"/>
            <a:cs typeface="+mn-cs"/>
          </a:endParaRPr>
        </a:p>
      </xdr:txBody>
    </xdr:sp>
    <xdr:clientData/>
  </xdr:oneCellAnchor>
  <xdr:twoCellAnchor editAs="oneCell">
    <xdr:from>
      <xdr:col>0</xdr:col>
      <xdr:colOff>0</xdr:colOff>
      <xdr:row>163</xdr:row>
      <xdr:rowOff>142876</xdr:rowOff>
    </xdr:from>
    <xdr:to>
      <xdr:col>2</xdr:col>
      <xdr:colOff>0</xdr:colOff>
      <xdr:row>169</xdr:row>
      <xdr:rowOff>46978</xdr:rowOff>
    </xdr:to>
    <xdr:pic>
      <xdr:nvPicPr>
        <xdr:cNvPr id="10" name="Imagen 9"/>
        <xdr:cNvPicPr>
          <a:picLocks noChangeAspect="1"/>
        </xdr:cNvPicPr>
      </xdr:nvPicPr>
      <xdr:blipFill>
        <a:blip xmlns:r="http://schemas.openxmlformats.org/officeDocument/2006/relationships" r:embed="rId28"/>
        <a:stretch>
          <a:fillRect/>
        </a:stretch>
      </xdr:blipFill>
      <xdr:spPr>
        <a:xfrm>
          <a:off x="0" y="32556451"/>
          <a:ext cx="4733925" cy="1047102"/>
        </a:xfrm>
        <a:prstGeom prst="rect">
          <a:avLst/>
        </a:prstGeom>
      </xdr:spPr>
    </xdr:pic>
    <xdr:clientData/>
  </xdr:twoCellAnchor>
  <xdr:twoCellAnchor editAs="oneCell">
    <xdr:from>
      <xdr:col>0</xdr:col>
      <xdr:colOff>0</xdr:colOff>
      <xdr:row>170</xdr:row>
      <xdr:rowOff>0</xdr:rowOff>
    </xdr:from>
    <xdr:to>
      <xdr:col>1</xdr:col>
      <xdr:colOff>914400</xdr:colOff>
      <xdr:row>174</xdr:row>
      <xdr:rowOff>4624</xdr:rowOff>
    </xdr:to>
    <xdr:pic>
      <xdr:nvPicPr>
        <xdr:cNvPr id="12" name="Imagen 11"/>
        <xdr:cNvPicPr>
          <a:picLocks noChangeAspect="1"/>
        </xdr:cNvPicPr>
      </xdr:nvPicPr>
      <xdr:blipFill>
        <a:blip xmlns:r="http://schemas.openxmlformats.org/officeDocument/2006/relationships" r:embed="rId29"/>
        <a:stretch>
          <a:fillRect/>
        </a:stretch>
      </xdr:blipFill>
      <xdr:spPr>
        <a:xfrm>
          <a:off x="0" y="33747075"/>
          <a:ext cx="4657725" cy="766624"/>
        </a:xfrm>
        <a:prstGeom prst="rect">
          <a:avLst/>
        </a:prstGeom>
      </xdr:spPr>
    </xdr:pic>
    <xdr:clientData/>
  </xdr:twoCellAnchor>
  <xdr:twoCellAnchor editAs="oneCell">
    <xdr:from>
      <xdr:col>0</xdr:col>
      <xdr:colOff>0</xdr:colOff>
      <xdr:row>174</xdr:row>
      <xdr:rowOff>0</xdr:rowOff>
    </xdr:from>
    <xdr:to>
      <xdr:col>1</xdr:col>
      <xdr:colOff>933450</xdr:colOff>
      <xdr:row>176</xdr:row>
      <xdr:rowOff>27213</xdr:rowOff>
    </xdr:to>
    <xdr:pic>
      <xdr:nvPicPr>
        <xdr:cNvPr id="19" name="Imagen 18"/>
        <xdr:cNvPicPr>
          <a:picLocks noChangeAspect="1"/>
        </xdr:cNvPicPr>
      </xdr:nvPicPr>
      <xdr:blipFill>
        <a:blip xmlns:r="http://schemas.openxmlformats.org/officeDocument/2006/relationships" r:embed="rId30"/>
        <a:stretch>
          <a:fillRect/>
        </a:stretch>
      </xdr:blipFill>
      <xdr:spPr>
        <a:xfrm>
          <a:off x="0" y="34509075"/>
          <a:ext cx="4676775" cy="408213"/>
        </a:xfrm>
        <a:prstGeom prst="rect">
          <a:avLst/>
        </a:prstGeom>
      </xdr:spPr>
    </xdr:pic>
    <xdr:clientData/>
  </xdr:twoCellAnchor>
  <xdr:twoCellAnchor editAs="oneCell">
    <xdr:from>
      <xdr:col>0</xdr:col>
      <xdr:colOff>0</xdr:colOff>
      <xdr:row>177</xdr:row>
      <xdr:rowOff>0</xdr:rowOff>
    </xdr:from>
    <xdr:to>
      <xdr:col>2</xdr:col>
      <xdr:colOff>95250</xdr:colOff>
      <xdr:row>179</xdr:row>
      <xdr:rowOff>19542</xdr:rowOff>
    </xdr:to>
    <xdr:pic>
      <xdr:nvPicPr>
        <xdr:cNvPr id="26" name="Imagen 25"/>
        <xdr:cNvPicPr>
          <a:picLocks noChangeAspect="1"/>
        </xdr:cNvPicPr>
      </xdr:nvPicPr>
      <xdr:blipFill>
        <a:blip xmlns:r="http://schemas.openxmlformats.org/officeDocument/2006/relationships" r:embed="rId31"/>
        <a:stretch>
          <a:fillRect/>
        </a:stretch>
      </xdr:blipFill>
      <xdr:spPr>
        <a:xfrm>
          <a:off x="0" y="35080575"/>
          <a:ext cx="4829175" cy="400542"/>
        </a:xfrm>
        <a:prstGeom prst="rect">
          <a:avLst/>
        </a:prstGeom>
      </xdr:spPr>
    </xdr:pic>
    <xdr:clientData/>
  </xdr:twoCellAnchor>
  <xdr:twoCellAnchor editAs="oneCell">
    <xdr:from>
      <xdr:col>0</xdr:col>
      <xdr:colOff>485775</xdr:colOff>
      <xdr:row>179</xdr:row>
      <xdr:rowOff>0</xdr:rowOff>
    </xdr:from>
    <xdr:to>
      <xdr:col>0</xdr:col>
      <xdr:colOff>3219450</xdr:colOff>
      <xdr:row>184</xdr:row>
      <xdr:rowOff>166928</xdr:rowOff>
    </xdr:to>
    <xdr:pic>
      <xdr:nvPicPr>
        <xdr:cNvPr id="29" name="Imagen 28"/>
        <xdr:cNvPicPr>
          <a:picLocks noChangeAspect="1"/>
        </xdr:cNvPicPr>
      </xdr:nvPicPr>
      <xdr:blipFill>
        <a:blip xmlns:r="http://schemas.openxmlformats.org/officeDocument/2006/relationships" r:embed="rId32"/>
        <a:stretch>
          <a:fillRect/>
        </a:stretch>
      </xdr:blipFill>
      <xdr:spPr>
        <a:xfrm>
          <a:off x="485775" y="35461575"/>
          <a:ext cx="2733675" cy="1119428"/>
        </a:xfrm>
        <a:prstGeom prst="rect">
          <a:avLst/>
        </a:prstGeom>
      </xdr:spPr>
    </xdr:pic>
    <xdr:clientData/>
  </xdr:twoCellAnchor>
  <xdr:twoCellAnchor editAs="oneCell">
    <xdr:from>
      <xdr:col>0</xdr:col>
      <xdr:colOff>0</xdr:colOff>
      <xdr:row>191</xdr:row>
      <xdr:rowOff>171449</xdr:rowOff>
    </xdr:from>
    <xdr:to>
      <xdr:col>2</xdr:col>
      <xdr:colOff>32705</xdr:colOff>
      <xdr:row>195</xdr:row>
      <xdr:rowOff>76200</xdr:rowOff>
    </xdr:to>
    <xdr:pic>
      <xdr:nvPicPr>
        <xdr:cNvPr id="3" name="Imagen 2"/>
        <xdr:cNvPicPr>
          <a:picLocks noChangeAspect="1"/>
        </xdr:cNvPicPr>
      </xdr:nvPicPr>
      <xdr:blipFill rotWithShape="1">
        <a:blip xmlns:r="http://schemas.openxmlformats.org/officeDocument/2006/relationships" r:embed="rId33"/>
        <a:srcRect l="11018"/>
        <a:stretch/>
      </xdr:blipFill>
      <xdr:spPr>
        <a:xfrm>
          <a:off x="0" y="37919024"/>
          <a:ext cx="4766630" cy="666751"/>
        </a:xfrm>
        <a:prstGeom prst="rect">
          <a:avLst/>
        </a:prstGeom>
      </xdr:spPr>
    </xdr:pic>
    <xdr:clientData/>
  </xdr:twoCellAnchor>
  <xdr:twoCellAnchor editAs="oneCell">
    <xdr:from>
      <xdr:col>0</xdr:col>
      <xdr:colOff>0</xdr:colOff>
      <xdr:row>194</xdr:row>
      <xdr:rowOff>161925</xdr:rowOff>
    </xdr:from>
    <xdr:to>
      <xdr:col>1</xdr:col>
      <xdr:colOff>634841</xdr:colOff>
      <xdr:row>201</xdr:row>
      <xdr:rowOff>0</xdr:rowOff>
    </xdr:to>
    <xdr:pic>
      <xdr:nvPicPr>
        <xdr:cNvPr id="13" name="Imagen 12"/>
        <xdr:cNvPicPr>
          <a:picLocks noChangeAspect="1"/>
        </xdr:cNvPicPr>
      </xdr:nvPicPr>
      <xdr:blipFill>
        <a:blip xmlns:r="http://schemas.openxmlformats.org/officeDocument/2006/relationships" r:embed="rId34"/>
        <a:stretch>
          <a:fillRect/>
        </a:stretch>
      </xdr:blipFill>
      <xdr:spPr>
        <a:xfrm>
          <a:off x="0" y="38481000"/>
          <a:ext cx="4378166" cy="1171575"/>
        </a:xfrm>
        <a:prstGeom prst="rect">
          <a:avLst/>
        </a:prstGeom>
      </xdr:spPr>
    </xdr:pic>
    <xdr:clientData/>
  </xdr:twoCellAnchor>
  <xdr:twoCellAnchor editAs="oneCell">
    <xdr:from>
      <xdr:col>0</xdr:col>
      <xdr:colOff>0</xdr:colOff>
      <xdr:row>221</xdr:row>
      <xdr:rowOff>9526</xdr:rowOff>
    </xdr:from>
    <xdr:to>
      <xdr:col>1</xdr:col>
      <xdr:colOff>18158</xdr:colOff>
      <xdr:row>227</xdr:row>
      <xdr:rowOff>47626</xdr:rowOff>
    </xdr:to>
    <xdr:pic>
      <xdr:nvPicPr>
        <xdr:cNvPr id="21" name="Imagen 20"/>
        <xdr:cNvPicPr>
          <a:picLocks noChangeAspect="1"/>
        </xdr:cNvPicPr>
      </xdr:nvPicPr>
      <xdr:blipFill>
        <a:blip xmlns:r="http://schemas.openxmlformats.org/officeDocument/2006/relationships" r:embed="rId35"/>
        <a:stretch>
          <a:fillRect/>
        </a:stretch>
      </xdr:blipFill>
      <xdr:spPr>
        <a:xfrm>
          <a:off x="0" y="43472101"/>
          <a:ext cx="3761483" cy="1181100"/>
        </a:xfrm>
        <a:prstGeom prst="rect">
          <a:avLst/>
        </a:prstGeom>
      </xdr:spPr>
    </xdr:pic>
    <xdr:clientData/>
  </xdr:twoCellAnchor>
  <xdr:twoCellAnchor editAs="oneCell">
    <xdr:from>
      <xdr:col>1</xdr:col>
      <xdr:colOff>857250</xdr:colOff>
      <xdr:row>224</xdr:row>
      <xdr:rowOff>161926</xdr:rowOff>
    </xdr:from>
    <xdr:to>
      <xdr:col>5</xdr:col>
      <xdr:colOff>641268</xdr:colOff>
      <xdr:row>229</xdr:row>
      <xdr:rowOff>38100</xdr:rowOff>
    </xdr:to>
    <xdr:pic>
      <xdr:nvPicPr>
        <xdr:cNvPr id="22" name="Imagen 21"/>
        <xdr:cNvPicPr>
          <a:picLocks noChangeAspect="1"/>
        </xdr:cNvPicPr>
      </xdr:nvPicPr>
      <xdr:blipFill>
        <a:blip xmlns:r="http://schemas.openxmlformats.org/officeDocument/2006/relationships" r:embed="rId36"/>
        <a:stretch>
          <a:fillRect/>
        </a:stretch>
      </xdr:blipFill>
      <xdr:spPr>
        <a:xfrm>
          <a:off x="4600575" y="44196001"/>
          <a:ext cx="3746418" cy="828674"/>
        </a:xfrm>
        <a:prstGeom prst="rect">
          <a:avLst/>
        </a:prstGeom>
      </xdr:spPr>
    </xdr:pic>
    <xdr:clientData/>
  </xdr:twoCellAnchor>
  <xdr:twoCellAnchor editAs="oneCell">
    <xdr:from>
      <xdr:col>0</xdr:col>
      <xdr:colOff>0</xdr:colOff>
      <xdr:row>249</xdr:row>
      <xdr:rowOff>171450</xdr:rowOff>
    </xdr:from>
    <xdr:to>
      <xdr:col>2</xdr:col>
      <xdr:colOff>240304</xdr:colOff>
      <xdr:row>253</xdr:row>
      <xdr:rowOff>28575</xdr:rowOff>
    </xdr:to>
    <xdr:pic>
      <xdr:nvPicPr>
        <xdr:cNvPr id="28" name="Imagen 27"/>
        <xdr:cNvPicPr>
          <a:picLocks noChangeAspect="1"/>
        </xdr:cNvPicPr>
      </xdr:nvPicPr>
      <xdr:blipFill>
        <a:blip xmlns:r="http://schemas.openxmlformats.org/officeDocument/2006/relationships" r:embed="rId37"/>
        <a:stretch>
          <a:fillRect/>
        </a:stretch>
      </xdr:blipFill>
      <xdr:spPr>
        <a:xfrm>
          <a:off x="0" y="48968025"/>
          <a:ext cx="4974229" cy="619125"/>
        </a:xfrm>
        <a:prstGeom prst="rect">
          <a:avLst/>
        </a:prstGeom>
      </xdr:spPr>
    </xdr:pic>
    <xdr:clientData/>
  </xdr:twoCellAnchor>
  <xdr:twoCellAnchor editAs="oneCell">
    <xdr:from>
      <xdr:col>0</xdr:col>
      <xdr:colOff>1</xdr:colOff>
      <xdr:row>253</xdr:row>
      <xdr:rowOff>0</xdr:rowOff>
    </xdr:from>
    <xdr:to>
      <xdr:col>1</xdr:col>
      <xdr:colOff>962026</xdr:colOff>
      <xdr:row>260</xdr:row>
      <xdr:rowOff>161925</xdr:rowOff>
    </xdr:to>
    <xdr:pic>
      <xdr:nvPicPr>
        <xdr:cNvPr id="31" name="Imagen 30"/>
        <xdr:cNvPicPr>
          <a:picLocks noChangeAspect="1"/>
        </xdr:cNvPicPr>
      </xdr:nvPicPr>
      <xdr:blipFill>
        <a:blip xmlns:r="http://schemas.openxmlformats.org/officeDocument/2006/relationships" r:embed="rId38"/>
        <a:stretch>
          <a:fillRect/>
        </a:stretch>
      </xdr:blipFill>
      <xdr:spPr>
        <a:xfrm>
          <a:off x="1" y="49558575"/>
          <a:ext cx="4705350" cy="1495425"/>
        </a:xfrm>
        <a:prstGeom prst="rect">
          <a:avLst/>
        </a:prstGeom>
      </xdr:spPr>
    </xdr:pic>
    <xdr:clientData/>
  </xdr:twoCellAnchor>
  <xdr:twoCellAnchor editAs="oneCell">
    <xdr:from>
      <xdr:col>0</xdr:col>
      <xdr:colOff>0</xdr:colOff>
      <xdr:row>260</xdr:row>
      <xdr:rowOff>171450</xdr:rowOff>
    </xdr:from>
    <xdr:to>
      <xdr:col>1</xdr:col>
      <xdr:colOff>942975</xdr:colOff>
      <xdr:row>262</xdr:row>
      <xdr:rowOff>179142</xdr:rowOff>
    </xdr:to>
    <xdr:pic>
      <xdr:nvPicPr>
        <xdr:cNvPr id="33" name="Imagen 32"/>
        <xdr:cNvPicPr>
          <a:picLocks noChangeAspect="1"/>
        </xdr:cNvPicPr>
      </xdr:nvPicPr>
      <xdr:blipFill>
        <a:blip xmlns:r="http://schemas.openxmlformats.org/officeDocument/2006/relationships" r:embed="rId39"/>
        <a:stretch>
          <a:fillRect/>
        </a:stretch>
      </xdr:blipFill>
      <xdr:spPr>
        <a:xfrm>
          <a:off x="0" y="51063525"/>
          <a:ext cx="4686300" cy="388692"/>
        </a:xfrm>
        <a:prstGeom prst="rect">
          <a:avLst/>
        </a:prstGeom>
      </xdr:spPr>
    </xdr:pic>
    <xdr:clientData/>
  </xdr:twoCellAnchor>
  <xdr:twoCellAnchor editAs="oneCell">
    <xdr:from>
      <xdr:col>0</xdr:col>
      <xdr:colOff>0</xdr:colOff>
      <xdr:row>284</xdr:row>
      <xdr:rowOff>190499</xdr:rowOff>
    </xdr:from>
    <xdr:to>
      <xdr:col>2</xdr:col>
      <xdr:colOff>663509</xdr:colOff>
      <xdr:row>287</xdr:row>
      <xdr:rowOff>66674</xdr:rowOff>
    </xdr:to>
    <xdr:pic>
      <xdr:nvPicPr>
        <xdr:cNvPr id="35" name="Imagen 34"/>
        <xdr:cNvPicPr>
          <a:picLocks noChangeAspect="1"/>
        </xdr:cNvPicPr>
      </xdr:nvPicPr>
      <xdr:blipFill>
        <a:blip xmlns:r="http://schemas.openxmlformats.org/officeDocument/2006/relationships" r:embed="rId40"/>
        <a:stretch>
          <a:fillRect/>
        </a:stretch>
      </xdr:blipFill>
      <xdr:spPr>
        <a:xfrm>
          <a:off x="0" y="55654574"/>
          <a:ext cx="5397434" cy="447675"/>
        </a:xfrm>
        <a:prstGeom prst="rect">
          <a:avLst/>
        </a:prstGeom>
      </xdr:spPr>
    </xdr:pic>
    <xdr:clientData/>
  </xdr:twoCellAnchor>
  <xdr:twoCellAnchor editAs="oneCell">
    <xdr:from>
      <xdr:col>0</xdr:col>
      <xdr:colOff>123826</xdr:colOff>
      <xdr:row>287</xdr:row>
      <xdr:rowOff>45671</xdr:rowOff>
    </xdr:from>
    <xdr:to>
      <xdr:col>1</xdr:col>
      <xdr:colOff>838200</xdr:colOff>
      <xdr:row>297</xdr:row>
      <xdr:rowOff>85849</xdr:rowOff>
    </xdr:to>
    <xdr:pic>
      <xdr:nvPicPr>
        <xdr:cNvPr id="37" name="Imagen 36"/>
        <xdr:cNvPicPr>
          <a:picLocks noChangeAspect="1"/>
        </xdr:cNvPicPr>
      </xdr:nvPicPr>
      <xdr:blipFill>
        <a:blip xmlns:r="http://schemas.openxmlformats.org/officeDocument/2006/relationships" r:embed="rId41"/>
        <a:stretch>
          <a:fillRect/>
        </a:stretch>
      </xdr:blipFill>
      <xdr:spPr>
        <a:xfrm>
          <a:off x="123826" y="56081246"/>
          <a:ext cx="4457699" cy="1945178"/>
        </a:xfrm>
        <a:prstGeom prst="rect">
          <a:avLst/>
        </a:prstGeom>
      </xdr:spPr>
    </xdr:pic>
    <xdr:clientData/>
  </xdr:twoCellAnchor>
  <xdr:twoCellAnchor editAs="oneCell">
    <xdr:from>
      <xdr:col>0</xdr:col>
      <xdr:colOff>0</xdr:colOff>
      <xdr:row>0</xdr:row>
      <xdr:rowOff>1495425</xdr:rowOff>
    </xdr:from>
    <xdr:to>
      <xdr:col>2</xdr:col>
      <xdr:colOff>466725</xdr:colOff>
      <xdr:row>4</xdr:row>
      <xdr:rowOff>64380</xdr:rowOff>
    </xdr:to>
    <xdr:pic>
      <xdr:nvPicPr>
        <xdr:cNvPr id="38" name="Imagen 37"/>
        <xdr:cNvPicPr>
          <a:picLocks noChangeAspect="1"/>
        </xdr:cNvPicPr>
      </xdr:nvPicPr>
      <xdr:blipFill rotWithShape="1">
        <a:blip xmlns:r="http://schemas.openxmlformats.org/officeDocument/2006/relationships" r:embed="rId42"/>
        <a:srcRect l="15073"/>
        <a:stretch/>
      </xdr:blipFill>
      <xdr:spPr>
        <a:xfrm>
          <a:off x="0" y="1495425"/>
          <a:ext cx="5200650" cy="693030"/>
        </a:xfrm>
        <a:prstGeom prst="rect">
          <a:avLst/>
        </a:prstGeom>
      </xdr:spPr>
    </xdr:pic>
    <xdr:clientData/>
  </xdr:twoCellAnchor>
  <xdr:twoCellAnchor editAs="oneCell">
    <xdr:from>
      <xdr:col>1</xdr:col>
      <xdr:colOff>971551</xdr:colOff>
      <xdr:row>229</xdr:row>
      <xdr:rowOff>28575</xdr:rowOff>
    </xdr:from>
    <xdr:to>
      <xdr:col>5</xdr:col>
      <xdr:colOff>427653</xdr:colOff>
      <xdr:row>234</xdr:row>
      <xdr:rowOff>123824</xdr:rowOff>
    </xdr:to>
    <xdr:pic>
      <xdr:nvPicPr>
        <xdr:cNvPr id="4" name="Imagen 3"/>
        <xdr:cNvPicPr>
          <a:picLocks noChangeAspect="1"/>
        </xdr:cNvPicPr>
      </xdr:nvPicPr>
      <xdr:blipFill>
        <a:blip xmlns:r="http://schemas.openxmlformats.org/officeDocument/2006/relationships" r:embed="rId43"/>
        <a:stretch>
          <a:fillRect/>
        </a:stretch>
      </xdr:blipFill>
      <xdr:spPr>
        <a:xfrm>
          <a:off x="4714876" y="45015150"/>
          <a:ext cx="3418502"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1088762</xdr:colOff>
      <xdr:row>3</xdr:row>
      <xdr:rowOff>39158</xdr:rowOff>
    </xdr:from>
    <xdr:to>
      <xdr:col>5</xdr:col>
      <xdr:colOff>1438028</xdr:colOff>
      <xdr:row>5</xdr:row>
      <xdr:rowOff>5291</xdr:rowOff>
    </xdr:to>
    <xdr:sp macro="" textlink="">
      <xdr:nvSpPr>
        <xdr:cNvPr id="3" name="2 Anillo" descr="Ayuda">
          <a:hlinkClick xmlns:r="http://schemas.openxmlformats.org/officeDocument/2006/relationships" r:id="rId1"/>
        </xdr:cNvPr>
        <xdr:cNvSpPr/>
      </xdr:nvSpPr>
      <xdr:spPr>
        <a:xfrm>
          <a:off x="6528595" y="928158"/>
          <a:ext cx="349266" cy="3471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1</xdr:col>
      <xdr:colOff>401108</xdr:colOff>
      <xdr:row>0</xdr:row>
      <xdr:rowOff>28575</xdr:rowOff>
    </xdr:from>
    <xdr:to>
      <xdr:col>1</xdr:col>
      <xdr:colOff>1185334</xdr:colOff>
      <xdr:row>2</xdr:row>
      <xdr:rowOff>222250</xdr:rowOff>
    </xdr:to>
    <xdr:pic>
      <xdr:nvPicPr>
        <xdr:cNvPr id="1033"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608" y="28575"/>
          <a:ext cx="784226" cy="78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984251</xdr:colOff>
      <xdr:row>38</xdr:row>
      <xdr:rowOff>0</xdr:rowOff>
    </xdr:from>
    <xdr:to>
      <xdr:col>5</xdr:col>
      <xdr:colOff>1333517</xdr:colOff>
      <xdr:row>39</xdr:row>
      <xdr:rowOff>19049</xdr:rowOff>
    </xdr:to>
    <xdr:sp macro="" textlink="">
      <xdr:nvSpPr>
        <xdr:cNvPr id="5" name="2 Anillo" descr="Ayuda">
          <a:hlinkClick xmlns:r="http://schemas.openxmlformats.org/officeDocument/2006/relationships" r:id="rId3"/>
        </xdr:cNvPr>
        <xdr:cNvSpPr/>
      </xdr:nvSpPr>
      <xdr:spPr>
        <a:xfrm>
          <a:off x="6424084" y="19441583"/>
          <a:ext cx="349266" cy="3471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231873</xdr:colOff>
      <xdr:row>4</xdr:row>
      <xdr:rowOff>795</xdr:rowOff>
    </xdr:from>
    <xdr:to>
      <xdr:col>14</xdr:col>
      <xdr:colOff>581129</xdr:colOff>
      <xdr:row>4</xdr:row>
      <xdr:rowOff>351103</xdr:rowOff>
    </xdr:to>
    <xdr:sp macro="" textlink="">
      <xdr:nvSpPr>
        <xdr:cNvPr id="3" name="2 Anillo" descr="Ayuda">
          <a:hlinkClick xmlns:r="http://schemas.openxmlformats.org/officeDocument/2006/relationships" r:id="rId1"/>
        </xdr:cNvPr>
        <xdr:cNvSpPr/>
      </xdr:nvSpPr>
      <xdr:spPr>
        <a:xfrm>
          <a:off x="9602092" y="953295"/>
          <a:ext cx="349256" cy="350308"/>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0</xdr:col>
      <xdr:colOff>933450</xdr:colOff>
      <xdr:row>0</xdr:row>
      <xdr:rowOff>114300</xdr:rowOff>
    </xdr:from>
    <xdr:to>
      <xdr:col>0</xdr:col>
      <xdr:colOff>1933575</xdr:colOff>
      <xdr:row>2</xdr:row>
      <xdr:rowOff>247650</xdr:rowOff>
    </xdr:to>
    <xdr:pic>
      <xdr:nvPicPr>
        <xdr:cNvPr id="3188" name="Imagen 1" descr="escud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143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66675</xdr:rowOff>
    </xdr:from>
    <xdr:to>
      <xdr:col>1</xdr:col>
      <xdr:colOff>1181100</xdr:colOff>
      <xdr:row>2</xdr:row>
      <xdr:rowOff>285750</xdr:rowOff>
    </xdr:to>
    <xdr:pic>
      <xdr:nvPicPr>
        <xdr:cNvPr id="3189"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66675"/>
          <a:ext cx="876300" cy="814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321468</xdr:colOff>
      <xdr:row>92</xdr:row>
      <xdr:rowOff>440531</xdr:rowOff>
    </xdr:from>
    <xdr:to>
      <xdr:col>14</xdr:col>
      <xdr:colOff>670724</xdr:colOff>
      <xdr:row>94</xdr:row>
      <xdr:rowOff>16933</xdr:rowOff>
    </xdr:to>
    <xdr:sp macro="" textlink="">
      <xdr:nvSpPr>
        <xdr:cNvPr id="6" name="2 Anillo" descr="Ayuda">
          <a:hlinkClick xmlns:r="http://schemas.openxmlformats.org/officeDocument/2006/relationships" r:id="rId3"/>
        </xdr:cNvPr>
        <xdr:cNvSpPr/>
      </xdr:nvSpPr>
      <xdr:spPr>
        <a:xfrm>
          <a:off x="9691687" y="40719375"/>
          <a:ext cx="349256" cy="350308"/>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13</xdr:col>
      <xdr:colOff>159807</xdr:colOff>
      <xdr:row>4</xdr:row>
      <xdr:rowOff>52917</xdr:rowOff>
    </xdr:from>
    <xdr:to>
      <xdr:col>13</xdr:col>
      <xdr:colOff>518598</xdr:colOff>
      <xdr:row>4</xdr:row>
      <xdr:rowOff>412750</xdr:rowOff>
    </xdr:to>
    <xdr:sp macro="" textlink="">
      <xdr:nvSpPr>
        <xdr:cNvPr id="3" name="2 Anillo" descr="Ayuda">
          <a:hlinkClick xmlns:r="http://schemas.openxmlformats.org/officeDocument/2006/relationships" r:id="rId1"/>
        </xdr:cNvPr>
        <xdr:cNvSpPr/>
      </xdr:nvSpPr>
      <xdr:spPr>
        <a:xfrm>
          <a:off x="8795807" y="963084"/>
          <a:ext cx="358791" cy="3598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twoCellAnchor>
    <xdr:from>
      <xdr:col>1</xdr:col>
      <xdr:colOff>209550</xdr:colOff>
      <xdr:row>0</xdr:row>
      <xdr:rowOff>9525</xdr:rowOff>
    </xdr:from>
    <xdr:to>
      <xdr:col>1</xdr:col>
      <xdr:colOff>1114425</xdr:colOff>
      <xdr:row>2</xdr:row>
      <xdr:rowOff>257175</xdr:rowOff>
    </xdr:to>
    <xdr:pic>
      <xdr:nvPicPr>
        <xdr:cNvPr id="4211" name="Imagen 1" descr="escu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9525"/>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179917</xdr:colOff>
      <xdr:row>91</xdr:row>
      <xdr:rowOff>476250</xdr:rowOff>
    </xdr:from>
    <xdr:to>
      <xdr:col>13</xdr:col>
      <xdr:colOff>538708</xdr:colOff>
      <xdr:row>93</xdr:row>
      <xdr:rowOff>10583</xdr:rowOff>
    </xdr:to>
    <xdr:sp macro="" textlink="">
      <xdr:nvSpPr>
        <xdr:cNvPr id="5" name="2 Anillo" descr="Ayuda">
          <a:hlinkClick xmlns:r="http://schemas.openxmlformats.org/officeDocument/2006/relationships" r:id="rId3"/>
        </xdr:cNvPr>
        <xdr:cNvSpPr/>
      </xdr:nvSpPr>
      <xdr:spPr>
        <a:xfrm>
          <a:off x="8815917" y="45021500"/>
          <a:ext cx="358791" cy="359833"/>
        </a:xfrm>
        <a:prstGeom prst="donut">
          <a:avLst>
            <a:gd name="adj" fmla="val 16210"/>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E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mn-lt"/>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209550</xdr:colOff>
      <xdr:row>0</xdr:row>
      <xdr:rowOff>9525</xdr:rowOff>
    </xdr:from>
    <xdr:to>
      <xdr:col>1</xdr:col>
      <xdr:colOff>1114425</xdr:colOff>
      <xdr:row>2</xdr:row>
      <xdr:rowOff>257175</xdr:rowOff>
    </xdr:to>
    <xdr:pic>
      <xdr:nvPicPr>
        <xdr:cNvPr id="2"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9525"/>
          <a:ext cx="904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209550</xdr:colOff>
      <xdr:row>0</xdr:row>
      <xdr:rowOff>9525</xdr:rowOff>
    </xdr:from>
    <xdr:to>
      <xdr:col>1</xdr:col>
      <xdr:colOff>1114425</xdr:colOff>
      <xdr:row>2</xdr:row>
      <xdr:rowOff>257175</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9525"/>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2"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152400</xdr:rowOff>
    </xdr:from>
    <xdr:to>
      <xdr:col>1</xdr:col>
      <xdr:colOff>819150</xdr:colOff>
      <xdr:row>2</xdr:row>
      <xdr:rowOff>371475</xdr:rowOff>
    </xdr:to>
    <xdr:pic>
      <xdr:nvPicPr>
        <xdr:cNvPr id="3"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52400"/>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942975</xdr:colOff>
      <xdr:row>0</xdr:row>
      <xdr:rowOff>0</xdr:rowOff>
    </xdr:from>
    <xdr:to>
      <xdr:col>4</xdr:col>
      <xdr:colOff>1333500</xdr:colOff>
      <xdr:row>5</xdr:row>
      <xdr:rowOff>15002</xdr:rowOff>
    </xdr:to>
    <xdr:pic>
      <xdr:nvPicPr>
        <xdr:cNvPr id="5" name="Imagen 4" descr="http://www.libertadyprogresonline.org/wp-content/uploads/2014/08/estad%C3%ADsticas.jpg"/>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3150" y="0"/>
          <a:ext cx="1781175" cy="129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933450</xdr:colOff>
      <xdr:row>0</xdr:row>
      <xdr:rowOff>114300</xdr:rowOff>
    </xdr:from>
    <xdr:to>
      <xdr:col>0</xdr:col>
      <xdr:colOff>1933575</xdr:colOff>
      <xdr:row>2</xdr:row>
      <xdr:rowOff>247650</xdr:rowOff>
    </xdr:to>
    <xdr:pic>
      <xdr:nvPicPr>
        <xdr:cNvPr id="6" name="Imagen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143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0</xdr:row>
      <xdr:rowOff>28575</xdr:rowOff>
    </xdr:from>
    <xdr:to>
      <xdr:col>1</xdr:col>
      <xdr:colOff>819150</xdr:colOff>
      <xdr:row>2</xdr:row>
      <xdr:rowOff>247650</xdr:rowOff>
    </xdr:to>
    <xdr:pic>
      <xdr:nvPicPr>
        <xdr:cNvPr id="7" name="Imagen 1"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28575"/>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381000</xdr:colOff>
      <xdr:row>0</xdr:row>
      <xdr:rowOff>174069</xdr:rowOff>
    </xdr:from>
    <xdr:to>
      <xdr:col>12</xdr:col>
      <xdr:colOff>590550</xdr:colOff>
      <xdr:row>2</xdr:row>
      <xdr:rowOff>266700</xdr:rowOff>
    </xdr:to>
    <xdr:pic>
      <xdr:nvPicPr>
        <xdr:cNvPr id="4" name="Imagen 3" descr="http://www.libertadyprogresonline.org/wp-content/uploads/2014/08/estad%C3%ADsticas.jp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20125" y="174069"/>
          <a:ext cx="771525" cy="559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ln/>
      </a:spPr>
      <a:bodyPr wrap="square" rtlCol="0" anchor="ctr" anchorCtr="0">
        <a:spAutoFit/>
      </a:bodyPr>
      <a:lstStyle>
        <a:defPPr algn="just">
          <a:defRPr sz="1100" baseline="0">
            <a:solidFill>
              <a:schemeClr val="dk1"/>
            </a:solidFill>
            <a:latin typeface="+mn-lt"/>
            <a:ea typeface="+mn-ea"/>
            <a:cs typeface="+mn-cs"/>
          </a:defRPr>
        </a:defPPr>
      </a:lstStyle>
      <a:style>
        <a:lnRef idx="1">
          <a:schemeClr val="accent1"/>
        </a:lnRef>
        <a:fillRef idx="2">
          <a:schemeClr val="accent1"/>
        </a:fillRef>
        <a:effectRef idx="1">
          <a:schemeClr val="accent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6" tint="-0.249977111117893"/>
  </sheetPr>
  <dimension ref="A1:E32"/>
  <sheetViews>
    <sheetView zoomScale="90" zoomScaleNormal="90" workbookViewId="0">
      <pane xSplit="1" ySplit="7" topLeftCell="B8" activePane="bottomRight" state="frozen"/>
      <selection pane="topRight" activeCell="B1" sqref="B1"/>
      <selection pane="bottomLeft" activeCell="A8" sqref="A8"/>
      <selection pane="bottomRight" activeCell="B6" sqref="B6:C6"/>
    </sheetView>
  </sheetViews>
  <sheetFormatPr baseColWidth="10" defaultRowHeight="15.75" x14ac:dyDescent="0.2"/>
  <cols>
    <col min="1" max="1" width="34.88671875" style="3" customWidth="1"/>
    <col min="2" max="2" width="37.6640625" style="3" customWidth="1"/>
    <col min="3" max="3" width="34.33203125" style="3" customWidth="1"/>
    <col min="4" max="5" width="11.5546875" style="3" hidden="1" customWidth="1"/>
    <col min="6" max="7" width="11.5546875" style="3" customWidth="1"/>
    <col min="8" max="16384" width="11.5546875" style="3"/>
  </cols>
  <sheetData>
    <row r="1" spans="1:5" ht="34.5" customHeight="1" x14ac:dyDescent="0.2">
      <c r="A1" s="437" t="s">
        <v>145</v>
      </c>
      <c r="B1" s="438" t="s">
        <v>142</v>
      </c>
      <c r="C1" s="32" t="s">
        <v>71</v>
      </c>
    </row>
    <row r="2" spans="1:5" ht="32.25" customHeight="1" x14ac:dyDescent="0.2">
      <c r="A2" s="437"/>
      <c r="B2" s="438"/>
      <c r="C2" s="32" t="s">
        <v>107</v>
      </c>
    </row>
    <row r="3" spans="1:5" ht="33" customHeight="1" x14ac:dyDescent="0.2">
      <c r="A3" s="437"/>
      <c r="B3" s="438"/>
      <c r="C3" s="32" t="s">
        <v>408</v>
      </c>
    </row>
    <row r="4" spans="1:5" ht="3.75" customHeight="1" x14ac:dyDescent="0.2">
      <c r="A4" s="36"/>
      <c r="B4" s="36"/>
      <c r="C4" s="36"/>
    </row>
    <row r="5" spans="1:5" ht="33.6" customHeight="1" x14ac:dyDescent="0.2">
      <c r="A5" s="439" t="s">
        <v>75</v>
      </c>
      <c r="B5" s="440"/>
      <c r="C5" s="440"/>
    </row>
    <row r="6" spans="1:5" ht="19.899999999999999" customHeight="1" x14ac:dyDescent="0.2">
      <c r="A6" s="69" t="s">
        <v>165</v>
      </c>
      <c r="B6" s="447">
        <v>42443</v>
      </c>
      <c r="C6" s="448"/>
    </row>
    <row r="7" spans="1:5" ht="15" customHeight="1" x14ac:dyDescent="0.2">
      <c r="A7" s="63" t="s">
        <v>409</v>
      </c>
      <c r="B7" s="441" t="s">
        <v>110</v>
      </c>
      <c r="C7" s="442"/>
      <c r="E7" s="3" t="s">
        <v>110</v>
      </c>
    </row>
    <row r="8" spans="1:5" ht="40.9" customHeight="1" x14ac:dyDescent="0.2">
      <c r="A8" s="17" t="str">
        <f>IF(A7="INSTITUCIONAL","MISION",IF(A7="PROCESO","OBJETIVO","Defina el campo de arriba"))</f>
        <v>MISION</v>
      </c>
      <c r="B8" s="445" t="s">
        <v>410</v>
      </c>
      <c r="C8" s="446"/>
    </row>
    <row r="9" spans="1:5" ht="24" customHeight="1" x14ac:dyDescent="0.2">
      <c r="A9" s="443" t="s">
        <v>24</v>
      </c>
      <c r="B9" s="359" t="s">
        <v>411</v>
      </c>
      <c r="C9" s="360" t="s">
        <v>412</v>
      </c>
    </row>
    <row r="10" spans="1:5" ht="75.75" customHeight="1" x14ac:dyDescent="0.2">
      <c r="A10" s="443"/>
      <c r="B10" s="361" t="s">
        <v>413</v>
      </c>
      <c r="C10" s="362" t="s">
        <v>414</v>
      </c>
    </row>
    <row r="11" spans="1:5" ht="94.5" customHeight="1" x14ac:dyDescent="0.2">
      <c r="A11" s="443"/>
      <c r="B11" s="361" t="s">
        <v>415</v>
      </c>
      <c r="C11" s="362" t="s">
        <v>416</v>
      </c>
    </row>
    <row r="12" spans="1:5" ht="24" customHeight="1" x14ac:dyDescent="0.2">
      <c r="A12" s="443"/>
      <c r="B12" s="22"/>
      <c r="C12" s="23"/>
    </row>
    <row r="13" spans="1:5" ht="24" customHeight="1" thickBot="1" x14ac:dyDescent="0.25">
      <c r="A13" s="444"/>
      <c r="B13" s="24"/>
      <c r="C13" s="25"/>
    </row>
    <row r="14" spans="1:5" x14ac:dyDescent="0.2">
      <c r="A14" s="435" t="s">
        <v>130</v>
      </c>
      <c r="B14" s="436"/>
      <c r="C14" s="436"/>
    </row>
    <row r="15" spans="1:5" x14ac:dyDescent="0.2">
      <c r="A15" s="429" t="s">
        <v>229</v>
      </c>
      <c r="B15" s="430"/>
      <c r="C15" s="431"/>
    </row>
    <row r="16" spans="1:5" ht="21.75" customHeight="1" x14ac:dyDescent="0.2">
      <c r="A16" s="432" t="str">
        <f>VLOOKUP($B$7,Datos!AA2:AC22,3)</f>
        <v>Procesos / Control y Evaluación / Gestión y Rendición de Cuentas / Normatividad</v>
      </c>
      <c r="B16" s="433"/>
      <c r="C16" s="434"/>
    </row>
    <row r="17" spans="1:4" x14ac:dyDescent="0.2">
      <c r="A17" s="194"/>
      <c r="B17" s="195" t="s">
        <v>407</v>
      </c>
      <c r="C17" s="196"/>
      <c r="D17" s="190" t="s">
        <v>205</v>
      </c>
    </row>
    <row r="18" spans="1:4" x14ac:dyDescent="0.2">
      <c r="A18" s="4" t="s">
        <v>136</v>
      </c>
      <c r="B18" s="425" t="s">
        <v>315</v>
      </c>
      <c r="C18" s="426"/>
      <c r="D18" s="190" t="s">
        <v>228</v>
      </c>
    </row>
    <row r="19" spans="1:4" ht="39" customHeight="1" x14ac:dyDescent="0.2">
      <c r="A19" s="70" t="s">
        <v>319</v>
      </c>
      <c r="B19" s="427" t="s">
        <v>417</v>
      </c>
      <c r="C19" s="428"/>
      <c r="D19" s="190" t="str">
        <f>IF(B19="",CONCATENATE(D18,D17,""),CONCATENATE(D18,D17,"* Financieros: ",B19,D17))</f>
        <v xml:space="preserve">Dadas por Factores Internos:
* Financieros: Falta de gestión de recursos para actividades de investigación.
Disponibilidad presupuestal no coherente con las actividades misionales
</v>
      </c>
    </row>
    <row r="20" spans="1:4" ht="39.75" customHeight="1" x14ac:dyDescent="0.2">
      <c r="A20" s="70" t="s">
        <v>131</v>
      </c>
      <c r="B20" s="427" t="s">
        <v>418</v>
      </c>
      <c r="C20" s="428"/>
      <c r="D20" s="190" t="str">
        <f>IF(B20="",CONCATENATE(D19,""),CONCATENATE(D19,"* Personal: ",B20,$D$17))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v>
      </c>
    </row>
    <row r="21" spans="1:4" ht="39.75" customHeight="1" x14ac:dyDescent="0.2">
      <c r="A21" s="70" t="s">
        <v>132</v>
      </c>
      <c r="B21" s="427" t="s">
        <v>419</v>
      </c>
      <c r="C21" s="428"/>
      <c r="D21" s="190" t="str">
        <f>IF(B21="",CONCATENATE(D20,""),CONCATENATE(D20,"* Procesos: ",B21,$D$17))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v>
      </c>
    </row>
    <row r="22" spans="1:4" ht="39.75" customHeight="1" x14ac:dyDescent="0.2">
      <c r="A22" s="70" t="s">
        <v>133</v>
      </c>
      <c r="B22" s="427" t="s">
        <v>420</v>
      </c>
      <c r="C22" s="428"/>
      <c r="D22" s="190" t="str">
        <f>IF(B22="",CONCATENATE(D21,""),CONCATENATE(D21,"* Tecnología: ",B22,$D$17))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v>
      </c>
    </row>
    <row r="23" spans="1:4" ht="39.75" customHeight="1" x14ac:dyDescent="0.2">
      <c r="A23" s="70" t="s">
        <v>320</v>
      </c>
      <c r="B23" s="423" t="s">
        <v>421</v>
      </c>
      <c r="C23" s="424"/>
      <c r="D23" s="190" t="str">
        <f>IF(B23="",CONCATENATE(D22,""),CONCATENATE(D22,"* Comunicación Interna: ",B23,$D$17))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v>
      </c>
    </row>
    <row r="24" spans="1:4" ht="39.75" customHeight="1" x14ac:dyDescent="0.2">
      <c r="A24" s="70" t="s">
        <v>134</v>
      </c>
      <c r="B24" s="427" t="s">
        <v>422</v>
      </c>
      <c r="C24" s="428"/>
      <c r="D24" s="190" t="str">
        <f>IF(B24="",CONCATENATE(D23,""),CONCATENATE(D23,"* Otros? Cuales: ",B24,$D$17))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v>
      </c>
    </row>
    <row r="25" spans="1:4" x14ac:dyDescent="0.2">
      <c r="A25" s="4" t="s">
        <v>135</v>
      </c>
      <c r="B25" s="425" t="s">
        <v>316</v>
      </c>
      <c r="C25" s="426"/>
      <c r="D25" s="190" t="str">
        <f>CONCATENATE(D24,$D$17,"Dadas por Factores Externos:",$D$17)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v>
      </c>
    </row>
    <row r="26" spans="1:4" ht="39.75" customHeight="1" x14ac:dyDescent="0.2">
      <c r="A26" s="70" t="s">
        <v>137</v>
      </c>
      <c r="B26" s="427" t="s">
        <v>423</v>
      </c>
      <c r="C26" s="428"/>
      <c r="D26" s="190" t="str">
        <f>IF(B26="",CONCATENATE(D25,""),CONCATENATE(D25,"* Económicos: ",B26,$D$17))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v>
      </c>
    </row>
    <row r="27" spans="1:4" ht="39.75" customHeight="1" x14ac:dyDescent="0.2">
      <c r="A27" s="70" t="s">
        <v>138</v>
      </c>
      <c r="B27" s="427" t="s">
        <v>424</v>
      </c>
      <c r="C27" s="428"/>
      <c r="D27" s="190" t="str">
        <f>IF(B27="",CONCATENATE(D26,""),CONCATENATE(D26,"* Medio Ambientales: ",B27,$D$17))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v>
      </c>
    </row>
    <row r="28" spans="1:4" ht="39.75" customHeight="1" x14ac:dyDescent="0.2">
      <c r="A28" s="70" t="s">
        <v>139</v>
      </c>
      <c r="B28" s="427" t="s">
        <v>425</v>
      </c>
      <c r="C28" s="428"/>
      <c r="D28" s="190" t="str">
        <f>IF(B28="",CONCATENATE(D27,""),CONCATENATE(D27,"* Políticos: ",B28,$D$17))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v>
      </c>
    </row>
    <row r="29" spans="1:4" ht="39.75" customHeight="1" x14ac:dyDescent="0.2">
      <c r="A29" s="70" t="s">
        <v>140</v>
      </c>
      <c r="B29" s="427" t="s">
        <v>426</v>
      </c>
      <c r="C29" s="428"/>
      <c r="D29" s="190" t="str">
        <f>IF(B29="",CONCATENATE(D28,""),CONCATENATE(D28,"* Sociales: ",B29,$D$17))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v>
      </c>
    </row>
    <row r="30" spans="1:4" ht="39.75" customHeight="1" x14ac:dyDescent="0.2">
      <c r="A30" s="70" t="s">
        <v>141</v>
      </c>
      <c r="B30" s="423" t="s">
        <v>427</v>
      </c>
      <c r="C30" s="424"/>
      <c r="D30" s="190" t="str">
        <f>IF(B30="",CONCATENATE(D29,""),CONCATENATE(D29,"* Tecnológicos: ",B30,$D$17))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v>
      </c>
    </row>
    <row r="31" spans="1:4" ht="39.75" customHeight="1" x14ac:dyDescent="0.2">
      <c r="A31" s="54" t="s">
        <v>318</v>
      </c>
      <c r="B31" s="423" t="s">
        <v>428</v>
      </c>
      <c r="C31" s="424"/>
      <c r="D31" s="190" t="str">
        <f>IF(B31="",CONCATENATE(D30,""),CONCATENATE(D30,"* Comunicación Externa: ",B31,$D$17))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 Comunicación Externa: Carencia de  canales efectivos para la comunicación 
</v>
      </c>
    </row>
    <row r="32" spans="1:4" ht="39.75" customHeight="1" x14ac:dyDescent="0.2">
      <c r="A32" s="70" t="s">
        <v>134</v>
      </c>
      <c r="B32" s="423"/>
      <c r="C32" s="424"/>
      <c r="D32" s="190" t="str">
        <f>IF(B32="",CONCATENATE(D31,""),CONCATENATE(D31,"* Otros? Cuales: ",B32,$D$17))</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 Comunicación Externa: Carencia de  canales efectivos para la comunicación 
</v>
      </c>
    </row>
  </sheetData>
  <sheetProtection algorithmName="SHA-512" hashValue="VPs2UJytBJFp8vX/XEV2WHhV3C+9cy2NwVIMkven5t+iRIdGA2P5BlzPw0PF17c9cRoo+UcLlUfpsUsMp3V8fg==" saltValue="1LzQDcHPhu+L/xgP3GAaJw==" spinCount="100000" sheet="1" objects="1" scenarios="1" formatCells="0" formatRows="0" insertRows="0" selectLockedCells="1"/>
  <dataConsolidate>
    <dataRefs count="1">
      <dataRef ref="G2:G3" sheet="Datos"/>
    </dataRefs>
  </dataConsolidate>
  <mergeCells count="25">
    <mergeCell ref="A15:C15"/>
    <mergeCell ref="A16:C16"/>
    <mergeCell ref="B30:C30"/>
    <mergeCell ref="A14:C14"/>
    <mergeCell ref="A1:A3"/>
    <mergeCell ref="B1:B3"/>
    <mergeCell ref="A5:C5"/>
    <mergeCell ref="B7:C7"/>
    <mergeCell ref="A9:A13"/>
    <mergeCell ref="B8:C8"/>
    <mergeCell ref="B6:C6"/>
    <mergeCell ref="B32:C32"/>
    <mergeCell ref="B18:C18"/>
    <mergeCell ref="B19:C19"/>
    <mergeCell ref="B20:C20"/>
    <mergeCell ref="B21:C21"/>
    <mergeCell ref="B22:C22"/>
    <mergeCell ref="B24:C24"/>
    <mergeCell ref="B25:C25"/>
    <mergeCell ref="B26:C26"/>
    <mergeCell ref="B27:C27"/>
    <mergeCell ref="B28:C28"/>
    <mergeCell ref="B29:C29"/>
    <mergeCell ref="B31:C31"/>
    <mergeCell ref="B23:C23"/>
  </mergeCells>
  <phoneticPr fontId="5" type="noConversion"/>
  <conditionalFormatting sqref="A7:A8">
    <cfRule type="cellIs" dxfId="536" priority="5" operator="equal">
      <formula>"Seleccione la clase de Mapa"</formula>
    </cfRule>
  </conditionalFormatting>
  <conditionalFormatting sqref="B7:C7">
    <cfRule type="cellIs" dxfId="535" priority="3" operator="equal">
      <formula>$A7="PROCESO"</formula>
    </cfRule>
  </conditionalFormatting>
  <conditionalFormatting sqref="B6:C6">
    <cfRule type="cellIs" dxfId="534" priority="2" operator="equal">
      <formula>$A6="PROCESO"</formula>
    </cfRule>
  </conditionalFormatting>
  <conditionalFormatting sqref="A8">
    <cfRule type="cellIs" dxfId="533" priority="1" operator="equal">
      <formula>"Defina el campo de arriba"</formula>
    </cfRule>
  </conditionalFormatting>
  <dataValidations count="2">
    <dataValidation type="list" allowBlank="1" showInputMessage="1" showErrorMessage="1" sqref="A7">
      <formula1>"Seleccione la clase de Mapa, PROCESO, INSTITUCIONAL"</formula1>
    </dataValidation>
    <dataValidation type="list" allowBlank="1" showInputMessage="1" showErrorMessage="1" promptTitle="PROCESO" prompt="Seleccione de la Lista Desplegable el Proceso" sqref="B7:C7">
      <formula1>IF(A7="PROCESO",mproc,IF(A7="INSTITUCIONAL",inst,""))</formula1>
    </dataValidation>
  </dataValidations>
  <pageMargins left="0.75" right="0.75" top="1" bottom="1"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6" r:id="rId4" name="Check Box 28">
              <controlPr locked="0" defaultSize="0" autoFill="0" autoLine="0" autoPict="0" altText="">
                <anchor moveWithCells="1">
                  <from>
                    <xdr:col>0</xdr:col>
                    <xdr:colOff>95250</xdr:colOff>
                    <xdr:row>18</xdr:row>
                    <xdr:rowOff>76200</xdr:rowOff>
                  </from>
                  <to>
                    <xdr:col>0</xdr:col>
                    <xdr:colOff>504825</xdr:colOff>
                    <xdr:row>19</xdr:row>
                    <xdr:rowOff>0</xdr:rowOff>
                  </to>
                </anchor>
              </controlPr>
            </control>
          </mc:Choice>
        </mc:AlternateContent>
        <mc:AlternateContent xmlns:mc="http://schemas.openxmlformats.org/markup-compatibility/2006">
          <mc:Choice Requires="x14">
            <control shapeId="2081" r:id="rId5" name="Check Box 33">
              <controlPr locked="0" defaultSize="0" autoFill="0" autoLine="0" autoPict="0" altText="">
                <anchor moveWithCells="1">
                  <from>
                    <xdr:col>0</xdr:col>
                    <xdr:colOff>95250</xdr:colOff>
                    <xdr:row>19</xdr:row>
                    <xdr:rowOff>76200</xdr:rowOff>
                  </from>
                  <to>
                    <xdr:col>0</xdr:col>
                    <xdr:colOff>504825</xdr:colOff>
                    <xdr:row>19</xdr:row>
                    <xdr:rowOff>466725</xdr:rowOff>
                  </to>
                </anchor>
              </controlPr>
            </control>
          </mc:Choice>
        </mc:AlternateContent>
        <mc:AlternateContent xmlns:mc="http://schemas.openxmlformats.org/markup-compatibility/2006">
          <mc:Choice Requires="x14">
            <control shapeId="2082" r:id="rId6" name="Check Box 34">
              <controlPr locked="0" defaultSize="0" autoFill="0" autoLine="0" autoPict="0" altText="">
                <anchor moveWithCells="1">
                  <from>
                    <xdr:col>0</xdr:col>
                    <xdr:colOff>95250</xdr:colOff>
                    <xdr:row>20</xdr:row>
                    <xdr:rowOff>76200</xdr:rowOff>
                  </from>
                  <to>
                    <xdr:col>0</xdr:col>
                    <xdr:colOff>504825</xdr:colOff>
                    <xdr:row>20</xdr:row>
                    <xdr:rowOff>466725</xdr:rowOff>
                  </to>
                </anchor>
              </controlPr>
            </control>
          </mc:Choice>
        </mc:AlternateContent>
        <mc:AlternateContent xmlns:mc="http://schemas.openxmlformats.org/markup-compatibility/2006">
          <mc:Choice Requires="x14">
            <control shapeId="2083" r:id="rId7" name="Check Box 35">
              <controlPr locked="0" defaultSize="0" autoFill="0" autoLine="0" autoPict="0" altText="">
                <anchor moveWithCells="1">
                  <from>
                    <xdr:col>0</xdr:col>
                    <xdr:colOff>95250</xdr:colOff>
                    <xdr:row>21</xdr:row>
                    <xdr:rowOff>76200</xdr:rowOff>
                  </from>
                  <to>
                    <xdr:col>0</xdr:col>
                    <xdr:colOff>504825</xdr:colOff>
                    <xdr:row>21</xdr:row>
                    <xdr:rowOff>466725</xdr:rowOff>
                  </to>
                </anchor>
              </controlPr>
            </control>
          </mc:Choice>
        </mc:AlternateContent>
        <mc:AlternateContent xmlns:mc="http://schemas.openxmlformats.org/markup-compatibility/2006">
          <mc:Choice Requires="x14">
            <control shapeId="2084" r:id="rId8" name="Check Box 36">
              <controlPr locked="0" defaultSize="0" autoFill="0" autoLine="0" autoPict="0" altText="">
                <anchor moveWithCells="1">
                  <from>
                    <xdr:col>0</xdr:col>
                    <xdr:colOff>95250</xdr:colOff>
                    <xdr:row>23</xdr:row>
                    <xdr:rowOff>76200</xdr:rowOff>
                  </from>
                  <to>
                    <xdr:col>0</xdr:col>
                    <xdr:colOff>504825</xdr:colOff>
                    <xdr:row>23</xdr:row>
                    <xdr:rowOff>466725</xdr:rowOff>
                  </to>
                </anchor>
              </controlPr>
            </control>
          </mc:Choice>
        </mc:AlternateContent>
        <mc:AlternateContent xmlns:mc="http://schemas.openxmlformats.org/markup-compatibility/2006">
          <mc:Choice Requires="x14">
            <control shapeId="2087" r:id="rId9" name="Check Box 39">
              <controlPr locked="0" defaultSize="0" autoFill="0" autoLine="0" autoPict="0" altText="">
                <anchor moveWithCells="1">
                  <from>
                    <xdr:col>0</xdr:col>
                    <xdr:colOff>95250</xdr:colOff>
                    <xdr:row>25</xdr:row>
                    <xdr:rowOff>76200</xdr:rowOff>
                  </from>
                  <to>
                    <xdr:col>0</xdr:col>
                    <xdr:colOff>504825</xdr:colOff>
                    <xdr:row>26</xdr:row>
                    <xdr:rowOff>0</xdr:rowOff>
                  </to>
                </anchor>
              </controlPr>
            </control>
          </mc:Choice>
        </mc:AlternateContent>
        <mc:AlternateContent xmlns:mc="http://schemas.openxmlformats.org/markup-compatibility/2006">
          <mc:Choice Requires="x14">
            <control shapeId="2088" r:id="rId10" name="Check Box 40">
              <controlPr locked="0" defaultSize="0" autoFill="0" autoLine="0" autoPict="0" altText="">
                <anchor moveWithCells="1">
                  <from>
                    <xdr:col>0</xdr:col>
                    <xdr:colOff>95250</xdr:colOff>
                    <xdr:row>26</xdr:row>
                    <xdr:rowOff>76200</xdr:rowOff>
                  </from>
                  <to>
                    <xdr:col>0</xdr:col>
                    <xdr:colOff>504825</xdr:colOff>
                    <xdr:row>26</xdr:row>
                    <xdr:rowOff>466725</xdr:rowOff>
                  </to>
                </anchor>
              </controlPr>
            </control>
          </mc:Choice>
        </mc:AlternateContent>
        <mc:AlternateContent xmlns:mc="http://schemas.openxmlformats.org/markup-compatibility/2006">
          <mc:Choice Requires="x14">
            <control shapeId="2089" r:id="rId11" name="Check Box 41">
              <controlPr locked="0" defaultSize="0" autoFill="0" autoLine="0" autoPict="0" altText="">
                <anchor moveWithCells="1">
                  <from>
                    <xdr:col>0</xdr:col>
                    <xdr:colOff>95250</xdr:colOff>
                    <xdr:row>27</xdr:row>
                    <xdr:rowOff>76200</xdr:rowOff>
                  </from>
                  <to>
                    <xdr:col>0</xdr:col>
                    <xdr:colOff>504825</xdr:colOff>
                    <xdr:row>27</xdr:row>
                    <xdr:rowOff>466725</xdr:rowOff>
                  </to>
                </anchor>
              </controlPr>
            </control>
          </mc:Choice>
        </mc:AlternateContent>
        <mc:AlternateContent xmlns:mc="http://schemas.openxmlformats.org/markup-compatibility/2006">
          <mc:Choice Requires="x14">
            <control shapeId="2090" r:id="rId12" name="Check Box 42">
              <controlPr locked="0" defaultSize="0" autoFill="0" autoLine="0" autoPict="0" altText="">
                <anchor moveWithCells="1">
                  <from>
                    <xdr:col>0</xdr:col>
                    <xdr:colOff>95250</xdr:colOff>
                    <xdr:row>28</xdr:row>
                    <xdr:rowOff>76200</xdr:rowOff>
                  </from>
                  <to>
                    <xdr:col>0</xdr:col>
                    <xdr:colOff>504825</xdr:colOff>
                    <xdr:row>28</xdr:row>
                    <xdr:rowOff>466725</xdr:rowOff>
                  </to>
                </anchor>
              </controlPr>
            </control>
          </mc:Choice>
        </mc:AlternateContent>
        <mc:AlternateContent xmlns:mc="http://schemas.openxmlformats.org/markup-compatibility/2006">
          <mc:Choice Requires="x14">
            <control shapeId="2091" r:id="rId13" name="Check Box 43">
              <controlPr locked="0" defaultSize="0" autoFill="0" autoLine="0" autoPict="0" altText="">
                <anchor moveWithCells="1">
                  <from>
                    <xdr:col>0</xdr:col>
                    <xdr:colOff>95250</xdr:colOff>
                    <xdr:row>29</xdr:row>
                    <xdr:rowOff>76200</xdr:rowOff>
                  </from>
                  <to>
                    <xdr:col>0</xdr:col>
                    <xdr:colOff>504825</xdr:colOff>
                    <xdr:row>29</xdr:row>
                    <xdr:rowOff>466725</xdr:rowOff>
                  </to>
                </anchor>
              </controlPr>
            </control>
          </mc:Choice>
        </mc:AlternateContent>
        <mc:AlternateContent xmlns:mc="http://schemas.openxmlformats.org/markup-compatibility/2006">
          <mc:Choice Requires="x14">
            <control shapeId="2092" r:id="rId14" name="Check Box 44">
              <controlPr locked="0" defaultSize="0" autoFill="0" autoLine="0" autoPict="0" altText="">
                <anchor moveWithCells="1">
                  <from>
                    <xdr:col>0</xdr:col>
                    <xdr:colOff>95250</xdr:colOff>
                    <xdr:row>31</xdr:row>
                    <xdr:rowOff>76200</xdr:rowOff>
                  </from>
                  <to>
                    <xdr:col>0</xdr:col>
                    <xdr:colOff>504825</xdr:colOff>
                    <xdr:row>31</xdr:row>
                    <xdr:rowOff>466725</xdr:rowOff>
                  </to>
                </anchor>
              </controlPr>
            </control>
          </mc:Choice>
        </mc:AlternateContent>
        <mc:AlternateContent xmlns:mc="http://schemas.openxmlformats.org/markup-compatibility/2006">
          <mc:Choice Requires="x14">
            <control shapeId="2107" r:id="rId15" name="Check Box 59">
              <controlPr locked="0" defaultSize="0" autoFill="0" autoLine="0" autoPict="0" altText="">
                <anchor moveWithCells="1">
                  <from>
                    <xdr:col>0</xdr:col>
                    <xdr:colOff>95250</xdr:colOff>
                    <xdr:row>30</xdr:row>
                    <xdr:rowOff>76200</xdr:rowOff>
                  </from>
                  <to>
                    <xdr:col>0</xdr:col>
                    <xdr:colOff>504825</xdr:colOff>
                    <xdr:row>30</xdr:row>
                    <xdr:rowOff>466725</xdr:rowOff>
                  </to>
                </anchor>
              </controlPr>
            </control>
          </mc:Choice>
        </mc:AlternateContent>
        <mc:AlternateContent xmlns:mc="http://schemas.openxmlformats.org/markup-compatibility/2006">
          <mc:Choice Requires="x14">
            <control shapeId="2109" r:id="rId16" name="Check Box 61">
              <controlPr locked="0" defaultSize="0" autoFill="0" autoLine="0" autoPict="0" altText="">
                <anchor moveWithCells="1">
                  <from>
                    <xdr:col>0</xdr:col>
                    <xdr:colOff>95250</xdr:colOff>
                    <xdr:row>22</xdr:row>
                    <xdr:rowOff>76200</xdr:rowOff>
                  </from>
                  <to>
                    <xdr:col>0</xdr:col>
                    <xdr:colOff>504825</xdr:colOff>
                    <xdr:row>22</xdr:row>
                    <xdr:rowOff>466725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7030A0"/>
  </sheetPr>
  <dimension ref="A1:O92"/>
  <sheetViews>
    <sheetView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G9" sqref="G9"/>
    </sheetView>
  </sheetViews>
  <sheetFormatPr baseColWidth="10" defaultRowHeight="15" x14ac:dyDescent="0.2"/>
  <cols>
    <col min="1" max="1" width="3.88671875" customWidth="1"/>
    <col min="2" max="2" width="14.44140625" customWidth="1"/>
    <col min="3" max="3" width="17.21875" customWidth="1"/>
    <col min="4" max="4" width="11.5546875" customWidth="1"/>
    <col min="5" max="6" width="8.109375" customWidth="1"/>
    <col min="7" max="12" width="6.5546875" style="96" customWidth="1"/>
    <col min="13" max="13" width="12" customWidth="1"/>
    <col min="14" max="14" width="16.5546875" customWidth="1"/>
    <col min="15" max="15" width="11.33203125" customWidth="1"/>
  </cols>
  <sheetData>
    <row r="1" spans="1:15" x14ac:dyDescent="0.2">
      <c r="A1" s="437" t="s">
        <v>145</v>
      </c>
      <c r="B1" s="437"/>
      <c r="C1" s="507" t="s">
        <v>152</v>
      </c>
      <c r="D1" s="507"/>
      <c r="E1" s="507"/>
      <c r="F1" s="507"/>
      <c r="G1" s="507"/>
      <c r="H1" s="507"/>
      <c r="I1" s="507"/>
      <c r="J1" s="507"/>
      <c r="K1" s="507"/>
      <c r="L1" s="507"/>
      <c r="M1" s="507"/>
      <c r="N1" s="521" t="s">
        <v>71</v>
      </c>
      <c r="O1" s="521"/>
    </row>
    <row r="2" spans="1:15" ht="21.75" customHeight="1" x14ac:dyDescent="0.2">
      <c r="A2" s="437"/>
      <c r="B2" s="437"/>
      <c r="C2" s="510"/>
      <c r="D2" s="510"/>
      <c r="E2" s="510"/>
      <c r="F2" s="510"/>
      <c r="G2" s="510"/>
      <c r="H2" s="510"/>
      <c r="I2" s="510"/>
      <c r="J2" s="510"/>
      <c r="K2" s="510"/>
      <c r="L2" s="510"/>
      <c r="M2" s="510"/>
      <c r="N2" s="521" t="s">
        <v>107</v>
      </c>
      <c r="O2" s="521"/>
    </row>
    <row r="3" spans="1:15" ht="23.25" customHeight="1" x14ac:dyDescent="0.2">
      <c r="A3" s="437"/>
      <c r="B3" s="437"/>
      <c r="C3" s="513"/>
      <c r="D3" s="513"/>
      <c r="E3" s="513"/>
      <c r="F3" s="513"/>
      <c r="G3" s="513"/>
      <c r="H3" s="513"/>
      <c r="I3" s="513"/>
      <c r="J3" s="513"/>
      <c r="K3" s="513"/>
      <c r="L3" s="513"/>
      <c r="M3" s="513"/>
      <c r="N3" s="521" t="s">
        <v>408</v>
      </c>
      <c r="O3" s="521"/>
    </row>
    <row r="4" spans="1:15" ht="3.75" customHeight="1" x14ac:dyDescent="0.2">
      <c r="A4" s="33"/>
      <c r="B4" s="34"/>
      <c r="C4" s="35"/>
      <c r="D4" s="35"/>
      <c r="E4" s="35"/>
      <c r="F4" s="35"/>
      <c r="G4" s="35"/>
      <c r="H4" s="35"/>
      <c r="I4" s="35"/>
      <c r="J4" s="35"/>
      <c r="K4" s="35"/>
      <c r="L4" s="38"/>
      <c r="M4" s="38"/>
      <c r="N4" s="49"/>
      <c r="O4" s="49"/>
    </row>
    <row r="5" spans="1:15" ht="15.75" x14ac:dyDescent="0.2">
      <c r="A5" s="439" t="s">
        <v>184</v>
      </c>
      <c r="B5" s="439"/>
      <c r="C5" s="439"/>
      <c r="D5" s="439"/>
      <c r="E5" s="439"/>
      <c r="F5" s="439"/>
      <c r="G5" s="439"/>
      <c r="H5" s="439"/>
      <c r="I5" s="439"/>
      <c r="J5" s="439"/>
      <c r="K5" s="439"/>
      <c r="L5" s="523"/>
      <c r="M5" s="523"/>
      <c r="N5" s="523"/>
      <c r="O5" s="523"/>
    </row>
    <row r="6" spans="1:15" ht="15.75" customHeight="1" x14ac:dyDescent="0.2">
      <c r="A6" s="489" t="str">
        <f>'CONTEXTO ESTRATEGICO'!A7</f>
        <v>INSTITUCIONAL</v>
      </c>
      <c r="B6" s="489"/>
      <c r="C6" s="490" t="str">
        <f>'SEGUIMIENTO Y MONITOREO'!C6</f>
        <v>Mapa de Riesgo Institucional</v>
      </c>
      <c r="D6" s="491"/>
      <c r="E6" s="491"/>
      <c r="F6" s="491"/>
      <c r="G6" s="491"/>
      <c r="H6" s="491"/>
      <c r="I6" s="491"/>
      <c r="J6" s="491"/>
      <c r="K6" s="491"/>
      <c r="L6" s="144"/>
      <c r="M6" s="599" t="str">
        <f>'SEGUIMIENTO Y MONITOREO'!E6</f>
        <v>Fecha de Actualización (AAAA/MM/DD)</v>
      </c>
      <c r="N6" s="600"/>
      <c r="O6" s="149">
        <f>'SEGUIMIENTO Y MONITOREO'!H6</f>
        <v>42443</v>
      </c>
    </row>
    <row r="7" spans="1:15" ht="25.5" customHeight="1" x14ac:dyDescent="0.2">
      <c r="A7" s="489" t="str">
        <f>'CONTEXTO ESTRATEGICO'!A8</f>
        <v>MISION</v>
      </c>
      <c r="B7" s="489"/>
      <c r="C7" s="490" t="str">
        <f>'SEGUIMIENTO Y MONITOREO'!C7</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2"/>
      <c r="G7" s="622" t="s">
        <v>366</v>
      </c>
      <c r="H7" s="623"/>
      <c r="I7" s="623"/>
      <c r="J7" s="623"/>
      <c r="K7" s="623"/>
      <c r="L7" s="623"/>
      <c r="M7" s="624"/>
      <c r="N7" s="129" t="s">
        <v>185</v>
      </c>
      <c r="O7" s="130">
        <f>'SEGUIMIENTO Y MONITOREO'!$AX$7</f>
        <v>42613</v>
      </c>
    </row>
    <row r="8" spans="1:15" ht="38.25" x14ac:dyDescent="0.2">
      <c r="A8" s="73" t="s">
        <v>22</v>
      </c>
      <c r="B8" s="73" t="s">
        <v>28</v>
      </c>
      <c r="C8" s="80" t="s">
        <v>153</v>
      </c>
      <c r="D8" s="75" t="s">
        <v>159</v>
      </c>
      <c r="E8" s="75" t="s">
        <v>155</v>
      </c>
      <c r="F8" s="75" t="s">
        <v>156</v>
      </c>
      <c r="G8" s="625" t="s">
        <v>195</v>
      </c>
      <c r="H8" s="625"/>
      <c r="I8" s="625" t="s">
        <v>196</v>
      </c>
      <c r="J8" s="625"/>
      <c r="K8" s="625" t="s">
        <v>197</v>
      </c>
      <c r="L8" s="625"/>
      <c r="M8" s="146" t="s">
        <v>369</v>
      </c>
      <c r="N8" s="626" t="s">
        <v>200</v>
      </c>
      <c r="O8" s="627"/>
    </row>
    <row r="9" spans="1:15" ht="28.5" customHeight="1" x14ac:dyDescent="0.2">
      <c r="A9" s="630" t="str">
        <f>'SEGUIMIENTO Y MONITOREO'!A9:A11</f>
        <v>1G</v>
      </c>
      <c r="B9" s="591" t="str">
        <f>'SEGUIMIENTO Y MONITOREO'!B9:B11</f>
        <v>Relaciones Interinstitucionales. Concentrar labores múltiples en poco personal</v>
      </c>
      <c r="C9" s="82" t="str">
        <f>'SEGUIMIENTO Y MONITOREO'!D9</f>
        <v>Trabajo conjunto con Rectoría para contratación de personal</v>
      </c>
      <c r="D9" s="82" t="str">
        <f>'SEGUIMIENTO Y MONITOREO'!E9</f>
        <v>Comunicación Interna/correo Electronico</v>
      </c>
      <c r="E9" s="128">
        <f>'SEGUIMIENTO Y MONITOREO'!G9</f>
        <v>42491</v>
      </c>
      <c r="F9" s="128">
        <f>'SEGUIMIENTO Y MONITOREO'!H9</f>
        <v>42735</v>
      </c>
      <c r="G9" s="145" t="str">
        <f>IF('SEGUIMIENTO Y MONITOREO'!J9="NA","NA",'SEGUIMIENTO Y MONITOREO'!N9)</f>
        <v>NA</v>
      </c>
      <c r="H9" s="628" t="str">
        <f>'SEGUIMIENTO Y MONITOREO'!AR9</f>
        <v>NA</v>
      </c>
      <c r="I9" s="314">
        <f>IF('SEGUIMIENTO Y MONITOREO'!T9="NA","NA",'SEGUIMIENTO Y MONITOREO'!X9)</f>
        <v>0</v>
      </c>
      <c r="J9" s="628">
        <f>'SEGUIMIENTO Y MONITOREO'!AS9</f>
        <v>0</v>
      </c>
      <c r="K9" s="314" t="str">
        <f>IF('SEGUIMIENTO Y MONITOREO'!AD9="NA","NA",'SEGUIMIENTO Y MONITOREO'!AH9)</f>
        <v/>
      </c>
      <c r="L9" s="628" t="str">
        <f>'SEGUIMIENTO Y MONITOREO'!AU9</f>
        <v/>
      </c>
      <c r="M9" s="628">
        <f>'SEGUIMIENTO Y MONITOREO'!AW9</f>
        <v>0</v>
      </c>
      <c r="N9" s="629" t="str">
        <f>IF(M9="","",CONCATENATE(IF('SEGUIMIENTO Y MONITOREO'!AX9=0,"",'SEGUIMIENTO Y MONITOREO'!AX9),Datos!$Y$4,IF('SEGUIMIENTO Y MONITOREO'!AX10=0,"",'SEGUIMIENTO Y MONITOREO'!AX10),Datos!$Y$4,IF('SEGUIMIENTO Y MONITOREO'!AX11=0,"",'SEGUIMIENTO Y MONITOREO'!AX11)))</f>
        <v xml:space="preserve">No se ha realizado petición formal en lo que va del año 2016
</v>
      </c>
      <c r="O9" s="629"/>
    </row>
    <row r="10" spans="1:15" ht="15" customHeight="1" x14ac:dyDescent="0.2">
      <c r="A10" s="630"/>
      <c r="B10" s="591"/>
      <c r="C10" s="82" t="str">
        <f>'SEGUIMIENTO Y MONITOREO'!D10</f>
        <v/>
      </c>
      <c r="D10" s="82" t="str">
        <f>'SEGUIMIENTO Y MONITOREO'!E10</f>
        <v/>
      </c>
      <c r="E10" s="128" t="str">
        <f>'SEGUIMIENTO Y MONITOREO'!G10</f>
        <v/>
      </c>
      <c r="F10" s="128" t="str">
        <f>'SEGUIMIENTO Y MONITOREO'!H10</f>
        <v/>
      </c>
      <c r="G10" s="314" t="str">
        <f>IF('SEGUIMIENTO Y MONITOREO'!J10="NA","NA",'SEGUIMIENTO Y MONITOREO'!N10)</f>
        <v/>
      </c>
      <c r="H10" s="628"/>
      <c r="I10" s="314" t="str">
        <f>IF('SEGUIMIENTO Y MONITOREO'!T10="NA","NA",'SEGUIMIENTO Y MONITOREO'!X10)</f>
        <v/>
      </c>
      <c r="J10" s="628"/>
      <c r="K10" s="314" t="str">
        <f>IF('SEGUIMIENTO Y MONITOREO'!AD10="NA","NA",'SEGUIMIENTO Y MONITOREO'!AH10)</f>
        <v/>
      </c>
      <c r="L10" s="628"/>
      <c r="M10" s="628"/>
      <c r="N10" s="629"/>
      <c r="O10" s="629"/>
    </row>
    <row r="11" spans="1:15" ht="15" customHeight="1" x14ac:dyDescent="0.2">
      <c r="A11" s="630"/>
      <c r="B11" s="591"/>
      <c r="C11" s="82" t="str">
        <f>'SEGUIMIENTO Y MONITOREO'!D11</f>
        <v/>
      </c>
      <c r="D11" s="82" t="str">
        <f>'SEGUIMIENTO Y MONITOREO'!E11</f>
        <v/>
      </c>
      <c r="E11" s="128" t="str">
        <f>'SEGUIMIENTO Y MONITOREO'!G11</f>
        <v/>
      </c>
      <c r="F11" s="128" t="str">
        <f>'SEGUIMIENTO Y MONITOREO'!H11</f>
        <v/>
      </c>
      <c r="G11" s="314" t="str">
        <f>IF('SEGUIMIENTO Y MONITOREO'!J11="NA","NA",'SEGUIMIENTO Y MONITOREO'!N11)</f>
        <v/>
      </c>
      <c r="H11" s="628"/>
      <c r="I11" s="314" t="str">
        <f>IF('SEGUIMIENTO Y MONITOREO'!T11="NA","NA",'SEGUIMIENTO Y MONITOREO'!X11)</f>
        <v/>
      </c>
      <c r="J11" s="628"/>
      <c r="K11" s="314" t="str">
        <f>IF('SEGUIMIENTO Y MONITOREO'!AD11="NA","NA",'SEGUIMIENTO Y MONITOREO'!AH11)</f>
        <v/>
      </c>
      <c r="L11" s="628"/>
      <c r="M11" s="628"/>
      <c r="N11" s="629"/>
      <c r="O11" s="629"/>
    </row>
    <row r="12" spans="1:15" ht="25.5" customHeight="1" x14ac:dyDescent="0.2">
      <c r="A12" s="630" t="str">
        <f>'SEGUIMIENTO Y MONITOREO'!A12:A14</f>
        <v>2G</v>
      </c>
      <c r="B12" s="591" t="str">
        <f>'SEGUIMIENTO Y MONITOREO'!B12:B14</f>
        <v xml:space="preserve">Relaciones Interinstitucionales. Escaso registro y control de la movilidad internacional entrante y saliente. </v>
      </c>
      <c r="C12" s="82" t="str">
        <f>'SEGUIMIENTO Y MONITOREO'!D12</f>
        <v>Actualizacion constante. Difusion de la Guia.</v>
      </c>
      <c r="D12" s="82" t="str">
        <f>'SEGUIMIENTO Y MONITOREO'!E12</f>
        <v>Correos enviados</v>
      </c>
      <c r="E12" s="128">
        <f>'SEGUIMIENTO Y MONITOREO'!G12</f>
        <v>42401</v>
      </c>
      <c r="F12" s="128">
        <f>'SEGUIMIENTO Y MONITOREO'!H12</f>
        <v>42405</v>
      </c>
      <c r="G12" s="314">
        <f>IF('SEGUIMIENTO Y MONITOREO'!J12="NA","NA",'SEGUIMIENTO Y MONITOREO'!N12)</f>
        <v>1</v>
      </c>
      <c r="H12" s="628">
        <f>'SEGUIMIENTO Y MONITOREO'!AR12</f>
        <v>1</v>
      </c>
      <c r="I12" s="314">
        <f>IF('SEGUIMIENTO Y MONITOREO'!T12="NA","NA",'SEGUIMIENTO Y MONITOREO'!X12)</f>
        <v>1</v>
      </c>
      <c r="J12" s="628">
        <f>'SEGUIMIENTO Y MONITOREO'!AS12</f>
        <v>1</v>
      </c>
      <c r="K12" s="314" t="str">
        <f>IF('SEGUIMIENTO Y MONITOREO'!AD12="NA","NA",'SEGUIMIENTO Y MONITOREO'!AH12)</f>
        <v/>
      </c>
      <c r="L12" s="628" t="str">
        <f>'SEGUIMIENTO Y MONITOREO'!AU12</f>
        <v/>
      </c>
      <c r="M12" s="628">
        <f>'SEGUIMIENTO Y MONITOREO'!AW12</f>
        <v>1</v>
      </c>
      <c r="N12" s="629" t="str">
        <f>IF(M12="","",CONCATENATE(IF('SEGUIMIENTO Y MONITOREO'!AX12=0,"",'SEGUIMIENTO Y MONITOREO'!AX12),Datos!$Y$4,IF('SEGUIMIENTO Y MONITOREO'!AX13=0,"",'SEGUIMIENTO Y MONITOREO'!AX13),Datos!$Y$4,IF('SEGUIMIENTO Y MONITOREO'!AX14=0,"",'SEGUIMIENTO Y MONITOREO'!AX14)))</f>
        <v>Se cumplio con la actividad definida tal como se informo en primer seguimiento
Se cumplio con la actividad definida tal como se informo en primer seguimiento
Se cumplio con la actividad definida tal como se informo en primer seguimiento</v>
      </c>
      <c r="O12" s="629"/>
    </row>
    <row r="13" spans="1:15" ht="51" x14ac:dyDescent="0.2">
      <c r="A13" s="630"/>
      <c r="B13" s="591"/>
      <c r="C13" s="82" t="str">
        <f>'SEGUIMIENTO Y MONITOREO'!D13</f>
        <v>Seguimiento periodico a los controles existentes en el procedimiento. Difusión del procedimiento.</v>
      </c>
      <c r="D13" s="82" t="str">
        <f>'SEGUIMIENTO Y MONITOREO'!E13</f>
        <v>Correos enviados</v>
      </c>
      <c r="E13" s="128">
        <f>'SEGUIMIENTO Y MONITOREO'!G13</f>
        <v>42401</v>
      </c>
      <c r="F13" s="128">
        <f>'SEGUIMIENTO Y MONITOREO'!H13</f>
        <v>42405</v>
      </c>
      <c r="G13" s="314">
        <f>IF('SEGUIMIENTO Y MONITOREO'!J13="NA","NA",'SEGUIMIENTO Y MONITOREO'!N13)</f>
        <v>1</v>
      </c>
      <c r="H13" s="628"/>
      <c r="I13" s="314">
        <f>IF('SEGUIMIENTO Y MONITOREO'!T13="NA","NA",'SEGUIMIENTO Y MONITOREO'!X13)</f>
        <v>1</v>
      </c>
      <c r="J13" s="628"/>
      <c r="K13" s="314" t="str">
        <f>IF('SEGUIMIENTO Y MONITOREO'!AD13="NA","NA",'SEGUIMIENTO Y MONITOREO'!AH13)</f>
        <v/>
      </c>
      <c r="L13" s="628"/>
      <c r="M13" s="628"/>
      <c r="N13" s="629"/>
      <c r="O13" s="629"/>
    </row>
    <row r="14" spans="1:15" ht="38.25" x14ac:dyDescent="0.2">
      <c r="A14" s="630"/>
      <c r="B14" s="591"/>
      <c r="C14" s="82" t="str">
        <f>'SEGUIMIENTO Y MONITOREO'!D14</f>
        <v>Difusion adecuada de los formatos. Recopilacion de los soportes requeridos.</v>
      </c>
      <c r="D14" s="82" t="str">
        <f>'SEGUIMIENTO Y MONITOREO'!E14</f>
        <v>Correos enviados</v>
      </c>
      <c r="E14" s="128">
        <f>'SEGUIMIENTO Y MONITOREO'!G14</f>
        <v>42401</v>
      </c>
      <c r="F14" s="128">
        <f>'SEGUIMIENTO Y MONITOREO'!H14</f>
        <v>42405</v>
      </c>
      <c r="G14" s="314">
        <f>IF('SEGUIMIENTO Y MONITOREO'!J14="NA","NA",'SEGUIMIENTO Y MONITOREO'!N14)</f>
        <v>1</v>
      </c>
      <c r="H14" s="628"/>
      <c r="I14" s="314">
        <f>IF('SEGUIMIENTO Y MONITOREO'!T14="NA","NA",'SEGUIMIENTO Y MONITOREO'!X14)</f>
        <v>1</v>
      </c>
      <c r="J14" s="628"/>
      <c r="K14" s="314" t="str">
        <f>IF('SEGUIMIENTO Y MONITOREO'!AD14="NA","NA",'SEGUIMIENTO Y MONITOREO'!AH14)</f>
        <v/>
      </c>
      <c r="L14" s="628"/>
      <c r="M14" s="628"/>
      <c r="N14" s="629"/>
      <c r="O14" s="629"/>
    </row>
    <row r="15" spans="1:15" ht="25.5" customHeight="1" x14ac:dyDescent="0.2">
      <c r="A15" s="630" t="str">
        <f>'SEGUIMIENTO Y MONITOREO'!A15:A17</f>
        <v>3G</v>
      </c>
      <c r="B15" s="591" t="str">
        <f>'SEGUIMIENTO Y MONITOREO'!B15:B17</f>
        <v>Relaciones Interinstitucionales. Gestionar la movilidad internacional sin requisitos legales</v>
      </c>
      <c r="C15" s="82" t="str">
        <f>'SEGUIMIENTO Y MONITOREO'!D15</f>
        <v>Difusion adecuada de los formatos. Recopilacion de los soportes requeridos.</v>
      </c>
      <c r="D15" s="82" t="str">
        <f>'SEGUIMIENTO Y MONITOREO'!E15</f>
        <v xml:space="preserve">Correo Electronico y asistencia personalizada </v>
      </c>
      <c r="E15" s="128">
        <f>'SEGUIMIENTO Y MONITOREO'!G15</f>
        <v>42370</v>
      </c>
      <c r="F15" s="128">
        <f>'SEGUIMIENTO Y MONITOREO'!H15</f>
        <v>42490</v>
      </c>
      <c r="G15" s="314">
        <f>IF('SEGUIMIENTO Y MONITOREO'!J15="NA","NA",'SEGUIMIENTO Y MONITOREO'!N15)</f>
        <v>1</v>
      </c>
      <c r="H15" s="628">
        <f>'SEGUIMIENTO Y MONITOREO'!AR15</f>
        <v>1</v>
      </c>
      <c r="I15" s="314">
        <f>IF('SEGUIMIENTO Y MONITOREO'!T15="NA","NA",'SEGUIMIENTO Y MONITOREO'!X15)</f>
        <v>1</v>
      </c>
      <c r="J15" s="628">
        <f>'SEGUIMIENTO Y MONITOREO'!AS15</f>
        <v>1</v>
      </c>
      <c r="K15" s="314" t="str">
        <f>IF('SEGUIMIENTO Y MONITOREO'!AD15="NA","NA",'SEGUIMIENTO Y MONITOREO'!AH15)</f>
        <v/>
      </c>
      <c r="L15" s="628" t="str">
        <f>'SEGUIMIENTO Y MONITOREO'!AU15</f>
        <v/>
      </c>
      <c r="M15" s="628">
        <f>'SEGUIMIENTO Y MONITOREO'!AW15</f>
        <v>1</v>
      </c>
      <c r="N15" s="631" t="str">
        <f>IF(M15="","",CONCATENATE(IF('SEGUIMIENTO Y MONITOREO'!AX15=0,"",'SEGUIMIENTO Y MONITOREO'!AX15),Datos!$Y$4,IF('SEGUIMIENTO Y MONITOREO'!AX16=0,"",'SEGUIMIENTO Y MONITOREO'!AX16),Datos!$Y$4,IF('SEGUIMIENTO Y MONITOREO'!AX17=0,"",'SEGUIMIENTO Y MONITOREO'!AX17)))</f>
        <v xml:space="preserve">Se cumplio con la actividad definida tal como se informo en primer seguimiento
</v>
      </c>
      <c r="O15" s="631"/>
    </row>
    <row r="16" spans="1:15" x14ac:dyDescent="0.2">
      <c r="A16" s="630"/>
      <c r="B16" s="591"/>
      <c r="C16" s="82" t="str">
        <f>'SEGUIMIENTO Y MONITOREO'!D16</f>
        <v/>
      </c>
      <c r="D16" s="82" t="str">
        <f>'SEGUIMIENTO Y MONITOREO'!E16</f>
        <v/>
      </c>
      <c r="E16" s="128" t="str">
        <f>'SEGUIMIENTO Y MONITOREO'!G16</f>
        <v/>
      </c>
      <c r="F16" s="128" t="str">
        <f>'SEGUIMIENTO Y MONITOREO'!H16</f>
        <v/>
      </c>
      <c r="G16" s="314" t="str">
        <f>IF('SEGUIMIENTO Y MONITOREO'!J16="NA","NA",'SEGUIMIENTO Y MONITOREO'!N16)</f>
        <v/>
      </c>
      <c r="H16" s="628"/>
      <c r="I16" s="314" t="str">
        <f>IF('SEGUIMIENTO Y MONITOREO'!T16="NA","NA",'SEGUIMIENTO Y MONITOREO'!X16)</f>
        <v/>
      </c>
      <c r="J16" s="628"/>
      <c r="K16" s="314" t="str">
        <f>IF('SEGUIMIENTO Y MONITOREO'!AD16="NA","NA",'SEGUIMIENTO Y MONITOREO'!AH16)</f>
        <v/>
      </c>
      <c r="L16" s="628"/>
      <c r="M16" s="628"/>
      <c r="N16" s="631"/>
      <c r="O16" s="631"/>
    </row>
    <row r="17" spans="1:15" x14ac:dyDescent="0.2">
      <c r="A17" s="630"/>
      <c r="B17" s="591"/>
      <c r="C17" s="82" t="str">
        <f>'SEGUIMIENTO Y MONITOREO'!D17</f>
        <v/>
      </c>
      <c r="D17" s="82" t="str">
        <f>'SEGUIMIENTO Y MONITOREO'!E17</f>
        <v/>
      </c>
      <c r="E17" s="128" t="str">
        <f>'SEGUIMIENTO Y MONITOREO'!G17</f>
        <v/>
      </c>
      <c r="F17" s="128" t="str">
        <f>'SEGUIMIENTO Y MONITOREO'!H17</f>
        <v/>
      </c>
      <c r="G17" s="314" t="str">
        <f>IF('SEGUIMIENTO Y MONITOREO'!J17="NA","NA",'SEGUIMIENTO Y MONITOREO'!N17)</f>
        <v/>
      </c>
      <c r="H17" s="628"/>
      <c r="I17" s="314" t="str">
        <f>IF('SEGUIMIENTO Y MONITOREO'!T17="NA","NA",'SEGUIMIENTO Y MONITOREO'!X17)</f>
        <v/>
      </c>
      <c r="J17" s="628"/>
      <c r="K17" s="314" t="str">
        <f>IF('SEGUIMIENTO Y MONITOREO'!AD17="NA","NA",'SEGUIMIENTO Y MONITOREO'!AH17)</f>
        <v/>
      </c>
      <c r="L17" s="628"/>
      <c r="M17" s="628"/>
      <c r="N17" s="631"/>
      <c r="O17" s="631"/>
    </row>
    <row r="18" spans="1:15" ht="25.5" customHeight="1" x14ac:dyDescent="0.2">
      <c r="A18" s="630" t="str">
        <f>'SEGUIMIENTO Y MONITOREO'!A18:A20</f>
        <v>4G</v>
      </c>
      <c r="B18" s="591" t="str">
        <f>'SEGUIMIENTO Y MONITOREO'!B18:B20</f>
        <v>Acreditación. Insuficiente Implementación de la Política Institucional de Autoevaluación, Acreditación y Aseguramiento de la calidad</v>
      </c>
      <c r="C18" s="82" t="str">
        <f>'SEGUIMIENTO Y MONITOREO'!D18</f>
        <v>Cumplimiento de metas para  cualificación a la comunidad universitaria acordes con el plan de trabajo.</v>
      </c>
      <c r="D18" s="82" t="str">
        <f>'SEGUIMIENTO Y MONITOREO'!E18</f>
        <v>Comunicaciones</v>
      </c>
      <c r="E18" s="128">
        <f>'SEGUIMIENTO Y MONITOREO'!G18</f>
        <v>42383</v>
      </c>
      <c r="F18" s="128">
        <f>'SEGUIMIENTO Y MONITOREO'!H18</f>
        <v>42720</v>
      </c>
      <c r="G18" s="314">
        <f>IF('SEGUIMIENTO Y MONITOREO'!J18="NA","NA",'SEGUIMIENTO Y MONITOREO'!N18)</f>
        <v>0</v>
      </c>
      <c r="H18" s="628">
        <f>'SEGUIMIENTO Y MONITOREO'!AR18</f>
        <v>0</v>
      </c>
      <c r="I18" s="314">
        <f>IF('SEGUIMIENTO Y MONITOREO'!T18="NA","NA",'SEGUIMIENTO Y MONITOREO'!X18)</f>
        <v>0.5</v>
      </c>
      <c r="J18" s="628">
        <f>'SEGUIMIENTO Y MONITOREO'!AS18</f>
        <v>0.5</v>
      </c>
      <c r="K18" s="314" t="str">
        <f>IF('SEGUIMIENTO Y MONITOREO'!AD18="NA","NA",'SEGUIMIENTO Y MONITOREO'!AH18)</f>
        <v/>
      </c>
      <c r="L18" s="628" t="str">
        <f>'SEGUIMIENTO Y MONITOREO'!AU18</f>
        <v/>
      </c>
      <c r="M18" s="628">
        <f>'SEGUIMIENTO Y MONITOREO'!AW18</f>
        <v>0.5</v>
      </c>
      <c r="N18" s="631" t="str">
        <f>IF(M18="","",CONCATENATE(IF('SEGUIMIENTO Y MONITOREO'!AX18=0,"",'SEGUIMIENTO Y MONITOREO'!AX18),Datos!$Y$4,IF('SEGUIMIENTO Y MONITOREO'!AX19=0,"",'SEGUIMIENTO Y MONITOREO'!AX19),Datos!$Y$4,IF('SEGUIMIENTO Y MONITOREO'!AX20=0,"",'SEGUIMIENTO Y MONITOREO'!AX20)))</f>
        <v xml:space="preserve">Enviado por correo electronico la propuesta y se encuentra en revisión por el rector
</v>
      </c>
      <c r="O18" s="631"/>
    </row>
    <row r="19" spans="1:15" x14ac:dyDescent="0.2">
      <c r="A19" s="630"/>
      <c r="B19" s="591"/>
      <c r="C19" s="82" t="str">
        <f>'SEGUIMIENTO Y MONITOREO'!D19</f>
        <v/>
      </c>
      <c r="D19" s="82" t="str">
        <f>'SEGUIMIENTO Y MONITOREO'!E19</f>
        <v/>
      </c>
      <c r="E19" s="128" t="str">
        <f>'SEGUIMIENTO Y MONITOREO'!G19</f>
        <v/>
      </c>
      <c r="F19" s="128" t="str">
        <f>'SEGUIMIENTO Y MONITOREO'!H19</f>
        <v/>
      </c>
      <c r="G19" s="314" t="str">
        <f>IF('SEGUIMIENTO Y MONITOREO'!J19="NA","NA",'SEGUIMIENTO Y MONITOREO'!N19)</f>
        <v/>
      </c>
      <c r="H19" s="628"/>
      <c r="I19" s="314" t="str">
        <f>IF('SEGUIMIENTO Y MONITOREO'!T19="NA","NA",'SEGUIMIENTO Y MONITOREO'!X19)</f>
        <v/>
      </c>
      <c r="J19" s="628"/>
      <c r="K19" s="314" t="str">
        <f>IF('SEGUIMIENTO Y MONITOREO'!AD19="NA","NA",'SEGUIMIENTO Y MONITOREO'!AH19)</f>
        <v/>
      </c>
      <c r="L19" s="628"/>
      <c r="M19" s="628"/>
      <c r="N19" s="631"/>
      <c r="O19" s="631"/>
    </row>
    <row r="20" spans="1:15" x14ac:dyDescent="0.2">
      <c r="A20" s="630"/>
      <c r="B20" s="591"/>
      <c r="C20" s="82" t="str">
        <f>'SEGUIMIENTO Y MONITOREO'!D20</f>
        <v/>
      </c>
      <c r="D20" s="82" t="str">
        <f>'SEGUIMIENTO Y MONITOREO'!E20</f>
        <v/>
      </c>
      <c r="E20" s="128" t="str">
        <f>'SEGUIMIENTO Y MONITOREO'!G20</f>
        <v/>
      </c>
      <c r="F20" s="128" t="str">
        <f>'SEGUIMIENTO Y MONITOREO'!H20</f>
        <v/>
      </c>
      <c r="G20" s="314" t="str">
        <f>IF('SEGUIMIENTO Y MONITOREO'!J20="NA","NA",'SEGUIMIENTO Y MONITOREO'!N20)</f>
        <v/>
      </c>
      <c r="H20" s="628"/>
      <c r="I20" s="314" t="str">
        <f>IF('SEGUIMIENTO Y MONITOREO'!T20="NA","NA",'SEGUIMIENTO Y MONITOREO'!X20)</f>
        <v/>
      </c>
      <c r="J20" s="628"/>
      <c r="K20" s="314" t="str">
        <f>IF('SEGUIMIENTO Y MONITOREO'!AD20="NA","NA",'SEGUIMIENTO Y MONITOREO'!AH20)</f>
        <v/>
      </c>
      <c r="L20" s="628"/>
      <c r="M20" s="628"/>
      <c r="N20" s="631"/>
      <c r="O20" s="631"/>
    </row>
    <row r="21" spans="1:15" ht="25.5" customHeight="1" x14ac:dyDescent="0.2">
      <c r="A21" s="630" t="str">
        <f>'SEGUIMIENTO Y MONITOREO'!A21:A23</f>
        <v>5G</v>
      </c>
      <c r="B21" s="591" t="str">
        <f>'SEGUIMIENTO Y MONITOREO'!B21:B23</f>
        <v xml:space="preserve">Acreditación. Deficiencia en la calidad técnica de los informes </v>
      </c>
      <c r="C21" s="82" t="str">
        <f>'SEGUIMIENTO Y MONITOREO'!D21</f>
        <v>Cumplimiento de metas para  cualificación a la comunidad universitaria acordes con el plan de trabajo.</v>
      </c>
      <c r="D21" s="82" t="str">
        <f>'SEGUIMIENTO Y MONITOREO'!E21</f>
        <v>Actas o listas de asistencia</v>
      </c>
      <c r="E21" s="128">
        <f>'SEGUIMIENTO Y MONITOREO'!G21</f>
        <v>42383</v>
      </c>
      <c r="F21" s="128">
        <f>'SEGUIMIENTO Y MONITOREO'!H21</f>
        <v>42720</v>
      </c>
      <c r="G21" s="314">
        <f>IF('SEGUIMIENTO Y MONITOREO'!J21="NA","NA",'SEGUIMIENTO Y MONITOREO'!N21)</f>
        <v>1</v>
      </c>
      <c r="H21" s="628">
        <f>'SEGUIMIENTO Y MONITOREO'!AR21</f>
        <v>1</v>
      </c>
      <c r="I21" s="314">
        <f>IF('SEGUIMIENTO Y MONITOREO'!T21="NA","NA",'SEGUIMIENTO Y MONITOREO'!X21)</f>
        <v>1</v>
      </c>
      <c r="J21" s="628">
        <f>'SEGUIMIENTO Y MONITOREO'!AS21</f>
        <v>1</v>
      </c>
      <c r="K21" s="314" t="str">
        <f>IF('SEGUIMIENTO Y MONITOREO'!AD21="NA","NA",'SEGUIMIENTO Y MONITOREO'!AH21)</f>
        <v/>
      </c>
      <c r="L21" s="628" t="str">
        <f>'SEGUIMIENTO Y MONITOREO'!AU21</f>
        <v/>
      </c>
      <c r="M21" s="628">
        <f>'SEGUIMIENTO Y MONITOREO'!AW21</f>
        <v>1</v>
      </c>
      <c r="N21" s="631" t="str">
        <f>IF(M21="","",CONCATENATE(IF('SEGUIMIENTO Y MONITOREO'!AX21=0,"",'SEGUIMIENTO Y MONITOREO'!AX21),Datos!$Y$4,IF('SEGUIMIENTO Y MONITOREO'!AX22=0,"",'SEGUIMIENTO Y MONITOREO'!AX22),Datos!$Y$4,IF('SEGUIMIENTO Y MONITOREO'!AX23=0,"",'SEGUIMIENTO Y MONITOREO'!AX23)))</f>
        <v xml:space="preserve">Se cumplio con la actividad definida tal como se informo en primer seguimiento
</v>
      </c>
      <c r="O21" s="631"/>
    </row>
    <row r="22" spans="1:15" x14ac:dyDescent="0.2">
      <c r="A22" s="630"/>
      <c r="B22" s="591"/>
      <c r="C22" s="82" t="str">
        <f>'SEGUIMIENTO Y MONITOREO'!D22</f>
        <v/>
      </c>
      <c r="D22" s="82" t="str">
        <f>'SEGUIMIENTO Y MONITOREO'!E22</f>
        <v/>
      </c>
      <c r="E22" s="128" t="str">
        <f>'SEGUIMIENTO Y MONITOREO'!G22</f>
        <v/>
      </c>
      <c r="F22" s="128" t="str">
        <f>'SEGUIMIENTO Y MONITOREO'!H22</f>
        <v/>
      </c>
      <c r="G22" s="314" t="str">
        <f>IF('SEGUIMIENTO Y MONITOREO'!J22="NA","NA",'SEGUIMIENTO Y MONITOREO'!N22)</f>
        <v/>
      </c>
      <c r="H22" s="628"/>
      <c r="I22" s="314" t="str">
        <f>IF('SEGUIMIENTO Y MONITOREO'!T22="NA","NA",'SEGUIMIENTO Y MONITOREO'!X22)</f>
        <v/>
      </c>
      <c r="J22" s="628"/>
      <c r="K22" s="314" t="str">
        <f>IF('SEGUIMIENTO Y MONITOREO'!AD22="NA","NA",'SEGUIMIENTO Y MONITOREO'!AH22)</f>
        <v/>
      </c>
      <c r="L22" s="628"/>
      <c r="M22" s="628"/>
      <c r="N22" s="631"/>
      <c r="O22" s="631"/>
    </row>
    <row r="23" spans="1:15" x14ac:dyDescent="0.2">
      <c r="A23" s="630"/>
      <c r="B23" s="591"/>
      <c r="C23" s="82" t="str">
        <f>'SEGUIMIENTO Y MONITOREO'!D23</f>
        <v/>
      </c>
      <c r="D23" s="82" t="str">
        <f>'SEGUIMIENTO Y MONITOREO'!E23</f>
        <v/>
      </c>
      <c r="E23" s="128" t="str">
        <f>'SEGUIMIENTO Y MONITOREO'!G23</f>
        <v/>
      </c>
      <c r="F23" s="128" t="str">
        <f>'SEGUIMIENTO Y MONITOREO'!H23</f>
        <v/>
      </c>
      <c r="G23" s="314" t="str">
        <f>IF('SEGUIMIENTO Y MONITOREO'!J23="NA","NA",'SEGUIMIENTO Y MONITOREO'!N23)</f>
        <v/>
      </c>
      <c r="H23" s="628"/>
      <c r="I23" s="314" t="str">
        <f>IF('SEGUIMIENTO Y MONITOREO'!T23="NA","NA",'SEGUIMIENTO Y MONITOREO'!X23)</f>
        <v/>
      </c>
      <c r="J23" s="628"/>
      <c r="K23" s="314" t="str">
        <f>IF('SEGUIMIENTO Y MONITOREO'!AD23="NA","NA",'SEGUIMIENTO Y MONITOREO'!AH23)</f>
        <v/>
      </c>
      <c r="L23" s="628"/>
      <c r="M23" s="628"/>
      <c r="N23" s="631"/>
      <c r="O23" s="631"/>
    </row>
    <row r="24" spans="1:15" ht="25.5" customHeight="1" x14ac:dyDescent="0.2">
      <c r="A24" s="630" t="str">
        <f>'SEGUIMIENTO Y MONITOREO'!A24:A26</f>
        <v>6G</v>
      </c>
      <c r="B24" s="591" t="str">
        <f>'SEGUIMIENTO Y MONITOREO'!B24:B26</f>
        <v>Acreditación. Negación de la acreditación o de la renovación de registro calificado</v>
      </c>
      <c r="C24" s="82" t="str">
        <f>'SEGUIMIENTO Y MONITOREO'!D24</f>
        <v xml:space="preserve">Continuar con el seguimiento al cumplimiento de los controles existentes </v>
      </c>
      <c r="D24" s="82" t="str">
        <f>'SEGUIMIENTO Y MONITOREO'!E24</f>
        <v/>
      </c>
      <c r="E24" s="128" t="str">
        <f>'SEGUIMIENTO Y MONITOREO'!G24</f>
        <v/>
      </c>
      <c r="F24" s="128" t="str">
        <f>'SEGUIMIENTO Y MONITOREO'!H24</f>
        <v/>
      </c>
      <c r="G24" s="314" t="str">
        <f>IF('SEGUIMIENTO Y MONITOREO'!J24="NA","NA",'SEGUIMIENTO Y MONITOREO'!N24)</f>
        <v>NA</v>
      </c>
      <c r="H24" s="628" t="str">
        <f>'SEGUIMIENTO Y MONITOREO'!AR24</f>
        <v>NA</v>
      </c>
      <c r="I24" s="314" t="str">
        <f>IF('SEGUIMIENTO Y MONITOREO'!T24="NA","NA",'SEGUIMIENTO Y MONITOREO'!X24)</f>
        <v>NA</v>
      </c>
      <c r="J24" s="628" t="str">
        <f>'SEGUIMIENTO Y MONITOREO'!AS24</f>
        <v>NA</v>
      </c>
      <c r="K24" s="314" t="str">
        <f>IF('SEGUIMIENTO Y MONITOREO'!AD24="NA","NA",'SEGUIMIENTO Y MONITOREO'!AH24)</f>
        <v/>
      </c>
      <c r="L24" s="628" t="str">
        <f>'SEGUIMIENTO Y MONITOREO'!AU24</f>
        <v/>
      </c>
      <c r="M24" s="628" t="str">
        <f>'SEGUIMIENTO Y MONITOREO'!AW24</f>
        <v>NA</v>
      </c>
      <c r="N24" s="631" t="str">
        <f>IF(M24="","",CONCATENATE(IF('SEGUIMIENTO Y MONITOREO'!AX24=0,"",'SEGUIMIENTO Y MONITOREO'!AX24),Datos!$Y$4,IF('SEGUIMIENTO Y MONITOREO'!AX25=0,"",'SEGUIMIENTO Y MONITOREO'!AX25),Datos!$Y$4,IF('SEGUIMIENTO Y MONITOREO'!AX26=0,"",'SEGUIMIENTO Y MONITOREO'!AX26)))</f>
        <v xml:space="preserve">
</v>
      </c>
      <c r="O24" s="631"/>
    </row>
    <row r="25" spans="1:15" x14ac:dyDescent="0.2">
      <c r="A25" s="630"/>
      <c r="B25" s="591"/>
      <c r="C25" s="82" t="str">
        <f>'SEGUIMIENTO Y MONITOREO'!D25</f>
        <v/>
      </c>
      <c r="D25" s="82" t="str">
        <f>'SEGUIMIENTO Y MONITOREO'!E25</f>
        <v/>
      </c>
      <c r="E25" s="128" t="str">
        <f>'SEGUIMIENTO Y MONITOREO'!G25</f>
        <v/>
      </c>
      <c r="F25" s="128" t="str">
        <f>'SEGUIMIENTO Y MONITOREO'!H25</f>
        <v/>
      </c>
      <c r="G25" s="314" t="str">
        <f>IF('SEGUIMIENTO Y MONITOREO'!J25="NA","NA",'SEGUIMIENTO Y MONITOREO'!N25)</f>
        <v/>
      </c>
      <c r="H25" s="628"/>
      <c r="I25" s="314" t="str">
        <f>IF('SEGUIMIENTO Y MONITOREO'!T25="NA","NA",'SEGUIMIENTO Y MONITOREO'!X25)</f>
        <v/>
      </c>
      <c r="J25" s="628"/>
      <c r="K25" s="314" t="str">
        <f>IF('SEGUIMIENTO Y MONITOREO'!AD25="NA","NA",'SEGUIMIENTO Y MONITOREO'!AH25)</f>
        <v/>
      </c>
      <c r="L25" s="628"/>
      <c r="M25" s="628"/>
      <c r="N25" s="631"/>
      <c r="O25" s="631"/>
    </row>
    <row r="26" spans="1:15" x14ac:dyDescent="0.2">
      <c r="A26" s="630"/>
      <c r="B26" s="591"/>
      <c r="C26" s="82" t="str">
        <f>'SEGUIMIENTO Y MONITOREO'!D26</f>
        <v/>
      </c>
      <c r="D26" s="82" t="str">
        <f>'SEGUIMIENTO Y MONITOREO'!E26</f>
        <v/>
      </c>
      <c r="E26" s="128" t="str">
        <f>'SEGUIMIENTO Y MONITOREO'!G26</f>
        <v/>
      </c>
      <c r="F26" s="128" t="str">
        <f>'SEGUIMIENTO Y MONITOREO'!H26</f>
        <v/>
      </c>
      <c r="G26" s="314" t="str">
        <f>IF('SEGUIMIENTO Y MONITOREO'!J26="NA","NA",'SEGUIMIENTO Y MONITOREO'!N26)</f>
        <v/>
      </c>
      <c r="H26" s="628"/>
      <c r="I26" s="314" t="str">
        <f>IF('SEGUIMIENTO Y MONITOREO'!T26="NA","NA",'SEGUIMIENTO Y MONITOREO'!X26)</f>
        <v/>
      </c>
      <c r="J26" s="628"/>
      <c r="K26" s="314" t="str">
        <f>IF('SEGUIMIENTO Y MONITOREO'!AD26="NA","NA",'SEGUIMIENTO Y MONITOREO'!AH26)</f>
        <v/>
      </c>
      <c r="L26" s="628"/>
      <c r="M26" s="628"/>
      <c r="N26" s="631"/>
      <c r="O26" s="631"/>
    </row>
    <row r="27" spans="1:15" ht="25.5" customHeight="1" x14ac:dyDescent="0.2">
      <c r="A27" s="630" t="str">
        <f>'SEGUIMIENTO Y MONITOREO'!A27:A29</f>
        <v>7G</v>
      </c>
      <c r="B27" s="591" t="str">
        <f>'SEGUIMIENTO Y MONITOREO'!B27:B29</f>
        <v>Acreditación. Incumplimiento en algunas actividades establecidas en el plan de trabajo</v>
      </c>
      <c r="C27" s="82" t="str">
        <f>'SEGUIMIENTO Y MONITOREO'!D27</f>
        <v xml:space="preserve">Continuar con el seguimiento al cumplimiento de los controles existentes </v>
      </c>
      <c r="D27" s="82" t="str">
        <f>'SEGUIMIENTO Y MONITOREO'!E27</f>
        <v/>
      </c>
      <c r="E27" s="128" t="str">
        <f>'SEGUIMIENTO Y MONITOREO'!G27</f>
        <v/>
      </c>
      <c r="F27" s="128" t="str">
        <f>'SEGUIMIENTO Y MONITOREO'!H27</f>
        <v/>
      </c>
      <c r="G27" s="314" t="str">
        <f>IF('SEGUIMIENTO Y MONITOREO'!J27="NA","NA",'SEGUIMIENTO Y MONITOREO'!N27)</f>
        <v>NA</v>
      </c>
      <c r="H27" s="628" t="str">
        <f>'SEGUIMIENTO Y MONITOREO'!AR27</f>
        <v>NA</v>
      </c>
      <c r="I27" s="314" t="str">
        <f>IF('SEGUIMIENTO Y MONITOREO'!T27="NA","NA",'SEGUIMIENTO Y MONITOREO'!X27)</f>
        <v>NA</v>
      </c>
      <c r="J27" s="628" t="str">
        <f>'SEGUIMIENTO Y MONITOREO'!AS27</f>
        <v>NA</v>
      </c>
      <c r="K27" s="314" t="str">
        <f>IF('SEGUIMIENTO Y MONITOREO'!AD27="NA","NA",'SEGUIMIENTO Y MONITOREO'!AH27)</f>
        <v/>
      </c>
      <c r="L27" s="628" t="str">
        <f>'SEGUIMIENTO Y MONITOREO'!AU27</f>
        <v/>
      </c>
      <c r="M27" s="628" t="str">
        <f>'SEGUIMIENTO Y MONITOREO'!AW27</f>
        <v>NA</v>
      </c>
      <c r="N27" s="631" t="str">
        <f>IF(M27="","",CONCATENATE(IF('SEGUIMIENTO Y MONITOREO'!AX27=0,"",'SEGUIMIENTO Y MONITOREO'!AX27),Datos!$Y$4,IF('SEGUIMIENTO Y MONITOREO'!AX28=0,"",'SEGUIMIENTO Y MONITOREO'!AX28),Datos!$Y$4,IF('SEGUIMIENTO Y MONITOREO'!AX29=0,"",'SEGUIMIENTO Y MONITOREO'!AX29)))</f>
        <v xml:space="preserve">
</v>
      </c>
      <c r="O27" s="631"/>
    </row>
    <row r="28" spans="1:15" x14ac:dyDescent="0.2">
      <c r="A28" s="630"/>
      <c r="B28" s="591"/>
      <c r="C28" s="82" t="str">
        <f>'SEGUIMIENTO Y MONITOREO'!D28</f>
        <v/>
      </c>
      <c r="D28" s="82" t="str">
        <f>'SEGUIMIENTO Y MONITOREO'!E28</f>
        <v/>
      </c>
      <c r="E28" s="128" t="str">
        <f>'SEGUIMIENTO Y MONITOREO'!G28</f>
        <v/>
      </c>
      <c r="F28" s="128" t="str">
        <f>'SEGUIMIENTO Y MONITOREO'!H28</f>
        <v/>
      </c>
      <c r="G28" s="314" t="str">
        <f>IF('SEGUIMIENTO Y MONITOREO'!J28="NA","NA",'SEGUIMIENTO Y MONITOREO'!N28)</f>
        <v/>
      </c>
      <c r="H28" s="628"/>
      <c r="I28" s="314" t="str">
        <f>IF('SEGUIMIENTO Y MONITOREO'!T28="NA","NA",'SEGUIMIENTO Y MONITOREO'!X28)</f>
        <v/>
      </c>
      <c r="J28" s="628"/>
      <c r="K28" s="314" t="str">
        <f>IF('SEGUIMIENTO Y MONITOREO'!AD28="NA","NA",'SEGUIMIENTO Y MONITOREO'!AH28)</f>
        <v/>
      </c>
      <c r="L28" s="628"/>
      <c r="M28" s="628"/>
      <c r="N28" s="631"/>
      <c r="O28" s="631"/>
    </row>
    <row r="29" spans="1:15" x14ac:dyDescent="0.2">
      <c r="A29" s="630"/>
      <c r="B29" s="591"/>
      <c r="C29" s="82" t="str">
        <f>'SEGUIMIENTO Y MONITOREO'!D29</f>
        <v/>
      </c>
      <c r="D29" s="82" t="str">
        <f>'SEGUIMIENTO Y MONITOREO'!E29</f>
        <v/>
      </c>
      <c r="E29" s="128" t="str">
        <f>'SEGUIMIENTO Y MONITOREO'!G29</f>
        <v/>
      </c>
      <c r="F29" s="128" t="str">
        <f>'SEGUIMIENTO Y MONITOREO'!H29</f>
        <v/>
      </c>
      <c r="G29" s="314" t="str">
        <f>IF('SEGUIMIENTO Y MONITOREO'!J29="NA","NA",'SEGUIMIENTO Y MONITOREO'!N29)</f>
        <v/>
      </c>
      <c r="H29" s="628"/>
      <c r="I29" s="314" t="str">
        <f>IF('SEGUIMIENTO Y MONITOREO'!T29="NA","NA",'SEGUIMIENTO Y MONITOREO'!X29)</f>
        <v/>
      </c>
      <c r="J29" s="628"/>
      <c r="K29" s="314" t="str">
        <f>IF('SEGUIMIENTO Y MONITOREO'!AD29="NA","NA",'SEGUIMIENTO Y MONITOREO'!AH29)</f>
        <v/>
      </c>
      <c r="L29" s="628"/>
      <c r="M29" s="628"/>
      <c r="N29" s="631"/>
      <c r="O29" s="631"/>
    </row>
    <row r="30" spans="1:15" ht="25.5" customHeight="1" x14ac:dyDescent="0.2">
      <c r="A30" s="630" t="str">
        <f>'SEGUIMIENTO Y MONITOREO'!A30:A32</f>
        <v>8G</v>
      </c>
      <c r="B30" s="591" t="str">
        <f>'SEGUIMIENTO Y MONITOREO'!B30:B32</f>
        <v>Acreditación. Retraso en el otorgamiento o renovacion del registro calificado</v>
      </c>
      <c r="C30" s="82" t="str">
        <f>'SEGUIMIENTO Y MONITOREO'!D30</f>
        <v xml:space="preserve">Continuar con el seguimiento al cumplimiento de los controles existentes </v>
      </c>
      <c r="D30" s="82" t="str">
        <f>'SEGUIMIENTO Y MONITOREO'!E30</f>
        <v/>
      </c>
      <c r="E30" s="128" t="str">
        <f>'SEGUIMIENTO Y MONITOREO'!G30</f>
        <v/>
      </c>
      <c r="F30" s="128" t="str">
        <f>'SEGUIMIENTO Y MONITOREO'!H30</f>
        <v/>
      </c>
      <c r="G30" s="314" t="str">
        <f>IF('SEGUIMIENTO Y MONITOREO'!J30="NA","NA",'SEGUIMIENTO Y MONITOREO'!N30)</f>
        <v>NA</v>
      </c>
      <c r="H30" s="628" t="str">
        <f>'SEGUIMIENTO Y MONITOREO'!AR30</f>
        <v>NA</v>
      </c>
      <c r="I30" s="314" t="str">
        <f>IF('SEGUIMIENTO Y MONITOREO'!T30="NA","NA",'SEGUIMIENTO Y MONITOREO'!X30)</f>
        <v>NA</v>
      </c>
      <c r="J30" s="628" t="str">
        <f>'SEGUIMIENTO Y MONITOREO'!AS30</f>
        <v>NA</v>
      </c>
      <c r="K30" s="314" t="str">
        <f>IF('SEGUIMIENTO Y MONITOREO'!AD30="NA","NA",'SEGUIMIENTO Y MONITOREO'!AH30)</f>
        <v/>
      </c>
      <c r="L30" s="628" t="str">
        <f>'SEGUIMIENTO Y MONITOREO'!AU30</f>
        <v/>
      </c>
      <c r="M30" s="628" t="str">
        <f>'SEGUIMIENTO Y MONITOREO'!AW30</f>
        <v>NA</v>
      </c>
      <c r="N30" s="631" t="str">
        <f>IF(M30="","",CONCATENATE(IF('SEGUIMIENTO Y MONITOREO'!AX30=0,"",'SEGUIMIENTO Y MONITOREO'!AX30),Datos!$Y$4,IF('SEGUIMIENTO Y MONITOREO'!AX31=0,"",'SEGUIMIENTO Y MONITOREO'!AX31),Datos!$Y$4,IF('SEGUIMIENTO Y MONITOREO'!AX32=0,"",'SEGUIMIENTO Y MONITOREO'!AX32)))</f>
        <v xml:space="preserve">
</v>
      </c>
      <c r="O30" s="631"/>
    </row>
    <row r="31" spans="1:15" x14ac:dyDescent="0.2">
      <c r="A31" s="630"/>
      <c r="B31" s="591"/>
      <c r="C31" s="82" t="str">
        <f>'SEGUIMIENTO Y MONITOREO'!D31</f>
        <v/>
      </c>
      <c r="D31" s="82" t="str">
        <f>'SEGUIMIENTO Y MONITOREO'!E31</f>
        <v/>
      </c>
      <c r="E31" s="128" t="str">
        <f>'SEGUIMIENTO Y MONITOREO'!G31</f>
        <v/>
      </c>
      <c r="F31" s="128" t="str">
        <f>'SEGUIMIENTO Y MONITOREO'!H31</f>
        <v/>
      </c>
      <c r="G31" s="314" t="str">
        <f>IF('SEGUIMIENTO Y MONITOREO'!J31="NA","NA",'SEGUIMIENTO Y MONITOREO'!N31)</f>
        <v/>
      </c>
      <c r="H31" s="628"/>
      <c r="I31" s="314" t="str">
        <f>IF('SEGUIMIENTO Y MONITOREO'!T31="NA","NA",'SEGUIMIENTO Y MONITOREO'!X31)</f>
        <v/>
      </c>
      <c r="J31" s="628"/>
      <c r="K31" s="314" t="str">
        <f>IF('SEGUIMIENTO Y MONITOREO'!AD31="NA","NA",'SEGUIMIENTO Y MONITOREO'!AH31)</f>
        <v/>
      </c>
      <c r="L31" s="628"/>
      <c r="M31" s="628"/>
      <c r="N31" s="631"/>
      <c r="O31" s="631"/>
    </row>
    <row r="32" spans="1:15" x14ac:dyDescent="0.2">
      <c r="A32" s="630"/>
      <c r="B32" s="591"/>
      <c r="C32" s="82" t="str">
        <f>'SEGUIMIENTO Y MONITOREO'!D32</f>
        <v/>
      </c>
      <c r="D32" s="82" t="str">
        <f>'SEGUIMIENTO Y MONITOREO'!E32</f>
        <v/>
      </c>
      <c r="E32" s="128" t="str">
        <f>'SEGUIMIENTO Y MONITOREO'!G32</f>
        <v/>
      </c>
      <c r="F32" s="128" t="str">
        <f>'SEGUIMIENTO Y MONITOREO'!H32</f>
        <v/>
      </c>
      <c r="G32" s="314" t="str">
        <f>IF('SEGUIMIENTO Y MONITOREO'!J32="NA","NA",'SEGUIMIENTO Y MONITOREO'!N32)</f>
        <v/>
      </c>
      <c r="H32" s="628"/>
      <c r="I32" s="314" t="str">
        <f>IF('SEGUIMIENTO Y MONITOREO'!T32="NA","NA",'SEGUIMIENTO Y MONITOREO'!X32)</f>
        <v/>
      </c>
      <c r="J32" s="628"/>
      <c r="K32" s="314" t="str">
        <f>IF('SEGUIMIENTO Y MONITOREO'!AD32="NA","NA",'SEGUIMIENTO Y MONITOREO'!AH32)</f>
        <v/>
      </c>
      <c r="L32" s="628"/>
      <c r="M32" s="628"/>
      <c r="N32" s="631"/>
      <c r="O32" s="631"/>
    </row>
    <row r="33" spans="1:15" ht="25.5" customHeight="1" x14ac:dyDescent="0.2">
      <c r="A33" s="630" t="str">
        <f>'SEGUIMIENTO Y MONITOREO'!A33:A35</f>
        <v>9G</v>
      </c>
      <c r="B33" s="591" t="str">
        <f>'SEGUIMIENTO Y MONITOREO'!B33:B35</f>
        <v>Gestión de la Calidad. La alta dirección no asegura la disponibilidad de los recursos para el mantenimiento y mejora del sistema.</v>
      </c>
      <c r="C33" s="82" t="str">
        <f>'SEGUIMIENTO Y MONITOREO'!D33</f>
        <v>Realizar la revisión por la dirección y divulgar los resultados del informe de revisión por la alta dirección</v>
      </c>
      <c r="D33" s="82" t="str">
        <f>'SEGUIMIENTO Y MONITOREO'!E33</f>
        <v>Registro de asistencia revisión por la Dirección</v>
      </c>
      <c r="E33" s="128">
        <f>'SEGUIMIENTO Y MONITOREO'!G33</f>
        <v>42383</v>
      </c>
      <c r="F33" s="128">
        <f>'SEGUIMIENTO Y MONITOREO'!H33</f>
        <v>42459</v>
      </c>
      <c r="G33" s="314">
        <f>IF('SEGUIMIENTO Y MONITOREO'!J33="NA","NA",'SEGUIMIENTO Y MONITOREO'!N33)</f>
        <v>1</v>
      </c>
      <c r="H33" s="628">
        <f>'SEGUIMIENTO Y MONITOREO'!AR33</f>
        <v>1</v>
      </c>
      <c r="I33" s="314">
        <f>IF('SEGUIMIENTO Y MONITOREO'!T33="NA","NA",'SEGUIMIENTO Y MONITOREO'!X33)</f>
        <v>1</v>
      </c>
      <c r="J33" s="628">
        <f>'SEGUIMIENTO Y MONITOREO'!AS33</f>
        <v>1</v>
      </c>
      <c r="K33" s="314" t="str">
        <f>IF('SEGUIMIENTO Y MONITOREO'!AD33="NA","NA",'SEGUIMIENTO Y MONITOREO'!AH33)</f>
        <v/>
      </c>
      <c r="L33" s="628" t="str">
        <f>'SEGUIMIENTO Y MONITOREO'!AU33</f>
        <v/>
      </c>
      <c r="M33" s="628">
        <f>'SEGUIMIENTO Y MONITOREO'!AW33</f>
        <v>1</v>
      </c>
      <c r="N33" s="631" t="str">
        <f>IF(M33="","",CONCATENATE(IF('SEGUIMIENTO Y MONITOREO'!AX33=0,"",'SEGUIMIENTO Y MONITOREO'!AX33),Datos!$Y$4,IF('SEGUIMIENTO Y MONITOREO'!AX34=0,"",'SEGUIMIENTO Y MONITOREO'!AX34),Datos!$Y$4,IF('SEGUIMIENTO Y MONITOREO'!AX35=0,"",'SEGUIMIENTO Y MONITOREO'!AX35)))</f>
        <v xml:space="preserve">Se cumplio con la actividad definida tal como se informo en primer seguimiento
</v>
      </c>
      <c r="O33" s="631"/>
    </row>
    <row r="34" spans="1:15" x14ac:dyDescent="0.2">
      <c r="A34" s="630"/>
      <c r="B34" s="591"/>
      <c r="C34" s="82" t="str">
        <f>'SEGUIMIENTO Y MONITOREO'!D34</f>
        <v/>
      </c>
      <c r="D34" s="82" t="str">
        <f>'SEGUIMIENTO Y MONITOREO'!E34</f>
        <v/>
      </c>
      <c r="E34" s="128" t="str">
        <f>'SEGUIMIENTO Y MONITOREO'!G34</f>
        <v/>
      </c>
      <c r="F34" s="128" t="str">
        <f>'SEGUIMIENTO Y MONITOREO'!H34</f>
        <v/>
      </c>
      <c r="G34" s="314" t="str">
        <f>IF('SEGUIMIENTO Y MONITOREO'!J34="NA","NA",'SEGUIMIENTO Y MONITOREO'!N34)</f>
        <v/>
      </c>
      <c r="H34" s="628"/>
      <c r="I34" s="314" t="str">
        <f>IF('SEGUIMIENTO Y MONITOREO'!T34="NA","NA",'SEGUIMIENTO Y MONITOREO'!X34)</f>
        <v/>
      </c>
      <c r="J34" s="628"/>
      <c r="K34" s="314" t="str">
        <f>IF('SEGUIMIENTO Y MONITOREO'!AD34="NA","NA",'SEGUIMIENTO Y MONITOREO'!AH34)</f>
        <v/>
      </c>
      <c r="L34" s="628"/>
      <c r="M34" s="628"/>
      <c r="N34" s="631"/>
      <c r="O34" s="631"/>
    </row>
    <row r="35" spans="1:15" x14ac:dyDescent="0.2">
      <c r="A35" s="630"/>
      <c r="B35" s="591"/>
      <c r="C35" s="82" t="str">
        <f>'SEGUIMIENTO Y MONITOREO'!D35</f>
        <v/>
      </c>
      <c r="D35" s="82" t="str">
        <f>'SEGUIMIENTO Y MONITOREO'!E35</f>
        <v/>
      </c>
      <c r="E35" s="128" t="str">
        <f>'SEGUIMIENTO Y MONITOREO'!G35</f>
        <v/>
      </c>
      <c r="F35" s="128" t="str">
        <f>'SEGUIMIENTO Y MONITOREO'!H35</f>
        <v/>
      </c>
      <c r="G35" s="314" t="str">
        <f>IF('SEGUIMIENTO Y MONITOREO'!J35="NA","NA",'SEGUIMIENTO Y MONITOREO'!N35)</f>
        <v/>
      </c>
      <c r="H35" s="628"/>
      <c r="I35" s="314" t="str">
        <f>IF('SEGUIMIENTO Y MONITOREO'!T35="NA","NA",'SEGUIMIENTO Y MONITOREO'!X35)</f>
        <v/>
      </c>
      <c r="J35" s="628"/>
      <c r="K35" s="314" t="str">
        <f>IF('SEGUIMIENTO Y MONITOREO'!AD35="NA","NA",'SEGUIMIENTO Y MONITOREO'!AH35)</f>
        <v/>
      </c>
      <c r="L35" s="628"/>
      <c r="M35" s="628"/>
      <c r="N35" s="631"/>
      <c r="O35" s="631"/>
    </row>
    <row r="36" spans="1:15" ht="25.5" customHeight="1" x14ac:dyDescent="0.2">
      <c r="A36" s="630" t="str">
        <f>'SEGUIMIENTO Y MONITOREO'!A36:A38</f>
        <v>10G</v>
      </c>
      <c r="B36" s="591" t="str">
        <f>'SEGUIMIENTO Y MONITOREO'!B36:B38</f>
        <v>Comunicaciones. Inoportuna e ineficaz divulgación de los productos comunicativos y publicitarios ante los usuarios internos y externos.</v>
      </c>
      <c r="C36" s="82" t="str">
        <f>'SEGUIMIENTO Y MONITOREO'!D36</f>
        <v>Fomentar el autocontrol en los tiempos de entrega al equipo de comunicaciones</v>
      </c>
      <c r="D36" s="82" t="str">
        <f>'SEGUIMIENTO Y MONITOREO'!E36</f>
        <v xml:space="preserve">comunicaciones </v>
      </c>
      <c r="E36" s="128">
        <f>'SEGUIMIENTO Y MONITOREO'!G36</f>
        <v>42384</v>
      </c>
      <c r="F36" s="128">
        <f>'SEGUIMIENTO Y MONITOREO'!H36</f>
        <v>42734</v>
      </c>
      <c r="G36" s="314">
        <f>IF('SEGUIMIENTO Y MONITOREO'!J36="NA","NA",'SEGUIMIENTO Y MONITOREO'!N36)</f>
        <v>0</v>
      </c>
      <c r="H36" s="628">
        <f>'SEGUIMIENTO Y MONITOREO'!AR36</f>
        <v>0.125</v>
      </c>
      <c r="I36" s="314">
        <f>IF('SEGUIMIENTO Y MONITOREO'!T36="NA","NA",'SEGUIMIENTO Y MONITOREO'!X36)</f>
        <v>0.25</v>
      </c>
      <c r="J36" s="628">
        <f>'SEGUIMIENTO Y MONITOREO'!AS36</f>
        <v>0.25</v>
      </c>
      <c r="K36" s="314" t="str">
        <f>IF('SEGUIMIENTO Y MONITOREO'!AD36="NA","NA",'SEGUIMIENTO Y MONITOREO'!AH36)</f>
        <v/>
      </c>
      <c r="L36" s="628" t="str">
        <f>'SEGUIMIENTO Y MONITOREO'!AU36</f>
        <v/>
      </c>
      <c r="M36" s="628">
        <f>'SEGUIMIENTO Y MONITOREO'!AW36</f>
        <v>0.25</v>
      </c>
      <c r="N36" s="631" t="str">
        <f>IF(M36="","",CONCATENATE(IF('SEGUIMIENTO Y MONITOREO'!AX36=0,"",'SEGUIMIENTO Y MONITOREO'!AX36),Datos!$Y$4,IF('SEGUIMIENTO Y MONITOREO'!AX37=0,"",'SEGUIMIENTO Y MONITOREO'!AX37),Datos!$Y$4,IF('SEGUIMIENTO Y MONITOREO'!AX38=0,"",'SEGUIMIENTO Y MONITOREO'!AX38)))</f>
        <v xml:space="preserve">Correo enviado al equipo de trabajo sobre asignación de fuentes y ajustes de acciones
Correo enviado al equipo de trabajo
</v>
      </c>
      <c r="O36" s="631"/>
    </row>
    <row r="37" spans="1:15" ht="15" customHeight="1" x14ac:dyDescent="0.2">
      <c r="A37" s="630"/>
      <c r="B37" s="591"/>
      <c r="C37" s="82" t="str">
        <f>'SEGUIMIENTO Y MONITOREO'!D37</f>
        <v>Recordar la periocidad y la entrega  oportuna de cada producto comunicativo</v>
      </c>
      <c r="D37" s="82" t="str">
        <f>'SEGUIMIENTO Y MONITOREO'!E37</f>
        <v xml:space="preserve">comunicaciones </v>
      </c>
      <c r="E37" s="128">
        <f>'SEGUIMIENTO Y MONITOREO'!G37</f>
        <v>42384</v>
      </c>
      <c r="F37" s="128">
        <f>'SEGUIMIENTO Y MONITOREO'!H37</f>
        <v>42734</v>
      </c>
      <c r="G37" s="314">
        <f>IF('SEGUIMIENTO Y MONITOREO'!J37="NA","NA",'SEGUIMIENTO Y MONITOREO'!N37)</f>
        <v>0.25</v>
      </c>
      <c r="H37" s="628"/>
      <c r="I37" s="314">
        <f>IF('SEGUIMIENTO Y MONITOREO'!T37="NA","NA",'SEGUIMIENTO Y MONITOREO'!X37)</f>
        <v>0.25</v>
      </c>
      <c r="J37" s="628"/>
      <c r="K37" s="314" t="str">
        <f>IF('SEGUIMIENTO Y MONITOREO'!AD37="NA","NA",'SEGUIMIENTO Y MONITOREO'!AH37)</f>
        <v/>
      </c>
      <c r="L37" s="628"/>
      <c r="M37" s="628"/>
      <c r="N37" s="631"/>
      <c r="O37" s="631"/>
    </row>
    <row r="38" spans="1:15" x14ac:dyDescent="0.2">
      <c r="A38" s="630"/>
      <c r="B38" s="591"/>
      <c r="C38" s="82" t="str">
        <f>'SEGUIMIENTO Y MONITOREO'!D38</f>
        <v/>
      </c>
      <c r="D38" s="82" t="str">
        <f>'SEGUIMIENTO Y MONITOREO'!E38</f>
        <v/>
      </c>
      <c r="E38" s="128" t="str">
        <f>'SEGUIMIENTO Y MONITOREO'!G38</f>
        <v/>
      </c>
      <c r="F38" s="128" t="str">
        <f>'SEGUIMIENTO Y MONITOREO'!H38</f>
        <v/>
      </c>
      <c r="G38" s="314" t="str">
        <f>IF('SEGUIMIENTO Y MONITOREO'!J38="NA","NA",'SEGUIMIENTO Y MONITOREO'!N38)</f>
        <v/>
      </c>
      <c r="H38" s="628"/>
      <c r="I38" s="314" t="str">
        <f>IF('SEGUIMIENTO Y MONITOREO'!T38="NA","NA",'SEGUIMIENTO Y MONITOREO'!X38)</f>
        <v/>
      </c>
      <c r="J38" s="628"/>
      <c r="K38" s="314" t="str">
        <f>IF('SEGUIMIENTO Y MONITOREO'!AD38="NA","NA",'SEGUIMIENTO Y MONITOREO'!AH38)</f>
        <v/>
      </c>
      <c r="L38" s="628"/>
      <c r="M38" s="628"/>
      <c r="N38" s="631"/>
      <c r="O38" s="631"/>
    </row>
    <row r="39" spans="1:15" ht="51" customHeight="1" x14ac:dyDescent="0.2">
      <c r="A39" s="630" t="str">
        <f>'SEGUIMIENTO Y MONITOREO'!A39:A41</f>
        <v>11G</v>
      </c>
      <c r="B39" s="591" t="str">
        <f>'SEGUIMIENTO Y MONITOREO'!B39:B41</f>
        <v>Gestión Academica. Pérdida de Registro Calificado de los Programas Académicos.</v>
      </c>
      <c r="C39" s="82" t="str">
        <f>'SEGUIMIENTO Y MONITOREO'!D39</f>
        <v xml:space="preserve">1. Mejorar las estrategias de seguimiento del proceso. </v>
      </c>
      <c r="D39" s="82" t="str">
        <f>'SEGUIMIENTO Y MONITOREO'!E39</f>
        <v>Documento con las estrategía</v>
      </c>
      <c r="E39" s="128">
        <f>'SEGUIMIENTO Y MONITOREO'!G39</f>
        <v>42576</v>
      </c>
      <c r="F39" s="128">
        <f>'SEGUIMIENTO Y MONITOREO'!H39</f>
        <v>42714</v>
      </c>
      <c r="G39" s="388" t="str">
        <f>IF('SEGUIMIENTO Y MONITOREO'!J39="NA","NA",'SEGUIMIENTO Y MONITOREO'!N39)</f>
        <v>NA</v>
      </c>
      <c r="H39" s="628" t="str">
        <f>'SEGUIMIENTO Y MONITOREO'!AR39</f>
        <v>NA</v>
      </c>
      <c r="I39" s="388">
        <f>IF('SEGUIMIENTO Y MONITOREO'!T39="NA","NA",'SEGUIMIENTO Y MONITOREO'!X39)</f>
        <v>0.05</v>
      </c>
      <c r="J39" s="628">
        <f>'SEGUIMIENTO Y MONITOREO'!AS39</f>
        <v>3.5000000000000003E-2</v>
      </c>
      <c r="K39" s="388" t="str">
        <f>IF('SEGUIMIENTO Y MONITOREO'!AD39="NA","NA",'SEGUIMIENTO Y MONITOREO'!AH39)</f>
        <v/>
      </c>
      <c r="L39" s="628" t="str">
        <f>'SEGUIMIENTO Y MONITOREO'!AU39</f>
        <v/>
      </c>
      <c r="M39" s="628">
        <f>'SEGUIMIENTO Y MONITOREO'!AW39</f>
        <v>3.5000000000000003E-2</v>
      </c>
      <c r="N39" s="631" t="str">
        <f>IF(M39="","",CONCATENATE(IF('SEGUIMIENTO Y MONITOREO'!AX39=0,"",'SEGUIMIENTO Y MONITOREO'!AX39),Datos!$Y$4,IF('SEGUIMIENTO Y MONITOREO'!AX40=0,"",'SEGUIMIENTO Y MONITOREO'!AX40),Datos!$Y$4,IF('SEGUIMIENTO Y MONITOREO'!AX41=0,"",'SEGUIMIENTO Y MONITOREO'!AX41)))</f>
        <v xml:space="preserve">Analisis preliminar sobre las causas que ocasionan la perdida de los registros
Analisis preliminar sobre las causas que ocasionan la perdida de los registros
</v>
      </c>
      <c r="O39" s="631"/>
    </row>
    <row r="40" spans="1:15" ht="51" customHeight="1" x14ac:dyDescent="0.2">
      <c r="A40" s="630"/>
      <c r="B40" s="591"/>
      <c r="C40" s="82" t="str">
        <f>'SEGUIMIENTO Y MONITOREO'!D40</f>
        <v>2. Automatizar tareas relacionadas con el proceso.</v>
      </c>
      <c r="D40" s="82" t="str">
        <f>'SEGUIMIENTO Y MONITOREO'!E40</f>
        <v>Herramienta de automatización</v>
      </c>
      <c r="E40" s="128">
        <f>'SEGUIMIENTO Y MONITOREO'!G40</f>
        <v>42576</v>
      </c>
      <c r="F40" s="128">
        <f>'SEGUIMIENTO Y MONITOREO'!H40</f>
        <v>42714</v>
      </c>
      <c r="G40" s="388" t="str">
        <f>IF('SEGUIMIENTO Y MONITOREO'!J40="NA","NA",'SEGUIMIENTO Y MONITOREO'!N40)</f>
        <v>NA</v>
      </c>
      <c r="H40" s="628"/>
      <c r="I40" s="388">
        <f>IF('SEGUIMIENTO Y MONITOREO'!T40="NA","NA",'SEGUIMIENTO Y MONITOREO'!X40)</f>
        <v>0.02</v>
      </c>
      <c r="J40" s="628"/>
      <c r="K40" s="388" t="str">
        <f>IF('SEGUIMIENTO Y MONITOREO'!AD40="NA","NA",'SEGUIMIENTO Y MONITOREO'!AH40)</f>
        <v/>
      </c>
      <c r="L40" s="628"/>
      <c r="M40" s="628"/>
      <c r="N40" s="631"/>
      <c r="O40" s="631"/>
    </row>
    <row r="41" spans="1:15" x14ac:dyDescent="0.2">
      <c r="A41" s="630"/>
      <c r="B41" s="591"/>
      <c r="C41" s="82" t="str">
        <f>'SEGUIMIENTO Y MONITOREO'!D41</f>
        <v/>
      </c>
      <c r="D41" s="82" t="str">
        <f>'SEGUIMIENTO Y MONITOREO'!E41</f>
        <v/>
      </c>
      <c r="E41" s="128" t="str">
        <f>'SEGUIMIENTO Y MONITOREO'!G41</f>
        <v/>
      </c>
      <c r="F41" s="128" t="str">
        <f>'SEGUIMIENTO Y MONITOREO'!H41</f>
        <v/>
      </c>
      <c r="G41" s="388" t="str">
        <f>IF('SEGUIMIENTO Y MONITOREO'!J41="NA","NA",'SEGUIMIENTO Y MONITOREO'!N41)</f>
        <v/>
      </c>
      <c r="H41" s="628"/>
      <c r="I41" s="388" t="str">
        <f>IF('SEGUIMIENTO Y MONITOREO'!T41="NA","NA",'SEGUIMIENTO Y MONITOREO'!X41)</f>
        <v/>
      </c>
      <c r="J41" s="628"/>
      <c r="K41" s="388" t="str">
        <f>IF('SEGUIMIENTO Y MONITOREO'!AD41="NA","NA",'SEGUIMIENTO Y MONITOREO'!AH41)</f>
        <v/>
      </c>
      <c r="L41" s="628"/>
      <c r="M41" s="628"/>
      <c r="N41" s="631"/>
      <c r="O41" s="631"/>
    </row>
    <row r="42" spans="1:15" ht="51" customHeight="1" x14ac:dyDescent="0.2">
      <c r="A42" s="630" t="str">
        <f>'SEGUIMIENTO Y MONITOREO'!A42:A44</f>
        <v>12G</v>
      </c>
      <c r="B42" s="591" t="str">
        <f>'SEGUIMIENTO Y MONITOREO'!B42:B44</f>
        <v>Gestión Academica. Formulación inadecuada de políticas.</v>
      </c>
      <c r="C42" s="82" t="str">
        <f>'SEGUIMIENTO Y MONITOREO'!D42</f>
        <v>1. Desarrollar capacitaciones continuas y a todo el personal que ingrese, sobre la formulación de políticas</v>
      </c>
      <c r="D42" s="82" t="str">
        <f>'SEGUIMIENTO Y MONITOREO'!E42</f>
        <v>Actas de asistencia a capacitación</v>
      </c>
      <c r="E42" s="128">
        <f>'SEGUIMIENTO Y MONITOREO'!G42</f>
        <v>42506</v>
      </c>
      <c r="F42" s="128">
        <f>'SEGUIMIENTO Y MONITOREO'!H42</f>
        <v>42714</v>
      </c>
      <c r="G42" s="388" t="str">
        <f>IF('SEGUIMIENTO Y MONITOREO'!J42="NA","NA",'SEGUIMIENTO Y MONITOREO'!N42)</f>
        <v>NA</v>
      </c>
      <c r="H42" s="628" t="str">
        <f>'SEGUIMIENTO Y MONITOREO'!AR42</f>
        <v>NA</v>
      </c>
      <c r="I42" s="388">
        <f>IF('SEGUIMIENTO Y MONITOREO'!T42="NA","NA",'SEGUIMIENTO Y MONITOREO'!X42)</f>
        <v>0.05</v>
      </c>
      <c r="J42" s="628">
        <f>'SEGUIMIENTO Y MONITOREO'!AS42</f>
        <v>0.05</v>
      </c>
      <c r="K42" s="388" t="str">
        <f>IF('SEGUIMIENTO Y MONITOREO'!AD42="NA","NA",'SEGUIMIENTO Y MONITOREO'!AH42)</f>
        <v/>
      </c>
      <c r="L42" s="628" t="str">
        <f>'SEGUIMIENTO Y MONITOREO'!AU42</f>
        <v/>
      </c>
      <c r="M42" s="628">
        <f>'SEGUIMIENTO Y MONITOREO'!AW42</f>
        <v>0.05</v>
      </c>
      <c r="N42" s="631" t="str">
        <f>IF(M42="","",CONCATENATE(IF('SEGUIMIENTO Y MONITOREO'!AX42=0,"",'SEGUIMIENTO Y MONITOREO'!AX42),Datos!$Y$4,IF('SEGUIMIENTO Y MONITOREO'!AX43=0,"",'SEGUIMIENTO Y MONITOREO'!AX43),Datos!$Y$4,IF('SEGUIMIENTO Y MONITOREO'!AX44=0,"",'SEGUIMIENTO Y MONITOREO'!AX44)))</f>
        <v xml:space="preserve">Inducción a docentes nuevos, reuniones con decanos
</v>
      </c>
      <c r="O42" s="631"/>
    </row>
    <row r="43" spans="1:15" ht="51" customHeight="1" x14ac:dyDescent="0.2">
      <c r="A43" s="630"/>
      <c r="B43" s="591"/>
      <c r="C43" s="82" t="str">
        <f>'SEGUIMIENTO Y MONITOREO'!D43</f>
        <v/>
      </c>
      <c r="D43" s="82" t="str">
        <f>'SEGUIMIENTO Y MONITOREO'!E43</f>
        <v/>
      </c>
      <c r="E43" s="128" t="str">
        <f>'SEGUIMIENTO Y MONITOREO'!G43</f>
        <v/>
      </c>
      <c r="F43" s="128" t="str">
        <f>'SEGUIMIENTO Y MONITOREO'!H43</f>
        <v/>
      </c>
      <c r="G43" s="388" t="str">
        <f>IF('SEGUIMIENTO Y MONITOREO'!J43="NA","NA",'SEGUIMIENTO Y MONITOREO'!N43)</f>
        <v/>
      </c>
      <c r="H43" s="628"/>
      <c r="I43" s="388" t="str">
        <f>IF('SEGUIMIENTO Y MONITOREO'!T43="NA","NA",'SEGUIMIENTO Y MONITOREO'!X43)</f>
        <v/>
      </c>
      <c r="J43" s="628"/>
      <c r="K43" s="388" t="str">
        <f>IF('SEGUIMIENTO Y MONITOREO'!AD43="NA","NA",'SEGUIMIENTO Y MONITOREO'!AH43)</f>
        <v/>
      </c>
      <c r="L43" s="628"/>
      <c r="M43" s="628"/>
      <c r="N43" s="631"/>
      <c r="O43" s="631"/>
    </row>
    <row r="44" spans="1:15" x14ac:dyDescent="0.2">
      <c r="A44" s="630"/>
      <c r="B44" s="591"/>
      <c r="C44" s="82" t="str">
        <f>'SEGUIMIENTO Y MONITOREO'!D44</f>
        <v/>
      </c>
      <c r="D44" s="82" t="str">
        <f>'SEGUIMIENTO Y MONITOREO'!E44</f>
        <v/>
      </c>
      <c r="E44" s="128" t="str">
        <f>'SEGUIMIENTO Y MONITOREO'!G44</f>
        <v/>
      </c>
      <c r="F44" s="128" t="str">
        <f>'SEGUIMIENTO Y MONITOREO'!H44</f>
        <v/>
      </c>
      <c r="G44" s="388" t="str">
        <f>IF('SEGUIMIENTO Y MONITOREO'!J44="NA","NA",'SEGUIMIENTO Y MONITOREO'!N44)</f>
        <v/>
      </c>
      <c r="H44" s="628"/>
      <c r="I44" s="388" t="str">
        <f>IF('SEGUIMIENTO Y MONITOREO'!T44="NA","NA",'SEGUIMIENTO Y MONITOREO'!X44)</f>
        <v/>
      </c>
      <c r="J44" s="628"/>
      <c r="K44" s="388" t="str">
        <f>IF('SEGUIMIENTO Y MONITOREO'!AD44="NA","NA",'SEGUIMIENTO Y MONITOREO'!AH44)</f>
        <v/>
      </c>
      <c r="L44" s="628"/>
      <c r="M44" s="628"/>
      <c r="N44" s="631"/>
      <c r="O44" s="631"/>
    </row>
    <row r="45" spans="1:15" ht="51" customHeight="1" x14ac:dyDescent="0.2">
      <c r="A45" s="630" t="str">
        <f>'SEGUIMIENTO Y MONITOREO'!A45:A47</f>
        <v>13G</v>
      </c>
      <c r="B45" s="591" t="str">
        <f>'SEGUIMIENTO Y MONITOREO'!B45:B47</f>
        <v>Gestión Academica. Aplicación inadecuada de la normatividad en el desarrollo de los diferentes procesos academicos de los programas.</v>
      </c>
      <c r="C45" s="82" t="str">
        <f>'SEGUIMIENTO Y MONITOREO'!D45</f>
        <v>1. Desarrollar capacitaciones continuas y a todo el personal que ingrese, sobre la normativas internas y externas</v>
      </c>
      <c r="D45" s="82" t="str">
        <f>'SEGUIMIENTO Y MONITOREO'!E45</f>
        <v>Actas de asistencia a capacitación</v>
      </c>
      <c r="E45" s="128">
        <f>'SEGUIMIENTO Y MONITOREO'!G45</f>
        <v>42506</v>
      </c>
      <c r="F45" s="128">
        <f>'SEGUIMIENTO Y MONITOREO'!H45</f>
        <v>42714</v>
      </c>
      <c r="G45" s="388" t="str">
        <f>IF('SEGUIMIENTO Y MONITOREO'!J45="NA","NA",'SEGUIMIENTO Y MONITOREO'!N45)</f>
        <v>NA</v>
      </c>
      <c r="H45" s="628" t="str">
        <f>'SEGUIMIENTO Y MONITOREO'!AR45</f>
        <v>NA</v>
      </c>
      <c r="I45" s="388">
        <f>IF('SEGUIMIENTO Y MONITOREO'!T45="NA","NA",'SEGUIMIENTO Y MONITOREO'!X45)</f>
        <v>0.05</v>
      </c>
      <c r="J45" s="628">
        <f>'SEGUIMIENTO Y MONITOREO'!AS45</f>
        <v>0.05</v>
      </c>
      <c r="K45" s="388" t="str">
        <f>IF('SEGUIMIENTO Y MONITOREO'!AD45="NA","NA",'SEGUIMIENTO Y MONITOREO'!AH45)</f>
        <v/>
      </c>
      <c r="L45" s="628" t="str">
        <f>'SEGUIMIENTO Y MONITOREO'!AU45</f>
        <v/>
      </c>
      <c r="M45" s="628">
        <f>'SEGUIMIENTO Y MONITOREO'!AW45</f>
        <v>0.05</v>
      </c>
      <c r="N45" s="631" t="str">
        <f>IF(M45="","",CONCATENATE(IF('SEGUIMIENTO Y MONITOREO'!AX45=0,"",'SEGUIMIENTO Y MONITOREO'!AX45),Datos!$Y$4,IF('SEGUIMIENTO Y MONITOREO'!AX46=0,"",'SEGUIMIENTO Y MONITOREO'!AX46),Datos!$Y$4,IF('SEGUIMIENTO Y MONITOREO'!AX47=0,"",'SEGUIMIENTO Y MONITOREO'!AX47)))</f>
        <v xml:space="preserve">Inducción a docentes nuevos, reuniones con decanos
</v>
      </c>
      <c r="O45" s="631"/>
    </row>
    <row r="46" spans="1:15" ht="51" customHeight="1" x14ac:dyDescent="0.2">
      <c r="A46" s="630"/>
      <c r="B46" s="591"/>
      <c r="C46" s="82" t="str">
        <f>'SEGUIMIENTO Y MONITOREO'!D46</f>
        <v/>
      </c>
      <c r="D46" s="82" t="str">
        <f>'SEGUIMIENTO Y MONITOREO'!E46</f>
        <v/>
      </c>
      <c r="E46" s="128" t="str">
        <f>'SEGUIMIENTO Y MONITOREO'!G46</f>
        <v/>
      </c>
      <c r="F46" s="128" t="str">
        <f>'SEGUIMIENTO Y MONITOREO'!H46</f>
        <v/>
      </c>
      <c r="G46" s="388" t="str">
        <f>IF('SEGUIMIENTO Y MONITOREO'!J46="NA","NA",'SEGUIMIENTO Y MONITOREO'!N46)</f>
        <v/>
      </c>
      <c r="H46" s="628"/>
      <c r="I46" s="388" t="str">
        <f>IF('SEGUIMIENTO Y MONITOREO'!T46="NA","NA",'SEGUIMIENTO Y MONITOREO'!X46)</f>
        <v/>
      </c>
      <c r="J46" s="628"/>
      <c r="K46" s="388" t="str">
        <f>IF('SEGUIMIENTO Y MONITOREO'!AD46="NA","NA",'SEGUIMIENTO Y MONITOREO'!AH46)</f>
        <v/>
      </c>
      <c r="L46" s="628"/>
      <c r="M46" s="628"/>
      <c r="N46" s="631"/>
      <c r="O46" s="631"/>
    </row>
    <row r="47" spans="1:15" x14ac:dyDescent="0.2">
      <c r="A47" s="630"/>
      <c r="B47" s="591"/>
      <c r="C47" s="82" t="str">
        <f>'SEGUIMIENTO Y MONITOREO'!D47</f>
        <v/>
      </c>
      <c r="D47" s="82" t="str">
        <f>'SEGUIMIENTO Y MONITOREO'!E47</f>
        <v/>
      </c>
      <c r="E47" s="128" t="str">
        <f>'SEGUIMIENTO Y MONITOREO'!G47</f>
        <v/>
      </c>
      <c r="F47" s="128" t="str">
        <f>'SEGUIMIENTO Y MONITOREO'!H47</f>
        <v/>
      </c>
      <c r="G47" s="388" t="str">
        <f>IF('SEGUIMIENTO Y MONITOREO'!J47="NA","NA",'SEGUIMIENTO Y MONITOREO'!N47)</f>
        <v/>
      </c>
      <c r="H47" s="628"/>
      <c r="I47" s="388" t="str">
        <f>IF('SEGUIMIENTO Y MONITOREO'!T47="NA","NA",'SEGUIMIENTO Y MONITOREO'!X47)</f>
        <v/>
      </c>
      <c r="J47" s="628"/>
      <c r="K47" s="388" t="str">
        <f>IF('SEGUIMIENTO Y MONITOREO'!AD47="NA","NA",'SEGUIMIENTO Y MONITOREO'!AH47)</f>
        <v/>
      </c>
      <c r="L47" s="628"/>
      <c r="M47" s="628"/>
      <c r="N47" s="631"/>
      <c r="O47" s="631"/>
    </row>
    <row r="48" spans="1:15" ht="51" customHeight="1" x14ac:dyDescent="0.2">
      <c r="A48" s="630" t="str">
        <f>'SEGUIMIENTO Y MONITOREO'!A48:A50</f>
        <v>14G</v>
      </c>
      <c r="B48" s="591" t="str">
        <f>'SEGUIMIENTO Y MONITOREO'!B48:B50</f>
        <v>Gestión Academica. Deterioro en la calidad de los programas académicos por necesidades de recursos no cubiertas.</v>
      </c>
      <c r="C48" s="82" t="str">
        <f>'SEGUIMIENTO Y MONITOREO'!D48</f>
        <v>Implementar herramientas automatizadas para el seguimiento a los planes de mejoramiento de los programas academicos</v>
      </c>
      <c r="D48" s="82" t="str">
        <f>'SEGUIMIENTO Y MONITOREO'!E48</f>
        <v>Herramienta de automatización</v>
      </c>
      <c r="E48" s="128">
        <f>'SEGUIMIENTO Y MONITOREO'!G48</f>
        <v>42576</v>
      </c>
      <c r="F48" s="128">
        <f>'SEGUIMIENTO Y MONITOREO'!H48</f>
        <v>42941</v>
      </c>
      <c r="G48" s="388" t="str">
        <f>IF('SEGUIMIENTO Y MONITOREO'!J48="NA","NA",'SEGUIMIENTO Y MONITOREO'!N48)</f>
        <v>NA</v>
      </c>
      <c r="H48" s="628" t="str">
        <f>'SEGUIMIENTO Y MONITOREO'!AR48</f>
        <v>NA</v>
      </c>
      <c r="I48" s="388">
        <f>IF('SEGUIMIENTO Y MONITOREO'!T48="NA","NA",'SEGUIMIENTO Y MONITOREO'!X48)</f>
        <v>0.02</v>
      </c>
      <c r="J48" s="628">
        <f>'SEGUIMIENTO Y MONITOREO'!AS48</f>
        <v>0.02</v>
      </c>
      <c r="K48" s="388" t="str">
        <f>IF('SEGUIMIENTO Y MONITOREO'!AD48="NA","NA",'SEGUIMIENTO Y MONITOREO'!AH48)</f>
        <v/>
      </c>
      <c r="L48" s="628" t="str">
        <f>'SEGUIMIENTO Y MONITOREO'!AU48</f>
        <v/>
      </c>
      <c r="M48" s="628">
        <f>'SEGUIMIENTO Y MONITOREO'!AW48</f>
        <v>0.02</v>
      </c>
      <c r="N48" s="631" t="str">
        <f>IF(M48="","",CONCATENATE(IF('SEGUIMIENTO Y MONITOREO'!AX48=0,"",'SEGUIMIENTO Y MONITOREO'!AX48),Datos!$Y$4,IF('SEGUIMIENTO Y MONITOREO'!AX49=0,"",'SEGUIMIENTO Y MONITOREO'!AX49),Datos!$Y$4,IF('SEGUIMIENTO Y MONITOREO'!AX50=0,"",'SEGUIMIENTO Y MONITOREO'!AX50)))</f>
        <v xml:space="preserve">Analisis para revisar las necesidades de programas academicos
</v>
      </c>
      <c r="O48" s="631"/>
    </row>
    <row r="49" spans="1:15" ht="51" customHeight="1" x14ac:dyDescent="0.2">
      <c r="A49" s="630"/>
      <c r="B49" s="591"/>
      <c r="C49" s="82" t="str">
        <f>'SEGUIMIENTO Y MONITOREO'!D49</f>
        <v/>
      </c>
      <c r="D49" s="82" t="str">
        <f>'SEGUIMIENTO Y MONITOREO'!E49</f>
        <v/>
      </c>
      <c r="E49" s="128" t="str">
        <f>'SEGUIMIENTO Y MONITOREO'!G49</f>
        <v/>
      </c>
      <c r="F49" s="128" t="str">
        <f>'SEGUIMIENTO Y MONITOREO'!H49</f>
        <v/>
      </c>
      <c r="G49" s="388" t="str">
        <f>IF('SEGUIMIENTO Y MONITOREO'!J49="NA","NA",'SEGUIMIENTO Y MONITOREO'!N49)</f>
        <v/>
      </c>
      <c r="H49" s="628"/>
      <c r="I49" s="388" t="str">
        <f>IF('SEGUIMIENTO Y MONITOREO'!T49="NA","NA",'SEGUIMIENTO Y MONITOREO'!X49)</f>
        <v/>
      </c>
      <c r="J49" s="628"/>
      <c r="K49" s="388" t="str">
        <f>IF('SEGUIMIENTO Y MONITOREO'!AD49="NA","NA",'SEGUIMIENTO Y MONITOREO'!AH49)</f>
        <v/>
      </c>
      <c r="L49" s="628"/>
      <c r="M49" s="628"/>
      <c r="N49" s="631"/>
      <c r="O49" s="631"/>
    </row>
    <row r="50" spans="1:15" x14ac:dyDescent="0.2">
      <c r="A50" s="630"/>
      <c r="B50" s="591"/>
      <c r="C50" s="82" t="str">
        <f>'SEGUIMIENTO Y MONITOREO'!D50</f>
        <v/>
      </c>
      <c r="D50" s="82" t="str">
        <f>'SEGUIMIENTO Y MONITOREO'!E50</f>
        <v/>
      </c>
      <c r="E50" s="128" t="str">
        <f>'SEGUIMIENTO Y MONITOREO'!G50</f>
        <v/>
      </c>
      <c r="F50" s="128" t="str">
        <f>'SEGUIMIENTO Y MONITOREO'!H50</f>
        <v/>
      </c>
      <c r="G50" s="388" t="str">
        <f>IF('SEGUIMIENTO Y MONITOREO'!J50="NA","NA",'SEGUIMIENTO Y MONITOREO'!N50)</f>
        <v/>
      </c>
      <c r="H50" s="628"/>
      <c r="I50" s="388" t="str">
        <f>IF('SEGUIMIENTO Y MONITOREO'!T50="NA","NA",'SEGUIMIENTO Y MONITOREO'!X50)</f>
        <v/>
      </c>
      <c r="J50" s="628"/>
      <c r="K50" s="388" t="str">
        <f>IF('SEGUIMIENTO Y MONITOREO'!AD50="NA","NA",'SEGUIMIENTO Y MONITOREO'!AH50)</f>
        <v/>
      </c>
      <c r="L50" s="628"/>
      <c r="M50" s="628"/>
      <c r="N50" s="631"/>
      <c r="O50" s="631"/>
    </row>
    <row r="51" spans="1:15" ht="51" customHeight="1" x14ac:dyDescent="0.2">
      <c r="A51" s="630" t="str">
        <f>'SEGUIMIENTO Y MONITOREO'!A51:A53</f>
        <v>15G</v>
      </c>
      <c r="B51" s="591" t="str">
        <f>'SEGUIMIENTO Y MONITOREO'!B51:B53</f>
        <v xml:space="preserve">Gestión de Investigación. No fomentar la actividad investigativa en la Universidad.  </v>
      </c>
      <c r="C51" s="82" t="str">
        <f>'SEGUIMIENTO Y MONITOREO'!D51</f>
        <v>Monitorear las necesidades de los grupos de investigación</v>
      </c>
      <c r="D51" s="82" t="str">
        <f>'SEGUIMIENTO Y MONITOREO'!E51</f>
        <v>Grupos que reciben financiación para personal, insumos, infraestructura, mobiliario y equipos (SIVI)</v>
      </c>
      <c r="E51" s="128">
        <f>'SEGUIMIENTO Y MONITOREO'!G51</f>
        <v>42388</v>
      </c>
      <c r="F51" s="128">
        <f>'SEGUIMIENTO Y MONITOREO'!H51</f>
        <v>42723</v>
      </c>
      <c r="G51" s="388">
        <f>IF('SEGUIMIENTO Y MONITOREO'!J51="NA","NA",'SEGUIMIENTO Y MONITOREO'!N51)</f>
        <v>1</v>
      </c>
      <c r="H51" s="628">
        <f>'SEGUIMIENTO Y MONITOREO'!AR51</f>
        <v>0.58333333333333326</v>
      </c>
      <c r="I51" s="388">
        <f>IF('SEGUIMIENTO Y MONITOREO'!T51="NA","NA",'SEGUIMIENTO Y MONITOREO'!X51)</f>
        <v>1</v>
      </c>
      <c r="J51" s="628">
        <f>'SEGUIMIENTO Y MONITOREO'!AS51</f>
        <v>0.71666666666666667</v>
      </c>
      <c r="K51" s="388" t="str">
        <f>IF('SEGUIMIENTO Y MONITOREO'!AD51="NA","NA",'SEGUIMIENTO Y MONITOREO'!AH51)</f>
        <v/>
      </c>
      <c r="L51" s="628" t="str">
        <f>'SEGUIMIENTO Y MONITOREO'!AU51</f>
        <v/>
      </c>
      <c r="M51" s="628">
        <f>'SEGUIMIENTO Y MONITOREO'!AW51</f>
        <v>0.71666666666666667</v>
      </c>
      <c r="N51" s="631" t="str">
        <f>IF(M51="","",CONCATENATE(IF('SEGUIMIENTO Y MONITOREO'!AX51=0,"",'SEGUIMIENTO Y MONITOREO'!AX51),Datos!$Y$4,IF('SEGUIMIENTO Y MONITOREO'!AX52=0,"",'SEGUIMIENTO Y MONITOREO'!AX52),Datos!$Y$4,IF('SEGUIMIENTO Y MONITOREO'!AX53=0,"",'SEGUIMIENTO Y MONITOREO'!AX53)))</f>
        <v>Contratación asistentes de apoyo, ayudantes y suscripción ELSEVIER
Desarrollo de proyectos y programas previstos en el plan de acción
Control de pagos y alertas de ordenes. Reprogramación del modulo de movilidad</v>
      </c>
      <c r="O51" s="631"/>
    </row>
    <row r="52" spans="1:15" ht="51" customHeight="1" x14ac:dyDescent="0.2">
      <c r="A52" s="630"/>
      <c r="B52" s="591"/>
      <c r="C52" s="82" t="str">
        <f>'SEGUIMIENTO Y MONITOREO'!D52</f>
        <v>Realizar seguimiento a la ejecución de las actividades programadas para investigación</v>
      </c>
      <c r="D52" s="82" t="str">
        <f>'SEGUIMIENTO Y MONITOREO'!E52</f>
        <v xml:space="preserve">Actas de seguimiento a Proyectos del Plan de Acción (DE-F08) </v>
      </c>
      <c r="E52" s="128">
        <f>'SEGUIMIENTO Y MONITOREO'!G52</f>
        <v>42388</v>
      </c>
      <c r="F52" s="128">
        <f>'SEGUIMIENTO Y MONITOREO'!H52</f>
        <v>42723</v>
      </c>
      <c r="G52" s="388">
        <f>IF('SEGUIMIENTO Y MONITOREO'!J52="NA","NA",'SEGUIMIENTO Y MONITOREO'!N52)</f>
        <v>0.5</v>
      </c>
      <c r="H52" s="628"/>
      <c r="I52" s="388">
        <f>IF('SEGUIMIENTO Y MONITOREO'!T52="NA","NA",'SEGUIMIENTO Y MONITOREO'!X52)</f>
        <v>0.5</v>
      </c>
      <c r="J52" s="628"/>
      <c r="K52" s="388" t="str">
        <f>IF('SEGUIMIENTO Y MONITOREO'!AD52="NA","NA",'SEGUIMIENTO Y MONITOREO'!AH52)</f>
        <v/>
      </c>
      <c r="L52" s="628"/>
      <c r="M52" s="628"/>
      <c r="N52" s="631"/>
      <c r="O52" s="631"/>
    </row>
    <row r="53" spans="1:15" ht="15" customHeight="1" x14ac:dyDescent="0.2">
      <c r="A53" s="630"/>
      <c r="B53" s="591"/>
      <c r="C53" s="82" t="str">
        <f>'SEGUIMIENTO Y MONITOREO'!D53</f>
        <v>Mejorar el sistema de información SIVI</v>
      </c>
      <c r="D53" s="82" t="str">
        <f>'SEGUIMIENTO Y MONITOREO'!E53</f>
        <v>Control de recursos e indicadores del Plan de acción en el SIVI</v>
      </c>
      <c r="E53" s="128">
        <f>'SEGUIMIENTO Y MONITOREO'!G53</f>
        <v>42388</v>
      </c>
      <c r="F53" s="128">
        <f>'SEGUIMIENTO Y MONITOREO'!H53</f>
        <v>42723</v>
      </c>
      <c r="G53" s="388">
        <f>IF('SEGUIMIENTO Y MONITOREO'!J53="NA","NA",'SEGUIMIENTO Y MONITOREO'!N53)</f>
        <v>0.25</v>
      </c>
      <c r="H53" s="628"/>
      <c r="I53" s="388">
        <f>IF('SEGUIMIENTO Y MONITOREO'!T53="NA","NA",'SEGUIMIENTO Y MONITOREO'!X53)</f>
        <v>0.65</v>
      </c>
      <c r="J53" s="628"/>
      <c r="K53" s="388" t="str">
        <f>IF('SEGUIMIENTO Y MONITOREO'!AD53="NA","NA",'SEGUIMIENTO Y MONITOREO'!AH53)</f>
        <v/>
      </c>
      <c r="L53" s="628"/>
      <c r="M53" s="628"/>
      <c r="N53" s="631"/>
      <c r="O53" s="631"/>
    </row>
    <row r="54" spans="1:15" ht="51" customHeight="1" x14ac:dyDescent="0.2">
      <c r="A54" s="630" t="str">
        <f>'SEGUIMIENTO Y MONITOREO'!A54:A56</f>
        <v>16G</v>
      </c>
      <c r="B54" s="591" t="str">
        <f>'SEGUIMIENTO Y MONITOREO'!B54:B56</f>
        <v>Gestión de Investigación. Deficiente cumplimiento del plan de acción de la Vicerrectoría de Investigación</v>
      </c>
      <c r="C54" s="82" t="str">
        <f>'SEGUIMIENTO Y MONITOREO'!D54</f>
        <v>Realizar Seguimiento al plan de acción</v>
      </c>
      <c r="D54" s="82" t="str">
        <f>'SEGUIMIENTO Y MONITOREO'!E54</f>
        <v xml:space="preserve">Actas de seguimiento a Proyectos del Plan de Acción (DE-F08) </v>
      </c>
      <c r="E54" s="128">
        <f>'SEGUIMIENTO Y MONITOREO'!G54</f>
        <v>42388</v>
      </c>
      <c r="F54" s="128">
        <f>'SEGUIMIENTO Y MONITOREO'!H54</f>
        <v>42723</v>
      </c>
      <c r="G54" s="388">
        <f>IF('SEGUIMIENTO Y MONITOREO'!J54="NA","NA",'SEGUIMIENTO Y MONITOREO'!N54)</f>
        <v>0</v>
      </c>
      <c r="H54" s="628">
        <f>'SEGUIMIENTO Y MONITOREO'!AR54</f>
        <v>8.3333333333333343E-2</v>
      </c>
      <c r="I54" s="388">
        <f>IF('SEGUIMIENTO Y MONITOREO'!T54="NA","NA",'SEGUIMIENTO Y MONITOREO'!X54)</f>
        <v>0.5</v>
      </c>
      <c r="J54" s="628">
        <f>'SEGUIMIENTO Y MONITOREO'!AS54</f>
        <v>0.5</v>
      </c>
      <c r="K54" s="388" t="str">
        <f>IF('SEGUIMIENTO Y MONITOREO'!AD54="NA","NA",'SEGUIMIENTO Y MONITOREO'!AH54)</f>
        <v/>
      </c>
      <c r="L54" s="628" t="str">
        <f>'SEGUIMIENTO Y MONITOREO'!AU54</f>
        <v/>
      </c>
      <c r="M54" s="628">
        <f>'SEGUIMIENTO Y MONITOREO'!AW54</f>
        <v>0.5</v>
      </c>
      <c r="N54" s="631" t="str">
        <f>IF(M54="","",CONCATENATE(IF('SEGUIMIENTO Y MONITOREO'!AX54=0,"",'SEGUIMIENTO Y MONITOREO'!AX54),Datos!$Y$4,IF('SEGUIMIENTO Y MONITOREO'!AX55=0,"",'SEGUIMIENTO Y MONITOREO'!AX55),Datos!$Y$4,IF('SEGUIMIENTO Y MONITOREO'!AX56=0,"",'SEGUIMIENTO Y MONITOREO'!AX56)))</f>
        <v>Desarrollo de proyectos y programas previstos en el plan de acción
En el sistema de INVERSIÓN de Planeación se está llevando el seguimiento al PAI.  
Se han realizado 2 boletínes a la fecha.</v>
      </c>
      <c r="O54" s="631"/>
    </row>
    <row r="55" spans="1:15" ht="51" customHeight="1" x14ac:dyDescent="0.2">
      <c r="A55" s="630"/>
      <c r="B55" s="591"/>
      <c r="C55" s="82" t="str">
        <f>'SEGUIMIENTO Y MONITOREO'!D55</f>
        <v>hacer seguimiento a las tareas y compromisos adquiridos</v>
      </c>
      <c r="D55" s="82" t="str">
        <f>'SEGUIMIENTO Y MONITOREO'!E55</f>
        <v xml:space="preserve">Actas de seguimiento a Proyectos del Plan de Acción (DE-F08) </v>
      </c>
      <c r="E55" s="128">
        <f>'SEGUIMIENTO Y MONITOREO'!G55</f>
        <v>42388</v>
      </c>
      <c r="F55" s="128">
        <f>'SEGUIMIENTO Y MONITOREO'!H55</f>
        <v>42723</v>
      </c>
      <c r="G55" s="388">
        <f>IF('SEGUIMIENTO Y MONITOREO'!J55="NA","NA",'SEGUIMIENTO Y MONITOREO'!N55)</f>
        <v>0</v>
      </c>
      <c r="H55" s="628"/>
      <c r="I55" s="388">
        <f>IF('SEGUIMIENTO Y MONITOREO'!T55="NA","NA",'SEGUIMIENTO Y MONITOREO'!X55)</f>
        <v>0.5</v>
      </c>
      <c r="J55" s="628"/>
      <c r="K55" s="388" t="str">
        <f>IF('SEGUIMIENTO Y MONITOREO'!AD55="NA","NA",'SEGUIMIENTO Y MONITOREO'!AH55)</f>
        <v/>
      </c>
      <c r="L55" s="628"/>
      <c r="M55" s="628"/>
      <c r="N55" s="631"/>
      <c r="O55" s="631"/>
    </row>
    <row r="56" spans="1:15" ht="15" customHeight="1" x14ac:dyDescent="0.2">
      <c r="A56" s="630"/>
      <c r="B56" s="591"/>
      <c r="C56" s="82" t="str">
        <f>'SEGUIMIENTO Y MONITOREO'!D56</f>
        <v>Realizar seguimiento a la publicaciones de boletines</v>
      </c>
      <c r="D56" s="82" t="str">
        <f>'SEGUIMIENTO Y MONITOREO'!E56</f>
        <v>Boletines de la VDI</v>
      </c>
      <c r="E56" s="128">
        <f>'SEGUIMIENTO Y MONITOREO'!G56</f>
        <v>42388</v>
      </c>
      <c r="F56" s="128">
        <f>'SEGUIMIENTO Y MONITOREO'!H56</f>
        <v>42723</v>
      </c>
      <c r="G56" s="388">
        <f>IF('SEGUIMIENTO Y MONITOREO'!J56="NA","NA",'SEGUIMIENTO Y MONITOREO'!N56)</f>
        <v>0.25</v>
      </c>
      <c r="H56" s="628"/>
      <c r="I56" s="388">
        <f>IF('SEGUIMIENTO Y MONITOREO'!T56="NA","NA",'SEGUIMIENTO Y MONITOREO'!X56)</f>
        <v>0.5</v>
      </c>
      <c r="J56" s="628"/>
      <c r="K56" s="388" t="str">
        <f>IF('SEGUIMIENTO Y MONITOREO'!AD56="NA","NA",'SEGUIMIENTO Y MONITOREO'!AH56)</f>
        <v/>
      </c>
      <c r="L56" s="628"/>
      <c r="M56" s="628"/>
      <c r="N56" s="631"/>
      <c r="O56" s="631"/>
    </row>
    <row r="57" spans="1:15" ht="25.5" customHeight="1" x14ac:dyDescent="0.2">
      <c r="A57" s="630" t="str">
        <f>'SEGUIMIENTO Y MONITOREO'!A57:A59</f>
        <v>17G</v>
      </c>
      <c r="B57" s="591" t="str">
        <f>'SEGUIMIENTO Y MONITOREO'!B57:B59</f>
        <v>Gestión de Extensión y Proyección Social. Incumplimiento en los compromisos establecidos en la formalización de los proyectos.</v>
      </c>
      <c r="C57" s="82" t="str">
        <f>'SEGUIMIENTO Y MONITOREO'!D57</f>
        <v>Auto evaluación de los procesos.</v>
      </c>
      <c r="D57" s="82" t="str">
        <f>'SEGUIMIENTO Y MONITOREO'!E57</f>
        <v>Informes</v>
      </c>
      <c r="E57" s="128">
        <f>'SEGUIMIENTO Y MONITOREO'!G57</f>
        <v>42398</v>
      </c>
      <c r="F57" s="128">
        <f>'SEGUIMIENTO Y MONITOREO'!H57</f>
        <v>42704</v>
      </c>
      <c r="G57" s="388">
        <f>IF('SEGUIMIENTO Y MONITOREO'!J57="NA","NA",'SEGUIMIENTO Y MONITOREO'!N57)</f>
        <v>0</v>
      </c>
      <c r="H57" s="628">
        <f>'SEGUIMIENTO Y MONITOREO'!AR57</f>
        <v>0</v>
      </c>
      <c r="I57" s="388">
        <f>IF('SEGUIMIENTO Y MONITOREO'!T57="NA","NA",'SEGUIMIENTO Y MONITOREO'!X57)</f>
        <v>0.67</v>
      </c>
      <c r="J57" s="628">
        <f>'SEGUIMIENTO Y MONITOREO'!AS57</f>
        <v>0.67</v>
      </c>
      <c r="K57" s="388" t="str">
        <f>IF('SEGUIMIENTO Y MONITOREO'!AD57="NA","NA",'SEGUIMIENTO Y MONITOREO'!AH57)</f>
        <v/>
      </c>
      <c r="L57" s="628" t="str">
        <f>'SEGUIMIENTO Y MONITOREO'!AU57</f>
        <v/>
      </c>
      <c r="M57" s="628">
        <f>'SEGUIMIENTO Y MONITOREO'!AW57</f>
        <v>0.67</v>
      </c>
      <c r="N57" s="631" t="str">
        <f>IF(M57="","",CONCATENATE(IF('SEGUIMIENTO Y MONITOREO'!AX57=0,"",'SEGUIMIENTO Y MONITOREO'!AX57),Datos!$Y$4,IF('SEGUIMIENTO Y MONITOREO'!AX58=0,"",'SEGUIMIENTO Y MONITOREO'!AX58),Datos!$Y$4,IF('SEGUIMIENTO Y MONITOREO'!AX59=0,"",'SEGUIMIENTO Y MONITOREO'!AX59)))</f>
        <v xml:space="preserve">Se siguen ejecutando los controles
</v>
      </c>
      <c r="O57" s="631"/>
    </row>
    <row r="58" spans="1:15" ht="51" customHeight="1" x14ac:dyDescent="0.2">
      <c r="A58" s="630"/>
      <c r="B58" s="591"/>
      <c r="C58" s="82" t="str">
        <f>'SEGUIMIENTO Y MONITOREO'!D58</f>
        <v/>
      </c>
      <c r="D58" s="82" t="str">
        <f>'SEGUIMIENTO Y MONITOREO'!E58</f>
        <v/>
      </c>
      <c r="E58" s="128" t="str">
        <f>'SEGUIMIENTO Y MONITOREO'!G58</f>
        <v/>
      </c>
      <c r="F58" s="128" t="str">
        <f>'SEGUIMIENTO Y MONITOREO'!H58</f>
        <v/>
      </c>
      <c r="G58" s="388" t="str">
        <f>IF('SEGUIMIENTO Y MONITOREO'!J58="NA","NA",'SEGUIMIENTO Y MONITOREO'!N58)</f>
        <v/>
      </c>
      <c r="H58" s="628"/>
      <c r="I58" s="388" t="str">
        <f>IF('SEGUIMIENTO Y MONITOREO'!T58="NA","NA",'SEGUIMIENTO Y MONITOREO'!X58)</f>
        <v/>
      </c>
      <c r="J58" s="628"/>
      <c r="K58" s="388" t="str">
        <f>IF('SEGUIMIENTO Y MONITOREO'!AD58="NA","NA",'SEGUIMIENTO Y MONITOREO'!AH58)</f>
        <v/>
      </c>
      <c r="L58" s="628"/>
      <c r="M58" s="628"/>
      <c r="N58" s="631"/>
      <c r="O58" s="631"/>
    </row>
    <row r="59" spans="1:15" x14ac:dyDescent="0.2">
      <c r="A59" s="630"/>
      <c r="B59" s="591"/>
      <c r="C59" s="82" t="str">
        <f>'SEGUIMIENTO Y MONITOREO'!D59</f>
        <v/>
      </c>
      <c r="D59" s="82" t="str">
        <f>'SEGUIMIENTO Y MONITOREO'!E59</f>
        <v/>
      </c>
      <c r="E59" s="128" t="str">
        <f>'SEGUIMIENTO Y MONITOREO'!G59</f>
        <v/>
      </c>
      <c r="F59" s="128" t="str">
        <f>'SEGUIMIENTO Y MONITOREO'!H59</f>
        <v/>
      </c>
      <c r="G59" s="388" t="str">
        <f>IF('SEGUIMIENTO Y MONITOREO'!J59="NA","NA",'SEGUIMIENTO Y MONITOREO'!N59)</f>
        <v/>
      </c>
      <c r="H59" s="628"/>
      <c r="I59" s="388" t="str">
        <f>IF('SEGUIMIENTO Y MONITOREO'!T59="NA","NA",'SEGUIMIENTO Y MONITOREO'!X59)</f>
        <v/>
      </c>
      <c r="J59" s="628"/>
      <c r="K59" s="388" t="str">
        <f>IF('SEGUIMIENTO Y MONITOREO'!AD59="NA","NA",'SEGUIMIENTO Y MONITOREO'!AH59)</f>
        <v/>
      </c>
      <c r="L59" s="628"/>
      <c r="M59" s="628"/>
      <c r="N59" s="631"/>
      <c r="O59" s="631"/>
    </row>
    <row r="60" spans="1:15" ht="51" customHeight="1" x14ac:dyDescent="0.2">
      <c r="A60" s="630" t="str">
        <f>'SEGUIMIENTO Y MONITOREO'!A60:A62</f>
        <v>18G</v>
      </c>
      <c r="B60" s="591" t="str">
        <f>'SEGUIMIENTO Y MONITOREO'!B60:B62</f>
        <v>Gestión de Extensión y Proyección Social. Limitada interacción e integración con las comunidades nacionales e internacionales en el fortalecimiento de la presencia de la Universidad en la vida social y cultural del país.</v>
      </c>
      <c r="C60" s="82" t="str">
        <f>'SEGUIMIENTO Y MONITOREO'!D60</f>
        <v>Seguir ejecutando y monitoreando los controles existentes.</v>
      </c>
      <c r="D60" s="82" t="str">
        <f>'SEGUIMIENTO Y MONITOREO'!E60</f>
        <v/>
      </c>
      <c r="E60" s="128" t="str">
        <f>'SEGUIMIENTO Y MONITOREO'!G60</f>
        <v/>
      </c>
      <c r="F60" s="128" t="str">
        <f>'SEGUIMIENTO Y MONITOREO'!H60</f>
        <v/>
      </c>
      <c r="G60" s="388" t="str">
        <f>IF('SEGUIMIENTO Y MONITOREO'!J60="NA","NA",'SEGUIMIENTO Y MONITOREO'!N60)</f>
        <v>NA</v>
      </c>
      <c r="H60" s="628" t="str">
        <f>'SEGUIMIENTO Y MONITOREO'!AR60</f>
        <v>NA</v>
      </c>
      <c r="I60" s="388" t="str">
        <f>IF('SEGUIMIENTO Y MONITOREO'!T60="NA","NA",'SEGUIMIENTO Y MONITOREO'!X60)</f>
        <v>NA</v>
      </c>
      <c r="J60" s="628" t="str">
        <f>'SEGUIMIENTO Y MONITOREO'!AS60</f>
        <v>NA</v>
      </c>
      <c r="K60" s="388" t="str">
        <f>IF('SEGUIMIENTO Y MONITOREO'!AD60="NA","NA",'SEGUIMIENTO Y MONITOREO'!AH60)</f>
        <v/>
      </c>
      <c r="L60" s="628" t="str">
        <f>'SEGUIMIENTO Y MONITOREO'!AU60</f>
        <v/>
      </c>
      <c r="M60" s="628" t="str">
        <f>'SEGUIMIENTO Y MONITOREO'!AW60</f>
        <v>NA</v>
      </c>
      <c r="N60" s="631" t="str">
        <f>IF(M60="","",CONCATENATE(IF('SEGUIMIENTO Y MONITOREO'!AX60=0,"",'SEGUIMIENTO Y MONITOREO'!AX60),Datos!$Y$4,IF('SEGUIMIENTO Y MONITOREO'!AX61=0,"",'SEGUIMIENTO Y MONITOREO'!AX61),Datos!$Y$4,IF('SEGUIMIENTO Y MONITOREO'!AX62=0,"",'SEGUIMIENTO Y MONITOREO'!AX62)))</f>
        <v xml:space="preserve">
</v>
      </c>
      <c r="O60" s="631"/>
    </row>
    <row r="61" spans="1:15" ht="51" customHeight="1" x14ac:dyDescent="0.2">
      <c r="A61" s="630"/>
      <c r="B61" s="591"/>
      <c r="C61" s="82" t="str">
        <f>'SEGUIMIENTO Y MONITOREO'!D61</f>
        <v/>
      </c>
      <c r="D61" s="82" t="str">
        <f>'SEGUIMIENTO Y MONITOREO'!E61</f>
        <v/>
      </c>
      <c r="E61" s="128" t="str">
        <f>'SEGUIMIENTO Y MONITOREO'!G61</f>
        <v/>
      </c>
      <c r="F61" s="128" t="str">
        <f>'SEGUIMIENTO Y MONITOREO'!H61</f>
        <v/>
      </c>
      <c r="G61" s="388" t="str">
        <f>IF('SEGUIMIENTO Y MONITOREO'!J61="NA","NA",'SEGUIMIENTO Y MONITOREO'!N61)</f>
        <v/>
      </c>
      <c r="H61" s="628"/>
      <c r="I61" s="388" t="str">
        <f>IF('SEGUIMIENTO Y MONITOREO'!T61="NA","NA",'SEGUIMIENTO Y MONITOREO'!X61)</f>
        <v/>
      </c>
      <c r="J61" s="628"/>
      <c r="K61" s="388" t="str">
        <f>IF('SEGUIMIENTO Y MONITOREO'!AD61="NA","NA",'SEGUIMIENTO Y MONITOREO'!AH61)</f>
        <v/>
      </c>
      <c r="L61" s="628"/>
      <c r="M61" s="628"/>
      <c r="N61" s="631"/>
      <c r="O61" s="631"/>
    </row>
    <row r="62" spans="1:15" x14ac:dyDescent="0.2">
      <c r="A62" s="630"/>
      <c r="B62" s="591"/>
      <c r="C62" s="82" t="str">
        <f>'SEGUIMIENTO Y MONITOREO'!D62</f>
        <v/>
      </c>
      <c r="D62" s="82" t="str">
        <f>'SEGUIMIENTO Y MONITOREO'!E62</f>
        <v/>
      </c>
      <c r="E62" s="128" t="str">
        <f>'SEGUIMIENTO Y MONITOREO'!G62</f>
        <v/>
      </c>
      <c r="F62" s="128" t="str">
        <f>'SEGUIMIENTO Y MONITOREO'!H62</f>
        <v/>
      </c>
      <c r="G62" s="388" t="str">
        <f>IF('SEGUIMIENTO Y MONITOREO'!J62="NA","NA",'SEGUIMIENTO Y MONITOREO'!N62)</f>
        <v/>
      </c>
      <c r="H62" s="628"/>
      <c r="I62" s="388" t="str">
        <f>IF('SEGUIMIENTO Y MONITOREO'!T62="NA","NA",'SEGUIMIENTO Y MONITOREO'!X62)</f>
        <v/>
      </c>
      <c r="J62" s="628"/>
      <c r="K62" s="388" t="str">
        <f>IF('SEGUIMIENTO Y MONITOREO'!AD62="NA","NA",'SEGUIMIENTO Y MONITOREO'!AH62)</f>
        <v/>
      </c>
      <c r="L62" s="628"/>
      <c r="M62" s="628"/>
      <c r="N62" s="631"/>
      <c r="O62" s="631"/>
    </row>
    <row r="63" spans="1:15" ht="51" customHeight="1" x14ac:dyDescent="0.2">
      <c r="A63" s="630" t="str">
        <f>'SEGUIMIENTO Y MONITOREO'!A63:A65</f>
        <v>19G</v>
      </c>
      <c r="B63" s="591" t="str">
        <f>'SEGUIMIENTO Y MONITOREO'!B63:B65</f>
        <v>Gestión de Extensión y Proyección Social. Interrupción en las actividades e incumplimiento de los proyectos de extensión y proyección social, en las zonas de influencia.</v>
      </c>
      <c r="C63" s="82" t="str">
        <f>'SEGUIMIENTO Y MONITOREO'!D63</f>
        <v>Seguir ejecutando y monitoreando los controles existentes.</v>
      </c>
      <c r="D63" s="82" t="str">
        <f>'SEGUIMIENTO Y MONITOREO'!E63</f>
        <v/>
      </c>
      <c r="E63" s="128" t="str">
        <f>'SEGUIMIENTO Y MONITOREO'!G63</f>
        <v/>
      </c>
      <c r="F63" s="128" t="str">
        <f>'SEGUIMIENTO Y MONITOREO'!H63</f>
        <v/>
      </c>
      <c r="G63" s="388" t="str">
        <f>IF('SEGUIMIENTO Y MONITOREO'!J63="NA","NA",'SEGUIMIENTO Y MONITOREO'!N63)</f>
        <v>NA</v>
      </c>
      <c r="H63" s="628" t="str">
        <f>'SEGUIMIENTO Y MONITOREO'!AR63</f>
        <v>NA</v>
      </c>
      <c r="I63" s="388" t="str">
        <f>IF('SEGUIMIENTO Y MONITOREO'!T63="NA","NA",'SEGUIMIENTO Y MONITOREO'!X63)</f>
        <v>NA</v>
      </c>
      <c r="J63" s="628" t="str">
        <f>'SEGUIMIENTO Y MONITOREO'!AS63</f>
        <v>NA</v>
      </c>
      <c r="K63" s="388" t="str">
        <f>IF('SEGUIMIENTO Y MONITOREO'!AD63="NA","NA",'SEGUIMIENTO Y MONITOREO'!AH63)</f>
        <v/>
      </c>
      <c r="L63" s="628" t="str">
        <f>'SEGUIMIENTO Y MONITOREO'!AU63</f>
        <v/>
      </c>
      <c r="M63" s="628" t="str">
        <f>'SEGUIMIENTO Y MONITOREO'!AW63</f>
        <v>NA</v>
      </c>
      <c r="N63" s="631" t="str">
        <f>IF(M63="","",CONCATENATE(IF('SEGUIMIENTO Y MONITOREO'!AX63=0,"",'SEGUIMIENTO Y MONITOREO'!AX63),Datos!$Y$4,IF('SEGUIMIENTO Y MONITOREO'!AX64=0,"",'SEGUIMIENTO Y MONITOREO'!AX64),Datos!$Y$4,IF('SEGUIMIENTO Y MONITOREO'!AX65=0,"",'SEGUIMIENTO Y MONITOREO'!AX65)))</f>
        <v xml:space="preserve">
</v>
      </c>
      <c r="O63" s="631"/>
    </row>
    <row r="64" spans="1:15" ht="51" customHeight="1" x14ac:dyDescent="0.2">
      <c r="A64" s="630"/>
      <c r="B64" s="591"/>
      <c r="C64" s="82" t="str">
        <f>'SEGUIMIENTO Y MONITOREO'!D64</f>
        <v/>
      </c>
      <c r="D64" s="82" t="str">
        <f>'SEGUIMIENTO Y MONITOREO'!E64</f>
        <v/>
      </c>
      <c r="E64" s="128" t="str">
        <f>'SEGUIMIENTO Y MONITOREO'!G64</f>
        <v/>
      </c>
      <c r="F64" s="128" t="str">
        <f>'SEGUIMIENTO Y MONITOREO'!H64</f>
        <v/>
      </c>
      <c r="G64" s="388" t="str">
        <f>IF('SEGUIMIENTO Y MONITOREO'!J64="NA","NA",'SEGUIMIENTO Y MONITOREO'!N64)</f>
        <v/>
      </c>
      <c r="H64" s="628"/>
      <c r="I64" s="388" t="str">
        <f>IF('SEGUIMIENTO Y MONITOREO'!T64="NA","NA",'SEGUIMIENTO Y MONITOREO'!X64)</f>
        <v/>
      </c>
      <c r="J64" s="628"/>
      <c r="K64" s="388" t="str">
        <f>IF('SEGUIMIENTO Y MONITOREO'!AD64="NA","NA",'SEGUIMIENTO Y MONITOREO'!AH64)</f>
        <v/>
      </c>
      <c r="L64" s="628"/>
      <c r="M64" s="628"/>
      <c r="N64" s="631"/>
      <c r="O64" s="631"/>
    </row>
    <row r="65" spans="1:15" x14ac:dyDescent="0.2">
      <c r="A65" s="630"/>
      <c r="B65" s="591"/>
      <c r="C65" s="82" t="str">
        <f>'SEGUIMIENTO Y MONITOREO'!D65</f>
        <v/>
      </c>
      <c r="D65" s="82" t="str">
        <f>'SEGUIMIENTO Y MONITOREO'!E65</f>
        <v/>
      </c>
      <c r="E65" s="128" t="str">
        <f>'SEGUIMIENTO Y MONITOREO'!G65</f>
        <v/>
      </c>
      <c r="F65" s="128" t="str">
        <f>'SEGUIMIENTO Y MONITOREO'!H65</f>
        <v/>
      </c>
      <c r="G65" s="388" t="str">
        <f>IF('SEGUIMIENTO Y MONITOREO'!J65="NA","NA",'SEGUIMIENTO Y MONITOREO'!N65)</f>
        <v/>
      </c>
      <c r="H65" s="628"/>
      <c r="I65" s="388" t="str">
        <f>IF('SEGUIMIENTO Y MONITOREO'!T65="NA","NA",'SEGUIMIENTO Y MONITOREO'!X65)</f>
        <v/>
      </c>
      <c r="J65" s="628"/>
      <c r="K65" s="388" t="str">
        <f>IF('SEGUIMIENTO Y MONITOREO'!AD65="NA","NA",'SEGUIMIENTO Y MONITOREO'!AH65)</f>
        <v/>
      </c>
      <c r="L65" s="628"/>
      <c r="M65" s="628"/>
      <c r="N65" s="631"/>
      <c r="O65" s="631"/>
    </row>
    <row r="66" spans="1:15" ht="51" customHeight="1" x14ac:dyDescent="0.2">
      <c r="A66" s="630" t="str">
        <f>'SEGUIMIENTO Y MONITOREO'!A66:A68</f>
        <v>20G</v>
      </c>
      <c r="B66" s="591" t="str">
        <f>'SEGUIMIENTO Y MONITOREO'!B66:B68</f>
        <v>Gestión de Contratación. Celebración de contratos sin el cumplimiento de los requisitos internos y externos de carácter contractual</v>
      </c>
      <c r="C66" s="82" t="str">
        <f>'SEGUIMIENTO Y MONITOREO'!D66</f>
        <v>Seguir ejecutando y monitoreando los controles existentes</v>
      </c>
      <c r="D66" s="82" t="str">
        <f>'SEGUIMIENTO Y MONITOREO'!E66</f>
        <v/>
      </c>
      <c r="E66" s="128" t="str">
        <f>'SEGUIMIENTO Y MONITOREO'!G66</f>
        <v/>
      </c>
      <c r="F66" s="128" t="str">
        <f>'SEGUIMIENTO Y MONITOREO'!H66</f>
        <v/>
      </c>
      <c r="G66" s="388" t="str">
        <f>IF('SEGUIMIENTO Y MONITOREO'!J66="NA","NA",'SEGUIMIENTO Y MONITOREO'!N66)</f>
        <v>NA</v>
      </c>
      <c r="H66" s="628" t="str">
        <f>'SEGUIMIENTO Y MONITOREO'!AR66</f>
        <v>NA</v>
      </c>
      <c r="I66" s="388" t="str">
        <f>IF('SEGUIMIENTO Y MONITOREO'!T66="NA","NA",'SEGUIMIENTO Y MONITOREO'!X66)</f>
        <v>NA</v>
      </c>
      <c r="J66" s="628" t="str">
        <f>'SEGUIMIENTO Y MONITOREO'!AS66</f>
        <v>NA</v>
      </c>
      <c r="K66" s="388" t="str">
        <f>IF('SEGUIMIENTO Y MONITOREO'!AD66="NA","NA",'SEGUIMIENTO Y MONITOREO'!AH66)</f>
        <v/>
      </c>
      <c r="L66" s="628" t="str">
        <f>'SEGUIMIENTO Y MONITOREO'!AU66</f>
        <v/>
      </c>
      <c r="M66" s="628" t="str">
        <f>'SEGUIMIENTO Y MONITOREO'!AW66</f>
        <v>NA</v>
      </c>
      <c r="N66" s="631" t="str">
        <f>IF(M66="","",CONCATENATE(IF('SEGUIMIENTO Y MONITOREO'!AX66=0,"",'SEGUIMIENTO Y MONITOREO'!AX66),Datos!$Y$4,IF('SEGUIMIENTO Y MONITOREO'!AX67=0,"",'SEGUIMIENTO Y MONITOREO'!AX67),Datos!$Y$4,IF('SEGUIMIENTO Y MONITOREO'!AX68=0,"",'SEGUIMIENTO Y MONITOREO'!AX68)))</f>
        <v xml:space="preserve">
</v>
      </c>
      <c r="O66" s="631"/>
    </row>
    <row r="67" spans="1:15" ht="51" customHeight="1" x14ac:dyDescent="0.2">
      <c r="A67" s="630"/>
      <c r="B67" s="591"/>
      <c r="C67" s="82" t="str">
        <f>'SEGUIMIENTO Y MONITOREO'!D67</f>
        <v/>
      </c>
      <c r="D67" s="82" t="str">
        <f>'SEGUIMIENTO Y MONITOREO'!E67</f>
        <v/>
      </c>
      <c r="E67" s="128" t="str">
        <f>'SEGUIMIENTO Y MONITOREO'!G67</f>
        <v/>
      </c>
      <c r="F67" s="128" t="str">
        <f>'SEGUIMIENTO Y MONITOREO'!H67</f>
        <v/>
      </c>
      <c r="G67" s="388" t="str">
        <f>IF('SEGUIMIENTO Y MONITOREO'!J67="NA","NA",'SEGUIMIENTO Y MONITOREO'!N67)</f>
        <v/>
      </c>
      <c r="H67" s="628"/>
      <c r="I67" s="388" t="str">
        <f>IF('SEGUIMIENTO Y MONITOREO'!T67="NA","NA",'SEGUIMIENTO Y MONITOREO'!X67)</f>
        <v/>
      </c>
      <c r="J67" s="628"/>
      <c r="K67" s="388" t="str">
        <f>IF('SEGUIMIENTO Y MONITOREO'!AD67="NA","NA",'SEGUIMIENTO Y MONITOREO'!AH67)</f>
        <v/>
      </c>
      <c r="L67" s="628"/>
      <c r="M67" s="628"/>
      <c r="N67" s="631"/>
      <c r="O67" s="631"/>
    </row>
    <row r="68" spans="1:15" x14ac:dyDescent="0.2">
      <c r="A68" s="630"/>
      <c r="B68" s="591"/>
      <c r="C68" s="82" t="str">
        <f>'SEGUIMIENTO Y MONITOREO'!D68</f>
        <v/>
      </c>
      <c r="D68" s="82" t="str">
        <f>'SEGUIMIENTO Y MONITOREO'!E68</f>
        <v/>
      </c>
      <c r="E68" s="128" t="str">
        <f>'SEGUIMIENTO Y MONITOREO'!G68</f>
        <v/>
      </c>
      <c r="F68" s="128" t="str">
        <f>'SEGUIMIENTO Y MONITOREO'!H68</f>
        <v/>
      </c>
      <c r="G68" s="388" t="str">
        <f>IF('SEGUIMIENTO Y MONITOREO'!J68="NA","NA",'SEGUIMIENTO Y MONITOREO'!N68)</f>
        <v/>
      </c>
      <c r="H68" s="628"/>
      <c r="I68" s="388" t="str">
        <f>IF('SEGUIMIENTO Y MONITOREO'!T68="NA","NA",'SEGUIMIENTO Y MONITOREO'!X68)</f>
        <v/>
      </c>
      <c r="J68" s="628"/>
      <c r="K68" s="388" t="str">
        <f>IF('SEGUIMIENTO Y MONITOREO'!AD68="NA","NA",'SEGUIMIENTO Y MONITOREO'!AH68)</f>
        <v/>
      </c>
      <c r="L68" s="628"/>
      <c r="M68" s="628"/>
      <c r="N68" s="631"/>
      <c r="O68" s="631"/>
    </row>
    <row r="69" spans="1:15" ht="51" customHeight="1" x14ac:dyDescent="0.2">
      <c r="A69" s="630" t="str">
        <f>'SEGUIMIENTO Y MONITOREO'!A69:A71</f>
        <v>21G</v>
      </c>
      <c r="B69" s="591" t="str">
        <f>'SEGUIMIENTO Y MONITOREO'!B69:B71</f>
        <v>Gestión de Contratación. Documentación incompleta en la carpeta contractual</v>
      </c>
      <c r="C69" s="82" t="str">
        <f>'SEGUIMIENTO Y MONITOREO'!D69</f>
        <v>Seguir ejecutando y monitoreando los controles existentes</v>
      </c>
      <c r="D69" s="82" t="str">
        <f>'SEGUIMIENTO Y MONITOREO'!E69</f>
        <v/>
      </c>
      <c r="E69" s="128" t="str">
        <f>'SEGUIMIENTO Y MONITOREO'!G69</f>
        <v/>
      </c>
      <c r="F69" s="128" t="str">
        <f>'SEGUIMIENTO Y MONITOREO'!H69</f>
        <v/>
      </c>
      <c r="G69" s="388" t="str">
        <f>IF('SEGUIMIENTO Y MONITOREO'!J69="NA","NA",'SEGUIMIENTO Y MONITOREO'!N69)</f>
        <v>NA</v>
      </c>
      <c r="H69" s="628" t="str">
        <f>'SEGUIMIENTO Y MONITOREO'!AR69</f>
        <v>NA</v>
      </c>
      <c r="I69" s="388" t="str">
        <f>IF('SEGUIMIENTO Y MONITOREO'!T69="NA","NA",'SEGUIMIENTO Y MONITOREO'!X69)</f>
        <v>NA</v>
      </c>
      <c r="J69" s="628" t="str">
        <f>'SEGUIMIENTO Y MONITOREO'!AS69</f>
        <v>NA</v>
      </c>
      <c r="K69" s="388" t="str">
        <f>IF('SEGUIMIENTO Y MONITOREO'!AD69="NA","NA",'SEGUIMIENTO Y MONITOREO'!AH69)</f>
        <v/>
      </c>
      <c r="L69" s="628" t="str">
        <f>'SEGUIMIENTO Y MONITOREO'!AU69</f>
        <v/>
      </c>
      <c r="M69" s="628" t="str">
        <f>'SEGUIMIENTO Y MONITOREO'!AW69</f>
        <v>NA</v>
      </c>
      <c r="N69" s="631" t="str">
        <f>IF(M69="","",CONCATENATE(IF('SEGUIMIENTO Y MONITOREO'!AX69=0,"",'SEGUIMIENTO Y MONITOREO'!AX69),Datos!$Y$4,IF('SEGUIMIENTO Y MONITOREO'!AX70=0,"",'SEGUIMIENTO Y MONITOREO'!AX70),Datos!$Y$4,IF('SEGUIMIENTO Y MONITOREO'!AX71=0,"",'SEGUIMIENTO Y MONITOREO'!AX71)))</f>
        <v xml:space="preserve">
</v>
      </c>
      <c r="O69" s="631"/>
    </row>
    <row r="70" spans="1:15" ht="51" customHeight="1" x14ac:dyDescent="0.2">
      <c r="A70" s="630"/>
      <c r="B70" s="591"/>
      <c r="C70" s="82" t="str">
        <f>'SEGUIMIENTO Y MONITOREO'!D70</f>
        <v/>
      </c>
      <c r="D70" s="82" t="str">
        <f>'SEGUIMIENTO Y MONITOREO'!E70</f>
        <v/>
      </c>
      <c r="E70" s="128" t="str">
        <f>'SEGUIMIENTO Y MONITOREO'!G70</f>
        <v/>
      </c>
      <c r="F70" s="128" t="str">
        <f>'SEGUIMIENTO Y MONITOREO'!H70</f>
        <v/>
      </c>
      <c r="G70" s="388" t="str">
        <f>IF('SEGUIMIENTO Y MONITOREO'!J70="NA","NA",'SEGUIMIENTO Y MONITOREO'!N70)</f>
        <v/>
      </c>
      <c r="H70" s="628"/>
      <c r="I70" s="388" t="str">
        <f>IF('SEGUIMIENTO Y MONITOREO'!T70="NA","NA",'SEGUIMIENTO Y MONITOREO'!X70)</f>
        <v/>
      </c>
      <c r="J70" s="628"/>
      <c r="K70" s="388" t="str">
        <f>IF('SEGUIMIENTO Y MONITOREO'!AD70="NA","NA",'SEGUIMIENTO Y MONITOREO'!AH70)</f>
        <v/>
      </c>
      <c r="L70" s="628"/>
      <c r="M70" s="628"/>
      <c r="N70" s="631"/>
      <c r="O70" s="631"/>
    </row>
    <row r="71" spans="1:15" x14ac:dyDescent="0.2">
      <c r="A71" s="630"/>
      <c r="B71" s="591"/>
      <c r="C71" s="82" t="str">
        <f>'SEGUIMIENTO Y MONITOREO'!D71</f>
        <v/>
      </c>
      <c r="D71" s="82" t="str">
        <f>'SEGUIMIENTO Y MONITOREO'!E71</f>
        <v/>
      </c>
      <c r="E71" s="128" t="str">
        <f>'SEGUIMIENTO Y MONITOREO'!G71</f>
        <v/>
      </c>
      <c r="F71" s="128" t="str">
        <f>'SEGUIMIENTO Y MONITOREO'!H71</f>
        <v/>
      </c>
      <c r="G71" s="388" t="str">
        <f>IF('SEGUIMIENTO Y MONITOREO'!J71="NA","NA",'SEGUIMIENTO Y MONITOREO'!N71)</f>
        <v/>
      </c>
      <c r="H71" s="628"/>
      <c r="I71" s="388" t="str">
        <f>IF('SEGUIMIENTO Y MONITOREO'!T71="NA","NA",'SEGUIMIENTO Y MONITOREO'!X71)</f>
        <v/>
      </c>
      <c r="J71" s="628"/>
      <c r="K71" s="388" t="str">
        <f>IF('SEGUIMIENTO Y MONITOREO'!AD71="NA","NA",'SEGUIMIENTO Y MONITOREO'!AH71)</f>
        <v/>
      </c>
      <c r="L71" s="628"/>
      <c r="M71" s="628"/>
      <c r="N71" s="631"/>
      <c r="O71" s="631"/>
    </row>
    <row r="72" spans="1:15" ht="51" customHeight="1" x14ac:dyDescent="0.2">
      <c r="A72" s="630" t="str">
        <f>'SEGUIMIENTO Y MONITOREO'!A72:A74</f>
        <v>22G</v>
      </c>
      <c r="B72" s="591" t="str">
        <f>'SEGUIMIENTO Y MONITOREO'!B72:B74</f>
        <v>Gestión Administrativa. Inseguridad en el campus</v>
      </c>
      <c r="C72" s="82" t="str">
        <f>'SEGUIMIENTO Y MONITOREO'!D72</f>
        <v>Documento analisis de estado de la seguridad y falencias existentes.</v>
      </c>
      <c r="D72" s="82" t="str">
        <f>'SEGUIMIENTO Y MONITOREO'!E72</f>
        <v>Documento analisis</v>
      </c>
      <c r="E72" s="128">
        <f>'SEGUIMIENTO Y MONITOREO'!G72</f>
        <v>42371</v>
      </c>
      <c r="F72" s="128">
        <f>'SEGUIMIENTO Y MONITOREO'!H72</f>
        <v>42735</v>
      </c>
      <c r="G72" s="388">
        <f>IF('SEGUIMIENTO Y MONITOREO'!J72="NA","NA",'SEGUIMIENTO Y MONITOREO'!N72)</f>
        <v>0</v>
      </c>
      <c r="H72" s="628">
        <f>'SEGUIMIENTO Y MONITOREO'!AR72</f>
        <v>0</v>
      </c>
      <c r="I72" s="388">
        <f>IF('SEGUIMIENTO Y MONITOREO'!T72="NA","NA",'SEGUIMIENTO Y MONITOREO'!X72)</f>
        <v>0.1</v>
      </c>
      <c r="J72" s="628">
        <f>'SEGUIMIENTO Y MONITOREO'!AS72</f>
        <v>0.21666666666666665</v>
      </c>
      <c r="K72" s="388" t="str">
        <f>IF('SEGUIMIENTO Y MONITOREO'!AD72="NA","NA",'SEGUIMIENTO Y MONITOREO'!AH72)</f>
        <v/>
      </c>
      <c r="L72" s="628" t="str">
        <f>'SEGUIMIENTO Y MONITOREO'!AU72</f>
        <v/>
      </c>
      <c r="M72" s="628">
        <f>'SEGUIMIENTO Y MONITOREO'!AW72</f>
        <v>0.21666666666666665</v>
      </c>
      <c r="N72" s="631" t="str">
        <f>IF(M72="","",CONCATENATE(IF('SEGUIMIENTO Y MONITOREO'!AX72=0,"",'SEGUIMIENTO Y MONITOREO'!AX72),Datos!$Y$4,IF('SEGUIMIENTO Y MONITOREO'!AX73=0,"",'SEGUIMIENTO Y MONITOREO'!AX73),Datos!$Y$4,IF('SEGUIMIENTO Y MONITOREO'!AX74=0,"",'SEGUIMIENTO Y MONITOREO'!AX74)))</f>
        <v xml:space="preserve">Detección de falencias y puntos de mejora en el sistema de seguridad
Funcionamiento del sistema de control de acceso
</v>
      </c>
      <c r="O72" s="631"/>
    </row>
    <row r="73" spans="1:15" ht="51" customHeight="1" x14ac:dyDescent="0.2">
      <c r="A73" s="630"/>
      <c r="B73" s="591"/>
      <c r="C73" s="82" t="str">
        <f>'SEGUIMIENTO Y MONITOREO'!D73</f>
        <v>Gestionar compra de PDA, construccion de la sala de monitoreo y contratacion de responsable de monitoreo.</v>
      </c>
      <c r="D73" s="82" t="str">
        <f>'SEGUIMIENTO Y MONITOREO'!E73</f>
        <v>PDA, sala de monitoreo</v>
      </c>
      <c r="E73" s="128">
        <f>'SEGUIMIENTO Y MONITOREO'!G73</f>
        <v>42371</v>
      </c>
      <c r="F73" s="128">
        <f>'SEGUIMIENTO Y MONITOREO'!H73</f>
        <v>42735</v>
      </c>
      <c r="G73" s="388">
        <f>IF('SEGUIMIENTO Y MONITOREO'!J73="NA","NA",'SEGUIMIENTO Y MONITOREO'!N73)</f>
        <v>0</v>
      </c>
      <c r="H73" s="628"/>
      <c r="I73" s="388">
        <f>IF('SEGUIMIENTO Y MONITOREO'!T73="NA","NA",'SEGUIMIENTO Y MONITOREO'!X73)</f>
        <v>0.33333333333333331</v>
      </c>
      <c r="J73" s="628"/>
      <c r="K73" s="388" t="str">
        <f>IF('SEGUIMIENTO Y MONITOREO'!AD73="NA","NA",'SEGUIMIENTO Y MONITOREO'!AH73)</f>
        <v/>
      </c>
      <c r="L73" s="628"/>
      <c r="M73" s="628"/>
      <c r="N73" s="631"/>
      <c r="O73" s="631"/>
    </row>
    <row r="74" spans="1:15" x14ac:dyDescent="0.2">
      <c r="A74" s="630"/>
      <c r="B74" s="591"/>
      <c r="C74" s="82" t="str">
        <f>'SEGUIMIENTO Y MONITOREO'!D74</f>
        <v/>
      </c>
      <c r="D74" s="82" t="str">
        <f>'SEGUIMIENTO Y MONITOREO'!E74</f>
        <v/>
      </c>
      <c r="E74" s="128" t="str">
        <f>'SEGUIMIENTO Y MONITOREO'!G74</f>
        <v/>
      </c>
      <c r="F74" s="128" t="str">
        <f>'SEGUIMIENTO Y MONITOREO'!H74</f>
        <v/>
      </c>
      <c r="G74" s="388" t="str">
        <f>IF('SEGUIMIENTO Y MONITOREO'!J74="NA","NA",'SEGUIMIENTO Y MONITOREO'!N74)</f>
        <v/>
      </c>
      <c r="H74" s="628"/>
      <c r="I74" s="388" t="str">
        <f>IF('SEGUIMIENTO Y MONITOREO'!T74="NA","NA",'SEGUIMIENTO Y MONITOREO'!X74)</f>
        <v/>
      </c>
      <c r="J74" s="628"/>
      <c r="K74" s="388" t="str">
        <f>IF('SEGUIMIENTO Y MONITOREO'!AD74="NA","NA",'SEGUIMIENTO Y MONITOREO'!AH74)</f>
        <v/>
      </c>
      <c r="L74" s="628"/>
      <c r="M74" s="628"/>
      <c r="N74" s="631"/>
      <c r="O74" s="631"/>
    </row>
    <row r="75" spans="1:15" ht="51" customHeight="1" x14ac:dyDescent="0.2">
      <c r="A75" s="630" t="str">
        <f>'SEGUIMIENTO Y MONITOREO'!A75:A77</f>
        <v>23G</v>
      </c>
      <c r="B75" s="591" t="str">
        <f>'SEGUIMIENTO Y MONITOREO'!B75:B77</f>
        <v>Gestión Administrativa. Inadecuado gestión de los residuos</v>
      </c>
      <c r="C75" s="82" t="str">
        <f>'SEGUIMIENTO Y MONITOREO'!D75</f>
        <v>Seguimiento de PGIR</v>
      </c>
      <c r="D75" s="82" t="str">
        <f>'SEGUIMIENTO Y MONITOREO'!E75</f>
        <v>Informe de gestión</v>
      </c>
      <c r="E75" s="128">
        <f>'SEGUIMIENTO Y MONITOREO'!G75</f>
        <v>42371</v>
      </c>
      <c r="F75" s="128">
        <f>'SEGUIMIENTO Y MONITOREO'!H75</f>
        <v>42735</v>
      </c>
      <c r="G75" s="388">
        <f>IF('SEGUIMIENTO Y MONITOREO'!J75="NA","NA",'SEGUIMIENTO Y MONITOREO'!N75)</f>
        <v>0</v>
      </c>
      <c r="H75" s="628">
        <f>'SEGUIMIENTO Y MONITOREO'!AR75</f>
        <v>0</v>
      </c>
      <c r="I75" s="388">
        <f>IF('SEGUIMIENTO Y MONITOREO'!T75="NA","NA",'SEGUIMIENTO Y MONITOREO'!X75)</f>
        <v>0.5</v>
      </c>
      <c r="J75" s="628">
        <f>'SEGUIMIENTO Y MONITOREO'!AS75</f>
        <v>0.5</v>
      </c>
      <c r="K75" s="388" t="str">
        <f>IF('SEGUIMIENTO Y MONITOREO'!AD75="NA","NA",'SEGUIMIENTO Y MONITOREO'!AH75)</f>
        <v/>
      </c>
      <c r="L75" s="628" t="str">
        <f>'SEGUIMIENTO Y MONITOREO'!AU75</f>
        <v/>
      </c>
      <c r="M75" s="628">
        <f>'SEGUIMIENTO Y MONITOREO'!AW75</f>
        <v>0.5</v>
      </c>
      <c r="N75" s="631" t="str">
        <f>IF(M75="","",CONCATENATE(IF('SEGUIMIENTO Y MONITOREO'!AX75=0,"",'SEGUIMIENTO Y MONITOREO'!AX75),Datos!$Y$4,IF('SEGUIMIENTO Y MONITOREO'!AX76=0,"",'SEGUIMIENTO Y MONITOREO'!AX76),Datos!$Y$4,IF('SEGUIMIENTO Y MONITOREO'!AX77=0,"",'SEGUIMIENTO Y MONITOREO'!AX77)))</f>
        <v xml:space="preserve">Realización de 2 capacitaciones, instalación de dispositivos y concesión de recoleccion de residuos
</v>
      </c>
      <c r="O75" s="631"/>
    </row>
    <row r="76" spans="1:15" ht="51" customHeight="1" x14ac:dyDescent="0.2">
      <c r="A76" s="630"/>
      <c r="B76" s="591"/>
      <c r="C76" s="82" t="str">
        <f>'SEGUIMIENTO Y MONITOREO'!D76</f>
        <v/>
      </c>
      <c r="D76" s="82" t="str">
        <f>'SEGUIMIENTO Y MONITOREO'!E76</f>
        <v/>
      </c>
      <c r="E76" s="128" t="str">
        <f>'SEGUIMIENTO Y MONITOREO'!G76</f>
        <v/>
      </c>
      <c r="F76" s="128" t="str">
        <f>'SEGUIMIENTO Y MONITOREO'!H76</f>
        <v/>
      </c>
      <c r="G76" s="388" t="str">
        <f>IF('SEGUIMIENTO Y MONITOREO'!J76="NA","NA",'SEGUIMIENTO Y MONITOREO'!N76)</f>
        <v/>
      </c>
      <c r="H76" s="628"/>
      <c r="I76" s="388" t="str">
        <f>IF('SEGUIMIENTO Y MONITOREO'!T76="NA","NA",'SEGUIMIENTO Y MONITOREO'!X76)</f>
        <v/>
      </c>
      <c r="J76" s="628"/>
      <c r="K76" s="388" t="str">
        <f>IF('SEGUIMIENTO Y MONITOREO'!AD76="NA","NA",'SEGUIMIENTO Y MONITOREO'!AH76)</f>
        <v/>
      </c>
      <c r="L76" s="628"/>
      <c r="M76" s="628"/>
      <c r="N76" s="631"/>
      <c r="O76" s="631"/>
    </row>
    <row r="77" spans="1:15" x14ac:dyDescent="0.2">
      <c r="A77" s="630"/>
      <c r="B77" s="591"/>
      <c r="C77" s="82" t="str">
        <f>'SEGUIMIENTO Y MONITOREO'!D77</f>
        <v/>
      </c>
      <c r="D77" s="82" t="str">
        <f>'SEGUIMIENTO Y MONITOREO'!E77</f>
        <v/>
      </c>
      <c r="E77" s="128" t="str">
        <f>'SEGUIMIENTO Y MONITOREO'!G77</f>
        <v/>
      </c>
      <c r="F77" s="128" t="str">
        <f>'SEGUIMIENTO Y MONITOREO'!H77</f>
        <v/>
      </c>
      <c r="G77" s="388" t="str">
        <f>IF('SEGUIMIENTO Y MONITOREO'!J77="NA","NA",'SEGUIMIENTO Y MONITOREO'!N77)</f>
        <v/>
      </c>
      <c r="H77" s="628"/>
      <c r="I77" s="388" t="str">
        <f>IF('SEGUIMIENTO Y MONITOREO'!T77="NA","NA",'SEGUIMIENTO Y MONITOREO'!X77)</f>
        <v/>
      </c>
      <c r="J77" s="628"/>
      <c r="K77" s="388" t="str">
        <f>IF('SEGUIMIENTO Y MONITOREO'!AD77="NA","NA",'SEGUIMIENTO Y MONITOREO'!AH77)</f>
        <v/>
      </c>
      <c r="L77" s="628"/>
      <c r="M77" s="628"/>
      <c r="N77" s="631"/>
      <c r="O77" s="631"/>
    </row>
    <row r="78" spans="1:15" ht="51" customHeight="1" x14ac:dyDescent="0.2">
      <c r="A78" s="630" t="str">
        <f>'SEGUIMIENTO Y MONITOREO'!A78:A80</f>
        <v>24G</v>
      </c>
      <c r="B78" s="591" t="str">
        <f>'SEGUIMIENTO Y MONITOREO'!B78:B80</f>
        <v>Gestión del Talento Humano. Deficiente desempeño laboral de los funcionarios de la Universidad.</v>
      </c>
      <c r="C78" s="82" t="str">
        <f>'SEGUIMIENTO Y MONITOREO'!D78</f>
        <v>Adquirir y aplicar herramientas para evaluar las competencias laborales de los servidores públicos.</v>
      </c>
      <c r="D78" s="82" t="str">
        <f>'SEGUIMIENTO Y MONITOREO'!E78</f>
        <v xml:space="preserve">Adquisición y aplicación de herramientas de evaluación por competencias / Informe Resultados </v>
      </c>
      <c r="E78" s="128">
        <f>'SEGUIMIENTO Y MONITOREO'!G78</f>
        <v>42401</v>
      </c>
      <c r="F78" s="128">
        <f>'SEGUIMIENTO Y MONITOREO'!H78</f>
        <v>42735</v>
      </c>
      <c r="G78" s="388">
        <f>IF('SEGUIMIENTO Y MONITOREO'!J78="NA","NA",'SEGUIMIENTO Y MONITOREO'!N78)</f>
        <v>0</v>
      </c>
      <c r="H78" s="628">
        <f>'SEGUIMIENTO Y MONITOREO'!AR78</f>
        <v>0</v>
      </c>
      <c r="I78" s="388">
        <f>IF('SEGUIMIENTO Y MONITOREO'!T78="NA","NA",'SEGUIMIENTO Y MONITOREO'!X78)</f>
        <v>0.1</v>
      </c>
      <c r="J78" s="628">
        <f>'SEGUIMIENTO Y MONITOREO'!AS78</f>
        <v>0.45</v>
      </c>
      <c r="K78" s="388" t="str">
        <f>IF('SEGUIMIENTO Y MONITOREO'!AD78="NA","NA",'SEGUIMIENTO Y MONITOREO'!AH78)</f>
        <v/>
      </c>
      <c r="L78" s="628" t="str">
        <f>'SEGUIMIENTO Y MONITOREO'!AU78</f>
        <v/>
      </c>
      <c r="M78" s="628">
        <f>'SEGUIMIENTO Y MONITOREO'!AW78</f>
        <v>0.45</v>
      </c>
      <c r="N78" s="631" t="str">
        <f>IF(M78="","",CONCATENATE(IF('SEGUIMIENTO Y MONITOREO'!AX78=0,"",'SEGUIMIENTO Y MONITOREO'!AX78),Datos!$Y$4,IF('SEGUIMIENTO Y MONITOREO'!AX79=0,"",'SEGUIMIENTO Y MONITOREO'!AX79),Datos!$Y$4,IF('SEGUIMIENTO Y MONITOREO'!AX80=0,"",'SEGUIMIENTO Y MONITOREO'!AX80)))</f>
        <v xml:space="preserve">Ante el no cumplimiento de los lineamiento PEI, se requeriran nuevas propuestas a UNAL y CESA
Se definio una dinamica de aprendizaje para el programa de reinducción
</v>
      </c>
      <c r="O78" s="631"/>
    </row>
    <row r="79" spans="1:15" ht="51" x14ac:dyDescent="0.2">
      <c r="A79" s="630"/>
      <c r="B79" s="591"/>
      <c r="C79" s="82" t="str">
        <f>'SEGUIMIENTO Y MONITOREO'!D79</f>
        <v>Elaboración y ejecución de un programa detallado de Inducción y/o 
Reinduccion.</v>
      </c>
      <c r="D79" s="82" t="str">
        <f>'SEGUIMIENTO Y MONITOREO'!E79</f>
        <v>Informes de Inducción y Reinducción de los empleados</v>
      </c>
      <c r="E79" s="128">
        <f>'SEGUIMIENTO Y MONITOREO'!G79</f>
        <v>42401</v>
      </c>
      <c r="F79" s="128">
        <f>'SEGUIMIENTO Y MONITOREO'!H79</f>
        <v>42735</v>
      </c>
      <c r="G79" s="388">
        <f>IF('SEGUIMIENTO Y MONITOREO'!J79="NA","NA",'SEGUIMIENTO Y MONITOREO'!N79)</f>
        <v>0</v>
      </c>
      <c r="H79" s="628"/>
      <c r="I79" s="388">
        <f>IF('SEGUIMIENTO Y MONITOREO'!T79="NA","NA",'SEGUIMIENTO Y MONITOREO'!X79)</f>
        <v>0.8</v>
      </c>
      <c r="J79" s="628"/>
      <c r="K79" s="388" t="str">
        <f>IF('SEGUIMIENTO Y MONITOREO'!AD79="NA","NA",'SEGUIMIENTO Y MONITOREO'!AH79)</f>
        <v/>
      </c>
      <c r="L79" s="628"/>
      <c r="M79" s="628"/>
      <c r="N79" s="631"/>
      <c r="O79" s="631"/>
    </row>
    <row r="80" spans="1:15" x14ac:dyDescent="0.2">
      <c r="A80" s="630"/>
      <c r="B80" s="591"/>
      <c r="C80" s="82" t="str">
        <f>'SEGUIMIENTO Y MONITOREO'!D80</f>
        <v/>
      </c>
      <c r="D80" s="82" t="str">
        <f>'SEGUIMIENTO Y MONITOREO'!E80</f>
        <v/>
      </c>
      <c r="E80" s="128" t="str">
        <f>'SEGUIMIENTO Y MONITOREO'!G80</f>
        <v/>
      </c>
      <c r="F80" s="128" t="str">
        <f>'SEGUIMIENTO Y MONITOREO'!H80</f>
        <v/>
      </c>
      <c r="G80" s="388" t="str">
        <f>IF('SEGUIMIENTO Y MONITOREO'!J80="NA","NA",'SEGUIMIENTO Y MONITOREO'!N80)</f>
        <v/>
      </c>
      <c r="H80" s="628"/>
      <c r="I80" s="388" t="str">
        <f>IF('SEGUIMIENTO Y MONITOREO'!T80="NA","NA",'SEGUIMIENTO Y MONITOREO'!X80)</f>
        <v/>
      </c>
      <c r="J80" s="628"/>
      <c r="K80" s="388" t="str">
        <f>IF('SEGUIMIENTO Y MONITOREO'!AD80="NA","NA",'SEGUIMIENTO Y MONITOREO'!AH80)</f>
        <v/>
      </c>
      <c r="L80" s="628"/>
      <c r="M80" s="628"/>
      <c r="N80" s="631"/>
      <c r="O80" s="631"/>
    </row>
    <row r="81" spans="1:15" ht="51" customHeight="1" x14ac:dyDescent="0.2">
      <c r="A81" s="630" t="str">
        <f>'SEGUIMIENTO Y MONITOREO'!A81:A83</f>
        <v>25G</v>
      </c>
      <c r="B81" s="591" t="str">
        <f>'SEGUIMIENTO Y MONITOREO'!B81:B83</f>
        <v>Gestión del Talento Humano. Falta de plan de incentivos y/o estímulos.</v>
      </c>
      <c r="C81" s="82" t="str">
        <f>'SEGUIMIENTO Y MONITOREO'!D81</f>
        <v>Elaborar y presentar propuesta del programas de incentivos y bienestar laboral</v>
      </c>
      <c r="D81" s="82" t="str">
        <f>'SEGUIMIENTO Y MONITOREO'!E81</f>
        <v>Propuesta del Programa de Incentivos y Bienestar Laboral</v>
      </c>
      <c r="E81" s="128">
        <f>'SEGUIMIENTO Y MONITOREO'!G81</f>
        <v>42401</v>
      </c>
      <c r="F81" s="128">
        <f>'SEGUIMIENTO Y MONITOREO'!H81</f>
        <v>42612</v>
      </c>
      <c r="G81" s="388">
        <f>IF('SEGUIMIENTO Y MONITOREO'!J81="NA","NA",'SEGUIMIENTO Y MONITOREO'!N81)</f>
        <v>0</v>
      </c>
      <c r="H81" s="628">
        <f>'SEGUIMIENTO Y MONITOREO'!AR81</f>
        <v>0</v>
      </c>
      <c r="I81" s="388">
        <f>IF('SEGUIMIENTO Y MONITOREO'!T81="NA","NA",'SEGUIMIENTO Y MONITOREO'!X81)</f>
        <v>0</v>
      </c>
      <c r="J81" s="628">
        <f>'SEGUIMIENTO Y MONITOREO'!AS81</f>
        <v>0</v>
      </c>
      <c r="K81" s="388" t="str">
        <f>IF('SEGUIMIENTO Y MONITOREO'!AD81="NA","NA",'SEGUIMIENTO Y MONITOREO'!AH81)</f>
        <v/>
      </c>
      <c r="L81" s="628" t="str">
        <f>'SEGUIMIENTO Y MONITOREO'!AU81</f>
        <v/>
      </c>
      <c r="M81" s="628">
        <f>'SEGUIMIENTO Y MONITOREO'!AW81</f>
        <v>0</v>
      </c>
      <c r="N81" s="631" t="str">
        <f>IF(M81="","",CONCATENATE(IF('SEGUIMIENTO Y MONITOREO'!AX81=0,"",'SEGUIMIENTO Y MONITOREO'!AX81),Datos!$Y$4,IF('SEGUIMIENTO Y MONITOREO'!AX82=0,"",'SEGUIMIENTO Y MONITOREO'!AX82),Datos!$Y$4,IF('SEGUIMIENTO Y MONITOREO'!AX83=0,"",'SEGUIMIENTO Y MONITOREO'!AX83)))</f>
        <v xml:space="preserve">Se estan realizando ajustes recomendados por asesor externo
</v>
      </c>
      <c r="O81" s="631"/>
    </row>
    <row r="82" spans="1:15" ht="51" customHeight="1" x14ac:dyDescent="0.2">
      <c r="A82" s="630"/>
      <c r="B82" s="591"/>
      <c r="C82" s="82" t="str">
        <f>'SEGUIMIENTO Y MONITOREO'!D82</f>
        <v/>
      </c>
      <c r="D82" s="82" t="str">
        <f>'SEGUIMIENTO Y MONITOREO'!E82</f>
        <v/>
      </c>
      <c r="E82" s="128" t="str">
        <f>'SEGUIMIENTO Y MONITOREO'!G82</f>
        <v/>
      </c>
      <c r="F82" s="128" t="str">
        <f>'SEGUIMIENTO Y MONITOREO'!H82</f>
        <v/>
      </c>
      <c r="G82" s="388" t="str">
        <f>IF('SEGUIMIENTO Y MONITOREO'!J82="NA","NA",'SEGUIMIENTO Y MONITOREO'!N82)</f>
        <v/>
      </c>
      <c r="H82" s="628"/>
      <c r="I82" s="388" t="str">
        <f>IF('SEGUIMIENTO Y MONITOREO'!T82="NA","NA",'SEGUIMIENTO Y MONITOREO'!X82)</f>
        <v/>
      </c>
      <c r="J82" s="628"/>
      <c r="K82" s="388" t="str">
        <f>IF('SEGUIMIENTO Y MONITOREO'!AD82="NA","NA",'SEGUIMIENTO Y MONITOREO'!AH82)</f>
        <v/>
      </c>
      <c r="L82" s="628"/>
      <c r="M82" s="628"/>
      <c r="N82" s="631"/>
      <c r="O82" s="631"/>
    </row>
    <row r="83" spans="1:15" x14ac:dyDescent="0.2">
      <c r="A83" s="630"/>
      <c r="B83" s="591"/>
      <c r="C83" s="82" t="str">
        <f>'SEGUIMIENTO Y MONITOREO'!D83</f>
        <v/>
      </c>
      <c r="D83" s="82" t="str">
        <f>'SEGUIMIENTO Y MONITOREO'!E83</f>
        <v/>
      </c>
      <c r="E83" s="128" t="str">
        <f>'SEGUIMIENTO Y MONITOREO'!G83</f>
        <v/>
      </c>
      <c r="F83" s="128" t="str">
        <f>'SEGUIMIENTO Y MONITOREO'!H83</f>
        <v/>
      </c>
      <c r="G83" s="388" t="str">
        <f>IF('SEGUIMIENTO Y MONITOREO'!J83="NA","NA",'SEGUIMIENTO Y MONITOREO'!N83)</f>
        <v/>
      </c>
      <c r="H83" s="628"/>
      <c r="I83" s="388" t="str">
        <f>IF('SEGUIMIENTO Y MONITOREO'!T83="NA","NA",'SEGUIMIENTO Y MONITOREO'!X83)</f>
        <v/>
      </c>
      <c r="J83" s="628"/>
      <c r="K83" s="388" t="str">
        <f>IF('SEGUIMIENTO Y MONITOREO'!AD83="NA","NA",'SEGUIMIENTO Y MONITOREO'!AH83)</f>
        <v/>
      </c>
      <c r="L83" s="628"/>
      <c r="M83" s="628"/>
      <c r="N83" s="631"/>
      <c r="O83" s="631"/>
    </row>
    <row r="84" spans="1:15" ht="51" customHeight="1" x14ac:dyDescent="0.2">
      <c r="A84" s="630" t="str">
        <f>'SEGUIMIENTO Y MONITOREO'!A84:A86</f>
        <v>26G</v>
      </c>
      <c r="B84" s="591" t="str">
        <f>'SEGUIMIENTO Y MONITOREO'!B84:B86</f>
        <v>Gestión del Talento Humano. Demoras en la afilicación de catedráticos y ocasionales al Sistema de Seguridad Social Integral, y de los contratistas y estudiantes de Práctica a la Administradora de Riesgos Laborales.</v>
      </c>
      <c r="C84" s="82" t="str">
        <f>'SEGUIMIENTO Y MONITOREO'!D84</f>
        <v>Elaboración y aprobación del procedimiento de Seguridad Social</v>
      </c>
      <c r="D84" s="82" t="str">
        <f>'SEGUIMIENTO Y MONITOREO'!E84</f>
        <v>Procedimiento de Seguridad Social aprobado y publicado en COGUI</v>
      </c>
      <c r="E84" s="128">
        <f>'SEGUIMIENTO Y MONITOREO'!G84</f>
        <v>42430</v>
      </c>
      <c r="F84" s="128">
        <f>'SEGUIMIENTO Y MONITOREO'!H84</f>
        <v>42735</v>
      </c>
      <c r="G84" s="388">
        <f>IF('SEGUIMIENTO Y MONITOREO'!J84="NA","NA",'SEGUIMIENTO Y MONITOREO'!N84)</f>
        <v>0</v>
      </c>
      <c r="H84" s="628">
        <f>'SEGUIMIENTO Y MONITOREO'!AR84</f>
        <v>0</v>
      </c>
      <c r="I84" s="388">
        <f>IF('SEGUIMIENTO Y MONITOREO'!T84="NA","NA",'SEGUIMIENTO Y MONITOREO'!X84)</f>
        <v>0</v>
      </c>
      <c r="J84" s="628">
        <f>'SEGUIMIENTO Y MONITOREO'!AS84</f>
        <v>0</v>
      </c>
      <c r="K84" s="388" t="str">
        <f>IF('SEGUIMIENTO Y MONITOREO'!AD84="NA","NA",'SEGUIMIENTO Y MONITOREO'!AH84)</f>
        <v/>
      </c>
      <c r="L84" s="628" t="str">
        <f>'SEGUIMIENTO Y MONITOREO'!AU84</f>
        <v/>
      </c>
      <c r="M84" s="628">
        <f>'SEGUIMIENTO Y MONITOREO'!AW84</f>
        <v>0</v>
      </c>
      <c r="N84" s="631" t="str">
        <f>IF(M84="","",CONCATENATE(IF('SEGUIMIENTO Y MONITOREO'!AX84=0,"",'SEGUIMIENTO Y MONITOREO'!AX84),Datos!$Y$4,IF('SEGUIMIENTO Y MONITOREO'!AX85=0,"",'SEGUIMIENTO Y MONITOREO'!AX85),Datos!$Y$4,IF('SEGUIMIENTO Y MONITOREO'!AX86=0,"",'SEGUIMIENTO Y MONITOREO'!AX86)))</f>
        <v xml:space="preserve">Se programaron para el mes de septiembre jordanas de trabajo 
</v>
      </c>
      <c r="O84" s="631"/>
    </row>
    <row r="85" spans="1:15" ht="51" customHeight="1" x14ac:dyDescent="0.2">
      <c r="A85" s="630"/>
      <c r="B85" s="591"/>
      <c r="C85" s="82" t="str">
        <f>'SEGUIMIENTO Y MONITOREO'!D85</f>
        <v/>
      </c>
      <c r="D85" s="82" t="str">
        <f>'SEGUIMIENTO Y MONITOREO'!E85</f>
        <v/>
      </c>
      <c r="E85" s="128" t="str">
        <f>'SEGUIMIENTO Y MONITOREO'!G85</f>
        <v/>
      </c>
      <c r="F85" s="128" t="str">
        <f>'SEGUIMIENTO Y MONITOREO'!H85</f>
        <v/>
      </c>
      <c r="G85" s="388" t="str">
        <f>IF('SEGUIMIENTO Y MONITOREO'!J85="NA","NA",'SEGUIMIENTO Y MONITOREO'!N85)</f>
        <v/>
      </c>
      <c r="H85" s="628"/>
      <c r="I85" s="388" t="str">
        <f>IF('SEGUIMIENTO Y MONITOREO'!T85="NA","NA",'SEGUIMIENTO Y MONITOREO'!X85)</f>
        <v/>
      </c>
      <c r="J85" s="628"/>
      <c r="K85" s="388" t="str">
        <f>IF('SEGUIMIENTO Y MONITOREO'!AD85="NA","NA",'SEGUIMIENTO Y MONITOREO'!AH85)</f>
        <v/>
      </c>
      <c r="L85" s="628"/>
      <c r="M85" s="628"/>
      <c r="N85" s="631"/>
      <c r="O85" s="631"/>
    </row>
    <row r="86" spans="1:15" x14ac:dyDescent="0.2">
      <c r="A86" s="630"/>
      <c r="B86" s="591"/>
      <c r="C86" s="82" t="str">
        <f>'SEGUIMIENTO Y MONITOREO'!D86</f>
        <v/>
      </c>
      <c r="D86" s="82" t="str">
        <f>'SEGUIMIENTO Y MONITOREO'!E86</f>
        <v/>
      </c>
      <c r="E86" s="128" t="str">
        <f>'SEGUIMIENTO Y MONITOREO'!G86</f>
        <v/>
      </c>
      <c r="F86" s="128" t="str">
        <f>'SEGUIMIENTO Y MONITOREO'!H86</f>
        <v/>
      </c>
      <c r="G86" s="388" t="str">
        <f>IF('SEGUIMIENTO Y MONITOREO'!J86="NA","NA",'SEGUIMIENTO Y MONITOREO'!N86)</f>
        <v/>
      </c>
      <c r="H86" s="628"/>
      <c r="I86" s="388" t="str">
        <f>IF('SEGUIMIENTO Y MONITOREO'!T86="NA","NA",'SEGUIMIENTO Y MONITOREO'!X86)</f>
        <v/>
      </c>
      <c r="J86" s="628"/>
      <c r="K86" s="388" t="str">
        <f>IF('SEGUIMIENTO Y MONITOREO'!AD86="NA","NA",'SEGUIMIENTO Y MONITOREO'!AH86)</f>
        <v/>
      </c>
      <c r="L86" s="628"/>
      <c r="M86" s="628"/>
      <c r="N86" s="631"/>
      <c r="O86" s="631"/>
    </row>
    <row r="87" spans="1:15" ht="51" customHeight="1" x14ac:dyDescent="0.2">
      <c r="A87" s="630" t="str">
        <f>'SEGUIMIENTO Y MONITOREO'!A87:A89</f>
        <v>27G</v>
      </c>
      <c r="B87" s="591" t="str">
        <f>'SEGUIMIENTO Y MONITOREO'!B87:B89</f>
        <v>Evaluación Independiente. Deficiente evaluación y verificacion de la existencia, nivel de desarrollo y grado de efectividad del Sistema de Control Interno</v>
      </c>
      <c r="C87" s="82" t="str">
        <f>'SEGUIMIENTO Y MONITOREO'!D87</f>
        <v>Seguir ejecutando y monitoreando los controles existentes</v>
      </c>
      <c r="D87" s="82" t="str">
        <f>'SEGUIMIENTO Y MONITOREO'!E87</f>
        <v/>
      </c>
      <c r="E87" s="128" t="str">
        <f>'SEGUIMIENTO Y MONITOREO'!G87</f>
        <v/>
      </c>
      <c r="F87" s="128" t="str">
        <f>'SEGUIMIENTO Y MONITOREO'!H87</f>
        <v/>
      </c>
      <c r="G87" s="388" t="str">
        <f>IF('SEGUIMIENTO Y MONITOREO'!J87="NA","NA",'SEGUIMIENTO Y MONITOREO'!N87)</f>
        <v>NA</v>
      </c>
      <c r="H87" s="628" t="str">
        <f>'SEGUIMIENTO Y MONITOREO'!AR87</f>
        <v>NA</v>
      </c>
      <c r="I87" s="388" t="str">
        <f>IF('SEGUIMIENTO Y MONITOREO'!T87="NA","NA",'SEGUIMIENTO Y MONITOREO'!X87)</f>
        <v>NA</v>
      </c>
      <c r="J87" s="628" t="str">
        <f>'SEGUIMIENTO Y MONITOREO'!AS87</f>
        <v>NA</v>
      </c>
      <c r="K87" s="388" t="str">
        <f>IF('SEGUIMIENTO Y MONITOREO'!AD87="NA","NA",'SEGUIMIENTO Y MONITOREO'!AH87)</f>
        <v/>
      </c>
      <c r="L87" s="628" t="str">
        <f>'SEGUIMIENTO Y MONITOREO'!AU87</f>
        <v/>
      </c>
      <c r="M87" s="628" t="str">
        <f>'SEGUIMIENTO Y MONITOREO'!AW87</f>
        <v>NA</v>
      </c>
      <c r="N87" s="631" t="str">
        <f>IF(M87="","",CONCATENATE(IF('SEGUIMIENTO Y MONITOREO'!AX87=0,"",'SEGUIMIENTO Y MONITOREO'!AX87),Datos!$Y$4,IF('SEGUIMIENTO Y MONITOREO'!AX88=0,"",'SEGUIMIENTO Y MONITOREO'!AX88),Datos!$Y$4,IF('SEGUIMIENTO Y MONITOREO'!AX89=0,"",'SEGUIMIENTO Y MONITOREO'!AX89)))</f>
        <v xml:space="preserve">
</v>
      </c>
      <c r="O87" s="631"/>
    </row>
    <row r="88" spans="1:15" ht="51" customHeight="1" x14ac:dyDescent="0.2">
      <c r="A88" s="630"/>
      <c r="B88" s="591"/>
      <c r="C88" s="82" t="str">
        <f>'SEGUIMIENTO Y MONITOREO'!D88</f>
        <v/>
      </c>
      <c r="D88" s="82" t="str">
        <f>'SEGUIMIENTO Y MONITOREO'!E88</f>
        <v/>
      </c>
      <c r="E88" s="128" t="str">
        <f>'SEGUIMIENTO Y MONITOREO'!G88</f>
        <v/>
      </c>
      <c r="F88" s="128" t="str">
        <f>'SEGUIMIENTO Y MONITOREO'!H88</f>
        <v/>
      </c>
      <c r="G88" s="388" t="str">
        <f>IF('SEGUIMIENTO Y MONITOREO'!J88="NA","NA",'SEGUIMIENTO Y MONITOREO'!N88)</f>
        <v/>
      </c>
      <c r="H88" s="628"/>
      <c r="I88" s="388" t="str">
        <f>IF('SEGUIMIENTO Y MONITOREO'!T88="NA","NA",'SEGUIMIENTO Y MONITOREO'!X88)</f>
        <v/>
      </c>
      <c r="J88" s="628"/>
      <c r="K88" s="388" t="str">
        <f>IF('SEGUIMIENTO Y MONITOREO'!AD88="NA","NA",'SEGUIMIENTO Y MONITOREO'!AH88)</f>
        <v/>
      </c>
      <c r="L88" s="628"/>
      <c r="M88" s="628"/>
      <c r="N88" s="631"/>
      <c r="O88" s="631"/>
    </row>
    <row r="89" spans="1:15" x14ac:dyDescent="0.2">
      <c r="A89" s="630"/>
      <c r="B89" s="591"/>
      <c r="C89" s="82" t="str">
        <f>'SEGUIMIENTO Y MONITOREO'!D89</f>
        <v/>
      </c>
      <c r="D89" s="82" t="str">
        <f>'SEGUIMIENTO Y MONITOREO'!E89</f>
        <v/>
      </c>
      <c r="E89" s="128" t="str">
        <f>'SEGUIMIENTO Y MONITOREO'!G89</f>
        <v/>
      </c>
      <c r="F89" s="128" t="str">
        <f>'SEGUIMIENTO Y MONITOREO'!H89</f>
        <v/>
      </c>
      <c r="G89" s="388" t="str">
        <f>IF('SEGUIMIENTO Y MONITOREO'!J89="NA","NA",'SEGUIMIENTO Y MONITOREO'!N89)</f>
        <v/>
      </c>
      <c r="H89" s="628"/>
      <c r="I89" s="388" t="str">
        <f>IF('SEGUIMIENTO Y MONITOREO'!T89="NA","NA",'SEGUIMIENTO Y MONITOREO'!X89)</f>
        <v/>
      </c>
      <c r="J89" s="628"/>
      <c r="K89" s="388" t="str">
        <f>IF('SEGUIMIENTO Y MONITOREO'!AD89="NA","NA",'SEGUIMIENTO Y MONITOREO'!AH89)</f>
        <v/>
      </c>
      <c r="L89" s="628"/>
      <c r="M89" s="628"/>
      <c r="N89" s="631"/>
      <c r="O89" s="631"/>
    </row>
    <row r="90" spans="1:15" ht="15.75" x14ac:dyDescent="0.25">
      <c r="A90" s="634" t="str">
        <f>'SEGUIMIENTO Y MONITOREO'!B200</f>
        <v>Cumplimiento Riesgos de GESTIÓN (Respecto a los plazos establecidos)</v>
      </c>
      <c r="B90" s="635"/>
      <c r="C90" s="635"/>
      <c r="D90" s="635"/>
      <c r="E90" s="635"/>
      <c r="F90" s="636"/>
      <c r="G90" s="637">
        <f>'SEGUIMIENTO Y MONITOREO'!J200</f>
        <v>0.17424749163879599</v>
      </c>
      <c r="H90" s="638"/>
      <c r="I90" s="637">
        <f>'SEGUIMIENTO Y MONITOREO'!T200</f>
        <v>0.40058372352285398</v>
      </c>
      <c r="J90" s="638"/>
      <c r="K90" s="637" t="str">
        <f>'SEGUIMIENTO Y MONITOREO'!AD200</f>
        <v/>
      </c>
      <c r="L90" s="638"/>
      <c r="M90" s="164">
        <f>'SEGUIMIENTO Y MONITOREO'!AW200</f>
        <v>0.40058372352285398</v>
      </c>
      <c r="N90" s="27"/>
      <c r="O90" s="27"/>
    </row>
    <row r="91" spans="1:15" ht="16.5" thickBot="1" x14ac:dyDescent="0.3">
      <c r="A91" s="632" t="str">
        <f>'SEGUIMIENTO Y MONITOREO'!B201</f>
        <v xml:space="preserve">% Avance Riesgos de GESTIÓN </v>
      </c>
      <c r="B91" s="632"/>
      <c r="C91" s="632"/>
      <c r="D91" s="632"/>
      <c r="E91" s="632"/>
      <c r="F91" s="632"/>
      <c r="G91" s="633">
        <f>'SEGUIMIENTO Y MONITOREO'!J201</f>
        <v>0.17424749163879599</v>
      </c>
      <c r="H91" s="633"/>
      <c r="I91" s="633">
        <f>'SEGUIMIENTO Y MONITOREO'!T201</f>
        <v>0.40058372352285398</v>
      </c>
      <c r="J91" s="633"/>
      <c r="K91" s="633" t="str">
        <f>'SEGUIMIENTO Y MONITOREO'!AD201</f>
        <v/>
      </c>
      <c r="L91" s="633"/>
      <c r="M91" s="167">
        <f>'SEGUIMIENTO Y MONITOREO'!AW201</f>
        <v>0.40058372352285398</v>
      </c>
      <c r="N91" s="27"/>
      <c r="O91" s="27"/>
    </row>
    <row r="92" spans="1:15" ht="15.75" thickTop="1" x14ac:dyDescent="0.2"/>
  </sheetData>
  <sheetProtection formatCells="0" formatRows="0" selectLockedCells="1"/>
  <mergeCells count="213">
    <mergeCell ref="N87:O89"/>
    <mergeCell ref="A87:A89"/>
    <mergeCell ref="B87:B89"/>
    <mergeCell ref="H87:H89"/>
    <mergeCell ref="J87:J89"/>
    <mergeCell ref="L87:L89"/>
    <mergeCell ref="M81:M83"/>
    <mergeCell ref="N81:O83"/>
    <mergeCell ref="A84:A86"/>
    <mergeCell ref="B84:B86"/>
    <mergeCell ref="H84:H86"/>
    <mergeCell ref="J84:J86"/>
    <mergeCell ref="L84:L86"/>
    <mergeCell ref="M84:M86"/>
    <mergeCell ref="N84:O86"/>
    <mergeCell ref="A81:A83"/>
    <mergeCell ref="B81:B83"/>
    <mergeCell ref="H81:H83"/>
    <mergeCell ref="J81:J83"/>
    <mergeCell ref="L81:L83"/>
    <mergeCell ref="N75:O77"/>
    <mergeCell ref="A78:A80"/>
    <mergeCell ref="B78:B80"/>
    <mergeCell ref="H78:H80"/>
    <mergeCell ref="J78:J80"/>
    <mergeCell ref="L78:L80"/>
    <mergeCell ref="M78:M80"/>
    <mergeCell ref="N78:O80"/>
    <mergeCell ref="A75:A77"/>
    <mergeCell ref="B75:B77"/>
    <mergeCell ref="H75:H77"/>
    <mergeCell ref="J75:J77"/>
    <mergeCell ref="L75:L77"/>
    <mergeCell ref="N69:O71"/>
    <mergeCell ref="A72:A74"/>
    <mergeCell ref="B72:B74"/>
    <mergeCell ref="H72:H74"/>
    <mergeCell ref="J72:J74"/>
    <mergeCell ref="L72:L74"/>
    <mergeCell ref="M72:M74"/>
    <mergeCell ref="N72:O74"/>
    <mergeCell ref="A69:A71"/>
    <mergeCell ref="B69:B71"/>
    <mergeCell ref="H69:H71"/>
    <mergeCell ref="J69:J71"/>
    <mergeCell ref="L69:L71"/>
    <mergeCell ref="N63:O65"/>
    <mergeCell ref="A66:A68"/>
    <mergeCell ref="B66:B68"/>
    <mergeCell ref="H66:H68"/>
    <mergeCell ref="J66:J68"/>
    <mergeCell ref="L66:L68"/>
    <mergeCell ref="M66:M68"/>
    <mergeCell ref="N66:O68"/>
    <mergeCell ref="A63:A65"/>
    <mergeCell ref="B63:B65"/>
    <mergeCell ref="H63:H65"/>
    <mergeCell ref="J63:J65"/>
    <mergeCell ref="L63:L65"/>
    <mergeCell ref="N57:O59"/>
    <mergeCell ref="A60:A62"/>
    <mergeCell ref="B60:B62"/>
    <mergeCell ref="H60:H62"/>
    <mergeCell ref="J60:J62"/>
    <mergeCell ref="L60:L62"/>
    <mergeCell ref="M60:M62"/>
    <mergeCell ref="N60:O62"/>
    <mergeCell ref="A57:A59"/>
    <mergeCell ref="B57:B59"/>
    <mergeCell ref="H57:H59"/>
    <mergeCell ref="J57:J59"/>
    <mergeCell ref="L57:L59"/>
    <mergeCell ref="N51:O53"/>
    <mergeCell ref="A54:A56"/>
    <mergeCell ref="B54:B56"/>
    <mergeCell ref="H54:H56"/>
    <mergeCell ref="J54:J56"/>
    <mergeCell ref="L54:L56"/>
    <mergeCell ref="M54:M56"/>
    <mergeCell ref="N54:O56"/>
    <mergeCell ref="A51:A53"/>
    <mergeCell ref="B51:B53"/>
    <mergeCell ref="H51:H53"/>
    <mergeCell ref="J51:J53"/>
    <mergeCell ref="L51:L53"/>
    <mergeCell ref="N45:O47"/>
    <mergeCell ref="A48:A50"/>
    <mergeCell ref="B48:B50"/>
    <mergeCell ref="H48:H50"/>
    <mergeCell ref="J48:J50"/>
    <mergeCell ref="L48:L50"/>
    <mergeCell ref="M48:M50"/>
    <mergeCell ref="N48:O50"/>
    <mergeCell ref="A45:A47"/>
    <mergeCell ref="B45:B47"/>
    <mergeCell ref="H45:H47"/>
    <mergeCell ref="J45:J47"/>
    <mergeCell ref="L45:L47"/>
    <mergeCell ref="N39:O41"/>
    <mergeCell ref="A42:A44"/>
    <mergeCell ref="B42:B44"/>
    <mergeCell ref="H42:H44"/>
    <mergeCell ref="J42:J44"/>
    <mergeCell ref="L42:L44"/>
    <mergeCell ref="M42:M44"/>
    <mergeCell ref="N42:O44"/>
    <mergeCell ref="A39:A41"/>
    <mergeCell ref="B39:B41"/>
    <mergeCell ref="H39:H41"/>
    <mergeCell ref="J39:J41"/>
    <mergeCell ref="L39:L41"/>
    <mergeCell ref="A91:F91"/>
    <mergeCell ref="G91:H91"/>
    <mergeCell ref="I91:J91"/>
    <mergeCell ref="K91:L91"/>
    <mergeCell ref="A90:F90"/>
    <mergeCell ref="G90:H90"/>
    <mergeCell ref="I90:J90"/>
    <mergeCell ref="K90:L90"/>
    <mergeCell ref="M36:M38"/>
    <mergeCell ref="M39:M41"/>
    <mergeCell ref="M45:M47"/>
    <mergeCell ref="M51:M53"/>
    <mergeCell ref="M57:M59"/>
    <mergeCell ref="M63:M65"/>
    <mergeCell ref="M69:M71"/>
    <mergeCell ref="M75:M77"/>
    <mergeCell ref="M87:M89"/>
    <mergeCell ref="N36:O38"/>
    <mergeCell ref="A36:A38"/>
    <mergeCell ref="B36:B38"/>
    <mergeCell ref="H36:H38"/>
    <mergeCell ref="J36:J38"/>
    <mergeCell ref="L36:L38"/>
    <mergeCell ref="M30:M32"/>
    <mergeCell ref="N30:O32"/>
    <mergeCell ref="A33:A35"/>
    <mergeCell ref="B33:B35"/>
    <mergeCell ref="H33:H35"/>
    <mergeCell ref="J33:J35"/>
    <mergeCell ref="L33:L35"/>
    <mergeCell ref="M33:M35"/>
    <mergeCell ref="N33:O35"/>
    <mergeCell ref="A30:A32"/>
    <mergeCell ref="B30:B32"/>
    <mergeCell ref="H30:H32"/>
    <mergeCell ref="J30:J32"/>
    <mergeCell ref="L30:L32"/>
    <mergeCell ref="M24:M26"/>
    <mergeCell ref="N24:O26"/>
    <mergeCell ref="A27:A29"/>
    <mergeCell ref="B27:B29"/>
    <mergeCell ref="H27:H29"/>
    <mergeCell ref="J27:J29"/>
    <mergeCell ref="L27:L29"/>
    <mergeCell ref="M27:M29"/>
    <mergeCell ref="N27:O29"/>
    <mergeCell ref="A24:A26"/>
    <mergeCell ref="B24:B26"/>
    <mergeCell ref="H24:H26"/>
    <mergeCell ref="J24:J26"/>
    <mergeCell ref="L24:L26"/>
    <mergeCell ref="M18:M20"/>
    <mergeCell ref="N18:O20"/>
    <mergeCell ref="A21:A23"/>
    <mergeCell ref="B21:B23"/>
    <mergeCell ref="H21:H23"/>
    <mergeCell ref="J21:J23"/>
    <mergeCell ref="L21:L23"/>
    <mergeCell ref="M21:M23"/>
    <mergeCell ref="N21:O23"/>
    <mergeCell ref="A18:A20"/>
    <mergeCell ref="B18:B20"/>
    <mergeCell ref="H18:H20"/>
    <mergeCell ref="J18:J20"/>
    <mergeCell ref="L18:L20"/>
    <mergeCell ref="M12:M14"/>
    <mergeCell ref="N12:O14"/>
    <mergeCell ref="A15:A17"/>
    <mergeCell ref="B15:B17"/>
    <mergeCell ref="H15:H17"/>
    <mergeCell ref="J15:J17"/>
    <mergeCell ref="L15:L17"/>
    <mergeCell ref="M15:M17"/>
    <mergeCell ref="N15:O17"/>
    <mergeCell ref="A12:A14"/>
    <mergeCell ref="B12:B14"/>
    <mergeCell ref="H12:H14"/>
    <mergeCell ref="J12:J14"/>
    <mergeCell ref="L12:L14"/>
    <mergeCell ref="G8:H8"/>
    <mergeCell ref="I8:J8"/>
    <mergeCell ref="K8:L8"/>
    <mergeCell ref="N8:O8"/>
    <mergeCell ref="H9:H11"/>
    <mergeCell ref="N9:O11"/>
    <mergeCell ref="A9:A11"/>
    <mergeCell ref="B9:B11"/>
    <mergeCell ref="J9:J11"/>
    <mergeCell ref="L9:L11"/>
    <mergeCell ref="M9:M11"/>
    <mergeCell ref="A5:O5"/>
    <mergeCell ref="G7:M7"/>
    <mergeCell ref="A1:B3"/>
    <mergeCell ref="C1:M3"/>
    <mergeCell ref="N1:O1"/>
    <mergeCell ref="N2:O2"/>
    <mergeCell ref="N3:O3"/>
    <mergeCell ref="A6:B6"/>
    <mergeCell ref="A7:B7"/>
    <mergeCell ref="C7:F7"/>
    <mergeCell ref="M6:N6"/>
    <mergeCell ref="C6:K6"/>
  </mergeCells>
  <conditionalFormatting sqref="O7">
    <cfRule type="containsText" dxfId="229" priority="16" operator="containsText" text="Sin Seguimientos">
      <formula>NOT(ISERROR(SEARCH("Sin Seguimientos",O7)))</formula>
    </cfRule>
  </conditionalFormatting>
  <conditionalFormatting sqref="G9:G89">
    <cfRule type="containsText" dxfId="228" priority="7" operator="containsText" text="NA">
      <formula>NOT(ISERROR(SEARCH("NA",G9)))</formula>
    </cfRule>
  </conditionalFormatting>
  <conditionalFormatting sqref="I9:I89">
    <cfRule type="containsText" dxfId="227" priority="4" operator="containsText" text="NA">
      <formula>NOT(ISERROR(SEARCH("NA",I9)))</formula>
    </cfRule>
  </conditionalFormatting>
  <conditionalFormatting sqref="K9:K89">
    <cfRule type="containsText" dxfId="226" priority="1" operator="containsText" text="NA">
      <formula>NOT(ISERROR(SEARCH("NA",K9)))</formula>
    </cfRule>
  </conditionalFormatting>
  <dataValidations count="1">
    <dataValidation operator="equal" allowBlank="1" showInputMessage="1" showErrorMessage="1" sqref="G9:H9 G15:H15 G10:G11 G18:H18 G21:H21 G24:H24 G27:H27 G30:H30 G33:H33 G36:H36 G13:G14 G12:H12 G16:G17 G19:G20 G22:G23 G25:G26 G28:G29 G31:G32 G34:G35 G37:G38 G39:H39 G42:H42 G45:H45 G48:H48 G51:H51 G54:H54 G57:H57 G60:H60 G63:H63 G66:H66 G69:H69 G72:H72 G75:H75 G78:H78 G81:H81 G84:H84 G87:H87 G40:G41 G43:G44 G46:G47 G49:G50 G52:G53 G55:G56 G58:G59 G61:G62 G64:G65 G67:G68 G70:G71 G73:G74 G76:G77 G79:G80 G82:G83 G85:G86 G88:G89"/>
  </dataValidations>
  <pageMargins left="0.7" right="0.7" top="0.75" bottom="0.75" header="0.3" footer="0.3"/>
  <pageSetup scale="4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32" operator="notEqual" id="{B5F44CF5-A958-4B0F-B213-2256D66C2287}">
            <xm:f>VALORACIÓN!$D$10</xm:f>
            <x14:dxf>
              <font>
                <color auto="1"/>
              </font>
              <fill>
                <patternFill patternType="lightGrid">
                  <fgColor theme="0" tint="-4.9989318521683403E-2"/>
                  <bgColor theme="0"/>
                </patternFill>
              </fill>
            </x14:dxf>
          </x14:cfRule>
          <x14:cfRule type="cellIs" priority="33" operator="equal" id="{4B256607-C3B9-4CFD-BAE4-1D03ADBFD308}">
            <xm:f>VALORACIÓN!$D$10</xm:f>
            <x14:dxf>
              <fill>
                <patternFill patternType="lightGrid">
                  <fgColor theme="0" tint="-4.9989318521683403E-2"/>
                </patternFill>
              </fill>
            </x14:dxf>
          </x14:cfRule>
          <xm:sqref>G9:H9 H12 H15 H18 H21 H24 H27 H30 H33 H36 H39 H42 H45 H48 H51 H54 H57 H60 H63 H66 H69 H72 H75 H78 H81 H84 H87 G10:G89</xm:sqref>
        </x14:conditionalFormatting>
        <x14:conditionalFormatting xmlns:xm="http://schemas.microsoft.com/office/excel/2006/main">
          <x14:cfRule type="cellIs" priority="27" operator="notEqual" id="{BCA5FCAB-1720-41DE-A1FF-489DD0CD564A}">
            <xm:f>VALORACIÓN!$D$10</xm:f>
            <x14:dxf>
              <font>
                <color auto="1"/>
              </font>
              <fill>
                <patternFill patternType="lightGrid">
                  <fgColor theme="0" tint="-4.9989318521683403E-2"/>
                  <bgColor theme="0"/>
                </patternFill>
              </fill>
            </x14:dxf>
          </x14:cfRule>
          <x14:cfRule type="cellIs" priority="28" operator="equal" id="{F60E93D4-3644-4BEB-A0BD-46648AA78F3E}">
            <xm:f>VALORACIÓN!$D$10</xm:f>
            <x14:dxf>
              <fill>
                <patternFill patternType="lightGrid">
                  <fgColor theme="0" tint="-4.9989318521683403E-2"/>
                </patternFill>
              </fill>
            </x14:dxf>
          </x14:cfRule>
          <xm:sqref>J9 J12 J15 J18 J21 J24 J27 J30 J33 J36 L12 L9 L36 L33 L30 L27 L24 L21 L18 L15 J39 J42 J45 J48 J51 J54 J57 J60 J63 J66 J69 J72 J75 J78 J81 J84 J87 L39 L42 L45 L48 L51 L54 L57 L60 L63 L66 L69 L72 L75 L78 L81 L84 L87</xm:sqref>
        </x14:conditionalFormatting>
        <x14:conditionalFormatting xmlns:xm="http://schemas.microsoft.com/office/excel/2006/main">
          <x14:cfRule type="cellIs" priority="21" operator="notEqual" id="{04954CD5-8EE6-4580-B927-7B0E0727F1A3}">
            <xm:f>VALORACIÓN!$D$10</xm:f>
            <x14:dxf>
              <font>
                <color auto="1"/>
              </font>
              <fill>
                <patternFill patternType="lightGrid">
                  <fgColor theme="0" tint="-4.9989318521683403E-2"/>
                  <bgColor theme="0"/>
                </patternFill>
              </fill>
            </x14:dxf>
          </x14:cfRule>
          <x14:cfRule type="cellIs" priority="22" operator="equal" id="{63CBBFFF-ECDE-4FAD-B5BD-DB2E9B0F2275}">
            <xm:f>VALORACIÓN!$D$10</xm:f>
            <x14:dxf>
              <fill>
                <patternFill patternType="lightGrid">
                  <fgColor theme="0" tint="-4.9989318521683403E-2"/>
                </patternFill>
              </fill>
            </x14:dxf>
          </x14:cfRule>
          <xm:sqref>M9 M12 M15 M18 M21 M24 M27 M30 M33 M36 M39 M42 M45 M48 M51 M54 M57 M60 M63 M66 M69 M72 M75 M78 M81 M84 M87</xm:sqref>
        </x14:conditionalFormatting>
        <x14:conditionalFormatting xmlns:xm="http://schemas.microsoft.com/office/excel/2006/main">
          <x14:cfRule type="cellIs" priority="17" operator="notEqual" id="{71B10A35-B30C-4F76-BE7B-A3971416EDD5}">
            <xm:f>VALORACIÓN!$D$10</xm:f>
            <x14:dxf>
              <font>
                <color auto="1"/>
              </font>
              <fill>
                <patternFill patternType="lightGrid">
                  <fgColor theme="0" tint="-4.9989318521683403E-2"/>
                  <bgColor theme="0"/>
                </patternFill>
              </fill>
            </x14:dxf>
          </x14:cfRule>
          <x14:cfRule type="cellIs" priority="18" operator="equal" id="{5F65D902-F965-4DF7-A7D0-9545CD9A646A}">
            <xm:f>VALORACIÓN!$D$10</xm:f>
            <x14:dxf>
              <fill>
                <patternFill patternType="lightGrid">
                  <fgColor theme="0" tint="-4.9989318521683403E-2"/>
                </patternFill>
              </fill>
            </x14:dxf>
          </x14:cfRule>
          <xm:sqref>N12 N9 N15 N18 N21 N24 N27 N30 N33 N36 N39 N42 N45 N48 N51 N54 N57 N60 N63 N66 N69 N72 N75 N78 N81 N84 N87</xm:sqref>
        </x14:conditionalFormatting>
        <x14:conditionalFormatting xmlns:xm="http://schemas.microsoft.com/office/excel/2006/main">
          <x14:cfRule type="cellIs" priority="14" operator="notEqual" id="{566B9EA9-6CD7-4464-95C3-F7EAA2525693}">
            <xm:f>VALORACIÓN!$D$10</xm:f>
            <x14:dxf>
              <font>
                <color auto="1"/>
              </font>
              <fill>
                <patternFill patternType="lightGrid">
                  <fgColor theme="0" tint="-4.9989318521683403E-2"/>
                  <bgColor theme="0"/>
                </patternFill>
              </fill>
            </x14:dxf>
          </x14:cfRule>
          <x14:cfRule type="cellIs" priority="15" operator="equal" id="{3BDC622E-5DDD-4ED5-A6DB-B71BB62E6B8C}">
            <xm:f>VALORACIÓN!$D$10</xm:f>
            <x14:dxf>
              <fill>
                <patternFill patternType="lightGrid">
                  <fgColor theme="0" tint="-4.9989318521683403E-2"/>
                </patternFill>
              </fill>
            </x14:dxf>
          </x14:cfRule>
          <xm:sqref>M90:M91</xm:sqref>
        </x14:conditionalFormatting>
        <x14:conditionalFormatting xmlns:xm="http://schemas.microsoft.com/office/excel/2006/main">
          <x14:cfRule type="cellIs" priority="12" operator="notEqual" id="{0270A219-A1AE-4CF0-A66C-22D97F4BEC64}">
            <xm:f>VALORACIÓN!$D$10</xm:f>
            <x14:dxf>
              <font>
                <color auto="1"/>
              </font>
              <fill>
                <patternFill patternType="lightGrid">
                  <fgColor theme="0" tint="-4.9989318521683403E-2"/>
                  <bgColor theme="0"/>
                </patternFill>
              </fill>
            </x14:dxf>
          </x14:cfRule>
          <x14:cfRule type="cellIs" priority="13" operator="equal" id="{884C2194-962F-4A13-8E37-C7AD9A3CACAD}">
            <xm:f>VALORACIÓN!$D$10</xm:f>
            <x14:dxf>
              <fill>
                <patternFill patternType="lightGrid">
                  <fgColor theme="0" tint="-4.9989318521683403E-2"/>
                </patternFill>
              </fill>
            </x14:dxf>
          </x14:cfRule>
          <xm:sqref>G90:G91</xm:sqref>
        </x14:conditionalFormatting>
        <x14:conditionalFormatting xmlns:xm="http://schemas.microsoft.com/office/excel/2006/main">
          <x14:cfRule type="cellIs" priority="10" operator="notEqual" id="{422099BE-4E8C-4BB2-BC05-34A7880CFE79}">
            <xm:f>VALORACIÓN!$D$10</xm:f>
            <x14:dxf>
              <font>
                <color auto="1"/>
              </font>
              <fill>
                <patternFill patternType="lightGrid">
                  <fgColor theme="0" tint="-4.9989318521683403E-2"/>
                  <bgColor theme="0"/>
                </patternFill>
              </fill>
            </x14:dxf>
          </x14:cfRule>
          <x14:cfRule type="cellIs" priority="11" operator="equal" id="{D883A869-A669-46E3-8687-8ED3C1DD725E}">
            <xm:f>VALORACIÓN!$D$10</xm:f>
            <x14:dxf>
              <fill>
                <patternFill patternType="lightGrid">
                  <fgColor theme="0" tint="-4.9989318521683403E-2"/>
                </patternFill>
              </fill>
            </x14:dxf>
          </x14:cfRule>
          <xm:sqref>I90:I91</xm:sqref>
        </x14:conditionalFormatting>
        <x14:conditionalFormatting xmlns:xm="http://schemas.microsoft.com/office/excel/2006/main">
          <x14:cfRule type="cellIs" priority="8" operator="notEqual" id="{CBFC31B2-9513-4E02-A6D8-BF22EA4BFBF8}">
            <xm:f>VALORACIÓN!$D$10</xm:f>
            <x14:dxf>
              <font>
                <color auto="1"/>
              </font>
              <fill>
                <patternFill patternType="lightGrid">
                  <fgColor theme="0" tint="-4.9989318521683403E-2"/>
                  <bgColor theme="0"/>
                </patternFill>
              </fill>
            </x14:dxf>
          </x14:cfRule>
          <x14:cfRule type="cellIs" priority="9" operator="equal" id="{22CE3422-A909-4FC7-9708-F19C83165A2A}">
            <xm:f>VALORACIÓN!$D$10</xm:f>
            <x14:dxf>
              <fill>
                <patternFill patternType="lightGrid">
                  <fgColor theme="0" tint="-4.9989318521683403E-2"/>
                </patternFill>
              </fill>
            </x14:dxf>
          </x14:cfRule>
          <xm:sqref>K90:K91</xm:sqref>
        </x14:conditionalFormatting>
        <x14:conditionalFormatting xmlns:xm="http://schemas.microsoft.com/office/excel/2006/main">
          <x14:cfRule type="cellIs" priority="5" operator="notEqual" id="{89D0E586-8975-49E6-BDC0-5A5A1850215C}">
            <xm:f>VALORACIÓN!$D$10</xm:f>
            <x14:dxf>
              <font>
                <color auto="1"/>
              </font>
              <fill>
                <patternFill patternType="lightGrid">
                  <fgColor theme="0" tint="-4.9989318521683403E-2"/>
                  <bgColor theme="0"/>
                </patternFill>
              </fill>
            </x14:dxf>
          </x14:cfRule>
          <x14:cfRule type="cellIs" priority="6" operator="equal" id="{FB81DE55-D7F6-47B1-96B2-12CD474778E7}">
            <xm:f>VALORACIÓN!$D$10</xm:f>
            <x14:dxf>
              <fill>
                <patternFill patternType="lightGrid">
                  <fgColor theme="0" tint="-4.9989318521683403E-2"/>
                </patternFill>
              </fill>
            </x14:dxf>
          </x14:cfRule>
          <xm:sqref>I9:I89</xm:sqref>
        </x14:conditionalFormatting>
        <x14:conditionalFormatting xmlns:xm="http://schemas.microsoft.com/office/excel/2006/main">
          <x14:cfRule type="cellIs" priority="2" operator="notEqual" id="{E467AF44-4A7F-48F9-A72E-3FFFB8B55117}">
            <xm:f>VALORACIÓN!$D$10</xm:f>
            <x14:dxf>
              <font>
                <color auto="1"/>
              </font>
              <fill>
                <patternFill patternType="lightGrid">
                  <fgColor theme="0" tint="-4.9989318521683403E-2"/>
                  <bgColor theme="0"/>
                </patternFill>
              </fill>
            </x14:dxf>
          </x14:cfRule>
          <x14:cfRule type="cellIs" priority="3" operator="equal" id="{1EC14157-D701-471D-9CFE-A7BD98F8B27D}">
            <xm:f>VALORACIÓN!$D$10</xm:f>
            <x14:dxf>
              <fill>
                <patternFill patternType="lightGrid">
                  <fgColor theme="0" tint="-4.9989318521683403E-2"/>
                </patternFill>
              </fill>
            </x14:dxf>
          </x14:cfRule>
          <xm:sqref>K9:K89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O113"/>
  <sheetViews>
    <sheetView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M6" sqref="M6:N6"/>
    </sheetView>
  </sheetViews>
  <sheetFormatPr baseColWidth="10" defaultRowHeight="15" x14ac:dyDescent="0.2"/>
  <cols>
    <col min="1" max="1" width="3.88671875" customWidth="1"/>
    <col min="2" max="2" width="14.44140625" customWidth="1"/>
    <col min="3" max="3" width="17.21875" customWidth="1"/>
    <col min="4" max="4" width="11.5546875" customWidth="1"/>
    <col min="5" max="6" width="8.109375" customWidth="1"/>
    <col min="7" max="12" width="6.5546875" style="96" customWidth="1"/>
    <col min="13" max="13" width="12" customWidth="1"/>
    <col min="14" max="14" width="16.5546875" customWidth="1"/>
    <col min="15" max="15" width="11.33203125" customWidth="1"/>
  </cols>
  <sheetData>
    <row r="1" spans="1:15" x14ac:dyDescent="0.2">
      <c r="A1" s="437" t="s">
        <v>145</v>
      </c>
      <c r="B1" s="437"/>
      <c r="C1" s="507" t="s">
        <v>152</v>
      </c>
      <c r="D1" s="507"/>
      <c r="E1" s="507"/>
      <c r="F1" s="507"/>
      <c r="G1" s="507"/>
      <c r="H1" s="507"/>
      <c r="I1" s="507"/>
      <c r="J1" s="507"/>
      <c r="K1" s="507"/>
      <c r="L1" s="507"/>
      <c r="M1" s="507"/>
      <c r="N1" s="521" t="s">
        <v>71</v>
      </c>
      <c r="O1" s="521"/>
    </row>
    <row r="2" spans="1:15" ht="21.75" customHeight="1" x14ac:dyDescent="0.2">
      <c r="A2" s="437"/>
      <c r="B2" s="437"/>
      <c r="C2" s="510"/>
      <c r="D2" s="510"/>
      <c r="E2" s="510"/>
      <c r="F2" s="510"/>
      <c r="G2" s="510"/>
      <c r="H2" s="510"/>
      <c r="I2" s="510"/>
      <c r="J2" s="510"/>
      <c r="K2" s="510"/>
      <c r="L2" s="510"/>
      <c r="M2" s="510"/>
      <c r="N2" s="521" t="s">
        <v>107</v>
      </c>
      <c r="O2" s="521"/>
    </row>
    <row r="3" spans="1:15" ht="23.25" customHeight="1" x14ac:dyDescent="0.2">
      <c r="A3" s="437"/>
      <c r="B3" s="437"/>
      <c r="C3" s="513"/>
      <c r="D3" s="513"/>
      <c r="E3" s="513"/>
      <c r="F3" s="513"/>
      <c r="G3" s="513"/>
      <c r="H3" s="513"/>
      <c r="I3" s="513"/>
      <c r="J3" s="513"/>
      <c r="K3" s="513"/>
      <c r="L3" s="513"/>
      <c r="M3" s="513"/>
      <c r="N3" s="521" t="s">
        <v>408</v>
      </c>
      <c r="O3" s="521"/>
    </row>
    <row r="4" spans="1:15" ht="3.75" customHeight="1" x14ac:dyDescent="0.2">
      <c r="A4" s="33"/>
      <c r="B4" s="34"/>
      <c r="C4" s="269"/>
      <c r="D4" s="269"/>
      <c r="E4" s="269"/>
      <c r="F4" s="269"/>
      <c r="G4" s="269"/>
      <c r="H4" s="269"/>
      <c r="I4" s="269"/>
      <c r="J4" s="269"/>
      <c r="K4" s="269"/>
      <c r="L4" s="268"/>
      <c r="M4" s="268"/>
      <c r="N4" s="49"/>
      <c r="O4" s="49"/>
    </row>
    <row r="5" spans="1:15" ht="15.75" x14ac:dyDescent="0.2">
      <c r="A5" s="439" t="s">
        <v>184</v>
      </c>
      <c r="B5" s="439"/>
      <c r="C5" s="439"/>
      <c r="D5" s="439"/>
      <c r="E5" s="439"/>
      <c r="F5" s="439"/>
      <c r="G5" s="439"/>
      <c r="H5" s="439"/>
      <c r="I5" s="439"/>
      <c r="J5" s="439"/>
      <c r="K5" s="439"/>
      <c r="L5" s="523"/>
      <c r="M5" s="523"/>
      <c r="N5" s="523"/>
      <c r="O5" s="523"/>
    </row>
    <row r="6" spans="1:15" ht="15.75" customHeight="1" x14ac:dyDescent="0.2">
      <c r="A6" s="489" t="str">
        <f>'CONTEXTO ESTRATEGICO'!A7</f>
        <v>INSTITUCIONAL</v>
      </c>
      <c r="B6" s="489"/>
      <c r="C6" s="490" t="str">
        <f>'SEGUIMIENTO Y MONITOREO'!C6</f>
        <v>Mapa de Riesgo Institucional</v>
      </c>
      <c r="D6" s="491"/>
      <c r="E6" s="491"/>
      <c r="F6" s="491"/>
      <c r="G6" s="491"/>
      <c r="H6" s="491"/>
      <c r="I6" s="491"/>
      <c r="J6" s="491"/>
      <c r="K6" s="491"/>
      <c r="L6" s="144"/>
      <c r="M6" s="599" t="str">
        <f>'SEGUIMIENTO Y MONITOREO'!E6</f>
        <v>Fecha de Actualización (AAAA/MM/DD)</v>
      </c>
      <c r="N6" s="600"/>
      <c r="O6" s="149">
        <f>'SEGUIMIENTO Y MONITOREO'!H6</f>
        <v>42443</v>
      </c>
    </row>
    <row r="7" spans="1:15" ht="25.5" customHeight="1" x14ac:dyDescent="0.2">
      <c r="A7" s="489" t="str">
        <f>'CONTEXTO ESTRATEGICO'!A8</f>
        <v>MISION</v>
      </c>
      <c r="B7" s="489"/>
      <c r="C7" s="490" t="str">
        <f>'SEGUIMIENTO Y MONITOREO'!C7</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2"/>
      <c r="G7" s="622" t="s">
        <v>371</v>
      </c>
      <c r="H7" s="623"/>
      <c r="I7" s="623"/>
      <c r="J7" s="623"/>
      <c r="K7" s="623"/>
      <c r="L7" s="623"/>
      <c r="M7" s="624"/>
      <c r="N7" s="129" t="s">
        <v>185</v>
      </c>
      <c r="O7" s="130">
        <f>'SEGUIMIENTO Y MONITOREO'!$AX$7</f>
        <v>42613</v>
      </c>
    </row>
    <row r="8" spans="1:15" ht="39" thickBot="1" x14ac:dyDescent="0.25">
      <c r="A8" s="270" t="s">
        <v>22</v>
      </c>
      <c r="B8" s="270" t="s">
        <v>28</v>
      </c>
      <c r="C8" s="80" t="s">
        <v>153</v>
      </c>
      <c r="D8" s="75" t="s">
        <v>159</v>
      </c>
      <c r="E8" s="75" t="s">
        <v>155</v>
      </c>
      <c r="F8" s="75" t="s">
        <v>156</v>
      </c>
      <c r="G8" s="625" t="s">
        <v>195</v>
      </c>
      <c r="H8" s="625"/>
      <c r="I8" s="625" t="s">
        <v>196</v>
      </c>
      <c r="J8" s="625"/>
      <c r="K8" s="625" t="s">
        <v>197</v>
      </c>
      <c r="L8" s="625"/>
      <c r="M8" s="146" t="s">
        <v>369</v>
      </c>
      <c r="N8" s="626" t="s">
        <v>200</v>
      </c>
      <c r="O8" s="627"/>
    </row>
    <row r="9" spans="1:15" ht="25.5" customHeight="1" thickTop="1" x14ac:dyDescent="0.2">
      <c r="A9" s="588" t="str">
        <f>'SEGUIMIENTO Y MONITOREO'!A95</f>
        <v>1C</v>
      </c>
      <c r="B9" s="591" t="str">
        <f>'SEGUIMIENTO Y MONITOREO'!B95</f>
        <v>Relaciones Interinstitucionales. Tráfico de Influencias</v>
      </c>
      <c r="C9" s="82" t="str">
        <f>'SEGUIMIENTO Y MONITOREO'!D95</f>
        <v xml:space="preserve">Asistencia a capacitaciones (transparencia, buen gobierno, etc) organizadas por Rectoría, Talento Humano y/o contratación. </v>
      </c>
      <c r="D9" s="82" t="str">
        <f>'SEGUIMIENTO Y MONITOREO'!E95</f>
        <v xml:space="preserve">Asistencia </v>
      </c>
      <c r="E9" s="128">
        <f>'SEGUIMIENTO Y MONITOREO'!G95</f>
        <v>42370</v>
      </c>
      <c r="F9" s="128">
        <f>'SEGUIMIENTO Y MONITOREO'!H95</f>
        <v>42490</v>
      </c>
      <c r="G9" s="314">
        <f>IF('SEGUIMIENTO Y MONITOREO'!J95="NA","NA",'SEGUIMIENTO Y MONITOREO'!N95)</f>
        <v>1</v>
      </c>
      <c r="H9" s="628">
        <f>'SEGUIMIENTO Y MONITOREO'!AR95</f>
        <v>1</v>
      </c>
      <c r="I9" s="314">
        <f>IF('SEGUIMIENTO Y MONITOREO'!T95="NA","NA",'SEGUIMIENTO Y MONITOREO'!X95)</f>
        <v>1</v>
      </c>
      <c r="J9" s="628">
        <f>'SEGUIMIENTO Y MONITOREO'!AS95</f>
        <v>1</v>
      </c>
      <c r="K9" s="314" t="str">
        <f>IF('SEGUIMIENTO Y MONITOREO'!AD95="NA","NA",'SEGUIMIENTO Y MONITOREO'!AH95)</f>
        <v/>
      </c>
      <c r="L9" s="628" t="str">
        <f>'SEGUIMIENTO Y MONITOREO'!AU95</f>
        <v/>
      </c>
      <c r="M9" s="628">
        <f>'SEGUIMIENTO Y MONITOREO'!AW95</f>
        <v>1</v>
      </c>
      <c r="N9" s="629" t="str">
        <f>IF(M9="","",CONCATENATE(IF('SEGUIMIENTO Y MONITOREO'!AX95=0,"",'SEGUIMIENTO Y MONITOREO'!AX95),Datos!$Y$4,IF('SEGUIMIENTO Y MONITOREO'!AX96=0,"",'SEGUIMIENTO Y MONITOREO'!AX96),Datos!$Y$4,IF('SEGUIMIENTO Y MONITOREO'!AX97=0,"",'SEGUIMIENTO Y MONITOREO'!AX97)))</f>
        <v xml:space="preserve">Se cumplio con la actividad definida tal como se informo en primer seguimiento
</v>
      </c>
      <c r="O9" s="629"/>
    </row>
    <row r="10" spans="1:15" x14ac:dyDescent="0.2">
      <c r="A10" s="589"/>
      <c r="B10" s="591"/>
      <c r="C10" s="82" t="str">
        <f>'SEGUIMIENTO Y MONITOREO'!D96</f>
        <v/>
      </c>
      <c r="D10" s="82" t="str">
        <f>'SEGUIMIENTO Y MONITOREO'!E96</f>
        <v/>
      </c>
      <c r="E10" s="128" t="str">
        <f>'SEGUIMIENTO Y MONITOREO'!G96</f>
        <v/>
      </c>
      <c r="F10" s="128" t="str">
        <f>'SEGUIMIENTO Y MONITOREO'!H96</f>
        <v/>
      </c>
      <c r="G10" s="314" t="str">
        <f>IF('SEGUIMIENTO Y MONITOREO'!J96="NA","NA",'SEGUIMIENTO Y MONITOREO'!N96)</f>
        <v/>
      </c>
      <c r="H10" s="628"/>
      <c r="I10" s="314" t="str">
        <f>IF('SEGUIMIENTO Y MONITOREO'!T96="NA","NA",'SEGUIMIENTO Y MONITOREO'!X96)</f>
        <v/>
      </c>
      <c r="J10" s="628"/>
      <c r="K10" s="314" t="str">
        <f>IF('SEGUIMIENTO Y MONITOREO'!AD96="NA","NA",'SEGUIMIENTO Y MONITOREO'!AH96)</f>
        <v/>
      </c>
      <c r="L10" s="628"/>
      <c r="M10" s="628"/>
      <c r="N10" s="629"/>
      <c r="O10" s="629"/>
    </row>
    <row r="11" spans="1:15" ht="15.75" thickBot="1" x14ac:dyDescent="0.25">
      <c r="A11" s="590"/>
      <c r="B11" s="591"/>
      <c r="C11" s="82" t="str">
        <f>'SEGUIMIENTO Y MONITOREO'!D97</f>
        <v/>
      </c>
      <c r="D11" s="82" t="str">
        <f>'SEGUIMIENTO Y MONITOREO'!E97</f>
        <v/>
      </c>
      <c r="E11" s="128" t="str">
        <f>'SEGUIMIENTO Y MONITOREO'!G97</f>
        <v/>
      </c>
      <c r="F11" s="128" t="str">
        <f>'SEGUIMIENTO Y MONITOREO'!H97</f>
        <v/>
      </c>
      <c r="G11" s="314" t="str">
        <f>IF('SEGUIMIENTO Y MONITOREO'!J97="NA","NA",'SEGUIMIENTO Y MONITOREO'!N97)</f>
        <v/>
      </c>
      <c r="H11" s="628"/>
      <c r="I11" s="314" t="str">
        <f>IF('SEGUIMIENTO Y MONITOREO'!T97="NA","NA",'SEGUIMIENTO Y MONITOREO'!X97)</f>
        <v/>
      </c>
      <c r="J11" s="628"/>
      <c r="K11" s="314" t="str">
        <f>IF('SEGUIMIENTO Y MONITOREO'!AD97="NA","NA",'SEGUIMIENTO Y MONITOREO'!AH97)</f>
        <v/>
      </c>
      <c r="L11" s="628"/>
      <c r="M11" s="628"/>
      <c r="N11" s="629"/>
      <c r="O11" s="629"/>
    </row>
    <row r="12" spans="1:15" ht="25.5" customHeight="1" thickTop="1" x14ac:dyDescent="0.2">
      <c r="A12" s="588" t="str">
        <f>'SEGUIMIENTO Y MONITOREO'!A98</f>
        <v>2C</v>
      </c>
      <c r="B12" s="591" t="str">
        <f>'SEGUIMIENTO Y MONITOREO'!B98</f>
        <v>Dirección y Planeación. Ausencia o debilidad de procesos y procedimientos para la gestión administrativa y misional</v>
      </c>
      <c r="C12" s="82" t="str">
        <f>'SEGUIMIENTO Y MONITOREO'!D98</f>
        <v>Seguir ejecutando y monitoreando los controles existentes</v>
      </c>
      <c r="D12" s="82" t="str">
        <f>'SEGUIMIENTO Y MONITOREO'!E98</f>
        <v/>
      </c>
      <c r="E12" s="128" t="str">
        <f>'SEGUIMIENTO Y MONITOREO'!G98</f>
        <v/>
      </c>
      <c r="F12" s="128" t="str">
        <f>'SEGUIMIENTO Y MONITOREO'!H98</f>
        <v/>
      </c>
      <c r="G12" s="314" t="str">
        <f>IF('SEGUIMIENTO Y MONITOREO'!J98="NA","NA",'SEGUIMIENTO Y MONITOREO'!N98)</f>
        <v>NA</v>
      </c>
      <c r="H12" s="628" t="str">
        <f>'SEGUIMIENTO Y MONITOREO'!AR98</f>
        <v>NA</v>
      </c>
      <c r="I12" s="314" t="str">
        <f>IF('SEGUIMIENTO Y MONITOREO'!T98="NA","NA",'SEGUIMIENTO Y MONITOREO'!X98)</f>
        <v>NA</v>
      </c>
      <c r="J12" s="628" t="str">
        <f>'SEGUIMIENTO Y MONITOREO'!AS98</f>
        <v>NA</v>
      </c>
      <c r="K12" s="314" t="str">
        <f>IF('SEGUIMIENTO Y MONITOREO'!AD98="NA","NA",'SEGUIMIENTO Y MONITOREO'!AH98)</f>
        <v/>
      </c>
      <c r="L12" s="628" t="str">
        <f>'SEGUIMIENTO Y MONITOREO'!AU98</f>
        <v/>
      </c>
      <c r="M12" s="628" t="str">
        <f>'SEGUIMIENTO Y MONITOREO'!AW98</f>
        <v>NA</v>
      </c>
      <c r="N12" s="629" t="str">
        <f>IF(M12="","",CONCATENATE(IF('SEGUIMIENTO Y MONITOREO'!AX98=0,"",'SEGUIMIENTO Y MONITOREO'!AX98),Datos!$Y$4,IF('SEGUIMIENTO Y MONITOREO'!AX99=0,"",'SEGUIMIENTO Y MONITOREO'!AX99),Datos!$Y$4,IF('SEGUIMIENTO Y MONITOREO'!AX100=0,"",'SEGUIMIENTO Y MONITOREO'!AX100)))</f>
        <v xml:space="preserve">
</v>
      </c>
      <c r="O12" s="629"/>
    </row>
    <row r="13" spans="1:15" x14ac:dyDescent="0.2">
      <c r="A13" s="589"/>
      <c r="B13" s="591"/>
      <c r="C13" s="82" t="str">
        <f>'SEGUIMIENTO Y MONITOREO'!D99</f>
        <v/>
      </c>
      <c r="D13" s="82" t="str">
        <f>'SEGUIMIENTO Y MONITOREO'!E99</f>
        <v/>
      </c>
      <c r="E13" s="128" t="str">
        <f>'SEGUIMIENTO Y MONITOREO'!G99</f>
        <v/>
      </c>
      <c r="F13" s="128" t="str">
        <f>'SEGUIMIENTO Y MONITOREO'!H99</f>
        <v/>
      </c>
      <c r="G13" s="314" t="str">
        <f>IF('SEGUIMIENTO Y MONITOREO'!J99="NA","NA",'SEGUIMIENTO Y MONITOREO'!N99)</f>
        <v/>
      </c>
      <c r="H13" s="628"/>
      <c r="I13" s="314" t="str">
        <f>IF('SEGUIMIENTO Y MONITOREO'!T99="NA","NA",'SEGUIMIENTO Y MONITOREO'!X99)</f>
        <v/>
      </c>
      <c r="J13" s="628"/>
      <c r="K13" s="314" t="str">
        <f>IF('SEGUIMIENTO Y MONITOREO'!AD99="NA","NA",'SEGUIMIENTO Y MONITOREO'!AH99)</f>
        <v/>
      </c>
      <c r="L13" s="628"/>
      <c r="M13" s="628"/>
      <c r="N13" s="629"/>
      <c r="O13" s="629"/>
    </row>
    <row r="14" spans="1:15" ht="15.75" thickBot="1" x14ac:dyDescent="0.25">
      <c r="A14" s="590"/>
      <c r="B14" s="591"/>
      <c r="C14" s="82" t="str">
        <f>'SEGUIMIENTO Y MONITOREO'!D100</f>
        <v/>
      </c>
      <c r="D14" s="82" t="str">
        <f>'SEGUIMIENTO Y MONITOREO'!E100</f>
        <v/>
      </c>
      <c r="E14" s="128" t="str">
        <f>'SEGUIMIENTO Y MONITOREO'!G100</f>
        <v/>
      </c>
      <c r="F14" s="128" t="str">
        <f>'SEGUIMIENTO Y MONITOREO'!H100</f>
        <v/>
      </c>
      <c r="G14" s="314" t="str">
        <f>IF('SEGUIMIENTO Y MONITOREO'!J100="NA","NA",'SEGUIMIENTO Y MONITOREO'!N100)</f>
        <v/>
      </c>
      <c r="H14" s="628"/>
      <c r="I14" s="314" t="str">
        <f>IF('SEGUIMIENTO Y MONITOREO'!T100="NA","NA",'SEGUIMIENTO Y MONITOREO'!X100)</f>
        <v/>
      </c>
      <c r="J14" s="628"/>
      <c r="K14" s="314" t="str">
        <f>IF('SEGUIMIENTO Y MONITOREO'!AD100="NA","NA",'SEGUIMIENTO Y MONITOREO'!AH100)</f>
        <v/>
      </c>
      <c r="L14" s="628"/>
      <c r="M14" s="628"/>
      <c r="N14" s="629"/>
      <c r="O14" s="629"/>
    </row>
    <row r="15" spans="1:15" ht="25.5" customHeight="1" thickTop="1" x14ac:dyDescent="0.2">
      <c r="A15" s="588" t="str">
        <f>'SEGUIMIENTO Y MONITOREO'!A101</f>
        <v>3C</v>
      </c>
      <c r="B15" s="591" t="str">
        <f>'SEGUIMIENTO Y MONITOREO'!B101</f>
        <v>Dirección y Planeación. Prevaricato</v>
      </c>
      <c r="C15" s="82" t="str">
        <f>'SEGUIMIENTO Y MONITOREO'!D101</f>
        <v>Seguir ejecutando y monitoreando los controles existentes</v>
      </c>
      <c r="D15" s="82" t="str">
        <f>'SEGUIMIENTO Y MONITOREO'!E101</f>
        <v/>
      </c>
      <c r="E15" s="128" t="str">
        <f>'SEGUIMIENTO Y MONITOREO'!G101</f>
        <v/>
      </c>
      <c r="F15" s="128" t="str">
        <f>'SEGUIMIENTO Y MONITOREO'!H101</f>
        <v/>
      </c>
      <c r="G15" s="314" t="str">
        <f>IF('SEGUIMIENTO Y MONITOREO'!J101="NA","NA",'SEGUIMIENTO Y MONITOREO'!N101)</f>
        <v>NA</v>
      </c>
      <c r="H15" s="628" t="str">
        <f>'SEGUIMIENTO Y MONITOREO'!AR101</f>
        <v>NA</v>
      </c>
      <c r="I15" s="314" t="str">
        <f>IF('SEGUIMIENTO Y MONITOREO'!T101="NA","NA",'SEGUIMIENTO Y MONITOREO'!X101)</f>
        <v>NA</v>
      </c>
      <c r="J15" s="628" t="str">
        <f>'SEGUIMIENTO Y MONITOREO'!AS101</f>
        <v>NA</v>
      </c>
      <c r="K15" s="314" t="str">
        <f>IF('SEGUIMIENTO Y MONITOREO'!AD101="NA","NA",'SEGUIMIENTO Y MONITOREO'!AH101)</f>
        <v/>
      </c>
      <c r="L15" s="628" t="str">
        <f>'SEGUIMIENTO Y MONITOREO'!AU101</f>
        <v/>
      </c>
      <c r="M15" s="628" t="str">
        <f>'SEGUIMIENTO Y MONITOREO'!AW101</f>
        <v>NA</v>
      </c>
      <c r="N15" s="629" t="str">
        <f>IF(M15="","",CONCATENATE(IF('SEGUIMIENTO Y MONITOREO'!AX101=0,"",'SEGUIMIENTO Y MONITOREO'!AX101),Datos!$Y$4,IF('SEGUIMIENTO Y MONITOREO'!AX102=0,"",'SEGUIMIENTO Y MONITOREO'!AX102),Datos!$Y$4,IF('SEGUIMIENTO Y MONITOREO'!AX103=0,"",'SEGUIMIENTO Y MONITOREO'!AX103)))</f>
        <v xml:space="preserve">
</v>
      </c>
      <c r="O15" s="629"/>
    </row>
    <row r="16" spans="1:15" x14ac:dyDescent="0.2">
      <c r="A16" s="589"/>
      <c r="B16" s="591"/>
      <c r="C16" s="82" t="str">
        <f>'SEGUIMIENTO Y MONITOREO'!D102</f>
        <v/>
      </c>
      <c r="D16" s="82" t="str">
        <f>'SEGUIMIENTO Y MONITOREO'!E102</f>
        <v/>
      </c>
      <c r="E16" s="128" t="str">
        <f>'SEGUIMIENTO Y MONITOREO'!G102</f>
        <v/>
      </c>
      <c r="F16" s="128" t="str">
        <f>'SEGUIMIENTO Y MONITOREO'!H102</f>
        <v/>
      </c>
      <c r="G16" s="314" t="str">
        <f>IF('SEGUIMIENTO Y MONITOREO'!J102="NA","NA",'SEGUIMIENTO Y MONITOREO'!N102)</f>
        <v/>
      </c>
      <c r="H16" s="628"/>
      <c r="I16" s="314" t="str">
        <f>IF('SEGUIMIENTO Y MONITOREO'!T102="NA","NA",'SEGUIMIENTO Y MONITOREO'!X102)</f>
        <v/>
      </c>
      <c r="J16" s="628"/>
      <c r="K16" s="314" t="str">
        <f>IF('SEGUIMIENTO Y MONITOREO'!AD102="NA","NA",'SEGUIMIENTO Y MONITOREO'!AH102)</f>
        <v/>
      </c>
      <c r="L16" s="628"/>
      <c r="M16" s="628"/>
      <c r="N16" s="629"/>
      <c r="O16" s="629"/>
    </row>
    <row r="17" spans="1:15" ht="15.75" thickBot="1" x14ac:dyDescent="0.25">
      <c r="A17" s="590"/>
      <c r="B17" s="591"/>
      <c r="C17" s="82" t="str">
        <f>'SEGUIMIENTO Y MONITOREO'!D103</f>
        <v/>
      </c>
      <c r="D17" s="82" t="str">
        <f>'SEGUIMIENTO Y MONITOREO'!E103</f>
        <v/>
      </c>
      <c r="E17" s="128" t="str">
        <f>'SEGUIMIENTO Y MONITOREO'!G103</f>
        <v/>
      </c>
      <c r="F17" s="128" t="str">
        <f>'SEGUIMIENTO Y MONITOREO'!H103</f>
        <v/>
      </c>
      <c r="G17" s="314" t="str">
        <f>IF('SEGUIMIENTO Y MONITOREO'!J103="NA","NA",'SEGUIMIENTO Y MONITOREO'!N103)</f>
        <v/>
      </c>
      <c r="H17" s="628"/>
      <c r="I17" s="314" t="str">
        <f>IF('SEGUIMIENTO Y MONITOREO'!T103="NA","NA",'SEGUIMIENTO Y MONITOREO'!X103)</f>
        <v/>
      </c>
      <c r="J17" s="628"/>
      <c r="K17" s="314" t="str">
        <f>IF('SEGUIMIENTO Y MONITOREO'!AD103="NA","NA",'SEGUIMIENTO Y MONITOREO'!AH103)</f>
        <v/>
      </c>
      <c r="L17" s="628"/>
      <c r="M17" s="628"/>
      <c r="N17" s="629"/>
      <c r="O17" s="629"/>
    </row>
    <row r="18" spans="1:15" ht="25.5" customHeight="1" thickTop="1" x14ac:dyDescent="0.2">
      <c r="A18" s="588" t="str">
        <f>'SEGUIMIENTO Y MONITOREO'!A104</f>
        <v>4C</v>
      </c>
      <c r="B18" s="591" t="str">
        <f>'SEGUIMIENTO Y MONITOREO'!B104</f>
        <v>Dirección y Planeación. Malversación de Recursos</v>
      </c>
      <c r="C18" s="82" t="str">
        <f>'SEGUIMIENTO Y MONITOREO'!D104</f>
        <v>Seguir ejecutando y monitoreando los controles existentes</v>
      </c>
      <c r="D18" s="82" t="str">
        <f>'SEGUIMIENTO Y MONITOREO'!E104</f>
        <v/>
      </c>
      <c r="E18" s="128" t="str">
        <f>'SEGUIMIENTO Y MONITOREO'!G104</f>
        <v/>
      </c>
      <c r="F18" s="128" t="str">
        <f>'SEGUIMIENTO Y MONITOREO'!H104</f>
        <v/>
      </c>
      <c r="G18" s="314" t="str">
        <f>IF('SEGUIMIENTO Y MONITOREO'!J104="NA","NA",'SEGUIMIENTO Y MONITOREO'!N104)</f>
        <v>NA</v>
      </c>
      <c r="H18" s="628" t="str">
        <f>'SEGUIMIENTO Y MONITOREO'!AR104</f>
        <v>NA</v>
      </c>
      <c r="I18" s="314" t="str">
        <f>IF('SEGUIMIENTO Y MONITOREO'!T104="NA","NA",'SEGUIMIENTO Y MONITOREO'!X104)</f>
        <v>NA</v>
      </c>
      <c r="J18" s="628" t="str">
        <f>'SEGUIMIENTO Y MONITOREO'!AS104</f>
        <v>NA</v>
      </c>
      <c r="K18" s="314" t="str">
        <f>IF('SEGUIMIENTO Y MONITOREO'!AD104="NA","NA",'SEGUIMIENTO Y MONITOREO'!AH104)</f>
        <v/>
      </c>
      <c r="L18" s="628" t="str">
        <f>'SEGUIMIENTO Y MONITOREO'!AU104</f>
        <v/>
      </c>
      <c r="M18" s="628" t="str">
        <f>'SEGUIMIENTO Y MONITOREO'!AW104</f>
        <v>NA</v>
      </c>
      <c r="N18" s="629" t="str">
        <f>IF(M18="","",CONCATENATE(IF('SEGUIMIENTO Y MONITOREO'!AX104=0,"",'SEGUIMIENTO Y MONITOREO'!AX104),Datos!$Y$4,IF('SEGUIMIENTO Y MONITOREO'!AX105=0,"",'SEGUIMIENTO Y MONITOREO'!AX105),Datos!$Y$4,IF('SEGUIMIENTO Y MONITOREO'!AX106=0,"",'SEGUIMIENTO Y MONITOREO'!AX106)))</f>
        <v xml:space="preserve">
</v>
      </c>
      <c r="O18" s="629"/>
    </row>
    <row r="19" spans="1:15" x14ac:dyDescent="0.2">
      <c r="A19" s="589"/>
      <c r="B19" s="591"/>
      <c r="C19" s="82" t="str">
        <f>'SEGUIMIENTO Y MONITOREO'!D105</f>
        <v/>
      </c>
      <c r="D19" s="82" t="str">
        <f>'SEGUIMIENTO Y MONITOREO'!E105</f>
        <v/>
      </c>
      <c r="E19" s="128" t="str">
        <f>'SEGUIMIENTO Y MONITOREO'!G105</f>
        <v/>
      </c>
      <c r="F19" s="128" t="str">
        <f>'SEGUIMIENTO Y MONITOREO'!H105</f>
        <v/>
      </c>
      <c r="G19" s="314" t="str">
        <f>IF('SEGUIMIENTO Y MONITOREO'!J105="NA","NA",'SEGUIMIENTO Y MONITOREO'!N105)</f>
        <v/>
      </c>
      <c r="H19" s="628"/>
      <c r="I19" s="314" t="str">
        <f>IF('SEGUIMIENTO Y MONITOREO'!T105="NA","NA",'SEGUIMIENTO Y MONITOREO'!X105)</f>
        <v/>
      </c>
      <c r="J19" s="628"/>
      <c r="K19" s="314" t="str">
        <f>IF('SEGUIMIENTO Y MONITOREO'!AD105="NA","NA",'SEGUIMIENTO Y MONITOREO'!AH105)</f>
        <v/>
      </c>
      <c r="L19" s="628"/>
      <c r="M19" s="628"/>
      <c r="N19" s="629"/>
      <c r="O19" s="629"/>
    </row>
    <row r="20" spans="1:15" ht="15.75" thickBot="1" x14ac:dyDescent="0.25">
      <c r="A20" s="590"/>
      <c r="B20" s="591"/>
      <c r="C20" s="82" t="str">
        <f>'SEGUIMIENTO Y MONITOREO'!D106</f>
        <v/>
      </c>
      <c r="D20" s="82" t="str">
        <f>'SEGUIMIENTO Y MONITOREO'!E106</f>
        <v/>
      </c>
      <c r="E20" s="128" t="str">
        <f>'SEGUIMIENTO Y MONITOREO'!G106</f>
        <v/>
      </c>
      <c r="F20" s="128" t="str">
        <f>'SEGUIMIENTO Y MONITOREO'!H106</f>
        <v/>
      </c>
      <c r="G20" s="314" t="str">
        <f>IF('SEGUIMIENTO Y MONITOREO'!J106="NA","NA",'SEGUIMIENTO Y MONITOREO'!N106)</f>
        <v/>
      </c>
      <c r="H20" s="628"/>
      <c r="I20" s="314" t="str">
        <f>IF('SEGUIMIENTO Y MONITOREO'!T106="NA","NA",'SEGUIMIENTO Y MONITOREO'!X106)</f>
        <v/>
      </c>
      <c r="J20" s="628"/>
      <c r="K20" s="314" t="str">
        <f>IF('SEGUIMIENTO Y MONITOREO'!AD106="NA","NA",'SEGUIMIENTO Y MONITOREO'!AH106)</f>
        <v/>
      </c>
      <c r="L20" s="628"/>
      <c r="M20" s="628"/>
      <c r="N20" s="629"/>
      <c r="O20" s="629"/>
    </row>
    <row r="21" spans="1:15" ht="25.5" customHeight="1" thickTop="1" x14ac:dyDescent="0.2">
      <c r="A21" s="588" t="str">
        <f>'SEGUIMIENTO Y MONITOREO'!A107</f>
        <v>5C</v>
      </c>
      <c r="B21" s="591" t="str">
        <f>'SEGUIMIENTO Y MONITOREO'!B107</f>
        <v>Acreditación. Deficiencias en el manejo documental y de archivo</v>
      </c>
      <c r="C21" s="82" t="str">
        <f>'SEGUIMIENTO Y MONITOREO'!D107</f>
        <v>Cumplimiento de metas acordes con el plan de trabajo.</v>
      </c>
      <c r="D21" s="82" t="str">
        <f>'SEGUIMIENTO Y MONITOREO'!E107</f>
        <v>Comunicaciones</v>
      </c>
      <c r="E21" s="128">
        <f>'SEGUIMIENTO Y MONITOREO'!G107</f>
        <v>42383</v>
      </c>
      <c r="F21" s="128">
        <f>'SEGUIMIENTO Y MONITOREO'!H107</f>
        <v>42720</v>
      </c>
      <c r="G21" s="314">
        <f>IF('SEGUIMIENTO Y MONITOREO'!J107="NA","NA",'SEGUIMIENTO Y MONITOREO'!N107)</f>
        <v>1</v>
      </c>
      <c r="H21" s="628">
        <f>'SEGUIMIENTO Y MONITOREO'!AR107</f>
        <v>1</v>
      </c>
      <c r="I21" s="314">
        <f>IF('SEGUIMIENTO Y MONITOREO'!T107="NA","NA",'SEGUIMIENTO Y MONITOREO'!X107)</f>
        <v>1</v>
      </c>
      <c r="J21" s="628">
        <f>'SEGUIMIENTO Y MONITOREO'!AS107</f>
        <v>1</v>
      </c>
      <c r="K21" s="314" t="str">
        <f>IF('SEGUIMIENTO Y MONITOREO'!AD107="NA","NA",'SEGUIMIENTO Y MONITOREO'!AH107)</f>
        <v/>
      </c>
      <c r="L21" s="628" t="str">
        <f>'SEGUIMIENTO Y MONITOREO'!AU107</f>
        <v/>
      </c>
      <c r="M21" s="628">
        <f>'SEGUIMIENTO Y MONITOREO'!AW107</f>
        <v>1</v>
      </c>
      <c r="N21" s="629" t="str">
        <f>IF(M21="","",CONCATENATE(IF('SEGUIMIENTO Y MONITOREO'!AX107=0,"",'SEGUIMIENTO Y MONITOREO'!AX107),Datos!$Y$4,IF('SEGUIMIENTO Y MONITOREO'!AX108=0,"",'SEGUIMIENTO Y MONITOREO'!AX108),Datos!$Y$4,IF('SEGUIMIENTO Y MONITOREO'!AX109=0,"",'SEGUIMIENTO Y MONITOREO'!AX109)))</f>
        <v xml:space="preserve">Se cumplio con la actividad definida tal como se informo en primer seguimiento
</v>
      </c>
      <c r="O21" s="629"/>
    </row>
    <row r="22" spans="1:15" x14ac:dyDescent="0.2">
      <c r="A22" s="589"/>
      <c r="B22" s="591"/>
      <c r="C22" s="82" t="str">
        <f>'SEGUIMIENTO Y MONITOREO'!D108</f>
        <v/>
      </c>
      <c r="D22" s="82" t="str">
        <f>'SEGUIMIENTO Y MONITOREO'!E108</f>
        <v/>
      </c>
      <c r="E22" s="128" t="str">
        <f>'SEGUIMIENTO Y MONITOREO'!G108</f>
        <v/>
      </c>
      <c r="F22" s="128" t="str">
        <f>'SEGUIMIENTO Y MONITOREO'!H108</f>
        <v/>
      </c>
      <c r="G22" s="314" t="str">
        <f>IF('SEGUIMIENTO Y MONITOREO'!J108="NA","NA",'SEGUIMIENTO Y MONITOREO'!N108)</f>
        <v/>
      </c>
      <c r="H22" s="628"/>
      <c r="I22" s="314" t="str">
        <f>IF('SEGUIMIENTO Y MONITOREO'!T108="NA","NA",'SEGUIMIENTO Y MONITOREO'!X108)</f>
        <v/>
      </c>
      <c r="J22" s="628"/>
      <c r="K22" s="314" t="str">
        <f>IF('SEGUIMIENTO Y MONITOREO'!AD108="NA","NA",'SEGUIMIENTO Y MONITOREO'!AH108)</f>
        <v/>
      </c>
      <c r="L22" s="628"/>
      <c r="M22" s="628"/>
      <c r="N22" s="629"/>
      <c r="O22" s="629"/>
    </row>
    <row r="23" spans="1:15" ht="15.75" thickBot="1" x14ac:dyDescent="0.25">
      <c r="A23" s="590"/>
      <c r="B23" s="591"/>
      <c r="C23" s="82" t="str">
        <f>'SEGUIMIENTO Y MONITOREO'!D109</f>
        <v/>
      </c>
      <c r="D23" s="82" t="str">
        <f>'SEGUIMIENTO Y MONITOREO'!E109</f>
        <v/>
      </c>
      <c r="E23" s="128" t="str">
        <f>'SEGUIMIENTO Y MONITOREO'!G109</f>
        <v/>
      </c>
      <c r="F23" s="128" t="str">
        <f>'SEGUIMIENTO Y MONITOREO'!H109</f>
        <v/>
      </c>
      <c r="G23" s="314" t="str">
        <f>IF('SEGUIMIENTO Y MONITOREO'!J109="NA","NA",'SEGUIMIENTO Y MONITOREO'!N109)</f>
        <v/>
      </c>
      <c r="H23" s="628"/>
      <c r="I23" s="314" t="str">
        <f>IF('SEGUIMIENTO Y MONITOREO'!T109="NA","NA",'SEGUIMIENTO Y MONITOREO'!X109)</f>
        <v/>
      </c>
      <c r="J23" s="628"/>
      <c r="K23" s="314" t="str">
        <f>IF('SEGUIMIENTO Y MONITOREO'!AD109="NA","NA",'SEGUIMIENTO Y MONITOREO'!AH109)</f>
        <v/>
      </c>
      <c r="L23" s="628"/>
      <c r="M23" s="628"/>
      <c r="N23" s="629"/>
      <c r="O23" s="629"/>
    </row>
    <row r="24" spans="1:15" ht="39" customHeight="1" thickTop="1" x14ac:dyDescent="0.2">
      <c r="A24" s="588" t="str">
        <f>'SEGUIMIENTO Y MONITOREO'!A110</f>
        <v>6C</v>
      </c>
      <c r="B24" s="591" t="str">
        <f>'SEGUIMIENTO Y MONITOREO'!B110</f>
        <v>Acreditación. Concentración de información de determinadas actividades o procesos en una persona</v>
      </c>
      <c r="C24" s="82" t="str">
        <f>'SEGUIMIENTO Y MONITOREO'!D110</f>
        <v>Cumplimiento de metas acordes con el plan de trabajo.</v>
      </c>
      <c r="D24" s="82" t="str">
        <f>'SEGUIMIENTO Y MONITOREO'!E110</f>
        <v>Comunicaciones</v>
      </c>
      <c r="E24" s="128">
        <f>'SEGUIMIENTO Y MONITOREO'!G110</f>
        <v>42383</v>
      </c>
      <c r="F24" s="128">
        <f>'SEGUIMIENTO Y MONITOREO'!H110</f>
        <v>42720</v>
      </c>
      <c r="G24" s="391">
        <f>IF('SEGUIMIENTO Y MONITOREO'!J110="NA","NA",'SEGUIMIENTO Y MONITOREO'!N110)</f>
        <v>1</v>
      </c>
      <c r="H24" s="628">
        <f>'SEGUIMIENTO Y MONITOREO'!AR110</f>
        <v>1</v>
      </c>
      <c r="I24" s="391">
        <f>IF('SEGUIMIENTO Y MONITOREO'!T110="NA","NA",'SEGUIMIENTO Y MONITOREO'!X110)</f>
        <v>1</v>
      </c>
      <c r="J24" s="628">
        <f>'SEGUIMIENTO Y MONITOREO'!AS110</f>
        <v>1</v>
      </c>
      <c r="K24" s="391" t="str">
        <f>IF('SEGUIMIENTO Y MONITOREO'!AD110="NA","NA",'SEGUIMIENTO Y MONITOREO'!AH110)</f>
        <v/>
      </c>
      <c r="L24" s="628" t="str">
        <f>'SEGUIMIENTO Y MONITOREO'!AU110</f>
        <v/>
      </c>
      <c r="M24" s="628">
        <f>'SEGUIMIENTO Y MONITOREO'!AW110</f>
        <v>1</v>
      </c>
      <c r="N24" s="629" t="str">
        <f>IF(M24="","",CONCATENATE(IF('SEGUIMIENTO Y MONITOREO'!AX110=0,"",'SEGUIMIENTO Y MONITOREO'!AX110),Datos!$Y$4,IF('SEGUIMIENTO Y MONITOREO'!AX111=0,"",'SEGUIMIENTO Y MONITOREO'!AX111),Datos!$Y$4,IF('SEGUIMIENTO Y MONITOREO'!AX112=0,"",'SEGUIMIENTO Y MONITOREO'!AX112)))</f>
        <v xml:space="preserve">Se cumplio con la actividad definida tal como se informo en primer seguimiento
</v>
      </c>
      <c r="O24" s="629"/>
    </row>
    <row r="25" spans="1:15" x14ac:dyDescent="0.2">
      <c r="A25" s="589"/>
      <c r="B25" s="591"/>
      <c r="C25" s="82" t="str">
        <f>'SEGUIMIENTO Y MONITOREO'!D111</f>
        <v/>
      </c>
      <c r="D25" s="82" t="str">
        <f>'SEGUIMIENTO Y MONITOREO'!E111</f>
        <v/>
      </c>
      <c r="E25" s="128" t="str">
        <f>'SEGUIMIENTO Y MONITOREO'!G111</f>
        <v/>
      </c>
      <c r="F25" s="128" t="str">
        <f>'SEGUIMIENTO Y MONITOREO'!H111</f>
        <v/>
      </c>
      <c r="G25" s="391" t="str">
        <f>IF('SEGUIMIENTO Y MONITOREO'!J111="NA","NA",'SEGUIMIENTO Y MONITOREO'!N111)</f>
        <v/>
      </c>
      <c r="H25" s="628"/>
      <c r="I25" s="391" t="str">
        <f>IF('SEGUIMIENTO Y MONITOREO'!T111="NA","NA",'SEGUIMIENTO Y MONITOREO'!X111)</f>
        <v/>
      </c>
      <c r="J25" s="628"/>
      <c r="K25" s="391" t="str">
        <f>IF('SEGUIMIENTO Y MONITOREO'!AD111="NA","NA",'SEGUIMIENTO Y MONITOREO'!AH111)</f>
        <v/>
      </c>
      <c r="L25" s="628"/>
      <c r="M25" s="628"/>
      <c r="N25" s="629"/>
      <c r="O25" s="629"/>
    </row>
    <row r="26" spans="1:15" ht="15.75" thickBot="1" x14ac:dyDescent="0.25">
      <c r="A26" s="590"/>
      <c r="B26" s="591"/>
      <c r="C26" s="82" t="str">
        <f>'SEGUIMIENTO Y MONITOREO'!D112</f>
        <v/>
      </c>
      <c r="D26" s="82" t="str">
        <f>'SEGUIMIENTO Y MONITOREO'!E112</f>
        <v/>
      </c>
      <c r="E26" s="128" t="str">
        <f>'SEGUIMIENTO Y MONITOREO'!G112</f>
        <v/>
      </c>
      <c r="F26" s="128" t="str">
        <f>'SEGUIMIENTO Y MONITOREO'!H112</f>
        <v/>
      </c>
      <c r="G26" s="391" t="str">
        <f>IF('SEGUIMIENTO Y MONITOREO'!J112="NA","NA",'SEGUIMIENTO Y MONITOREO'!N112)</f>
        <v/>
      </c>
      <c r="H26" s="628"/>
      <c r="I26" s="391" t="str">
        <f>IF('SEGUIMIENTO Y MONITOREO'!T112="NA","NA",'SEGUIMIENTO Y MONITOREO'!X112)</f>
        <v/>
      </c>
      <c r="J26" s="628"/>
      <c r="K26" s="391" t="str">
        <f>IF('SEGUIMIENTO Y MONITOREO'!AD112="NA","NA",'SEGUIMIENTO Y MONITOREO'!AH112)</f>
        <v/>
      </c>
      <c r="L26" s="628"/>
      <c r="M26" s="628"/>
      <c r="N26" s="629"/>
      <c r="O26" s="629"/>
    </row>
    <row r="27" spans="1:15" ht="39" thickTop="1" x14ac:dyDescent="0.2">
      <c r="A27" s="588" t="str">
        <f>'SEGUIMIENTO Y MONITOREO'!A113</f>
        <v>7C</v>
      </c>
      <c r="B27" s="591" t="str">
        <f>'SEGUIMIENTO Y MONITOREO'!B113</f>
        <v>Gestión de la Calidad. Concentración de información de determinadas actividades o procesos en una persona</v>
      </c>
      <c r="C27" s="82" t="str">
        <f>'SEGUIMIENTO Y MONITOREO'!D113</f>
        <v>Seguir ejecutando y monitoreando los controles existentes</v>
      </c>
      <c r="D27" s="82" t="str">
        <f>'SEGUIMIENTO Y MONITOREO'!E113</f>
        <v/>
      </c>
      <c r="E27" s="128" t="str">
        <f>'SEGUIMIENTO Y MONITOREO'!G113</f>
        <v/>
      </c>
      <c r="F27" s="128" t="str">
        <f>'SEGUIMIENTO Y MONITOREO'!H113</f>
        <v/>
      </c>
      <c r="G27" s="391" t="str">
        <f>IF('SEGUIMIENTO Y MONITOREO'!J113="NA","NA",'SEGUIMIENTO Y MONITOREO'!N113)</f>
        <v>NA</v>
      </c>
      <c r="H27" s="628" t="str">
        <f>'SEGUIMIENTO Y MONITOREO'!AR113</f>
        <v>NA</v>
      </c>
      <c r="I27" s="391" t="str">
        <f>IF('SEGUIMIENTO Y MONITOREO'!T113="NA","NA",'SEGUIMIENTO Y MONITOREO'!X113)</f>
        <v>NA</v>
      </c>
      <c r="J27" s="628" t="str">
        <f>'SEGUIMIENTO Y MONITOREO'!AS113</f>
        <v>NA</v>
      </c>
      <c r="K27" s="391" t="str">
        <f>IF('SEGUIMIENTO Y MONITOREO'!AD113="NA","NA",'SEGUIMIENTO Y MONITOREO'!AH113)</f>
        <v/>
      </c>
      <c r="L27" s="628" t="str">
        <f>'SEGUIMIENTO Y MONITOREO'!AU113</f>
        <v/>
      </c>
      <c r="M27" s="628" t="str">
        <f>'SEGUIMIENTO Y MONITOREO'!AW113</f>
        <v>NA</v>
      </c>
      <c r="N27" s="629" t="str">
        <f>IF(M27="","",CONCATENATE(IF('SEGUIMIENTO Y MONITOREO'!AX113=0,"",'SEGUIMIENTO Y MONITOREO'!AX113),Datos!$Y$4,IF('SEGUIMIENTO Y MONITOREO'!AX114=0,"",'SEGUIMIENTO Y MONITOREO'!AX114),Datos!$Y$4,IF('SEGUIMIENTO Y MONITOREO'!AX115=0,"",'SEGUIMIENTO Y MONITOREO'!AX115)))</f>
        <v xml:space="preserve">
</v>
      </c>
      <c r="O27" s="629"/>
    </row>
    <row r="28" spans="1:15" x14ac:dyDescent="0.2">
      <c r="A28" s="589"/>
      <c r="B28" s="591"/>
      <c r="C28" s="82" t="str">
        <f>'SEGUIMIENTO Y MONITOREO'!D114</f>
        <v/>
      </c>
      <c r="D28" s="82" t="str">
        <f>'SEGUIMIENTO Y MONITOREO'!E114</f>
        <v/>
      </c>
      <c r="E28" s="128" t="str">
        <f>'SEGUIMIENTO Y MONITOREO'!G114</f>
        <v/>
      </c>
      <c r="F28" s="128" t="str">
        <f>'SEGUIMIENTO Y MONITOREO'!H114</f>
        <v/>
      </c>
      <c r="G28" s="391" t="str">
        <f>IF('SEGUIMIENTO Y MONITOREO'!J114="NA","NA",'SEGUIMIENTO Y MONITOREO'!N114)</f>
        <v/>
      </c>
      <c r="H28" s="628"/>
      <c r="I28" s="391" t="str">
        <f>IF('SEGUIMIENTO Y MONITOREO'!T114="NA","NA",'SEGUIMIENTO Y MONITOREO'!X114)</f>
        <v/>
      </c>
      <c r="J28" s="628"/>
      <c r="K28" s="391" t="str">
        <f>IF('SEGUIMIENTO Y MONITOREO'!AD114="NA","NA",'SEGUIMIENTO Y MONITOREO'!AH114)</f>
        <v/>
      </c>
      <c r="L28" s="628"/>
      <c r="M28" s="628"/>
      <c r="N28" s="629"/>
      <c r="O28" s="629"/>
    </row>
    <row r="29" spans="1:15" ht="15.75" thickBot="1" x14ac:dyDescent="0.25">
      <c r="A29" s="590"/>
      <c r="B29" s="591"/>
      <c r="C29" s="82" t="str">
        <f>'SEGUIMIENTO Y MONITOREO'!D115</f>
        <v/>
      </c>
      <c r="D29" s="82" t="str">
        <f>'SEGUIMIENTO Y MONITOREO'!E115</f>
        <v/>
      </c>
      <c r="E29" s="128" t="str">
        <f>'SEGUIMIENTO Y MONITOREO'!G115</f>
        <v/>
      </c>
      <c r="F29" s="128" t="str">
        <f>'SEGUIMIENTO Y MONITOREO'!H115</f>
        <v/>
      </c>
      <c r="G29" s="391" t="str">
        <f>IF('SEGUIMIENTO Y MONITOREO'!J115="NA","NA",'SEGUIMIENTO Y MONITOREO'!N115)</f>
        <v/>
      </c>
      <c r="H29" s="628"/>
      <c r="I29" s="391" t="str">
        <f>IF('SEGUIMIENTO Y MONITOREO'!T115="NA","NA",'SEGUIMIENTO Y MONITOREO'!X115)</f>
        <v/>
      </c>
      <c r="J29" s="628"/>
      <c r="K29" s="391" t="str">
        <f>IF('SEGUIMIENTO Y MONITOREO'!AD115="NA","NA",'SEGUIMIENTO Y MONITOREO'!AH115)</f>
        <v/>
      </c>
      <c r="L29" s="628"/>
      <c r="M29" s="628"/>
      <c r="N29" s="629"/>
      <c r="O29" s="629"/>
    </row>
    <row r="30" spans="1:15" ht="39" thickTop="1" x14ac:dyDescent="0.2">
      <c r="A30" s="588" t="str">
        <f>'SEGUIMIENTO Y MONITOREO'!A116</f>
        <v>8C</v>
      </c>
      <c r="B30" s="591" t="str">
        <f>'SEGUIMIENTO Y MONITOREO'!B116</f>
        <v>Gestión de la Calidad. Deficiencias en el  manejo documental y de archivo</v>
      </c>
      <c r="C30" s="82" t="str">
        <f>'SEGUIMIENTO Y MONITOREO'!D116</f>
        <v>Seguir ejecutando y monitoreando los controles existentes</v>
      </c>
      <c r="D30" s="82" t="str">
        <f>'SEGUIMIENTO Y MONITOREO'!E116</f>
        <v/>
      </c>
      <c r="E30" s="128" t="str">
        <f>'SEGUIMIENTO Y MONITOREO'!G116</f>
        <v/>
      </c>
      <c r="F30" s="128" t="str">
        <f>'SEGUIMIENTO Y MONITOREO'!H116</f>
        <v/>
      </c>
      <c r="G30" s="391" t="str">
        <f>IF('SEGUIMIENTO Y MONITOREO'!J116="NA","NA",'SEGUIMIENTO Y MONITOREO'!N116)</f>
        <v>NA</v>
      </c>
      <c r="H30" s="628" t="str">
        <f>'SEGUIMIENTO Y MONITOREO'!AR116</f>
        <v>NA</v>
      </c>
      <c r="I30" s="391" t="str">
        <f>IF('SEGUIMIENTO Y MONITOREO'!T116="NA","NA",'SEGUIMIENTO Y MONITOREO'!X116)</f>
        <v>NA</v>
      </c>
      <c r="J30" s="628" t="str">
        <f>'SEGUIMIENTO Y MONITOREO'!AS116</f>
        <v>NA</v>
      </c>
      <c r="K30" s="391" t="str">
        <f>IF('SEGUIMIENTO Y MONITOREO'!AD116="NA","NA",'SEGUIMIENTO Y MONITOREO'!AH116)</f>
        <v/>
      </c>
      <c r="L30" s="628" t="str">
        <f>'SEGUIMIENTO Y MONITOREO'!AU116</f>
        <v/>
      </c>
      <c r="M30" s="628" t="str">
        <f>'SEGUIMIENTO Y MONITOREO'!AW116</f>
        <v>NA</v>
      </c>
      <c r="N30" s="629" t="str">
        <f>IF(M30="","",CONCATENATE(IF('SEGUIMIENTO Y MONITOREO'!AX116=0,"",'SEGUIMIENTO Y MONITOREO'!AX116),Datos!$Y$4,IF('SEGUIMIENTO Y MONITOREO'!AX117=0,"",'SEGUIMIENTO Y MONITOREO'!AX117),Datos!$Y$4,IF('SEGUIMIENTO Y MONITOREO'!AX118=0,"",'SEGUIMIENTO Y MONITOREO'!AX118)))</f>
        <v xml:space="preserve">
</v>
      </c>
      <c r="O30" s="629"/>
    </row>
    <row r="31" spans="1:15" x14ac:dyDescent="0.2">
      <c r="A31" s="589"/>
      <c r="B31" s="591"/>
      <c r="C31" s="82" t="str">
        <f>'SEGUIMIENTO Y MONITOREO'!D117</f>
        <v/>
      </c>
      <c r="D31" s="82" t="str">
        <f>'SEGUIMIENTO Y MONITOREO'!E117</f>
        <v/>
      </c>
      <c r="E31" s="128" t="str">
        <f>'SEGUIMIENTO Y MONITOREO'!G117</f>
        <v/>
      </c>
      <c r="F31" s="128" t="str">
        <f>'SEGUIMIENTO Y MONITOREO'!H117</f>
        <v/>
      </c>
      <c r="G31" s="391" t="str">
        <f>IF('SEGUIMIENTO Y MONITOREO'!J117="NA","NA",'SEGUIMIENTO Y MONITOREO'!N117)</f>
        <v/>
      </c>
      <c r="H31" s="628"/>
      <c r="I31" s="391" t="str">
        <f>IF('SEGUIMIENTO Y MONITOREO'!T117="NA","NA",'SEGUIMIENTO Y MONITOREO'!X117)</f>
        <v/>
      </c>
      <c r="J31" s="628"/>
      <c r="K31" s="391" t="str">
        <f>IF('SEGUIMIENTO Y MONITOREO'!AD117="NA","NA",'SEGUIMIENTO Y MONITOREO'!AH117)</f>
        <v/>
      </c>
      <c r="L31" s="628"/>
      <c r="M31" s="628"/>
      <c r="N31" s="629"/>
      <c r="O31" s="629"/>
    </row>
    <row r="32" spans="1:15" ht="15.75" thickBot="1" x14ac:dyDescent="0.25">
      <c r="A32" s="590"/>
      <c r="B32" s="591"/>
      <c r="C32" s="82" t="str">
        <f>'SEGUIMIENTO Y MONITOREO'!D118</f>
        <v/>
      </c>
      <c r="D32" s="82" t="str">
        <f>'SEGUIMIENTO Y MONITOREO'!E118</f>
        <v/>
      </c>
      <c r="E32" s="128" t="str">
        <f>'SEGUIMIENTO Y MONITOREO'!G118</f>
        <v/>
      </c>
      <c r="F32" s="128" t="str">
        <f>'SEGUIMIENTO Y MONITOREO'!H118</f>
        <v/>
      </c>
      <c r="G32" s="391" t="str">
        <f>IF('SEGUIMIENTO Y MONITOREO'!J118="NA","NA",'SEGUIMIENTO Y MONITOREO'!N118)</f>
        <v/>
      </c>
      <c r="H32" s="628"/>
      <c r="I32" s="391" t="str">
        <f>IF('SEGUIMIENTO Y MONITOREO'!T118="NA","NA",'SEGUIMIENTO Y MONITOREO'!X118)</f>
        <v/>
      </c>
      <c r="J32" s="628"/>
      <c r="K32" s="391" t="str">
        <f>IF('SEGUIMIENTO Y MONITOREO'!AD118="NA","NA",'SEGUIMIENTO Y MONITOREO'!AH118)</f>
        <v/>
      </c>
      <c r="L32" s="628"/>
      <c r="M32" s="628"/>
      <c r="N32" s="629"/>
      <c r="O32" s="629"/>
    </row>
    <row r="33" spans="1:15" ht="39" thickTop="1" x14ac:dyDescent="0.2">
      <c r="A33" s="588" t="str">
        <f>'SEGUIMIENTO Y MONITOREO'!A119</f>
        <v>9C</v>
      </c>
      <c r="B33" s="591" t="str">
        <f>'SEGUIMIENTO Y MONITOREO'!B119</f>
        <v>Comunicaciones Concentración de información de determinadas actividades o procesos en una persona</v>
      </c>
      <c r="C33" s="82" t="str">
        <f>'SEGUIMIENTO Y MONITOREO'!D119</f>
        <v>Seguir ejecutando y monitoreando los controles existentes</v>
      </c>
      <c r="D33" s="82" t="str">
        <f>'SEGUIMIENTO Y MONITOREO'!E119</f>
        <v/>
      </c>
      <c r="E33" s="128" t="str">
        <f>'SEGUIMIENTO Y MONITOREO'!G119</f>
        <v/>
      </c>
      <c r="F33" s="128" t="str">
        <f>'SEGUIMIENTO Y MONITOREO'!H119</f>
        <v/>
      </c>
      <c r="G33" s="391" t="str">
        <f>IF('SEGUIMIENTO Y MONITOREO'!J119="NA","NA",'SEGUIMIENTO Y MONITOREO'!N119)</f>
        <v>NA</v>
      </c>
      <c r="H33" s="628" t="str">
        <f>'SEGUIMIENTO Y MONITOREO'!AR119</f>
        <v>NA</v>
      </c>
      <c r="I33" s="391" t="str">
        <f>IF('SEGUIMIENTO Y MONITOREO'!T119="NA","NA",'SEGUIMIENTO Y MONITOREO'!X119)</f>
        <v>NA</v>
      </c>
      <c r="J33" s="628" t="str">
        <f>'SEGUIMIENTO Y MONITOREO'!AS119</f>
        <v>NA</v>
      </c>
      <c r="K33" s="391" t="str">
        <f>IF('SEGUIMIENTO Y MONITOREO'!AD119="NA","NA",'SEGUIMIENTO Y MONITOREO'!AH119)</f>
        <v/>
      </c>
      <c r="L33" s="628" t="str">
        <f>'SEGUIMIENTO Y MONITOREO'!AU119</f>
        <v/>
      </c>
      <c r="M33" s="628" t="str">
        <f>'SEGUIMIENTO Y MONITOREO'!AW119</f>
        <v>NA</v>
      </c>
      <c r="N33" s="629" t="str">
        <f>IF(M33="","",CONCATENATE(IF('SEGUIMIENTO Y MONITOREO'!AX119=0,"",'SEGUIMIENTO Y MONITOREO'!AX119),Datos!$Y$4,IF('SEGUIMIENTO Y MONITOREO'!AX120=0,"",'SEGUIMIENTO Y MONITOREO'!AX120),Datos!$Y$4,IF('SEGUIMIENTO Y MONITOREO'!AX121=0,"",'SEGUIMIENTO Y MONITOREO'!AX121)))</f>
        <v xml:space="preserve">
</v>
      </c>
      <c r="O33" s="629"/>
    </row>
    <row r="34" spans="1:15" x14ac:dyDescent="0.2">
      <c r="A34" s="589"/>
      <c r="B34" s="591"/>
      <c r="C34" s="82" t="str">
        <f>'SEGUIMIENTO Y MONITOREO'!D120</f>
        <v/>
      </c>
      <c r="D34" s="82" t="str">
        <f>'SEGUIMIENTO Y MONITOREO'!E120</f>
        <v/>
      </c>
      <c r="E34" s="128" t="str">
        <f>'SEGUIMIENTO Y MONITOREO'!G120</f>
        <v/>
      </c>
      <c r="F34" s="128" t="str">
        <f>'SEGUIMIENTO Y MONITOREO'!H120</f>
        <v/>
      </c>
      <c r="G34" s="391" t="str">
        <f>IF('SEGUIMIENTO Y MONITOREO'!J120="NA","NA",'SEGUIMIENTO Y MONITOREO'!N120)</f>
        <v/>
      </c>
      <c r="H34" s="628"/>
      <c r="I34" s="391" t="str">
        <f>IF('SEGUIMIENTO Y MONITOREO'!T120="NA","NA",'SEGUIMIENTO Y MONITOREO'!X120)</f>
        <v/>
      </c>
      <c r="J34" s="628"/>
      <c r="K34" s="391" t="str">
        <f>IF('SEGUIMIENTO Y MONITOREO'!AD120="NA","NA",'SEGUIMIENTO Y MONITOREO'!AH120)</f>
        <v/>
      </c>
      <c r="L34" s="628"/>
      <c r="M34" s="628"/>
      <c r="N34" s="629"/>
      <c r="O34" s="629"/>
    </row>
    <row r="35" spans="1:15" ht="15.75" thickBot="1" x14ac:dyDescent="0.25">
      <c r="A35" s="590"/>
      <c r="B35" s="591"/>
      <c r="C35" s="82" t="str">
        <f>'SEGUIMIENTO Y MONITOREO'!D121</f>
        <v/>
      </c>
      <c r="D35" s="82" t="str">
        <f>'SEGUIMIENTO Y MONITOREO'!E121</f>
        <v/>
      </c>
      <c r="E35" s="128" t="str">
        <f>'SEGUIMIENTO Y MONITOREO'!G121</f>
        <v/>
      </c>
      <c r="F35" s="128" t="str">
        <f>'SEGUIMIENTO Y MONITOREO'!H121</f>
        <v/>
      </c>
      <c r="G35" s="391" t="str">
        <f>IF('SEGUIMIENTO Y MONITOREO'!J121="NA","NA",'SEGUIMIENTO Y MONITOREO'!N121)</f>
        <v/>
      </c>
      <c r="H35" s="628"/>
      <c r="I35" s="391" t="str">
        <f>IF('SEGUIMIENTO Y MONITOREO'!T121="NA","NA",'SEGUIMIENTO Y MONITOREO'!X121)</f>
        <v/>
      </c>
      <c r="J35" s="628"/>
      <c r="K35" s="391" t="str">
        <f>IF('SEGUIMIENTO Y MONITOREO'!AD121="NA","NA",'SEGUIMIENTO Y MONITOREO'!AH121)</f>
        <v/>
      </c>
      <c r="L35" s="628"/>
      <c r="M35" s="628"/>
      <c r="N35" s="629"/>
      <c r="O35" s="629"/>
    </row>
    <row r="36" spans="1:15" ht="39" customHeight="1" thickTop="1" x14ac:dyDescent="0.2">
      <c r="A36" s="588" t="str">
        <f>'SEGUIMIENTO Y MONITOREO'!A122</f>
        <v>10C</v>
      </c>
      <c r="B36" s="591" t="str">
        <f>'SEGUIMIENTO Y MONITOREO'!B122</f>
        <v xml:space="preserve">Gestión Academica. Ausencia de canales de comunicación
</v>
      </c>
      <c r="C36" s="82" t="str">
        <f>'SEGUIMIENTO Y MONITOREO'!D122</f>
        <v>Mejorar la selección del personal para que su permanencia sea mayor en el desarrollo de su cargo.</v>
      </c>
      <c r="D36" s="82" t="str">
        <f>'SEGUIMIENTO Y MONITOREO'!E122</f>
        <v>Revisión de procesos de selección de personal</v>
      </c>
      <c r="E36" s="128">
        <f>'SEGUIMIENTO Y MONITOREO'!G122</f>
        <v>42576</v>
      </c>
      <c r="F36" s="128">
        <f>'SEGUIMIENTO Y MONITOREO'!H122</f>
        <v>42941</v>
      </c>
      <c r="G36" s="391" t="str">
        <f>IF('SEGUIMIENTO Y MONITOREO'!J122="NA","NA",'SEGUIMIENTO Y MONITOREO'!N122)</f>
        <v>NA</v>
      </c>
      <c r="H36" s="628" t="str">
        <f>'SEGUIMIENTO Y MONITOREO'!AR122</f>
        <v>NA</v>
      </c>
      <c r="I36" s="391">
        <f>IF('SEGUIMIENTO Y MONITOREO'!T122="NA","NA",'SEGUIMIENTO Y MONITOREO'!X122)</f>
        <v>0.02</v>
      </c>
      <c r="J36" s="628">
        <f>'SEGUIMIENTO Y MONITOREO'!AS122</f>
        <v>0.02</v>
      </c>
      <c r="K36" s="391" t="str">
        <f>IF('SEGUIMIENTO Y MONITOREO'!AD122="NA","NA",'SEGUIMIENTO Y MONITOREO'!AH122)</f>
        <v/>
      </c>
      <c r="L36" s="628" t="str">
        <f>'SEGUIMIENTO Y MONITOREO'!AU122</f>
        <v/>
      </c>
      <c r="M36" s="628">
        <f>'SEGUIMIENTO Y MONITOREO'!AW122</f>
        <v>0.02</v>
      </c>
      <c r="N36" s="629" t="str">
        <f>IF(M36="","",CONCATENATE(IF('SEGUIMIENTO Y MONITOREO'!AX122=0,"",'SEGUIMIENTO Y MONITOREO'!AX122),Datos!$Y$4,IF('SEGUIMIENTO Y MONITOREO'!AX123=0,"",'SEGUIMIENTO Y MONITOREO'!AX123),Datos!$Y$4,IF('SEGUIMIENTO Y MONITOREO'!AX124=0,"",'SEGUIMIENTO Y MONITOREO'!AX124)))</f>
        <v xml:space="preserve">Reuniones internas para revisión de procesos de selección de personal
</v>
      </c>
      <c r="O36" s="629"/>
    </row>
    <row r="37" spans="1:15" x14ac:dyDescent="0.2">
      <c r="A37" s="589"/>
      <c r="B37" s="591"/>
      <c r="C37" s="82" t="str">
        <f>'SEGUIMIENTO Y MONITOREO'!D123</f>
        <v/>
      </c>
      <c r="D37" s="82" t="str">
        <f>'SEGUIMIENTO Y MONITOREO'!E123</f>
        <v/>
      </c>
      <c r="E37" s="128" t="str">
        <f>'SEGUIMIENTO Y MONITOREO'!G123</f>
        <v/>
      </c>
      <c r="F37" s="128" t="str">
        <f>'SEGUIMIENTO Y MONITOREO'!H123</f>
        <v/>
      </c>
      <c r="G37" s="391" t="str">
        <f>IF('SEGUIMIENTO Y MONITOREO'!J123="NA","NA",'SEGUIMIENTO Y MONITOREO'!N123)</f>
        <v/>
      </c>
      <c r="H37" s="628"/>
      <c r="I37" s="391" t="str">
        <f>IF('SEGUIMIENTO Y MONITOREO'!T123="NA","NA",'SEGUIMIENTO Y MONITOREO'!X123)</f>
        <v/>
      </c>
      <c r="J37" s="628"/>
      <c r="K37" s="391" t="str">
        <f>IF('SEGUIMIENTO Y MONITOREO'!AD123="NA","NA",'SEGUIMIENTO Y MONITOREO'!AH123)</f>
        <v/>
      </c>
      <c r="L37" s="628"/>
      <c r="M37" s="628"/>
      <c r="N37" s="629"/>
      <c r="O37" s="629"/>
    </row>
    <row r="38" spans="1:15" ht="15.75" thickBot="1" x14ac:dyDescent="0.25">
      <c r="A38" s="590"/>
      <c r="B38" s="591"/>
      <c r="C38" s="82" t="str">
        <f>'SEGUIMIENTO Y MONITOREO'!D124</f>
        <v/>
      </c>
      <c r="D38" s="82" t="str">
        <f>'SEGUIMIENTO Y MONITOREO'!E124</f>
        <v/>
      </c>
      <c r="E38" s="128" t="str">
        <f>'SEGUIMIENTO Y MONITOREO'!G124</f>
        <v/>
      </c>
      <c r="F38" s="128" t="str">
        <f>'SEGUIMIENTO Y MONITOREO'!H124</f>
        <v/>
      </c>
      <c r="G38" s="391" t="str">
        <f>IF('SEGUIMIENTO Y MONITOREO'!J124="NA","NA",'SEGUIMIENTO Y MONITOREO'!N124)</f>
        <v/>
      </c>
      <c r="H38" s="628"/>
      <c r="I38" s="391" t="str">
        <f>IF('SEGUIMIENTO Y MONITOREO'!T124="NA","NA",'SEGUIMIENTO Y MONITOREO'!X124)</f>
        <v/>
      </c>
      <c r="J38" s="628"/>
      <c r="K38" s="391" t="str">
        <f>IF('SEGUIMIENTO Y MONITOREO'!AD124="NA","NA",'SEGUIMIENTO Y MONITOREO'!AH124)</f>
        <v/>
      </c>
      <c r="L38" s="628"/>
      <c r="M38" s="628"/>
      <c r="N38" s="629"/>
      <c r="O38" s="629"/>
    </row>
    <row r="39" spans="1:15" ht="39" thickTop="1" x14ac:dyDescent="0.2">
      <c r="A39" s="588" t="str">
        <f>'SEGUIMIENTO Y MONITOREO'!A125</f>
        <v>11C</v>
      </c>
      <c r="B39" s="591" t="str">
        <f>'SEGUIMIENTO Y MONITOREO'!B125</f>
        <v>Gestión Academica. Concentración de información de determinadas actividades o procesos en una persona</v>
      </c>
      <c r="C39" s="82" t="str">
        <f>'SEGUIMIENTO Y MONITOREO'!D125</f>
        <v>Desarrollar talleres de trabajo en equipo y gestión del conocimiento</v>
      </c>
      <c r="D39" s="82" t="str">
        <f>'SEGUIMIENTO Y MONITOREO'!E125</f>
        <v>Acta de realización de talleres</v>
      </c>
      <c r="E39" s="128">
        <f>'SEGUIMIENTO Y MONITOREO'!G125</f>
        <v>42576</v>
      </c>
      <c r="F39" s="128">
        <f>'SEGUIMIENTO Y MONITOREO'!H125</f>
        <v>42941</v>
      </c>
      <c r="G39" s="391" t="str">
        <f>IF('SEGUIMIENTO Y MONITOREO'!J125="NA","NA",'SEGUIMIENTO Y MONITOREO'!N125)</f>
        <v>NA</v>
      </c>
      <c r="H39" s="628" t="str">
        <f>'SEGUIMIENTO Y MONITOREO'!AR125</f>
        <v>NA</v>
      </c>
      <c r="I39" s="391">
        <f>IF('SEGUIMIENTO Y MONITOREO'!T125="NA","NA",'SEGUIMIENTO Y MONITOREO'!X125)</f>
        <v>1.6666666666666666E-2</v>
      </c>
      <c r="J39" s="628">
        <f>'SEGUIMIENTO Y MONITOREO'!AS125</f>
        <v>1.6666666666666666E-2</v>
      </c>
      <c r="K39" s="391" t="str">
        <f>IF('SEGUIMIENTO Y MONITOREO'!AD125="NA","NA",'SEGUIMIENTO Y MONITOREO'!AH125)</f>
        <v/>
      </c>
      <c r="L39" s="628" t="str">
        <f>'SEGUIMIENTO Y MONITOREO'!AU125</f>
        <v/>
      </c>
      <c r="M39" s="628">
        <f>'SEGUIMIENTO Y MONITOREO'!AW125</f>
        <v>1.6666666666666666E-2</v>
      </c>
      <c r="N39" s="629" t="str">
        <f>IF(M39="","",CONCATENATE(IF('SEGUIMIENTO Y MONITOREO'!AX125=0,"",'SEGUIMIENTO Y MONITOREO'!AX125),Datos!$Y$4,IF('SEGUIMIENTO Y MONITOREO'!AX126=0,"",'SEGUIMIENTO Y MONITOREO'!AX126),Datos!$Y$4,IF('SEGUIMIENTO Y MONITOREO'!AX127=0,"",'SEGUIMIENTO Y MONITOREO'!AX127)))</f>
        <v xml:space="preserve">Reuniones internas del grupo de trabajo de la vicerrectoria para mejorar procesos internos
</v>
      </c>
      <c r="O39" s="629"/>
    </row>
    <row r="40" spans="1:15" x14ac:dyDescent="0.2">
      <c r="A40" s="589"/>
      <c r="B40" s="591"/>
      <c r="C40" s="82" t="str">
        <f>'SEGUIMIENTO Y MONITOREO'!D126</f>
        <v/>
      </c>
      <c r="D40" s="82" t="str">
        <f>'SEGUIMIENTO Y MONITOREO'!E126</f>
        <v/>
      </c>
      <c r="E40" s="128" t="str">
        <f>'SEGUIMIENTO Y MONITOREO'!G126</f>
        <v/>
      </c>
      <c r="F40" s="128" t="str">
        <f>'SEGUIMIENTO Y MONITOREO'!H126</f>
        <v/>
      </c>
      <c r="G40" s="391" t="str">
        <f>IF('SEGUIMIENTO Y MONITOREO'!J126="NA","NA",'SEGUIMIENTO Y MONITOREO'!N126)</f>
        <v/>
      </c>
      <c r="H40" s="628"/>
      <c r="I40" s="391" t="str">
        <f>IF('SEGUIMIENTO Y MONITOREO'!T126="NA","NA",'SEGUIMIENTO Y MONITOREO'!X126)</f>
        <v/>
      </c>
      <c r="J40" s="628"/>
      <c r="K40" s="391" t="str">
        <f>IF('SEGUIMIENTO Y MONITOREO'!AD126="NA","NA",'SEGUIMIENTO Y MONITOREO'!AH126)</f>
        <v/>
      </c>
      <c r="L40" s="628"/>
      <c r="M40" s="628"/>
      <c r="N40" s="629"/>
      <c r="O40" s="629"/>
    </row>
    <row r="41" spans="1:15" ht="15.75" thickBot="1" x14ac:dyDescent="0.25">
      <c r="A41" s="590"/>
      <c r="B41" s="591"/>
      <c r="C41" s="82" t="str">
        <f>'SEGUIMIENTO Y MONITOREO'!D127</f>
        <v/>
      </c>
      <c r="D41" s="82" t="str">
        <f>'SEGUIMIENTO Y MONITOREO'!E127</f>
        <v/>
      </c>
      <c r="E41" s="128" t="str">
        <f>'SEGUIMIENTO Y MONITOREO'!G127</f>
        <v/>
      </c>
      <c r="F41" s="128" t="str">
        <f>'SEGUIMIENTO Y MONITOREO'!H127</f>
        <v/>
      </c>
      <c r="G41" s="391" t="str">
        <f>IF('SEGUIMIENTO Y MONITOREO'!J127="NA","NA",'SEGUIMIENTO Y MONITOREO'!N127)</f>
        <v/>
      </c>
      <c r="H41" s="628"/>
      <c r="I41" s="391" t="str">
        <f>IF('SEGUIMIENTO Y MONITOREO'!T127="NA","NA",'SEGUIMIENTO Y MONITOREO'!X127)</f>
        <v/>
      </c>
      <c r="J41" s="628"/>
      <c r="K41" s="391" t="str">
        <f>IF('SEGUIMIENTO Y MONITOREO'!AD127="NA","NA",'SEGUIMIENTO Y MONITOREO'!AH127)</f>
        <v/>
      </c>
      <c r="L41" s="628"/>
      <c r="M41" s="628"/>
      <c r="N41" s="629"/>
      <c r="O41" s="629"/>
    </row>
    <row r="42" spans="1:15" ht="39" thickTop="1" x14ac:dyDescent="0.2">
      <c r="A42" s="588" t="str">
        <f>'SEGUIMIENTO Y MONITOREO'!A128</f>
        <v>12C</v>
      </c>
      <c r="B42" s="591" t="str">
        <f>'SEGUIMIENTO Y MONITOREO'!B128</f>
        <v>Gestión Academica. Deficiencias en el manejo documental y de archivo</v>
      </c>
      <c r="C42" s="82" t="str">
        <f>'SEGUIMIENTO Y MONITOREO'!D128</f>
        <v>Desarrollar talleres gestión documental</v>
      </c>
      <c r="D42" s="82" t="str">
        <f>'SEGUIMIENTO Y MONITOREO'!E128</f>
        <v>Acta de realización de talleres</v>
      </c>
      <c r="E42" s="128">
        <f>'SEGUIMIENTO Y MONITOREO'!G128</f>
        <v>42576</v>
      </c>
      <c r="F42" s="128">
        <f>'SEGUIMIENTO Y MONITOREO'!H128</f>
        <v>42941</v>
      </c>
      <c r="G42" s="391" t="str">
        <f>IF('SEGUIMIENTO Y MONITOREO'!J128="NA","NA",'SEGUIMIENTO Y MONITOREO'!N128)</f>
        <v>NA</v>
      </c>
      <c r="H42" s="628" t="str">
        <f>'SEGUIMIENTO Y MONITOREO'!AR128</f>
        <v>NA</v>
      </c>
      <c r="I42" s="391">
        <f>IF('SEGUIMIENTO Y MONITOREO'!T128="NA","NA",'SEGUIMIENTO Y MONITOREO'!X128)</f>
        <v>0.02</v>
      </c>
      <c r="J42" s="628">
        <f>'SEGUIMIENTO Y MONITOREO'!AS128</f>
        <v>0.02</v>
      </c>
      <c r="K42" s="391" t="str">
        <f>IF('SEGUIMIENTO Y MONITOREO'!AD128="NA","NA",'SEGUIMIENTO Y MONITOREO'!AH128)</f>
        <v/>
      </c>
      <c r="L42" s="628" t="str">
        <f>'SEGUIMIENTO Y MONITOREO'!AU128</f>
        <v/>
      </c>
      <c r="M42" s="628">
        <f>'SEGUIMIENTO Y MONITOREO'!AW128</f>
        <v>0.02</v>
      </c>
      <c r="N42" s="629" t="str">
        <f>IF(M42="","",CONCATENATE(IF('SEGUIMIENTO Y MONITOREO'!AX128=0,"",'SEGUIMIENTO Y MONITOREO'!AX128),Datos!$Y$4,IF('SEGUIMIENTO Y MONITOREO'!AX129=0,"",'SEGUIMIENTO Y MONITOREO'!AX129),Datos!$Y$4,IF('SEGUIMIENTO Y MONITOREO'!AX130=0,"",'SEGUIMIENTO Y MONITOREO'!AX130)))</f>
        <v xml:space="preserve">Reuniones internas para revisión de procesos de gestión documental
</v>
      </c>
      <c r="O42" s="629"/>
    </row>
    <row r="43" spans="1:15" x14ac:dyDescent="0.2">
      <c r="A43" s="589"/>
      <c r="B43" s="591"/>
      <c r="C43" s="82" t="str">
        <f>'SEGUIMIENTO Y MONITOREO'!D129</f>
        <v/>
      </c>
      <c r="D43" s="82" t="str">
        <f>'SEGUIMIENTO Y MONITOREO'!E129</f>
        <v/>
      </c>
      <c r="E43" s="128" t="str">
        <f>'SEGUIMIENTO Y MONITOREO'!G129</f>
        <v/>
      </c>
      <c r="F43" s="128" t="str">
        <f>'SEGUIMIENTO Y MONITOREO'!H129</f>
        <v/>
      </c>
      <c r="G43" s="391" t="str">
        <f>IF('SEGUIMIENTO Y MONITOREO'!J129="NA","NA",'SEGUIMIENTO Y MONITOREO'!N129)</f>
        <v/>
      </c>
      <c r="H43" s="628"/>
      <c r="I43" s="391" t="str">
        <f>IF('SEGUIMIENTO Y MONITOREO'!T129="NA","NA",'SEGUIMIENTO Y MONITOREO'!X129)</f>
        <v/>
      </c>
      <c r="J43" s="628"/>
      <c r="K43" s="391" t="str">
        <f>IF('SEGUIMIENTO Y MONITOREO'!AD129="NA","NA",'SEGUIMIENTO Y MONITOREO'!AH129)</f>
        <v/>
      </c>
      <c r="L43" s="628"/>
      <c r="M43" s="628"/>
      <c r="N43" s="629"/>
      <c r="O43" s="629"/>
    </row>
    <row r="44" spans="1:15" ht="15.75" thickBot="1" x14ac:dyDescent="0.25">
      <c r="A44" s="590"/>
      <c r="B44" s="591"/>
      <c r="C44" s="82" t="str">
        <f>'SEGUIMIENTO Y MONITOREO'!D130</f>
        <v/>
      </c>
      <c r="D44" s="82" t="str">
        <f>'SEGUIMIENTO Y MONITOREO'!E130</f>
        <v/>
      </c>
      <c r="E44" s="128" t="str">
        <f>'SEGUIMIENTO Y MONITOREO'!G130</f>
        <v/>
      </c>
      <c r="F44" s="128" t="str">
        <f>'SEGUIMIENTO Y MONITOREO'!H130</f>
        <v/>
      </c>
      <c r="G44" s="391" t="str">
        <f>IF('SEGUIMIENTO Y MONITOREO'!J130="NA","NA",'SEGUIMIENTO Y MONITOREO'!N130)</f>
        <v/>
      </c>
      <c r="H44" s="628"/>
      <c r="I44" s="391" t="str">
        <f>IF('SEGUIMIENTO Y MONITOREO'!T130="NA","NA",'SEGUIMIENTO Y MONITOREO'!X130)</f>
        <v/>
      </c>
      <c r="J44" s="628"/>
      <c r="K44" s="391" t="str">
        <f>IF('SEGUIMIENTO Y MONITOREO'!AD130="NA","NA",'SEGUIMIENTO Y MONITOREO'!AH130)</f>
        <v/>
      </c>
      <c r="L44" s="628"/>
      <c r="M44" s="628"/>
      <c r="N44" s="629"/>
      <c r="O44" s="629"/>
    </row>
    <row r="45" spans="1:15" ht="39" customHeight="1" thickTop="1" x14ac:dyDescent="0.2">
      <c r="A45" s="588" t="str">
        <f>'SEGUIMIENTO Y MONITOREO'!A131</f>
        <v>13C</v>
      </c>
      <c r="B45" s="591" t="str">
        <f>'SEGUIMIENTO Y MONITOREO'!B131</f>
        <v>Gestión de Investigación. Vulnerabilidad en el manejo de la información de la actividad investigativa</v>
      </c>
      <c r="C45" s="82" t="str">
        <f>'SEGUIMIENTO Y MONITOREO'!D131</f>
        <v>Desarrollo e Implementación del Sistema de Información de la Vicerrectoría de investigación</v>
      </c>
      <c r="D45" s="82" t="str">
        <f>'SEGUIMIENTO Y MONITOREO'!E131</f>
        <v>Actas de entrega de claves a usuarios</v>
      </c>
      <c r="E45" s="128">
        <f>'SEGUIMIENTO Y MONITOREO'!G131</f>
        <v>42388</v>
      </c>
      <c r="F45" s="128">
        <f>'SEGUIMIENTO Y MONITOREO'!H131</f>
        <v>42723</v>
      </c>
      <c r="G45" s="391">
        <f>IF('SEGUIMIENTO Y MONITOREO'!J131="NA","NA",'SEGUIMIENTO Y MONITOREO'!N131)</f>
        <v>0.2</v>
      </c>
      <c r="H45" s="628">
        <f>'SEGUIMIENTO Y MONITOREO'!AR131</f>
        <v>0.2</v>
      </c>
      <c r="I45" s="391">
        <f>IF('SEGUIMIENTO Y MONITOREO'!T131="NA","NA",'SEGUIMIENTO Y MONITOREO'!X131)</f>
        <v>0.25</v>
      </c>
      <c r="J45" s="628">
        <f>'SEGUIMIENTO Y MONITOREO'!AS131</f>
        <v>0.25</v>
      </c>
      <c r="K45" s="391" t="str">
        <f>IF('SEGUIMIENTO Y MONITOREO'!AD131="NA","NA",'SEGUIMIENTO Y MONITOREO'!AH131)</f>
        <v/>
      </c>
      <c r="L45" s="628" t="str">
        <f>'SEGUIMIENTO Y MONITOREO'!AU131</f>
        <v/>
      </c>
      <c r="M45" s="628">
        <f>'SEGUIMIENTO Y MONITOREO'!AW131</f>
        <v>0.25</v>
      </c>
      <c r="N45" s="629" t="str">
        <f>IF(M45="","",CONCATENATE(IF('SEGUIMIENTO Y MONITOREO'!AX131=0,"",'SEGUIMIENTO Y MONITOREO'!AX131),Datos!$Y$4,IF('SEGUIMIENTO Y MONITOREO'!AX132=0,"",'SEGUIMIENTO Y MONITOREO'!AX132),Datos!$Y$4,IF('SEGUIMIENTO Y MONITOREO'!AX133=0,"",'SEGUIMIENTO Y MONITOREO'!AX133)))</f>
        <v xml:space="preserve">En proceso de recolección de actas de entrega de claves por los profesores
</v>
      </c>
      <c r="O45" s="629"/>
    </row>
    <row r="46" spans="1:15" x14ac:dyDescent="0.2">
      <c r="A46" s="589"/>
      <c r="B46" s="591"/>
      <c r="C46" s="82" t="str">
        <f>'SEGUIMIENTO Y MONITOREO'!D132</f>
        <v/>
      </c>
      <c r="D46" s="82" t="str">
        <f>'SEGUIMIENTO Y MONITOREO'!E132</f>
        <v/>
      </c>
      <c r="E46" s="128" t="str">
        <f>'SEGUIMIENTO Y MONITOREO'!G132</f>
        <v/>
      </c>
      <c r="F46" s="128" t="str">
        <f>'SEGUIMIENTO Y MONITOREO'!H132</f>
        <v/>
      </c>
      <c r="G46" s="391" t="str">
        <f>IF('SEGUIMIENTO Y MONITOREO'!J132="NA","NA",'SEGUIMIENTO Y MONITOREO'!N132)</f>
        <v/>
      </c>
      <c r="H46" s="628"/>
      <c r="I46" s="391" t="str">
        <f>IF('SEGUIMIENTO Y MONITOREO'!T132="NA","NA",'SEGUIMIENTO Y MONITOREO'!X132)</f>
        <v/>
      </c>
      <c r="J46" s="628"/>
      <c r="K46" s="391" t="str">
        <f>IF('SEGUIMIENTO Y MONITOREO'!AD132="NA","NA",'SEGUIMIENTO Y MONITOREO'!AH132)</f>
        <v/>
      </c>
      <c r="L46" s="628"/>
      <c r="M46" s="628"/>
      <c r="N46" s="629"/>
      <c r="O46" s="629"/>
    </row>
    <row r="47" spans="1:15" ht="15.75" thickBot="1" x14ac:dyDescent="0.25">
      <c r="A47" s="590"/>
      <c r="B47" s="591"/>
      <c r="C47" s="82" t="str">
        <f>'SEGUIMIENTO Y MONITOREO'!D133</f>
        <v/>
      </c>
      <c r="D47" s="82" t="str">
        <f>'SEGUIMIENTO Y MONITOREO'!E133</f>
        <v/>
      </c>
      <c r="E47" s="128" t="str">
        <f>'SEGUIMIENTO Y MONITOREO'!G133</f>
        <v/>
      </c>
      <c r="F47" s="128" t="str">
        <f>'SEGUIMIENTO Y MONITOREO'!H133</f>
        <v/>
      </c>
      <c r="G47" s="391" t="str">
        <f>IF('SEGUIMIENTO Y MONITOREO'!J133="NA","NA",'SEGUIMIENTO Y MONITOREO'!N133)</f>
        <v/>
      </c>
      <c r="H47" s="628"/>
      <c r="I47" s="391" t="str">
        <f>IF('SEGUIMIENTO Y MONITOREO'!T133="NA","NA",'SEGUIMIENTO Y MONITOREO'!X133)</f>
        <v/>
      </c>
      <c r="J47" s="628"/>
      <c r="K47" s="391" t="str">
        <f>IF('SEGUIMIENTO Y MONITOREO'!AD133="NA","NA",'SEGUIMIENTO Y MONITOREO'!AH133)</f>
        <v/>
      </c>
      <c r="L47" s="628"/>
      <c r="M47" s="628"/>
      <c r="N47" s="629"/>
      <c r="O47" s="629"/>
    </row>
    <row r="48" spans="1:15" ht="39" customHeight="1" thickTop="1" x14ac:dyDescent="0.2">
      <c r="A48" s="588" t="str">
        <f>'SEGUIMIENTO Y MONITOREO'!A134</f>
        <v>14C</v>
      </c>
      <c r="B48" s="591" t="str">
        <f>'SEGUIMIENTO Y MONITOREO'!B134</f>
        <v>Gestión de Investigación. Violación de la propiedad Intelectual.</v>
      </c>
      <c r="C48" s="82" t="str">
        <f>'SEGUIMIENTO Y MONITOREO'!D134</f>
        <v>Programa de capacitación en Propiedad Intelectual</v>
      </c>
      <c r="D48" s="82" t="str">
        <f>'SEGUIMIENTO Y MONITOREO'!E134</f>
        <v>Capacitaciones realizadas en Prop. Intelectual</v>
      </c>
      <c r="E48" s="128">
        <f>'SEGUIMIENTO Y MONITOREO'!G134</f>
        <v>42388</v>
      </c>
      <c r="F48" s="128">
        <f>'SEGUIMIENTO Y MONITOREO'!H134</f>
        <v>42723</v>
      </c>
      <c r="G48" s="391">
        <f>IF('SEGUIMIENTO Y MONITOREO'!J134="NA","NA",'SEGUIMIENTO Y MONITOREO'!N134)</f>
        <v>0.5</v>
      </c>
      <c r="H48" s="628">
        <f>'SEGUIMIENTO Y MONITOREO'!AR134</f>
        <v>0.75</v>
      </c>
      <c r="I48" s="391">
        <f>IF('SEGUIMIENTO Y MONITOREO'!T134="NA","NA",'SEGUIMIENTO Y MONITOREO'!X134)</f>
        <v>0.5</v>
      </c>
      <c r="J48" s="628">
        <f>'SEGUIMIENTO Y MONITOREO'!AS134</f>
        <v>0.75</v>
      </c>
      <c r="K48" s="391" t="str">
        <f>IF('SEGUIMIENTO Y MONITOREO'!AD134="NA","NA",'SEGUIMIENTO Y MONITOREO'!AH134)</f>
        <v/>
      </c>
      <c r="L48" s="628" t="str">
        <f>'SEGUIMIENTO Y MONITOREO'!AU134</f>
        <v/>
      </c>
      <c r="M48" s="628">
        <f>'SEGUIMIENTO Y MONITOREO'!AW134</f>
        <v>0.75</v>
      </c>
      <c r="N48" s="629" t="str">
        <f>IF(M48="","",CONCATENATE(IF('SEGUIMIENTO Y MONITOREO'!AX134=0,"",'SEGUIMIENTO Y MONITOREO'!AX134),Datos!$Y$4,IF('SEGUIMIENTO Y MONITOREO'!AX135=0,"",'SEGUIMIENTO Y MONITOREO'!AX135),Datos!$Y$4,IF('SEGUIMIENTO Y MONITOREO'!AX136=0,"",'SEGUIMIENTO Y MONITOREO'!AX136)))</f>
        <v xml:space="preserve">Dos capacitaciones, dirigida a abogados de la universidad y a la comunidad en general
Aprobada revisión por juridica. En revisión y aprobación por Rectoria
</v>
      </c>
      <c r="O48" s="629"/>
    </row>
    <row r="49" spans="1:15" ht="15" customHeight="1" x14ac:dyDescent="0.2">
      <c r="A49" s="589"/>
      <c r="B49" s="591"/>
      <c r="C49" s="82" t="str">
        <f>'SEGUIMIENTO Y MONITOREO'!D135</f>
        <v>Aprobación del Reglamento de PI</v>
      </c>
      <c r="D49" s="82" t="str">
        <f>'SEGUIMIENTO Y MONITOREO'!E135</f>
        <v>Reglamento de PI enviado a Jurídica para revisión</v>
      </c>
      <c r="E49" s="128">
        <f>'SEGUIMIENTO Y MONITOREO'!G135</f>
        <v>42388</v>
      </c>
      <c r="F49" s="128">
        <f>'SEGUIMIENTO Y MONITOREO'!H135</f>
        <v>42723</v>
      </c>
      <c r="G49" s="391">
        <f>IF('SEGUIMIENTO Y MONITOREO'!J135="NA","NA",'SEGUIMIENTO Y MONITOREO'!N135)</f>
        <v>1</v>
      </c>
      <c r="H49" s="628"/>
      <c r="I49" s="391">
        <f>IF('SEGUIMIENTO Y MONITOREO'!T135="NA","NA",'SEGUIMIENTO Y MONITOREO'!X135)</f>
        <v>1</v>
      </c>
      <c r="J49" s="628"/>
      <c r="K49" s="391" t="str">
        <f>IF('SEGUIMIENTO Y MONITOREO'!AD135="NA","NA",'SEGUIMIENTO Y MONITOREO'!AH135)</f>
        <v/>
      </c>
      <c r="L49" s="628"/>
      <c r="M49" s="628"/>
      <c r="N49" s="629"/>
      <c r="O49" s="629"/>
    </row>
    <row r="50" spans="1:15" ht="15.75" thickBot="1" x14ac:dyDescent="0.25">
      <c r="A50" s="590"/>
      <c r="B50" s="591"/>
      <c r="C50" s="82" t="str">
        <f>'SEGUIMIENTO Y MONITOREO'!D136</f>
        <v/>
      </c>
      <c r="D50" s="82" t="str">
        <f>'SEGUIMIENTO Y MONITOREO'!E136</f>
        <v/>
      </c>
      <c r="E50" s="128" t="str">
        <f>'SEGUIMIENTO Y MONITOREO'!G136</f>
        <v/>
      </c>
      <c r="F50" s="128" t="str">
        <f>'SEGUIMIENTO Y MONITOREO'!H136</f>
        <v/>
      </c>
      <c r="G50" s="391" t="str">
        <f>IF('SEGUIMIENTO Y MONITOREO'!J136="NA","NA",'SEGUIMIENTO Y MONITOREO'!N136)</f>
        <v/>
      </c>
      <c r="H50" s="628"/>
      <c r="I50" s="391" t="str">
        <f>IF('SEGUIMIENTO Y MONITOREO'!T136="NA","NA",'SEGUIMIENTO Y MONITOREO'!X136)</f>
        <v/>
      </c>
      <c r="J50" s="628"/>
      <c r="K50" s="391" t="str">
        <f>IF('SEGUIMIENTO Y MONITOREO'!AD136="NA","NA",'SEGUIMIENTO Y MONITOREO'!AH136)</f>
        <v/>
      </c>
      <c r="L50" s="628"/>
      <c r="M50" s="628"/>
      <c r="N50" s="629"/>
      <c r="O50" s="629"/>
    </row>
    <row r="51" spans="1:15" ht="39" customHeight="1" thickTop="1" x14ac:dyDescent="0.2">
      <c r="A51" s="588" t="str">
        <f>'SEGUIMIENTO Y MONITOREO'!A137</f>
        <v>15C</v>
      </c>
      <c r="B51" s="591" t="str">
        <f>'SEGUIMIENTO Y MONITOREO'!B137</f>
        <v>Gestión de Extensión y Proyección Social. Desviación o uso indebido de recursos, que impidan la ejecución de los proyectos y actividades misionales de la vicerrectoria de extensión y proyección social</v>
      </c>
      <c r="C51" s="82" t="str">
        <f>'SEGUIMIENTO Y MONITOREO'!D137</f>
        <v>Implementación de sistema de información</v>
      </c>
      <c r="D51" s="82" t="str">
        <f>'SEGUIMIENTO Y MONITOREO'!E137</f>
        <v>Informes</v>
      </c>
      <c r="E51" s="128">
        <f>'SEGUIMIENTO Y MONITOREO'!G137</f>
        <v>42430</v>
      </c>
      <c r="F51" s="128">
        <f>'SEGUIMIENTO Y MONITOREO'!H137</f>
        <v>42531</v>
      </c>
      <c r="G51" s="391">
        <f>IF('SEGUIMIENTO Y MONITOREO'!J137="NA","NA",'SEGUIMIENTO Y MONITOREO'!N137)</f>
        <v>0</v>
      </c>
      <c r="H51" s="628">
        <f>'SEGUIMIENTO Y MONITOREO'!AR137</f>
        <v>0</v>
      </c>
      <c r="I51" s="391">
        <f>IF('SEGUIMIENTO Y MONITOREO'!T137="NA","NA",'SEGUIMIENTO Y MONITOREO'!X137)</f>
        <v>0.6</v>
      </c>
      <c r="J51" s="628">
        <f>'SEGUIMIENTO Y MONITOREO'!AS137</f>
        <v>0.6</v>
      </c>
      <c r="K51" s="391" t="str">
        <f>IF('SEGUIMIENTO Y MONITOREO'!AD137="NA","NA",'SEGUIMIENTO Y MONITOREO'!AH137)</f>
        <v/>
      </c>
      <c r="L51" s="628" t="str">
        <f>'SEGUIMIENTO Y MONITOREO'!AU137</f>
        <v/>
      </c>
      <c r="M51" s="628">
        <f>'SEGUIMIENTO Y MONITOREO'!AW137</f>
        <v>0.6</v>
      </c>
      <c r="N51" s="629" t="str">
        <f>IF(M51="","",CONCATENATE(IF('SEGUIMIENTO Y MONITOREO'!AX137=0,"",'SEGUIMIENTO Y MONITOREO'!AX137),Datos!$Y$4,IF('SEGUIMIENTO Y MONITOREO'!AX138=0,"",'SEGUIMIENTO Y MONITOREO'!AX138),Datos!$Y$4,IF('SEGUIMIENTO Y MONITOREO'!AX139=0,"",'SEGUIMIENTO Y MONITOREO'!AX139)))</f>
        <v xml:space="preserve">Se dio inicio a la construcción del modulo de diseño y desarrollo de proyctos
</v>
      </c>
      <c r="O51" s="629"/>
    </row>
    <row r="52" spans="1:15" x14ac:dyDescent="0.2">
      <c r="A52" s="589"/>
      <c r="B52" s="591"/>
      <c r="C52" s="82" t="str">
        <f>'SEGUIMIENTO Y MONITOREO'!D138</f>
        <v/>
      </c>
      <c r="D52" s="82" t="str">
        <f>'SEGUIMIENTO Y MONITOREO'!E138</f>
        <v/>
      </c>
      <c r="E52" s="128" t="str">
        <f>'SEGUIMIENTO Y MONITOREO'!G138</f>
        <v/>
      </c>
      <c r="F52" s="128" t="str">
        <f>'SEGUIMIENTO Y MONITOREO'!H138</f>
        <v/>
      </c>
      <c r="G52" s="391" t="str">
        <f>IF('SEGUIMIENTO Y MONITOREO'!J138="NA","NA",'SEGUIMIENTO Y MONITOREO'!N138)</f>
        <v/>
      </c>
      <c r="H52" s="628"/>
      <c r="I52" s="391" t="str">
        <f>IF('SEGUIMIENTO Y MONITOREO'!T138="NA","NA",'SEGUIMIENTO Y MONITOREO'!X138)</f>
        <v/>
      </c>
      <c r="J52" s="628"/>
      <c r="K52" s="391" t="str">
        <f>IF('SEGUIMIENTO Y MONITOREO'!AD138="NA","NA",'SEGUIMIENTO Y MONITOREO'!AH138)</f>
        <v/>
      </c>
      <c r="L52" s="628"/>
      <c r="M52" s="628"/>
      <c r="N52" s="629"/>
      <c r="O52" s="629"/>
    </row>
    <row r="53" spans="1:15" ht="15.75" thickBot="1" x14ac:dyDescent="0.25">
      <c r="A53" s="590"/>
      <c r="B53" s="591"/>
      <c r="C53" s="82" t="str">
        <f>'SEGUIMIENTO Y MONITOREO'!D139</f>
        <v/>
      </c>
      <c r="D53" s="82" t="str">
        <f>'SEGUIMIENTO Y MONITOREO'!E139</f>
        <v/>
      </c>
      <c r="E53" s="128" t="str">
        <f>'SEGUIMIENTO Y MONITOREO'!G139</f>
        <v/>
      </c>
      <c r="F53" s="128" t="str">
        <f>'SEGUIMIENTO Y MONITOREO'!H139</f>
        <v/>
      </c>
      <c r="G53" s="391" t="str">
        <f>IF('SEGUIMIENTO Y MONITOREO'!J139="NA","NA",'SEGUIMIENTO Y MONITOREO'!N139)</f>
        <v/>
      </c>
      <c r="H53" s="628"/>
      <c r="I53" s="391" t="str">
        <f>IF('SEGUIMIENTO Y MONITOREO'!T139="NA","NA",'SEGUIMIENTO Y MONITOREO'!X139)</f>
        <v/>
      </c>
      <c r="J53" s="628"/>
      <c r="K53" s="391" t="str">
        <f>IF('SEGUIMIENTO Y MONITOREO'!AD139="NA","NA",'SEGUIMIENTO Y MONITOREO'!AH139)</f>
        <v/>
      </c>
      <c r="L53" s="628"/>
      <c r="M53" s="628"/>
      <c r="N53" s="629"/>
      <c r="O53" s="629"/>
    </row>
    <row r="54" spans="1:15" ht="39" customHeight="1" thickTop="1" x14ac:dyDescent="0.2">
      <c r="A54" s="588" t="str">
        <f>'SEGUIMIENTO Y MONITOREO'!A140</f>
        <v>16C</v>
      </c>
      <c r="B54" s="591" t="str">
        <f>'SEGUIMIENTO Y MONITOREO'!B140</f>
        <v xml:space="preserve">Gestión de Extensión y Proyección Social. Concentración de la información en una persona. </v>
      </c>
      <c r="C54" s="82" t="str">
        <f>'SEGUIMIENTO Y MONITOREO'!D140</f>
        <v>Socialización de los resultados de las actividades realizadas y por realizar.</v>
      </c>
      <c r="D54" s="82" t="str">
        <f>'SEGUIMIENTO Y MONITOREO'!E140</f>
        <v>Comunicados y registros</v>
      </c>
      <c r="E54" s="128">
        <f>'SEGUIMIENTO Y MONITOREO'!G140</f>
        <v>42398</v>
      </c>
      <c r="F54" s="128">
        <f>'SEGUIMIENTO Y MONITOREO'!H140</f>
        <v>42704</v>
      </c>
      <c r="G54" s="391">
        <f>IF('SEGUIMIENTO Y MONITOREO'!J140="NA","NA",'SEGUIMIENTO Y MONITOREO'!N140)</f>
        <v>0</v>
      </c>
      <c r="H54" s="628">
        <f>'SEGUIMIENTO Y MONITOREO'!AR140</f>
        <v>0</v>
      </c>
      <c r="I54" s="391">
        <f>IF('SEGUIMIENTO Y MONITOREO'!T140="NA","NA",'SEGUIMIENTO Y MONITOREO'!X140)</f>
        <v>0.6</v>
      </c>
      <c r="J54" s="628">
        <f>'SEGUIMIENTO Y MONITOREO'!AS140</f>
        <v>0.6</v>
      </c>
      <c r="K54" s="391" t="str">
        <f>IF('SEGUIMIENTO Y MONITOREO'!AD140="NA","NA",'SEGUIMIENTO Y MONITOREO'!AH140)</f>
        <v/>
      </c>
      <c r="L54" s="628" t="str">
        <f>'SEGUIMIENTO Y MONITOREO'!AU140</f>
        <v/>
      </c>
      <c r="M54" s="628">
        <f>'SEGUIMIENTO Y MONITOREO'!AW140</f>
        <v>0.6</v>
      </c>
      <c r="N54" s="629" t="str">
        <f>IF(M54="","",CONCATENATE(IF('SEGUIMIENTO Y MONITOREO'!AX140=0,"",'SEGUIMIENTO Y MONITOREO'!AX140),Datos!$Y$4,IF('SEGUIMIENTO Y MONITOREO'!AX141=0,"",'SEGUIMIENTO Y MONITOREO'!AX141),Datos!$Y$4,IF('SEGUIMIENTO Y MONITOREO'!AX142=0,"",'SEGUIMIENTO Y MONITOREO'!AX142)))</f>
        <v xml:space="preserve">Los informes son socializados 
</v>
      </c>
      <c r="O54" s="629"/>
    </row>
    <row r="55" spans="1:15" x14ac:dyDescent="0.2">
      <c r="A55" s="589"/>
      <c r="B55" s="591"/>
      <c r="C55" s="82" t="str">
        <f>'SEGUIMIENTO Y MONITOREO'!D141</f>
        <v/>
      </c>
      <c r="D55" s="82" t="str">
        <f>'SEGUIMIENTO Y MONITOREO'!E141</f>
        <v/>
      </c>
      <c r="E55" s="128" t="str">
        <f>'SEGUIMIENTO Y MONITOREO'!G141</f>
        <v/>
      </c>
      <c r="F55" s="128" t="str">
        <f>'SEGUIMIENTO Y MONITOREO'!H141</f>
        <v/>
      </c>
      <c r="G55" s="391" t="str">
        <f>IF('SEGUIMIENTO Y MONITOREO'!J141="NA","NA",'SEGUIMIENTO Y MONITOREO'!N141)</f>
        <v/>
      </c>
      <c r="H55" s="628"/>
      <c r="I55" s="391" t="str">
        <f>IF('SEGUIMIENTO Y MONITOREO'!T141="NA","NA",'SEGUIMIENTO Y MONITOREO'!X141)</f>
        <v/>
      </c>
      <c r="J55" s="628"/>
      <c r="K55" s="391" t="str">
        <f>IF('SEGUIMIENTO Y MONITOREO'!AD141="NA","NA",'SEGUIMIENTO Y MONITOREO'!AH141)</f>
        <v/>
      </c>
      <c r="L55" s="628"/>
      <c r="M55" s="628"/>
      <c r="N55" s="629"/>
      <c r="O55" s="629"/>
    </row>
    <row r="56" spans="1:15" ht="15.75" thickBot="1" x14ac:dyDescent="0.25">
      <c r="A56" s="590"/>
      <c r="B56" s="591"/>
      <c r="C56" s="82" t="str">
        <f>'SEGUIMIENTO Y MONITOREO'!D142</f>
        <v/>
      </c>
      <c r="D56" s="82" t="str">
        <f>'SEGUIMIENTO Y MONITOREO'!E142</f>
        <v/>
      </c>
      <c r="E56" s="128" t="str">
        <f>'SEGUIMIENTO Y MONITOREO'!G142</f>
        <v/>
      </c>
      <c r="F56" s="128" t="str">
        <f>'SEGUIMIENTO Y MONITOREO'!H142</f>
        <v/>
      </c>
      <c r="G56" s="391" t="str">
        <f>IF('SEGUIMIENTO Y MONITOREO'!J142="NA","NA",'SEGUIMIENTO Y MONITOREO'!N142)</f>
        <v/>
      </c>
      <c r="H56" s="628"/>
      <c r="I56" s="391" t="str">
        <f>IF('SEGUIMIENTO Y MONITOREO'!T142="NA","NA",'SEGUIMIENTO Y MONITOREO'!X142)</f>
        <v/>
      </c>
      <c r="J56" s="628"/>
      <c r="K56" s="391" t="str">
        <f>IF('SEGUIMIENTO Y MONITOREO'!AD142="NA","NA",'SEGUIMIENTO Y MONITOREO'!AH142)</f>
        <v/>
      </c>
      <c r="L56" s="628"/>
      <c r="M56" s="628"/>
      <c r="N56" s="629"/>
      <c r="O56" s="629"/>
    </row>
    <row r="57" spans="1:15" ht="39" customHeight="1" thickTop="1" x14ac:dyDescent="0.2">
      <c r="A57" s="588" t="str">
        <f>'SEGUIMIENTO Y MONITOREO'!A143</f>
        <v>17C</v>
      </c>
      <c r="B57" s="591" t="str">
        <f>'SEGUIMIENTO Y MONITOREO'!B143</f>
        <v xml:space="preserve">Gestión de Extensión y Proyección Social. Inadecuada ejecución de los recursos asignados </v>
      </c>
      <c r="C57" s="82" t="str">
        <f>'SEGUIMIENTO Y MONITOREO'!D143</f>
        <v>Divulgación de los resultados de los proyectos</v>
      </c>
      <c r="D57" s="82" t="str">
        <f>'SEGUIMIENTO Y MONITOREO'!E143</f>
        <v>Informes
Encuestas de satisfacción del usuario</v>
      </c>
      <c r="E57" s="128">
        <f>'SEGUIMIENTO Y MONITOREO'!G143</f>
        <v>42398</v>
      </c>
      <c r="F57" s="128">
        <f>'SEGUIMIENTO Y MONITOREO'!H143</f>
        <v>42704</v>
      </c>
      <c r="G57" s="391">
        <f>IF('SEGUIMIENTO Y MONITOREO'!J143="NA","NA",'SEGUIMIENTO Y MONITOREO'!N143)</f>
        <v>0</v>
      </c>
      <c r="H57" s="628">
        <f>'SEGUIMIENTO Y MONITOREO'!AR143</f>
        <v>0</v>
      </c>
      <c r="I57" s="391">
        <f>IF('SEGUIMIENTO Y MONITOREO'!T143="NA","NA",'SEGUIMIENTO Y MONITOREO'!X143)</f>
        <v>0.6</v>
      </c>
      <c r="J57" s="628">
        <f>'SEGUIMIENTO Y MONITOREO'!AS143</f>
        <v>0.6</v>
      </c>
      <c r="K57" s="391" t="str">
        <f>IF('SEGUIMIENTO Y MONITOREO'!AD143="NA","NA",'SEGUIMIENTO Y MONITOREO'!AH143)</f>
        <v/>
      </c>
      <c r="L57" s="628" t="str">
        <f>'SEGUIMIENTO Y MONITOREO'!AU143</f>
        <v/>
      </c>
      <c r="M57" s="628">
        <f>'SEGUIMIENTO Y MONITOREO'!AW143</f>
        <v>0.6</v>
      </c>
      <c r="N57" s="629" t="str">
        <f>IF(M57="","",CONCATENATE(IF('SEGUIMIENTO Y MONITOREO'!AX143=0,"",'SEGUIMIENTO Y MONITOREO'!AX143),Datos!$Y$4,IF('SEGUIMIENTO Y MONITOREO'!AX144=0,"",'SEGUIMIENTO Y MONITOREO'!AX144),Datos!$Y$4,IF('SEGUIMIENTO Y MONITOREO'!AX145=0,"",'SEGUIMIENTO Y MONITOREO'!AX145)))</f>
        <v xml:space="preserve">Se realizan encuestas de satisfacción
</v>
      </c>
      <c r="O57" s="629"/>
    </row>
    <row r="58" spans="1:15" x14ac:dyDescent="0.2">
      <c r="A58" s="589"/>
      <c r="B58" s="591"/>
      <c r="C58" s="82" t="str">
        <f>'SEGUIMIENTO Y MONITOREO'!D144</f>
        <v/>
      </c>
      <c r="D58" s="82" t="str">
        <f>'SEGUIMIENTO Y MONITOREO'!E144</f>
        <v/>
      </c>
      <c r="E58" s="128" t="str">
        <f>'SEGUIMIENTO Y MONITOREO'!G144</f>
        <v/>
      </c>
      <c r="F58" s="128" t="str">
        <f>'SEGUIMIENTO Y MONITOREO'!H144</f>
        <v/>
      </c>
      <c r="G58" s="391" t="str">
        <f>IF('SEGUIMIENTO Y MONITOREO'!J144="NA","NA",'SEGUIMIENTO Y MONITOREO'!N144)</f>
        <v/>
      </c>
      <c r="H58" s="628"/>
      <c r="I58" s="391" t="str">
        <f>IF('SEGUIMIENTO Y MONITOREO'!T144="NA","NA",'SEGUIMIENTO Y MONITOREO'!X144)</f>
        <v/>
      </c>
      <c r="J58" s="628"/>
      <c r="K58" s="391" t="str">
        <f>IF('SEGUIMIENTO Y MONITOREO'!AD144="NA","NA",'SEGUIMIENTO Y MONITOREO'!AH144)</f>
        <v/>
      </c>
      <c r="L58" s="628"/>
      <c r="M58" s="628"/>
      <c r="N58" s="629"/>
      <c r="O58" s="629"/>
    </row>
    <row r="59" spans="1:15" ht="15.75" thickBot="1" x14ac:dyDescent="0.25">
      <c r="A59" s="590"/>
      <c r="B59" s="591"/>
      <c r="C59" s="82" t="str">
        <f>'SEGUIMIENTO Y MONITOREO'!D145</f>
        <v/>
      </c>
      <c r="D59" s="82" t="str">
        <f>'SEGUIMIENTO Y MONITOREO'!E145</f>
        <v/>
      </c>
      <c r="E59" s="128" t="str">
        <f>'SEGUIMIENTO Y MONITOREO'!G145</f>
        <v/>
      </c>
      <c r="F59" s="128" t="str">
        <f>'SEGUIMIENTO Y MONITOREO'!H145</f>
        <v/>
      </c>
      <c r="G59" s="391" t="str">
        <f>IF('SEGUIMIENTO Y MONITOREO'!J145="NA","NA",'SEGUIMIENTO Y MONITOREO'!N145)</f>
        <v/>
      </c>
      <c r="H59" s="628"/>
      <c r="I59" s="391" t="str">
        <f>IF('SEGUIMIENTO Y MONITOREO'!T145="NA","NA",'SEGUIMIENTO Y MONITOREO'!X145)</f>
        <v/>
      </c>
      <c r="J59" s="628"/>
      <c r="K59" s="391" t="str">
        <f>IF('SEGUIMIENTO Y MONITOREO'!AD145="NA","NA",'SEGUIMIENTO Y MONITOREO'!AH145)</f>
        <v/>
      </c>
      <c r="L59" s="628"/>
      <c r="M59" s="628"/>
      <c r="N59" s="629"/>
      <c r="O59" s="629"/>
    </row>
    <row r="60" spans="1:15" ht="39" customHeight="1" thickTop="1" x14ac:dyDescent="0.2">
      <c r="A60" s="588" t="str">
        <f>'SEGUIMIENTO Y MONITOREO'!A146</f>
        <v>18C</v>
      </c>
      <c r="B60" s="591" t="str">
        <f>'SEGUIMIENTO Y MONITOREO'!B146</f>
        <v>Gestión de Extensión y Proyección Social. Extralimitación de funciones.</v>
      </c>
      <c r="C60" s="82" t="str">
        <f>'SEGUIMIENTO Y MONITOREO'!D146</f>
        <v>Establecer mecanismos eficientes de control.</v>
      </c>
      <c r="D60" s="82" t="str">
        <f>'SEGUIMIENTO Y MONITOREO'!E146</f>
        <v>Informes</v>
      </c>
      <c r="E60" s="128">
        <f>'SEGUIMIENTO Y MONITOREO'!G146</f>
        <v>42398</v>
      </c>
      <c r="F60" s="128">
        <f>'SEGUIMIENTO Y MONITOREO'!H146</f>
        <v>42704</v>
      </c>
      <c r="G60" s="391">
        <f>IF('SEGUIMIENTO Y MONITOREO'!J146="NA","NA",'SEGUIMIENTO Y MONITOREO'!N146)</f>
        <v>0</v>
      </c>
      <c r="H60" s="628">
        <f>'SEGUIMIENTO Y MONITOREO'!AR146</f>
        <v>0</v>
      </c>
      <c r="I60" s="391">
        <f>IF('SEGUIMIENTO Y MONITOREO'!T146="NA","NA",'SEGUIMIENTO Y MONITOREO'!X146)</f>
        <v>0.6</v>
      </c>
      <c r="J60" s="628">
        <f>'SEGUIMIENTO Y MONITOREO'!AS146</f>
        <v>0.6</v>
      </c>
      <c r="K60" s="391" t="str">
        <f>IF('SEGUIMIENTO Y MONITOREO'!AD146="NA","NA",'SEGUIMIENTO Y MONITOREO'!AH146)</f>
        <v/>
      </c>
      <c r="L60" s="628" t="str">
        <f>'SEGUIMIENTO Y MONITOREO'!AU146</f>
        <v/>
      </c>
      <c r="M60" s="628">
        <f>'SEGUIMIENTO Y MONITOREO'!AW146</f>
        <v>0.6</v>
      </c>
      <c r="N60" s="629" t="str">
        <f>IF(M60="","",CONCATENATE(IF('SEGUIMIENTO Y MONITOREO'!AX146=0,"",'SEGUIMIENTO Y MONITOREO'!AX146),Datos!$Y$4,IF('SEGUIMIENTO Y MONITOREO'!AX147=0,"",'SEGUIMIENTO Y MONITOREO'!AX147),Datos!$Y$4,IF('SEGUIMIENTO Y MONITOREO'!AX148=0,"",'SEGUIMIENTO Y MONITOREO'!AX148)))</f>
        <v xml:space="preserve">Se siguen ejecutando los controles
</v>
      </c>
      <c r="O60" s="629"/>
    </row>
    <row r="61" spans="1:15" x14ac:dyDescent="0.2">
      <c r="A61" s="589"/>
      <c r="B61" s="591"/>
      <c r="C61" s="82" t="str">
        <f>'SEGUIMIENTO Y MONITOREO'!D147</f>
        <v/>
      </c>
      <c r="D61" s="82" t="str">
        <f>'SEGUIMIENTO Y MONITOREO'!E147</f>
        <v/>
      </c>
      <c r="E61" s="128" t="str">
        <f>'SEGUIMIENTO Y MONITOREO'!G147</f>
        <v/>
      </c>
      <c r="F61" s="128" t="str">
        <f>'SEGUIMIENTO Y MONITOREO'!H147</f>
        <v/>
      </c>
      <c r="G61" s="391" t="str">
        <f>IF('SEGUIMIENTO Y MONITOREO'!J147="NA","NA",'SEGUIMIENTO Y MONITOREO'!N147)</f>
        <v/>
      </c>
      <c r="H61" s="628"/>
      <c r="I61" s="391" t="str">
        <f>IF('SEGUIMIENTO Y MONITOREO'!T147="NA","NA",'SEGUIMIENTO Y MONITOREO'!X147)</f>
        <v/>
      </c>
      <c r="J61" s="628"/>
      <c r="K61" s="391" t="str">
        <f>IF('SEGUIMIENTO Y MONITOREO'!AD147="NA","NA",'SEGUIMIENTO Y MONITOREO'!AH147)</f>
        <v/>
      </c>
      <c r="L61" s="628"/>
      <c r="M61" s="628"/>
      <c r="N61" s="629"/>
      <c r="O61" s="629"/>
    </row>
    <row r="62" spans="1:15" ht="15.75" thickBot="1" x14ac:dyDescent="0.25">
      <c r="A62" s="590"/>
      <c r="B62" s="591"/>
      <c r="C62" s="82" t="str">
        <f>'SEGUIMIENTO Y MONITOREO'!D148</f>
        <v/>
      </c>
      <c r="D62" s="82" t="str">
        <f>'SEGUIMIENTO Y MONITOREO'!E148</f>
        <v/>
      </c>
      <c r="E62" s="128" t="str">
        <f>'SEGUIMIENTO Y MONITOREO'!G148</f>
        <v/>
      </c>
      <c r="F62" s="128" t="str">
        <f>'SEGUIMIENTO Y MONITOREO'!H148</f>
        <v/>
      </c>
      <c r="G62" s="391" t="str">
        <f>IF('SEGUIMIENTO Y MONITOREO'!J148="NA","NA",'SEGUIMIENTO Y MONITOREO'!N148)</f>
        <v/>
      </c>
      <c r="H62" s="628"/>
      <c r="I62" s="391" t="str">
        <f>IF('SEGUIMIENTO Y MONITOREO'!T148="NA","NA",'SEGUIMIENTO Y MONITOREO'!X148)</f>
        <v/>
      </c>
      <c r="J62" s="628"/>
      <c r="K62" s="391" t="str">
        <f>IF('SEGUIMIENTO Y MONITOREO'!AD148="NA","NA",'SEGUIMIENTO Y MONITOREO'!AH148)</f>
        <v/>
      </c>
      <c r="L62" s="628"/>
      <c r="M62" s="628"/>
      <c r="N62" s="629"/>
      <c r="O62" s="629"/>
    </row>
    <row r="63" spans="1:15" ht="39" customHeight="1" thickTop="1" x14ac:dyDescent="0.2">
      <c r="A63" s="588" t="str">
        <f>'SEGUIMIENTO Y MONITOREO'!A149</f>
        <v>19C</v>
      </c>
      <c r="B63" s="591" t="str">
        <f>'SEGUIMIENTO Y MONITOREO'!B149</f>
        <v>Gestión de Extensión y Proyección Social. Omisión de la ley para beneficio propio.</v>
      </c>
      <c r="C63" s="82" t="str">
        <f>'SEGUIMIENTO Y MONITOREO'!D149</f>
        <v>Solicitud de asesoría legal suficiente.</v>
      </c>
      <c r="D63" s="82" t="str">
        <f>'SEGUIMIENTO Y MONITOREO'!E149</f>
        <v>Comunicados y registros</v>
      </c>
      <c r="E63" s="128">
        <f>'SEGUIMIENTO Y MONITOREO'!G149</f>
        <v>42398</v>
      </c>
      <c r="F63" s="128">
        <f>'SEGUIMIENTO Y MONITOREO'!H149</f>
        <v>42704</v>
      </c>
      <c r="G63" s="391">
        <f>IF('SEGUIMIENTO Y MONITOREO'!J149="NA","NA",'SEGUIMIENTO Y MONITOREO'!N149)</f>
        <v>0</v>
      </c>
      <c r="H63" s="628">
        <f>'SEGUIMIENTO Y MONITOREO'!AR149</f>
        <v>0</v>
      </c>
      <c r="I63" s="391">
        <f>IF('SEGUIMIENTO Y MONITOREO'!T149="NA","NA",'SEGUIMIENTO Y MONITOREO'!X149)</f>
        <v>0.6</v>
      </c>
      <c r="J63" s="628">
        <f>'SEGUIMIENTO Y MONITOREO'!AS149</f>
        <v>0.6</v>
      </c>
      <c r="K63" s="391" t="str">
        <f>IF('SEGUIMIENTO Y MONITOREO'!AD149="NA","NA",'SEGUIMIENTO Y MONITOREO'!AH149)</f>
        <v/>
      </c>
      <c r="L63" s="628" t="str">
        <f>'SEGUIMIENTO Y MONITOREO'!AU149</f>
        <v/>
      </c>
      <c r="M63" s="628">
        <f>'SEGUIMIENTO Y MONITOREO'!AW149</f>
        <v>0.6</v>
      </c>
      <c r="N63" s="629" t="str">
        <f>IF(M63="","",CONCATENATE(IF('SEGUIMIENTO Y MONITOREO'!AX149=0,"",'SEGUIMIENTO Y MONITOREO'!AX149),Datos!$Y$4,IF('SEGUIMIENTO Y MONITOREO'!AX150=0,"",'SEGUIMIENTO Y MONITOREO'!AX150),Datos!$Y$4,IF('SEGUIMIENTO Y MONITOREO'!AX151=0,"",'SEGUIMIENTO Y MONITOREO'!AX151)))</f>
        <v xml:space="preserve">Existe acompañamiento y asesoramiento jurídico
</v>
      </c>
      <c r="O63" s="629"/>
    </row>
    <row r="64" spans="1:15" x14ac:dyDescent="0.2">
      <c r="A64" s="589"/>
      <c r="B64" s="591"/>
      <c r="C64" s="82" t="str">
        <f>'SEGUIMIENTO Y MONITOREO'!D150</f>
        <v/>
      </c>
      <c r="D64" s="82" t="str">
        <f>'SEGUIMIENTO Y MONITOREO'!E150</f>
        <v/>
      </c>
      <c r="E64" s="128" t="str">
        <f>'SEGUIMIENTO Y MONITOREO'!G150</f>
        <v/>
      </c>
      <c r="F64" s="128" t="str">
        <f>'SEGUIMIENTO Y MONITOREO'!H150</f>
        <v/>
      </c>
      <c r="G64" s="391" t="str">
        <f>IF('SEGUIMIENTO Y MONITOREO'!J150="NA","NA",'SEGUIMIENTO Y MONITOREO'!N150)</f>
        <v/>
      </c>
      <c r="H64" s="628"/>
      <c r="I64" s="391" t="str">
        <f>IF('SEGUIMIENTO Y MONITOREO'!T150="NA","NA",'SEGUIMIENTO Y MONITOREO'!X150)</f>
        <v/>
      </c>
      <c r="J64" s="628"/>
      <c r="K64" s="391" t="str">
        <f>IF('SEGUIMIENTO Y MONITOREO'!AD150="NA","NA",'SEGUIMIENTO Y MONITOREO'!AH150)</f>
        <v/>
      </c>
      <c r="L64" s="628"/>
      <c r="M64" s="628"/>
      <c r="N64" s="629"/>
      <c r="O64" s="629"/>
    </row>
    <row r="65" spans="1:15" ht="15.75" thickBot="1" x14ac:dyDescent="0.25">
      <c r="A65" s="590"/>
      <c r="B65" s="591"/>
      <c r="C65" s="82" t="str">
        <f>'SEGUIMIENTO Y MONITOREO'!D151</f>
        <v/>
      </c>
      <c r="D65" s="82" t="str">
        <f>'SEGUIMIENTO Y MONITOREO'!E151</f>
        <v/>
      </c>
      <c r="E65" s="128" t="str">
        <f>'SEGUIMIENTO Y MONITOREO'!G151</f>
        <v/>
      </c>
      <c r="F65" s="128" t="str">
        <f>'SEGUIMIENTO Y MONITOREO'!H151</f>
        <v/>
      </c>
      <c r="G65" s="391" t="str">
        <f>IF('SEGUIMIENTO Y MONITOREO'!J151="NA","NA",'SEGUIMIENTO Y MONITOREO'!N151)</f>
        <v/>
      </c>
      <c r="H65" s="628"/>
      <c r="I65" s="391" t="str">
        <f>IF('SEGUIMIENTO Y MONITOREO'!T151="NA","NA",'SEGUIMIENTO Y MONITOREO'!X151)</f>
        <v/>
      </c>
      <c r="J65" s="628"/>
      <c r="K65" s="391" t="str">
        <f>IF('SEGUIMIENTO Y MONITOREO'!AD151="NA","NA",'SEGUIMIENTO Y MONITOREO'!AH151)</f>
        <v/>
      </c>
      <c r="L65" s="628"/>
      <c r="M65" s="628"/>
      <c r="N65" s="629"/>
      <c r="O65" s="629"/>
    </row>
    <row r="66" spans="1:15" ht="39" thickTop="1" x14ac:dyDescent="0.2">
      <c r="A66" s="588" t="str">
        <f>'SEGUIMIENTO Y MONITOREO'!A152</f>
        <v>20C</v>
      </c>
      <c r="B66" s="591" t="str">
        <f>'SEGUIMIENTO Y MONITOREO'!B152</f>
        <v>Gestión de Contratación. Pliegos de condiciones hechos a la medida de una firma en particular.</v>
      </c>
      <c r="C66" s="82" t="str">
        <f>'SEGUIMIENTO Y MONITOREO'!D152</f>
        <v>Seguir ejecutando y monitoreando los controles existentes</v>
      </c>
      <c r="D66" s="82" t="str">
        <f>'SEGUIMIENTO Y MONITOREO'!E152</f>
        <v/>
      </c>
      <c r="E66" s="128" t="str">
        <f>'SEGUIMIENTO Y MONITOREO'!G152</f>
        <v/>
      </c>
      <c r="F66" s="128" t="str">
        <f>'SEGUIMIENTO Y MONITOREO'!H152</f>
        <v/>
      </c>
      <c r="G66" s="391" t="str">
        <f>IF('SEGUIMIENTO Y MONITOREO'!J152="NA","NA",'SEGUIMIENTO Y MONITOREO'!N152)</f>
        <v>NA</v>
      </c>
      <c r="H66" s="628" t="str">
        <f>'SEGUIMIENTO Y MONITOREO'!AR152</f>
        <v>NA</v>
      </c>
      <c r="I66" s="391" t="str">
        <f>IF('SEGUIMIENTO Y MONITOREO'!T152="NA","NA",'SEGUIMIENTO Y MONITOREO'!X152)</f>
        <v>NA</v>
      </c>
      <c r="J66" s="628" t="str">
        <f>'SEGUIMIENTO Y MONITOREO'!AS152</f>
        <v>NA</v>
      </c>
      <c r="K66" s="391" t="str">
        <f>IF('SEGUIMIENTO Y MONITOREO'!AD152="NA","NA",'SEGUIMIENTO Y MONITOREO'!AH152)</f>
        <v/>
      </c>
      <c r="L66" s="628" t="str">
        <f>'SEGUIMIENTO Y MONITOREO'!AU152</f>
        <v/>
      </c>
      <c r="M66" s="628" t="str">
        <f>'SEGUIMIENTO Y MONITOREO'!AW152</f>
        <v>NA</v>
      </c>
      <c r="N66" s="629" t="str">
        <f>IF(M66="","",CONCATENATE(IF('SEGUIMIENTO Y MONITOREO'!AX152=0,"",'SEGUIMIENTO Y MONITOREO'!AX152),Datos!$Y$4,IF('SEGUIMIENTO Y MONITOREO'!AX153=0,"",'SEGUIMIENTO Y MONITOREO'!AX153),Datos!$Y$4,IF('SEGUIMIENTO Y MONITOREO'!AX154=0,"",'SEGUIMIENTO Y MONITOREO'!AX154)))</f>
        <v xml:space="preserve">
</v>
      </c>
      <c r="O66" s="629"/>
    </row>
    <row r="67" spans="1:15" x14ac:dyDescent="0.2">
      <c r="A67" s="589"/>
      <c r="B67" s="591"/>
      <c r="C67" s="82" t="str">
        <f>'SEGUIMIENTO Y MONITOREO'!D153</f>
        <v/>
      </c>
      <c r="D67" s="82" t="str">
        <f>'SEGUIMIENTO Y MONITOREO'!E153</f>
        <v/>
      </c>
      <c r="E67" s="128" t="str">
        <f>'SEGUIMIENTO Y MONITOREO'!G153</f>
        <v/>
      </c>
      <c r="F67" s="128" t="str">
        <f>'SEGUIMIENTO Y MONITOREO'!H153</f>
        <v/>
      </c>
      <c r="G67" s="391" t="str">
        <f>IF('SEGUIMIENTO Y MONITOREO'!J153="NA","NA",'SEGUIMIENTO Y MONITOREO'!N153)</f>
        <v/>
      </c>
      <c r="H67" s="628"/>
      <c r="I67" s="391" t="str">
        <f>IF('SEGUIMIENTO Y MONITOREO'!T153="NA","NA",'SEGUIMIENTO Y MONITOREO'!X153)</f>
        <v/>
      </c>
      <c r="J67" s="628"/>
      <c r="K67" s="391" t="str">
        <f>IF('SEGUIMIENTO Y MONITOREO'!AD153="NA","NA",'SEGUIMIENTO Y MONITOREO'!AH153)</f>
        <v/>
      </c>
      <c r="L67" s="628"/>
      <c r="M67" s="628"/>
      <c r="N67" s="629"/>
      <c r="O67" s="629"/>
    </row>
    <row r="68" spans="1:15" ht="15.75" thickBot="1" x14ac:dyDescent="0.25">
      <c r="A68" s="590"/>
      <c r="B68" s="591"/>
      <c r="C68" s="82" t="str">
        <f>'SEGUIMIENTO Y MONITOREO'!D154</f>
        <v/>
      </c>
      <c r="D68" s="82" t="str">
        <f>'SEGUIMIENTO Y MONITOREO'!E154</f>
        <v/>
      </c>
      <c r="E68" s="128" t="str">
        <f>'SEGUIMIENTO Y MONITOREO'!G154</f>
        <v/>
      </c>
      <c r="F68" s="128" t="str">
        <f>'SEGUIMIENTO Y MONITOREO'!H154</f>
        <v/>
      </c>
      <c r="G68" s="391" t="str">
        <f>IF('SEGUIMIENTO Y MONITOREO'!J154="NA","NA",'SEGUIMIENTO Y MONITOREO'!N154)</f>
        <v/>
      </c>
      <c r="H68" s="628"/>
      <c r="I68" s="391" t="str">
        <f>IF('SEGUIMIENTO Y MONITOREO'!T154="NA","NA",'SEGUIMIENTO Y MONITOREO'!X154)</f>
        <v/>
      </c>
      <c r="J68" s="628"/>
      <c r="K68" s="391" t="str">
        <f>IF('SEGUIMIENTO Y MONITOREO'!AD154="NA","NA",'SEGUIMIENTO Y MONITOREO'!AH154)</f>
        <v/>
      </c>
      <c r="L68" s="628"/>
      <c r="M68" s="628"/>
      <c r="N68" s="629"/>
      <c r="O68" s="629"/>
    </row>
    <row r="69" spans="1:15" ht="39" customHeight="1" thickTop="1" x14ac:dyDescent="0.2">
      <c r="A69" s="588" t="str">
        <f>'SEGUIMIENTO Y MONITOREO'!A155</f>
        <v>21C</v>
      </c>
      <c r="B69" s="591" t="str">
        <f>'SEGUIMIENTO Y MONITOREO'!B155</f>
        <v xml:space="preserve">Gestión Financiera. Pago de obligaciones sin el lleno de requisitos. </v>
      </c>
      <c r="C69" s="82" t="str">
        <f>'SEGUIMIENTO Y MONITOREO'!D155</f>
        <v>Verificación de los requisitos legales, contables, tributarios y administrativos</v>
      </c>
      <c r="D69" s="82" t="str">
        <f>'SEGUIMIENTO Y MONITOREO'!E155</f>
        <v>Ordenes de Pago con los respectivos soportes</v>
      </c>
      <c r="E69" s="128">
        <f>'SEGUIMIENTO Y MONITOREO'!G155</f>
        <v>42373</v>
      </c>
      <c r="F69" s="128">
        <f>'SEGUIMIENTO Y MONITOREO'!H155</f>
        <v>42735</v>
      </c>
      <c r="G69" s="391">
        <f>IF('SEGUIMIENTO Y MONITOREO'!J155="NA","NA",'SEGUIMIENTO Y MONITOREO'!N155)</f>
        <v>0.25</v>
      </c>
      <c r="H69" s="628">
        <f>'SEGUIMIENTO Y MONITOREO'!AR155</f>
        <v>0.25</v>
      </c>
      <c r="I69" s="391">
        <f>IF('SEGUIMIENTO Y MONITOREO'!T155="NA","NA",'SEGUIMIENTO Y MONITOREO'!X155)</f>
        <v>0.6</v>
      </c>
      <c r="J69" s="628">
        <f>'SEGUIMIENTO Y MONITOREO'!AS155</f>
        <v>0.6</v>
      </c>
      <c r="K69" s="391" t="str">
        <f>IF('SEGUIMIENTO Y MONITOREO'!AD155="NA","NA",'SEGUIMIENTO Y MONITOREO'!AH155)</f>
        <v/>
      </c>
      <c r="L69" s="628" t="str">
        <f>'SEGUIMIENTO Y MONITOREO'!AU155</f>
        <v/>
      </c>
      <c r="M69" s="628">
        <f>'SEGUIMIENTO Y MONITOREO'!AW155</f>
        <v>0.6</v>
      </c>
      <c r="N69" s="629" t="str">
        <f>IF(M69="","",CONCATENATE(IF('SEGUIMIENTO Y MONITOREO'!AX155=0,"",'SEGUIMIENTO Y MONITOREO'!AX155),Datos!$Y$4,IF('SEGUIMIENTO Y MONITOREO'!AX156=0,"",'SEGUIMIENTO Y MONITOREO'!AX156),Datos!$Y$4,IF('SEGUIMIENTO Y MONITOREO'!AX157=0,"",'SEGUIMIENTO Y MONITOREO'!AX157)))</f>
        <v xml:space="preserve">Verificación de ordenes de pago con requisitos legales, contables y administrativos
</v>
      </c>
      <c r="O69" s="629"/>
    </row>
    <row r="70" spans="1:15" x14ac:dyDescent="0.2">
      <c r="A70" s="589"/>
      <c r="B70" s="591"/>
      <c r="C70" s="82" t="str">
        <f>'SEGUIMIENTO Y MONITOREO'!D156</f>
        <v/>
      </c>
      <c r="D70" s="82" t="str">
        <f>'SEGUIMIENTO Y MONITOREO'!E156</f>
        <v/>
      </c>
      <c r="E70" s="128" t="str">
        <f>'SEGUIMIENTO Y MONITOREO'!G156</f>
        <v/>
      </c>
      <c r="F70" s="128" t="str">
        <f>'SEGUIMIENTO Y MONITOREO'!H156</f>
        <v/>
      </c>
      <c r="G70" s="391" t="str">
        <f>IF('SEGUIMIENTO Y MONITOREO'!J156="NA","NA",'SEGUIMIENTO Y MONITOREO'!N156)</f>
        <v/>
      </c>
      <c r="H70" s="628"/>
      <c r="I70" s="391" t="str">
        <f>IF('SEGUIMIENTO Y MONITOREO'!T156="NA","NA",'SEGUIMIENTO Y MONITOREO'!X156)</f>
        <v/>
      </c>
      <c r="J70" s="628"/>
      <c r="K70" s="391" t="str">
        <f>IF('SEGUIMIENTO Y MONITOREO'!AD156="NA","NA",'SEGUIMIENTO Y MONITOREO'!AH156)</f>
        <v/>
      </c>
      <c r="L70" s="628"/>
      <c r="M70" s="628"/>
      <c r="N70" s="629"/>
      <c r="O70" s="629"/>
    </row>
    <row r="71" spans="1:15" ht="15.75" thickBot="1" x14ac:dyDescent="0.25">
      <c r="A71" s="590"/>
      <c r="B71" s="591"/>
      <c r="C71" s="82" t="str">
        <f>'SEGUIMIENTO Y MONITOREO'!D157</f>
        <v/>
      </c>
      <c r="D71" s="82" t="str">
        <f>'SEGUIMIENTO Y MONITOREO'!E157</f>
        <v/>
      </c>
      <c r="E71" s="128" t="str">
        <f>'SEGUIMIENTO Y MONITOREO'!G157</f>
        <v/>
      </c>
      <c r="F71" s="128" t="str">
        <f>'SEGUIMIENTO Y MONITOREO'!H157</f>
        <v/>
      </c>
      <c r="G71" s="391" t="str">
        <f>IF('SEGUIMIENTO Y MONITOREO'!J157="NA","NA",'SEGUIMIENTO Y MONITOREO'!N157)</f>
        <v/>
      </c>
      <c r="H71" s="628"/>
      <c r="I71" s="391" t="str">
        <f>IF('SEGUIMIENTO Y MONITOREO'!T157="NA","NA",'SEGUIMIENTO Y MONITOREO'!X157)</f>
        <v/>
      </c>
      <c r="J71" s="628"/>
      <c r="K71" s="391" t="str">
        <f>IF('SEGUIMIENTO Y MONITOREO'!AD157="NA","NA",'SEGUIMIENTO Y MONITOREO'!AH157)</f>
        <v/>
      </c>
      <c r="L71" s="628"/>
      <c r="M71" s="628"/>
      <c r="N71" s="629"/>
      <c r="O71" s="629"/>
    </row>
    <row r="72" spans="1:15" ht="39" customHeight="1" thickTop="1" x14ac:dyDescent="0.2">
      <c r="A72" s="588" t="str">
        <f>'SEGUIMIENTO Y MONITOREO'!A158</f>
        <v>22C</v>
      </c>
      <c r="B72" s="591" t="str">
        <f>'SEGUIMIENTO Y MONITOREO'!B158</f>
        <v>Gestión Financiera. Perdida de titulos valores</v>
      </c>
      <c r="C72" s="82" t="str">
        <f>'SEGUIMIENTO Y MONITOREO'!D158</f>
        <v>Verificar los títulos valores custodiados.</v>
      </c>
      <c r="D72" s="82" t="str">
        <f>'SEGUIMIENTO Y MONITOREO'!E158</f>
        <v>Arqueo Titulos valores de la caja fuerte</v>
      </c>
      <c r="E72" s="128">
        <f>'SEGUIMIENTO Y MONITOREO'!G158</f>
        <v>42373</v>
      </c>
      <c r="F72" s="128">
        <f>'SEGUIMIENTO Y MONITOREO'!H158</f>
        <v>42735</v>
      </c>
      <c r="G72" s="391">
        <f>IF('SEGUIMIENTO Y MONITOREO'!J158="NA","NA",'SEGUIMIENTO Y MONITOREO'!N158)</f>
        <v>0.25</v>
      </c>
      <c r="H72" s="628">
        <f>'SEGUIMIENTO Y MONITOREO'!AR158</f>
        <v>0.25</v>
      </c>
      <c r="I72" s="391">
        <f>IF('SEGUIMIENTO Y MONITOREO'!T158="NA","NA",'SEGUIMIENTO Y MONITOREO'!X158)</f>
        <v>0.6</v>
      </c>
      <c r="J72" s="628">
        <f>'SEGUIMIENTO Y MONITOREO'!AS158</f>
        <v>0.6</v>
      </c>
      <c r="K72" s="391" t="str">
        <f>IF('SEGUIMIENTO Y MONITOREO'!AD158="NA","NA",'SEGUIMIENTO Y MONITOREO'!AH158)</f>
        <v/>
      </c>
      <c r="L72" s="628" t="str">
        <f>'SEGUIMIENTO Y MONITOREO'!AU158</f>
        <v/>
      </c>
      <c r="M72" s="628">
        <f>'SEGUIMIENTO Y MONITOREO'!AW158</f>
        <v>0.6</v>
      </c>
      <c r="N72" s="629" t="str">
        <f>IF(M72="","",CONCATENATE(IF('SEGUIMIENTO Y MONITOREO'!AX158=0,"",'SEGUIMIENTO Y MONITOREO'!AX158),Datos!$Y$4,IF('SEGUIMIENTO Y MONITOREO'!AX159=0,"",'SEGUIMIENTO Y MONITOREO'!AX159),Datos!$Y$4,IF('SEGUIMIENTO Y MONITOREO'!AX160=0,"",'SEGUIMIENTO Y MONITOREO'!AX160)))</f>
        <v xml:space="preserve">Verificar titulos valores de las cuentas no retiradas y confrontarlo con conciliaciones bancarias
</v>
      </c>
      <c r="O72" s="629"/>
    </row>
    <row r="73" spans="1:15" x14ac:dyDescent="0.2">
      <c r="A73" s="589"/>
      <c r="B73" s="591"/>
      <c r="C73" s="82" t="str">
        <f>'SEGUIMIENTO Y MONITOREO'!D159</f>
        <v/>
      </c>
      <c r="D73" s="82" t="str">
        <f>'SEGUIMIENTO Y MONITOREO'!E159</f>
        <v/>
      </c>
      <c r="E73" s="128" t="str">
        <f>'SEGUIMIENTO Y MONITOREO'!G159</f>
        <v/>
      </c>
      <c r="F73" s="128" t="str">
        <f>'SEGUIMIENTO Y MONITOREO'!H159</f>
        <v/>
      </c>
      <c r="G73" s="391" t="str">
        <f>IF('SEGUIMIENTO Y MONITOREO'!J159="NA","NA",'SEGUIMIENTO Y MONITOREO'!N159)</f>
        <v/>
      </c>
      <c r="H73" s="628"/>
      <c r="I73" s="391" t="str">
        <f>IF('SEGUIMIENTO Y MONITOREO'!T159="NA","NA",'SEGUIMIENTO Y MONITOREO'!X159)</f>
        <v/>
      </c>
      <c r="J73" s="628"/>
      <c r="K73" s="391" t="str">
        <f>IF('SEGUIMIENTO Y MONITOREO'!AD159="NA","NA",'SEGUIMIENTO Y MONITOREO'!AH159)</f>
        <v/>
      </c>
      <c r="L73" s="628"/>
      <c r="M73" s="628"/>
      <c r="N73" s="629"/>
      <c r="O73" s="629"/>
    </row>
    <row r="74" spans="1:15" ht="15.75" thickBot="1" x14ac:dyDescent="0.25">
      <c r="A74" s="590"/>
      <c r="B74" s="591"/>
      <c r="C74" s="82" t="str">
        <f>'SEGUIMIENTO Y MONITOREO'!D160</f>
        <v/>
      </c>
      <c r="D74" s="82" t="str">
        <f>'SEGUIMIENTO Y MONITOREO'!E160</f>
        <v/>
      </c>
      <c r="E74" s="128" t="str">
        <f>'SEGUIMIENTO Y MONITOREO'!G160</f>
        <v/>
      </c>
      <c r="F74" s="128" t="str">
        <f>'SEGUIMIENTO Y MONITOREO'!H160</f>
        <v/>
      </c>
      <c r="G74" s="391" t="str">
        <f>IF('SEGUIMIENTO Y MONITOREO'!J160="NA","NA",'SEGUIMIENTO Y MONITOREO'!N160)</f>
        <v/>
      </c>
      <c r="H74" s="628"/>
      <c r="I74" s="391" t="str">
        <f>IF('SEGUIMIENTO Y MONITOREO'!T160="NA","NA",'SEGUIMIENTO Y MONITOREO'!X160)</f>
        <v/>
      </c>
      <c r="J74" s="628"/>
      <c r="K74" s="391" t="str">
        <f>IF('SEGUIMIENTO Y MONITOREO'!AD160="NA","NA",'SEGUIMIENTO Y MONITOREO'!AH160)</f>
        <v/>
      </c>
      <c r="L74" s="628"/>
      <c r="M74" s="628"/>
      <c r="N74" s="629"/>
      <c r="O74" s="629"/>
    </row>
    <row r="75" spans="1:15" ht="39" customHeight="1" thickTop="1" x14ac:dyDescent="0.2">
      <c r="A75" s="588" t="str">
        <f>'SEGUIMIENTO Y MONITOREO'!A161</f>
        <v>23C</v>
      </c>
      <c r="B75" s="591" t="str">
        <f>'SEGUIMIENTO Y MONITOREO'!B161</f>
        <v>Gestión Financiera. Omisión en la aplicación  de la normatividad vigente en los procesos de la Gestión Financiera</v>
      </c>
      <c r="C75" s="82" t="str">
        <f>'SEGUIMIENTO Y MONITOREO'!D161</f>
        <v>Realizar reuniones con equipo financiero para unificación de criterios</v>
      </c>
      <c r="D75" s="82" t="str">
        <f>'SEGUIMIENTO Y MONITOREO'!E161</f>
        <v>Actas de reunion trimestral</v>
      </c>
      <c r="E75" s="128">
        <f>'SEGUIMIENTO Y MONITOREO'!G161</f>
        <v>42373</v>
      </c>
      <c r="F75" s="128">
        <f>'SEGUIMIENTO Y MONITOREO'!H161</f>
        <v>42735</v>
      </c>
      <c r="G75" s="391">
        <f>IF('SEGUIMIENTO Y MONITOREO'!J161="NA","NA",'SEGUIMIENTO Y MONITOREO'!N161)</f>
        <v>0.25</v>
      </c>
      <c r="H75" s="628">
        <f>'SEGUIMIENTO Y MONITOREO'!AR161</f>
        <v>0.25</v>
      </c>
      <c r="I75" s="391">
        <f>IF('SEGUIMIENTO Y MONITOREO'!T161="NA","NA",'SEGUIMIENTO Y MONITOREO'!X161)</f>
        <v>0.6</v>
      </c>
      <c r="J75" s="628">
        <f>'SEGUIMIENTO Y MONITOREO'!AS161</f>
        <v>0.6</v>
      </c>
      <c r="K75" s="391" t="str">
        <f>IF('SEGUIMIENTO Y MONITOREO'!AD161="NA","NA",'SEGUIMIENTO Y MONITOREO'!AH161)</f>
        <v/>
      </c>
      <c r="L75" s="628" t="str">
        <f>'SEGUIMIENTO Y MONITOREO'!AU161</f>
        <v/>
      </c>
      <c r="M75" s="628">
        <f>'SEGUIMIENTO Y MONITOREO'!AW161</f>
        <v>0.6</v>
      </c>
      <c r="N75" s="629" t="str">
        <f>IF(M75="","",CONCATENATE(IF('SEGUIMIENTO Y MONITOREO'!AX161=0,"",'SEGUIMIENTO Y MONITOREO'!AX161),Datos!$Y$4,IF('SEGUIMIENTO Y MONITOREO'!AX162=0,"",'SEGUIMIENTO Y MONITOREO'!AX162),Datos!$Y$4,IF('SEGUIMIENTO Y MONITOREO'!AX163=0,"",'SEGUIMIENTO Y MONITOREO'!AX163)))</f>
        <v xml:space="preserve">Reuniones correpondiente al segundo cuatrimestre con el animo de consolidar informes
</v>
      </c>
      <c r="O75" s="629"/>
    </row>
    <row r="76" spans="1:15" x14ac:dyDescent="0.2">
      <c r="A76" s="589"/>
      <c r="B76" s="591"/>
      <c r="C76" s="82" t="str">
        <f>'SEGUIMIENTO Y MONITOREO'!D162</f>
        <v/>
      </c>
      <c r="D76" s="82" t="str">
        <f>'SEGUIMIENTO Y MONITOREO'!E162</f>
        <v/>
      </c>
      <c r="E76" s="128" t="str">
        <f>'SEGUIMIENTO Y MONITOREO'!G162</f>
        <v/>
      </c>
      <c r="F76" s="128" t="str">
        <f>'SEGUIMIENTO Y MONITOREO'!H162</f>
        <v/>
      </c>
      <c r="G76" s="391" t="str">
        <f>IF('SEGUIMIENTO Y MONITOREO'!J162="NA","NA",'SEGUIMIENTO Y MONITOREO'!N162)</f>
        <v/>
      </c>
      <c r="H76" s="628"/>
      <c r="I76" s="391" t="str">
        <f>IF('SEGUIMIENTO Y MONITOREO'!T162="NA","NA",'SEGUIMIENTO Y MONITOREO'!X162)</f>
        <v/>
      </c>
      <c r="J76" s="628"/>
      <c r="K76" s="391" t="str">
        <f>IF('SEGUIMIENTO Y MONITOREO'!AD162="NA","NA",'SEGUIMIENTO Y MONITOREO'!AH162)</f>
        <v/>
      </c>
      <c r="L76" s="628"/>
      <c r="M76" s="628"/>
      <c r="N76" s="629"/>
      <c r="O76" s="629"/>
    </row>
    <row r="77" spans="1:15" ht="15.75" thickBot="1" x14ac:dyDescent="0.25">
      <c r="A77" s="590"/>
      <c r="B77" s="591"/>
      <c r="C77" s="82" t="str">
        <f>'SEGUIMIENTO Y MONITOREO'!D163</f>
        <v/>
      </c>
      <c r="D77" s="82" t="str">
        <f>'SEGUIMIENTO Y MONITOREO'!E163</f>
        <v/>
      </c>
      <c r="E77" s="128" t="str">
        <f>'SEGUIMIENTO Y MONITOREO'!G163</f>
        <v/>
      </c>
      <c r="F77" s="128" t="str">
        <f>'SEGUIMIENTO Y MONITOREO'!H163</f>
        <v/>
      </c>
      <c r="G77" s="391" t="str">
        <f>IF('SEGUIMIENTO Y MONITOREO'!J163="NA","NA",'SEGUIMIENTO Y MONITOREO'!N163)</f>
        <v/>
      </c>
      <c r="H77" s="628"/>
      <c r="I77" s="391" t="str">
        <f>IF('SEGUIMIENTO Y MONITOREO'!T163="NA","NA",'SEGUIMIENTO Y MONITOREO'!X163)</f>
        <v/>
      </c>
      <c r="J77" s="628"/>
      <c r="K77" s="391" t="str">
        <f>IF('SEGUIMIENTO Y MONITOREO'!AD163="NA","NA",'SEGUIMIENTO Y MONITOREO'!AH163)</f>
        <v/>
      </c>
      <c r="L77" s="628"/>
      <c r="M77" s="628"/>
      <c r="N77" s="629"/>
      <c r="O77" s="629"/>
    </row>
    <row r="78" spans="1:15" ht="39" thickTop="1" x14ac:dyDescent="0.2">
      <c r="A78" s="588" t="str">
        <f>'SEGUIMIENTO Y MONITOREO'!A164</f>
        <v>24C</v>
      </c>
      <c r="B78" s="591" t="str">
        <f>'SEGUIMIENTO Y MONITOREO'!B164</f>
        <v xml:space="preserve">Apoyo Tecnológico TIC. Vulnerabilidad de la Información </v>
      </c>
      <c r="C78" s="82" t="str">
        <f>'SEGUIMIENTO Y MONITOREO'!D164</f>
        <v>Contratar la seguridad gestionada a través de firewall perimetral</v>
      </c>
      <c r="D78" s="82" t="str">
        <f>'SEGUIMIENTO Y MONITOREO'!E164</f>
        <v>Contrato</v>
      </c>
      <c r="E78" s="128">
        <f>'SEGUIMIENTO Y MONITOREO'!G164</f>
        <v>42495</v>
      </c>
      <c r="F78" s="128">
        <f>'SEGUIMIENTO Y MONITOREO'!H164</f>
        <v>42735</v>
      </c>
      <c r="G78" s="391" t="str">
        <f>IF('SEGUIMIENTO Y MONITOREO'!J164="NA","NA",'SEGUIMIENTO Y MONITOREO'!N164)</f>
        <v>NA</v>
      </c>
      <c r="H78" s="628" t="str">
        <f>'SEGUIMIENTO Y MONITOREO'!AR164</f>
        <v>NA</v>
      </c>
      <c r="I78" s="391">
        <f>IF('SEGUIMIENTO Y MONITOREO'!T164="NA","NA",'SEGUIMIENTO Y MONITOREO'!X164)</f>
        <v>0</v>
      </c>
      <c r="J78" s="628">
        <f>'SEGUIMIENTO Y MONITOREO'!AS164</f>
        <v>0.33333333333333331</v>
      </c>
      <c r="K78" s="391" t="str">
        <f>IF('SEGUIMIENTO Y MONITOREO'!AD164="NA","NA",'SEGUIMIENTO Y MONITOREO'!AH164)</f>
        <v/>
      </c>
      <c r="L78" s="628" t="str">
        <f>'SEGUIMIENTO Y MONITOREO'!AU164</f>
        <v/>
      </c>
      <c r="M78" s="628">
        <f>'SEGUIMIENTO Y MONITOREO'!AW164</f>
        <v>0.33333333333333331</v>
      </c>
      <c r="N78" s="629" t="str">
        <f>IF(M78="","",CONCATENATE(IF('SEGUIMIENTO Y MONITOREO'!AX164=0,"",'SEGUIMIENTO Y MONITOREO'!AX164),Datos!$Y$4,IF('SEGUIMIENTO Y MONITOREO'!AX165=0,"",'SEGUIMIENTO Y MONITOREO'!AX165),Datos!$Y$4,IF('SEGUIMIENTO Y MONITOREO'!AX166=0,"",'SEGUIMIENTO Y MONITOREO'!AX166)))</f>
        <v>No se evidencio avance
No se evidencio avance
Guía disponible en el Sistema  formato TI-G04 y procedimiento  TI- P08</v>
      </c>
      <c r="O78" s="629"/>
    </row>
    <row r="79" spans="1:15" ht="15" customHeight="1" x14ac:dyDescent="0.2">
      <c r="A79" s="589"/>
      <c r="B79" s="591"/>
      <c r="C79" s="82" t="str">
        <f>'SEGUIMIENTO Y MONITOREO'!D165</f>
        <v>Documentar los controles existentes</v>
      </c>
      <c r="D79" s="82" t="str">
        <f>'SEGUIMIENTO Y MONITOREO'!E165</f>
        <v>Controles documentados</v>
      </c>
      <c r="E79" s="128">
        <f>'SEGUIMIENTO Y MONITOREO'!G165</f>
        <v>42495</v>
      </c>
      <c r="F79" s="128">
        <f>'SEGUIMIENTO Y MONITOREO'!H165</f>
        <v>42735</v>
      </c>
      <c r="G79" s="391" t="str">
        <f>IF('SEGUIMIENTO Y MONITOREO'!J165="NA","NA",'SEGUIMIENTO Y MONITOREO'!N165)</f>
        <v>NA</v>
      </c>
      <c r="H79" s="628"/>
      <c r="I79" s="391">
        <f>IF('SEGUIMIENTO Y MONITOREO'!T165="NA","NA",'SEGUIMIENTO Y MONITOREO'!X165)</f>
        <v>0</v>
      </c>
      <c r="J79" s="628"/>
      <c r="K79" s="391" t="str">
        <f>IF('SEGUIMIENTO Y MONITOREO'!AD165="NA","NA",'SEGUIMIENTO Y MONITOREO'!AH165)</f>
        <v/>
      </c>
      <c r="L79" s="628"/>
      <c r="M79" s="628"/>
      <c r="N79" s="629"/>
      <c r="O79" s="629"/>
    </row>
    <row r="80" spans="1:15" ht="15.75" customHeight="1" thickBot="1" x14ac:dyDescent="0.25">
      <c r="A80" s="590"/>
      <c r="B80" s="591"/>
      <c r="C80" s="82" t="str">
        <f>'SEGUIMIENTO Y MONITOREO'!D166</f>
        <v>Realización de un Plan de Manejo y uso de la Información Institucional</v>
      </c>
      <c r="D80" s="82" t="str">
        <f>'SEGUIMIENTO Y MONITOREO'!E166</f>
        <v>Plan</v>
      </c>
      <c r="E80" s="128">
        <f>'SEGUIMIENTO Y MONITOREO'!G166</f>
        <v>42495</v>
      </c>
      <c r="F80" s="128">
        <f>'SEGUIMIENTO Y MONITOREO'!H166</f>
        <v>42735</v>
      </c>
      <c r="G80" s="391" t="str">
        <f>IF('SEGUIMIENTO Y MONITOREO'!J166="NA","NA",'SEGUIMIENTO Y MONITOREO'!N166)</f>
        <v>NA</v>
      </c>
      <c r="H80" s="628"/>
      <c r="I80" s="391">
        <f>IF('SEGUIMIENTO Y MONITOREO'!T166="NA","NA",'SEGUIMIENTO Y MONITOREO'!X166)</f>
        <v>1</v>
      </c>
      <c r="J80" s="628"/>
      <c r="K80" s="391" t="str">
        <f>IF('SEGUIMIENTO Y MONITOREO'!AD166="NA","NA",'SEGUIMIENTO Y MONITOREO'!AH166)</f>
        <v/>
      </c>
      <c r="L80" s="628"/>
      <c r="M80" s="628"/>
      <c r="N80" s="629"/>
      <c r="O80" s="629"/>
    </row>
    <row r="81" spans="1:15" ht="39" thickTop="1" x14ac:dyDescent="0.2">
      <c r="A81" s="588" t="str">
        <f>'SEGUIMIENTO Y MONITOREO'!A167</f>
        <v>25C</v>
      </c>
      <c r="B81" s="591" t="str">
        <f>'SEGUIMIENTO Y MONITOREO'!B167</f>
        <v xml:space="preserve">Gestión Documental. Entregar un título o certificado sin los requisitos para ello </v>
      </c>
      <c r="C81" s="82" t="str">
        <f>'SEGUIMIENTO Y MONITOREO'!D167</f>
        <v xml:space="preserve">Seguir ejecutando y monitoreando los controles existentes </v>
      </c>
      <c r="D81" s="82" t="str">
        <f>'SEGUIMIENTO Y MONITOREO'!E167</f>
        <v/>
      </c>
      <c r="E81" s="128" t="str">
        <f>'SEGUIMIENTO Y MONITOREO'!G167</f>
        <v/>
      </c>
      <c r="F81" s="128" t="str">
        <f>'SEGUIMIENTO Y MONITOREO'!H167</f>
        <v/>
      </c>
      <c r="G81" s="391" t="str">
        <f>IF('SEGUIMIENTO Y MONITOREO'!J167="NA","NA",'SEGUIMIENTO Y MONITOREO'!N167)</f>
        <v>NA</v>
      </c>
      <c r="H81" s="628" t="str">
        <f>'SEGUIMIENTO Y MONITOREO'!AR167</f>
        <v>NA</v>
      </c>
      <c r="I81" s="391" t="str">
        <f>IF('SEGUIMIENTO Y MONITOREO'!T167="NA","NA",'SEGUIMIENTO Y MONITOREO'!X167)</f>
        <v>NA</v>
      </c>
      <c r="J81" s="628" t="str">
        <f>'SEGUIMIENTO Y MONITOREO'!AS167</f>
        <v>NA</v>
      </c>
      <c r="K81" s="391" t="str">
        <f>IF('SEGUIMIENTO Y MONITOREO'!AD167="NA","NA",'SEGUIMIENTO Y MONITOREO'!AH167)</f>
        <v/>
      </c>
      <c r="L81" s="628" t="str">
        <f>'SEGUIMIENTO Y MONITOREO'!AU167</f>
        <v/>
      </c>
      <c r="M81" s="628" t="str">
        <f>'SEGUIMIENTO Y MONITOREO'!AW167</f>
        <v>NA</v>
      </c>
      <c r="N81" s="629" t="str">
        <f>IF(M81="","",CONCATENATE(IF('SEGUIMIENTO Y MONITOREO'!AX167=0,"",'SEGUIMIENTO Y MONITOREO'!AX167),Datos!$Y$4,IF('SEGUIMIENTO Y MONITOREO'!AX168=0,"",'SEGUIMIENTO Y MONITOREO'!AX168),Datos!$Y$4,IF('SEGUIMIENTO Y MONITOREO'!AX169=0,"",'SEGUIMIENTO Y MONITOREO'!AX169)))</f>
        <v xml:space="preserve">
</v>
      </c>
      <c r="O81" s="629"/>
    </row>
    <row r="82" spans="1:15" x14ac:dyDescent="0.2">
      <c r="A82" s="589"/>
      <c r="B82" s="591"/>
      <c r="C82" s="82" t="str">
        <f>'SEGUIMIENTO Y MONITOREO'!D168</f>
        <v/>
      </c>
      <c r="D82" s="82" t="str">
        <f>'SEGUIMIENTO Y MONITOREO'!E168</f>
        <v/>
      </c>
      <c r="E82" s="128" t="str">
        <f>'SEGUIMIENTO Y MONITOREO'!G168</f>
        <v/>
      </c>
      <c r="F82" s="128" t="str">
        <f>'SEGUIMIENTO Y MONITOREO'!H168</f>
        <v/>
      </c>
      <c r="G82" s="391" t="str">
        <f>IF('SEGUIMIENTO Y MONITOREO'!J168="NA","NA",'SEGUIMIENTO Y MONITOREO'!N168)</f>
        <v/>
      </c>
      <c r="H82" s="628"/>
      <c r="I82" s="391" t="str">
        <f>IF('SEGUIMIENTO Y MONITOREO'!T168="NA","NA",'SEGUIMIENTO Y MONITOREO'!X168)</f>
        <v/>
      </c>
      <c r="J82" s="628"/>
      <c r="K82" s="391" t="str">
        <f>IF('SEGUIMIENTO Y MONITOREO'!AD168="NA","NA",'SEGUIMIENTO Y MONITOREO'!AH168)</f>
        <v/>
      </c>
      <c r="L82" s="628"/>
      <c r="M82" s="628"/>
      <c r="N82" s="629"/>
      <c r="O82" s="629"/>
    </row>
    <row r="83" spans="1:15" ht="15.75" thickBot="1" x14ac:dyDescent="0.25">
      <c r="A83" s="590"/>
      <c r="B83" s="591"/>
      <c r="C83" s="82" t="str">
        <f>'SEGUIMIENTO Y MONITOREO'!D169</f>
        <v/>
      </c>
      <c r="D83" s="82" t="str">
        <f>'SEGUIMIENTO Y MONITOREO'!E169</f>
        <v/>
      </c>
      <c r="E83" s="128" t="str">
        <f>'SEGUIMIENTO Y MONITOREO'!G169</f>
        <v/>
      </c>
      <c r="F83" s="128" t="str">
        <f>'SEGUIMIENTO Y MONITOREO'!H169</f>
        <v/>
      </c>
      <c r="G83" s="391" t="str">
        <f>IF('SEGUIMIENTO Y MONITOREO'!J169="NA","NA",'SEGUIMIENTO Y MONITOREO'!N169)</f>
        <v/>
      </c>
      <c r="H83" s="628"/>
      <c r="I83" s="391" t="str">
        <f>IF('SEGUIMIENTO Y MONITOREO'!T169="NA","NA",'SEGUIMIENTO Y MONITOREO'!X169)</f>
        <v/>
      </c>
      <c r="J83" s="628"/>
      <c r="K83" s="391" t="str">
        <f>IF('SEGUIMIENTO Y MONITOREO'!AD169="NA","NA",'SEGUIMIENTO Y MONITOREO'!AH169)</f>
        <v/>
      </c>
      <c r="L83" s="628"/>
      <c r="M83" s="628"/>
      <c r="N83" s="629"/>
      <c r="O83" s="629"/>
    </row>
    <row r="84" spans="1:15" ht="39" thickTop="1" x14ac:dyDescent="0.2">
      <c r="A84" s="588" t="str">
        <f>'SEGUIMIENTO Y MONITOREO'!A170</f>
        <v>26C</v>
      </c>
      <c r="B84" s="591" t="str">
        <f>'SEGUIMIENTO Y MONITOREO'!B170</f>
        <v>Gestión Documental. Expedición de un certificado de título falso</v>
      </c>
      <c r="C84" s="82" t="str">
        <f>'SEGUIMIENTO Y MONITOREO'!D170</f>
        <v xml:space="preserve">Seguir ejecutando y monitoreando los controles existentes </v>
      </c>
      <c r="D84" s="82" t="str">
        <f>'SEGUIMIENTO Y MONITOREO'!E170</f>
        <v/>
      </c>
      <c r="E84" s="128" t="str">
        <f>'SEGUIMIENTO Y MONITOREO'!G170</f>
        <v/>
      </c>
      <c r="F84" s="128" t="str">
        <f>'SEGUIMIENTO Y MONITOREO'!H170</f>
        <v/>
      </c>
      <c r="G84" s="391" t="str">
        <f>IF('SEGUIMIENTO Y MONITOREO'!J170="NA","NA",'SEGUIMIENTO Y MONITOREO'!N170)</f>
        <v>NA</v>
      </c>
      <c r="H84" s="628" t="str">
        <f>'SEGUIMIENTO Y MONITOREO'!AR170</f>
        <v>NA</v>
      </c>
      <c r="I84" s="391" t="str">
        <f>IF('SEGUIMIENTO Y MONITOREO'!T170="NA","NA",'SEGUIMIENTO Y MONITOREO'!X170)</f>
        <v>NA</v>
      </c>
      <c r="J84" s="628" t="str">
        <f>'SEGUIMIENTO Y MONITOREO'!AS170</f>
        <v>NA</v>
      </c>
      <c r="K84" s="391" t="str">
        <f>IF('SEGUIMIENTO Y MONITOREO'!AD170="NA","NA",'SEGUIMIENTO Y MONITOREO'!AH170)</f>
        <v/>
      </c>
      <c r="L84" s="628" t="str">
        <f>'SEGUIMIENTO Y MONITOREO'!AU170</f>
        <v/>
      </c>
      <c r="M84" s="628" t="str">
        <f>'SEGUIMIENTO Y MONITOREO'!AW170</f>
        <v>NA</v>
      </c>
      <c r="N84" s="629" t="str">
        <f>IF(M84="","",CONCATENATE(IF('SEGUIMIENTO Y MONITOREO'!AX170=0,"",'SEGUIMIENTO Y MONITOREO'!AX170),Datos!$Y$4,IF('SEGUIMIENTO Y MONITOREO'!AX171=0,"",'SEGUIMIENTO Y MONITOREO'!AX171),Datos!$Y$4,IF('SEGUIMIENTO Y MONITOREO'!AX172=0,"",'SEGUIMIENTO Y MONITOREO'!AX172)))</f>
        <v xml:space="preserve">
</v>
      </c>
      <c r="O84" s="629"/>
    </row>
    <row r="85" spans="1:15" x14ac:dyDescent="0.2">
      <c r="A85" s="589"/>
      <c r="B85" s="591"/>
      <c r="C85" s="82" t="str">
        <f>'SEGUIMIENTO Y MONITOREO'!D171</f>
        <v/>
      </c>
      <c r="D85" s="82" t="str">
        <f>'SEGUIMIENTO Y MONITOREO'!E171</f>
        <v/>
      </c>
      <c r="E85" s="128" t="str">
        <f>'SEGUIMIENTO Y MONITOREO'!G171</f>
        <v/>
      </c>
      <c r="F85" s="128" t="str">
        <f>'SEGUIMIENTO Y MONITOREO'!H171</f>
        <v/>
      </c>
      <c r="G85" s="391" t="str">
        <f>IF('SEGUIMIENTO Y MONITOREO'!J171="NA","NA",'SEGUIMIENTO Y MONITOREO'!N171)</f>
        <v/>
      </c>
      <c r="H85" s="628"/>
      <c r="I85" s="391" t="str">
        <f>IF('SEGUIMIENTO Y MONITOREO'!T171="NA","NA",'SEGUIMIENTO Y MONITOREO'!X171)</f>
        <v/>
      </c>
      <c r="J85" s="628"/>
      <c r="K85" s="391" t="str">
        <f>IF('SEGUIMIENTO Y MONITOREO'!AD171="NA","NA",'SEGUIMIENTO Y MONITOREO'!AH171)</f>
        <v/>
      </c>
      <c r="L85" s="628"/>
      <c r="M85" s="628"/>
      <c r="N85" s="629"/>
      <c r="O85" s="629"/>
    </row>
    <row r="86" spans="1:15" ht="15.75" thickBot="1" x14ac:dyDescent="0.25">
      <c r="A86" s="590"/>
      <c r="B86" s="591"/>
      <c r="C86" s="82" t="str">
        <f>'SEGUIMIENTO Y MONITOREO'!D172</f>
        <v/>
      </c>
      <c r="D86" s="82" t="str">
        <f>'SEGUIMIENTO Y MONITOREO'!E172</f>
        <v/>
      </c>
      <c r="E86" s="128" t="str">
        <f>'SEGUIMIENTO Y MONITOREO'!G172</f>
        <v/>
      </c>
      <c r="F86" s="128" t="str">
        <f>'SEGUIMIENTO Y MONITOREO'!H172</f>
        <v/>
      </c>
      <c r="G86" s="391" t="str">
        <f>IF('SEGUIMIENTO Y MONITOREO'!J172="NA","NA",'SEGUIMIENTO Y MONITOREO'!N172)</f>
        <v/>
      </c>
      <c r="H86" s="628"/>
      <c r="I86" s="391" t="str">
        <f>IF('SEGUIMIENTO Y MONITOREO'!T172="NA","NA",'SEGUIMIENTO Y MONITOREO'!X172)</f>
        <v/>
      </c>
      <c r="J86" s="628"/>
      <c r="K86" s="391" t="str">
        <f>IF('SEGUIMIENTO Y MONITOREO'!AD172="NA","NA",'SEGUIMIENTO Y MONITOREO'!AH172)</f>
        <v/>
      </c>
      <c r="L86" s="628"/>
      <c r="M86" s="628"/>
      <c r="N86" s="629"/>
      <c r="O86" s="629"/>
    </row>
    <row r="87" spans="1:15" ht="39" customHeight="1" thickTop="1" x14ac:dyDescent="0.2">
      <c r="A87" s="588" t="str">
        <f>'SEGUIMIENTO Y MONITOREO'!A173</f>
        <v>27C</v>
      </c>
      <c r="B87" s="591" t="str">
        <f>'SEGUIMIENTO Y MONITOREO'!B173</f>
        <v>Gestión del Talento Humano. Concentración de información de determinadas actividades o procesos en una persona.</v>
      </c>
      <c r="C87" s="82" t="str">
        <f>'SEGUIMIENTO Y MONITOREO'!D173</f>
        <v>Revisión y actualización de los procedimientos de la Gestión del Talento Humano</v>
      </c>
      <c r="D87" s="82" t="str">
        <f>'SEGUIMIENTO Y MONITOREO'!E173</f>
        <v>Procedimientos actualizados</v>
      </c>
      <c r="E87" s="128">
        <f>'SEGUIMIENTO Y MONITOREO'!G173</f>
        <v>42430</v>
      </c>
      <c r="F87" s="128">
        <f>'SEGUIMIENTO Y MONITOREO'!H173</f>
        <v>42735</v>
      </c>
      <c r="G87" s="391">
        <f>IF('SEGUIMIENTO Y MONITOREO'!J173="NA","NA",'SEGUIMIENTO Y MONITOREO'!N173)</f>
        <v>0.05</v>
      </c>
      <c r="H87" s="628">
        <f>'SEGUIMIENTO Y MONITOREO'!AR173</f>
        <v>4.9999999999999996E-2</v>
      </c>
      <c r="I87" s="391">
        <f>IF('SEGUIMIENTO Y MONITOREO'!T173="NA","NA",'SEGUIMIENTO Y MONITOREO'!X173)</f>
        <v>0.05</v>
      </c>
      <c r="J87" s="628">
        <f>'SEGUIMIENTO Y MONITOREO'!AS173</f>
        <v>4.9999999999999996E-2</v>
      </c>
      <c r="K87" s="391" t="str">
        <f>IF('SEGUIMIENTO Y MONITOREO'!AD173="NA","NA",'SEGUIMIENTO Y MONITOREO'!AH173)</f>
        <v/>
      </c>
      <c r="L87" s="628" t="str">
        <f>'SEGUIMIENTO Y MONITOREO'!AU173</f>
        <v/>
      </c>
      <c r="M87" s="628">
        <f>'SEGUIMIENTO Y MONITOREO'!AW173</f>
        <v>4.9999999999999996E-2</v>
      </c>
      <c r="N87" s="629" t="str">
        <f>IF(M87="","",CONCATENATE(IF('SEGUIMIENTO Y MONITOREO'!AX173=0,"",'SEGUIMIENTO Y MONITOREO'!AX173),Datos!$Y$4,IF('SEGUIMIENTO Y MONITOREO'!AX174=0,"",'SEGUIMIENTO Y MONITOREO'!AX174),Datos!$Y$4,IF('SEGUIMIENTO Y MONITOREO'!AX175=0,"",'SEGUIMIENTO Y MONITOREO'!AX175)))</f>
        <v xml:space="preserve">Se encuentran en proceso de revision inicial y validacion
</v>
      </c>
      <c r="O87" s="629"/>
    </row>
    <row r="88" spans="1:15" x14ac:dyDescent="0.2">
      <c r="A88" s="589"/>
      <c r="B88" s="591"/>
      <c r="C88" s="82" t="str">
        <f>'SEGUIMIENTO Y MONITOREO'!D174</f>
        <v/>
      </c>
      <c r="D88" s="82" t="str">
        <f>'SEGUIMIENTO Y MONITOREO'!E174</f>
        <v/>
      </c>
      <c r="E88" s="128" t="str">
        <f>'SEGUIMIENTO Y MONITOREO'!G174</f>
        <v/>
      </c>
      <c r="F88" s="128" t="str">
        <f>'SEGUIMIENTO Y MONITOREO'!H174</f>
        <v/>
      </c>
      <c r="G88" s="391" t="str">
        <f>IF('SEGUIMIENTO Y MONITOREO'!J174="NA","NA",'SEGUIMIENTO Y MONITOREO'!N174)</f>
        <v/>
      </c>
      <c r="H88" s="628"/>
      <c r="I88" s="391" t="str">
        <f>IF('SEGUIMIENTO Y MONITOREO'!T174="NA","NA",'SEGUIMIENTO Y MONITOREO'!X174)</f>
        <v/>
      </c>
      <c r="J88" s="628"/>
      <c r="K88" s="391" t="str">
        <f>IF('SEGUIMIENTO Y MONITOREO'!AD174="NA","NA",'SEGUIMIENTO Y MONITOREO'!AH174)</f>
        <v/>
      </c>
      <c r="L88" s="628"/>
      <c r="M88" s="628"/>
      <c r="N88" s="629"/>
      <c r="O88" s="629"/>
    </row>
    <row r="89" spans="1:15" ht="15.75" thickBot="1" x14ac:dyDescent="0.25">
      <c r="A89" s="590"/>
      <c r="B89" s="591"/>
      <c r="C89" s="82" t="str">
        <f>'SEGUIMIENTO Y MONITOREO'!D175</f>
        <v/>
      </c>
      <c r="D89" s="82" t="str">
        <f>'SEGUIMIENTO Y MONITOREO'!E175</f>
        <v/>
      </c>
      <c r="E89" s="128" t="str">
        <f>'SEGUIMIENTO Y MONITOREO'!G175</f>
        <v/>
      </c>
      <c r="F89" s="128" t="str">
        <f>'SEGUIMIENTO Y MONITOREO'!H175</f>
        <v/>
      </c>
      <c r="G89" s="391" t="str">
        <f>IF('SEGUIMIENTO Y MONITOREO'!J175="NA","NA",'SEGUIMIENTO Y MONITOREO'!N175)</f>
        <v/>
      </c>
      <c r="H89" s="628"/>
      <c r="I89" s="391" t="str">
        <f>IF('SEGUIMIENTO Y MONITOREO'!T175="NA","NA",'SEGUIMIENTO Y MONITOREO'!X175)</f>
        <v/>
      </c>
      <c r="J89" s="628"/>
      <c r="K89" s="391" t="str">
        <f>IF('SEGUIMIENTO Y MONITOREO'!AD175="NA","NA",'SEGUIMIENTO Y MONITOREO'!AH175)</f>
        <v/>
      </c>
      <c r="L89" s="628"/>
      <c r="M89" s="628"/>
      <c r="N89" s="629"/>
      <c r="O89" s="629"/>
    </row>
    <row r="90" spans="1:15" ht="39" customHeight="1" thickTop="1" x14ac:dyDescent="0.2">
      <c r="A90" s="588" t="str">
        <f>'SEGUIMIENTO Y MONITOREO'!A176</f>
        <v>28C</v>
      </c>
      <c r="B90" s="591" t="str">
        <f>'SEGUIMIENTO Y MONITOREO'!B176</f>
        <v>Gestión del Talento Humano. Decisiones no ajustadas a la normatividad legal.</v>
      </c>
      <c r="C90" s="82" t="str">
        <f>'SEGUIMIENTO Y MONITOREO'!D176</f>
        <v>Revisión y actualización el Normograma y los procedimientos de la Gestión del Talento Humano</v>
      </c>
      <c r="D90" s="82" t="str">
        <f>'SEGUIMIENTO Y MONITOREO'!E176</f>
        <v>Normograma actualizado</v>
      </c>
      <c r="E90" s="128">
        <f>'SEGUIMIENTO Y MONITOREO'!G176</f>
        <v>42430</v>
      </c>
      <c r="F90" s="128">
        <f>'SEGUIMIENTO Y MONITOREO'!H176</f>
        <v>42735</v>
      </c>
      <c r="G90" s="391">
        <f>IF('SEGUIMIENTO Y MONITOREO'!J176="NA","NA",'SEGUIMIENTO Y MONITOREO'!N176)</f>
        <v>0.85</v>
      </c>
      <c r="H90" s="628">
        <f>'SEGUIMIENTO Y MONITOREO'!AR176</f>
        <v>0.85</v>
      </c>
      <c r="I90" s="391">
        <f>IF('SEGUIMIENTO Y MONITOREO'!T176="NA","NA",'SEGUIMIENTO Y MONITOREO'!X176)</f>
        <v>0.85</v>
      </c>
      <c r="J90" s="628">
        <f>'SEGUIMIENTO Y MONITOREO'!AS176</f>
        <v>0.85</v>
      </c>
      <c r="K90" s="391" t="str">
        <f>IF('SEGUIMIENTO Y MONITOREO'!AD176="NA","NA",'SEGUIMIENTO Y MONITOREO'!AH176)</f>
        <v/>
      </c>
      <c r="L90" s="628" t="str">
        <f>'SEGUIMIENTO Y MONITOREO'!AU176</f>
        <v/>
      </c>
      <c r="M90" s="628">
        <f>'SEGUIMIENTO Y MONITOREO'!AW176</f>
        <v>0.85</v>
      </c>
      <c r="N90" s="629" t="str">
        <f>IF(M90="","",CONCATENATE(IF('SEGUIMIENTO Y MONITOREO'!AX176=0,"",'SEGUIMIENTO Y MONITOREO'!AX176),Datos!$Y$4,IF('SEGUIMIENTO Y MONITOREO'!AX177=0,"",'SEGUIMIENTO Y MONITOREO'!AX177),Datos!$Y$4,IF('SEGUIMIENTO Y MONITOREO'!AX178=0,"",'SEGUIMIENTO Y MONITOREO'!AX178)))</f>
        <v xml:space="preserve">Se solicitó una actualización con corte a 30/03/2016.
</v>
      </c>
      <c r="O90" s="629"/>
    </row>
    <row r="91" spans="1:15" x14ac:dyDescent="0.2">
      <c r="A91" s="589"/>
      <c r="B91" s="591"/>
      <c r="C91" s="82" t="str">
        <f>'SEGUIMIENTO Y MONITOREO'!D177</f>
        <v/>
      </c>
      <c r="D91" s="82" t="str">
        <f>'SEGUIMIENTO Y MONITOREO'!E177</f>
        <v/>
      </c>
      <c r="E91" s="128" t="str">
        <f>'SEGUIMIENTO Y MONITOREO'!G177</f>
        <v/>
      </c>
      <c r="F91" s="128" t="str">
        <f>'SEGUIMIENTO Y MONITOREO'!H177</f>
        <v/>
      </c>
      <c r="G91" s="391" t="str">
        <f>IF('SEGUIMIENTO Y MONITOREO'!J177="NA","NA",'SEGUIMIENTO Y MONITOREO'!N177)</f>
        <v/>
      </c>
      <c r="H91" s="628"/>
      <c r="I91" s="391" t="str">
        <f>IF('SEGUIMIENTO Y MONITOREO'!T177="NA","NA",'SEGUIMIENTO Y MONITOREO'!X177)</f>
        <v/>
      </c>
      <c r="J91" s="628"/>
      <c r="K91" s="391" t="str">
        <f>IF('SEGUIMIENTO Y MONITOREO'!AD177="NA","NA",'SEGUIMIENTO Y MONITOREO'!AH177)</f>
        <v/>
      </c>
      <c r="L91" s="628"/>
      <c r="M91" s="628"/>
      <c r="N91" s="629"/>
      <c r="O91" s="629"/>
    </row>
    <row r="92" spans="1:15" ht="15.75" thickBot="1" x14ac:dyDescent="0.25">
      <c r="A92" s="590"/>
      <c r="B92" s="591"/>
      <c r="C92" s="82" t="str">
        <f>'SEGUIMIENTO Y MONITOREO'!D178</f>
        <v/>
      </c>
      <c r="D92" s="82" t="str">
        <f>'SEGUIMIENTO Y MONITOREO'!E178</f>
        <v/>
      </c>
      <c r="E92" s="128" t="str">
        <f>'SEGUIMIENTO Y MONITOREO'!G178</f>
        <v/>
      </c>
      <c r="F92" s="128" t="str">
        <f>'SEGUIMIENTO Y MONITOREO'!H178</f>
        <v/>
      </c>
      <c r="G92" s="391" t="str">
        <f>IF('SEGUIMIENTO Y MONITOREO'!J178="NA","NA",'SEGUIMIENTO Y MONITOREO'!N178)</f>
        <v/>
      </c>
      <c r="H92" s="628"/>
      <c r="I92" s="391" t="str">
        <f>IF('SEGUIMIENTO Y MONITOREO'!T178="NA","NA",'SEGUIMIENTO Y MONITOREO'!X178)</f>
        <v/>
      </c>
      <c r="J92" s="628"/>
      <c r="K92" s="391" t="str">
        <f>IF('SEGUIMIENTO Y MONITOREO'!AD178="NA","NA",'SEGUIMIENTO Y MONITOREO'!AH178)</f>
        <v/>
      </c>
      <c r="L92" s="628"/>
      <c r="M92" s="628"/>
      <c r="N92" s="629"/>
      <c r="O92" s="629"/>
    </row>
    <row r="93" spans="1:15" ht="39" thickTop="1" x14ac:dyDescent="0.2">
      <c r="A93" s="588" t="str">
        <f>'SEGUIMIENTO Y MONITOREO'!A179</f>
        <v>29C</v>
      </c>
      <c r="B93" s="591" t="str">
        <f>'SEGUIMIENTO Y MONITOREO'!B179</f>
        <v>Gestión de Admisiones y Registro. Manipulación de resultados del examen  de admisión.</v>
      </c>
      <c r="C93" s="82" t="str">
        <f>'SEGUIMIENTO Y MONITOREO'!D179</f>
        <v>Seguir ejecutando y monitoreando los controles existentes.</v>
      </c>
      <c r="D93" s="82" t="str">
        <f>'SEGUIMIENTO Y MONITOREO'!E179</f>
        <v/>
      </c>
      <c r="E93" s="128" t="str">
        <f>'SEGUIMIENTO Y MONITOREO'!G179</f>
        <v/>
      </c>
      <c r="F93" s="128" t="str">
        <f>'SEGUIMIENTO Y MONITOREO'!H179</f>
        <v/>
      </c>
      <c r="G93" s="391" t="str">
        <f>IF('SEGUIMIENTO Y MONITOREO'!J179="NA","NA",'SEGUIMIENTO Y MONITOREO'!N179)</f>
        <v>NA</v>
      </c>
      <c r="H93" s="628" t="str">
        <f>'SEGUIMIENTO Y MONITOREO'!AR179</f>
        <v>NA</v>
      </c>
      <c r="I93" s="391" t="str">
        <f>IF('SEGUIMIENTO Y MONITOREO'!T179="NA","NA",'SEGUIMIENTO Y MONITOREO'!X179)</f>
        <v>NA</v>
      </c>
      <c r="J93" s="628" t="str">
        <f>'SEGUIMIENTO Y MONITOREO'!AS179</f>
        <v>NA</v>
      </c>
      <c r="K93" s="391" t="str">
        <f>IF('SEGUIMIENTO Y MONITOREO'!AD179="NA","NA",'SEGUIMIENTO Y MONITOREO'!AH179)</f>
        <v/>
      </c>
      <c r="L93" s="628" t="str">
        <f>'SEGUIMIENTO Y MONITOREO'!AU179</f>
        <v/>
      </c>
      <c r="M93" s="628" t="str">
        <f>'SEGUIMIENTO Y MONITOREO'!AW179</f>
        <v>NA</v>
      </c>
      <c r="N93" s="629" t="str">
        <f>IF(M93="","",CONCATENATE(IF('SEGUIMIENTO Y MONITOREO'!AX179=0,"",'SEGUIMIENTO Y MONITOREO'!AX179),Datos!$Y$4,IF('SEGUIMIENTO Y MONITOREO'!AX180=0,"",'SEGUIMIENTO Y MONITOREO'!AX180),Datos!$Y$4,IF('SEGUIMIENTO Y MONITOREO'!AX181=0,"",'SEGUIMIENTO Y MONITOREO'!AX181)))</f>
        <v xml:space="preserve">
</v>
      </c>
      <c r="O93" s="629"/>
    </row>
    <row r="94" spans="1:15" x14ac:dyDescent="0.2">
      <c r="A94" s="589"/>
      <c r="B94" s="591"/>
      <c r="C94" s="82" t="str">
        <f>'SEGUIMIENTO Y MONITOREO'!D180</f>
        <v/>
      </c>
      <c r="D94" s="82" t="str">
        <f>'SEGUIMIENTO Y MONITOREO'!E180</f>
        <v/>
      </c>
      <c r="E94" s="128" t="str">
        <f>'SEGUIMIENTO Y MONITOREO'!G180</f>
        <v/>
      </c>
      <c r="F94" s="128" t="str">
        <f>'SEGUIMIENTO Y MONITOREO'!H180</f>
        <v/>
      </c>
      <c r="G94" s="391" t="str">
        <f>IF('SEGUIMIENTO Y MONITOREO'!J180="NA","NA",'SEGUIMIENTO Y MONITOREO'!N180)</f>
        <v/>
      </c>
      <c r="H94" s="628"/>
      <c r="I94" s="391" t="str">
        <f>IF('SEGUIMIENTO Y MONITOREO'!T180="NA","NA",'SEGUIMIENTO Y MONITOREO'!X180)</f>
        <v/>
      </c>
      <c r="J94" s="628"/>
      <c r="K94" s="391" t="str">
        <f>IF('SEGUIMIENTO Y MONITOREO'!AD180="NA","NA",'SEGUIMIENTO Y MONITOREO'!AH180)</f>
        <v/>
      </c>
      <c r="L94" s="628"/>
      <c r="M94" s="628"/>
      <c r="N94" s="629"/>
      <c r="O94" s="629"/>
    </row>
    <row r="95" spans="1:15" ht="15.75" thickBot="1" x14ac:dyDescent="0.25">
      <c r="A95" s="590"/>
      <c r="B95" s="591"/>
      <c r="C95" s="82" t="str">
        <f>'SEGUIMIENTO Y MONITOREO'!D181</f>
        <v/>
      </c>
      <c r="D95" s="82" t="str">
        <f>'SEGUIMIENTO Y MONITOREO'!E181</f>
        <v/>
      </c>
      <c r="E95" s="128" t="str">
        <f>'SEGUIMIENTO Y MONITOREO'!G181</f>
        <v/>
      </c>
      <c r="F95" s="128" t="str">
        <f>'SEGUIMIENTO Y MONITOREO'!H181</f>
        <v/>
      </c>
      <c r="G95" s="391" t="str">
        <f>IF('SEGUIMIENTO Y MONITOREO'!J181="NA","NA",'SEGUIMIENTO Y MONITOREO'!N181)</f>
        <v/>
      </c>
      <c r="H95" s="628"/>
      <c r="I95" s="391" t="str">
        <f>IF('SEGUIMIENTO Y MONITOREO'!T181="NA","NA",'SEGUIMIENTO Y MONITOREO'!X181)</f>
        <v/>
      </c>
      <c r="J95" s="628"/>
      <c r="K95" s="391" t="str">
        <f>IF('SEGUIMIENTO Y MONITOREO'!AD181="NA","NA",'SEGUIMIENTO Y MONITOREO'!AH181)</f>
        <v/>
      </c>
      <c r="L95" s="628"/>
      <c r="M95" s="628"/>
      <c r="N95" s="629"/>
      <c r="O95" s="629"/>
    </row>
    <row r="96" spans="1:15" ht="39" thickTop="1" x14ac:dyDescent="0.2">
      <c r="A96" s="588" t="str">
        <f>'SEGUIMIENTO Y MONITOREO'!A182</f>
        <v>30C</v>
      </c>
      <c r="B96" s="591" t="str">
        <f>'SEGUIMIENTO Y MONITOREO'!B182</f>
        <v>Gestión de Admisiones y Registro. Alteración de notas de estudiantes.</v>
      </c>
      <c r="C96" s="82" t="str">
        <f>'SEGUIMIENTO Y MONITOREO'!D182</f>
        <v>Seguir ejecutando y monitoreando los controles existentes.</v>
      </c>
      <c r="D96" s="82" t="str">
        <f>'SEGUIMIENTO Y MONITOREO'!E182</f>
        <v/>
      </c>
      <c r="E96" s="128" t="str">
        <f>'SEGUIMIENTO Y MONITOREO'!G182</f>
        <v/>
      </c>
      <c r="F96" s="128" t="str">
        <f>'SEGUIMIENTO Y MONITOREO'!H182</f>
        <v/>
      </c>
      <c r="G96" s="391" t="str">
        <f>IF('SEGUIMIENTO Y MONITOREO'!J182="NA","NA",'SEGUIMIENTO Y MONITOREO'!N182)</f>
        <v>NA</v>
      </c>
      <c r="H96" s="628" t="str">
        <f>'SEGUIMIENTO Y MONITOREO'!AR182</f>
        <v>NA</v>
      </c>
      <c r="I96" s="391" t="str">
        <f>IF('SEGUIMIENTO Y MONITOREO'!T182="NA","NA",'SEGUIMIENTO Y MONITOREO'!X182)</f>
        <v>NA</v>
      </c>
      <c r="J96" s="628" t="str">
        <f>'SEGUIMIENTO Y MONITOREO'!AS182</f>
        <v>NA</v>
      </c>
      <c r="K96" s="391" t="str">
        <f>IF('SEGUIMIENTO Y MONITOREO'!AD182="NA","NA",'SEGUIMIENTO Y MONITOREO'!AH182)</f>
        <v/>
      </c>
      <c r="L96" s="628" t="str">
        <f>'SEGUIMIENTO Y MONITOREO'!AU182</f>
        <v/>
      </c>
      <c r="M96" s="628" t="str">
        <f>'SEGUIMIENTO Y MONITOREO'!AW182</f>
        <v>NA</v>
      </c>
      <c r="N96" s="629" t="str">
        <f>IF(M96="","",CONCATENATE(IF('SEGUIMIENTO Y MONITOREO'!AX182=0,"",'SEGUIMIENTO Y MONITOREO'!AX182),Datos!$Y$4,IF('SEGUIMIENTO Y MONITOREO'!AX183=0,"",'SEGUIMIENTO Y MONITOREO'!AX183),Datos!$Y$4,IF('SEGUIMIENTO Y MONITOREO'!AX184=0,"",'SEGUIMIENTO Y MONITOREO'!AX184)))</f>
        <v xml:space="preserve">
</v>
      </c>
      <c r="O96" s="629"/>
    </row>
    <row r="97" spans="1:15" x14ac:dyDescent="0.2">
      <c r="A97" s="589"/>
      <c r="B97" s="591"/>
      <c r="C97" s="82" t="str">
        <f>'SEGUIMIENTO Y MONITOREO'!D183</f>
        <v/>
      </c>
      <c r="D97" s="82" t="str">
        <f>'SEGUIMIENTO Y MONITOREO'!E183</f>
        <v/>
      </c>
      <c r="E97" s="128" t="str">
        <f>'SEGUIMIENTO Y MONITOREO'!G183</f>
        <v/>
      </c>
      <c r="F97" s="128" t="str">
        <f>'SEGUIMIENTO Y MONITOREO'!H183</f>
        <v/>
      </c>
      <c r="G97" s="391" t="str">
        <f>IF('SEGUIMIENTO Y MONITOREO'!J183="NA","NA",'SEGUIMIENTO Y MONITOREO'!N183)</f>
        <v/>
      </c>
      <c r="H97" s="628"/>
      <c r="I97" s="391" t="str">
        <f>IF('SEGUIMIENTO Y MONITOREO'!T183="NA","NA",'SEGUIMIENTO Y MONITOREO'!X183)</f>
        <v/>
      </c>
      <c r="J97" s="628"/>
      <c r="K97" s="391" t="str">
        <f>IF('SEGUIMIENTO Y MONITOREO'!AD183="NA","NA",'SEGUIMIENTO Y MONITOREO'!AH183)</f>
        <v/>
      </c>
      <c r="L97" s="628"/>
      <c r="M97" s="628"/>
      <c r="N97" s="629"/>
      <c r="O97" s="629"/>
    </row>
    <row r="98" spans="1:15" ht="15.75" thickBot="1" x14ac:dyDescent="0.25">
      <c r="A98" s="590"/>
      <c r="B98" s="591"/>
      <c r="C98" s="82" t="str">
        <f>'SEGUIMIENTO Y MONITOREO'!D184</f>
        <v/>
      </c>
      <c r="D98" s="82" t="str">
        <f>'SEGUIMIENTO Y MONITOREO'!E184</f>
        <v/>
      </c>
      <c r="E98" s="128" t="str">
        <f>'SEGUIMIENTO Y MONITOREO'!G184</f>
        <v/>
      </c>
      <c r="F98" s="128" t="str">
        <f>'SEGUIMIENTO Y MONITOREO'!H184</f>
        <v/>
      </c>
      <c r="G98" s="391" t="str">
        <f>IF('SEGUIMIENTO Y MONITOREO'!J184="NA","NA",'SEGUIMIENTO Y MONITOREO'!N184)</f>
        <v/>
      </c>
      <c r="H98" s="628"/>
      <c r="I98" s="391" t="str">
        <f>IF('SEGUIMIENTO Y MONITOREO'!T184="NA","NA",'SEGUIMIENTO Y MONITOREO'!X184)</f>
        <v/>
      </c>
      <c r="J98" s="628"/>
      <c r="K98" s="391" t="str">
        <f>IF('SEGUIMIENTO Y MONITOREO'!AD184="NA","NA",'SEGUIMIENTO Y MONITOREO'!AH184)</f>
        <v/>
      </c>
      <c r="L98" s="628"/>
      <c r="M98" s="628"/>
      <c r="N98" s="629"/>
      <c r="O98" s="629"/>
    </row>
    <row r="99" spans="1:15" ht="39" customHeight="1" thickTop="1" x14ac:dyDescent="0.2">
      <c r="A99" s="588" t="str">
        <f>'SEGUIMIENTO Y MONITOREO'!A185</f>
        <v>31C</v>
      </c>
      <c r="B99" s="591" t="str">
        <f>'SEGUIMIENTO Y MONITOREO'!B185</f>
        <v>Gestión y Rendición de Cuentas. Rendición de cuentas a la ciudadanía inadecuada, incompleta e inoportuna</v>
      </c>
      <c r="C99" s="82" t="str">
        <f>'SEGUIMIENTO Y MONITOREO'!D185</f>
        <v>Capacitación del personal en temas relacionados con la rendición de cuentas</v>
      </c>
      <c r="D99" s="82" t="str">
        <f>'SEGUIMIENTO Y MONITOREO'!E185</f>
        <v>Capacitación en rendición de cuentas</v>
      </c>
      <c r="E99" s="128">
        <f>'SEGUIMIENTO Y MONITOREO'!G185</f>
        <v>42552</v>
      </c>
      <c r="F99" s="128">
        <f>'SEGUIMIENTO Y MONITOREO'!H185</f>
        <v>42734</v>
      </c>
      <c r="G99" s="391" t="str">
        <f>IF('SEGUIMIENTO Y MONITOREO'!J185="NA","NA",'SEGUIMIENTO Y MONITOREO'!N185)</f>
        <v>NA</v>
      </c>
      <c r="H99" s="628">
        <f>'SEGUIMIENTO Y MONITOREO'!AR185</f>
        <v>7.7034358047016263E-2</v>
      </c>
      <c r="I99" s="391">
        <f>IF('SEGUIMIENTO Y MONITOREO'!T185="NA","NA",'SEGUIMIENTO Y MONITOREO'!X185)</f>
        <v>0</v>
      </c>
      <c r="J99" s="628">
        <f>'SEGUIMIENTO Y MONITOREO'!AS185</f>
        <v>0.23110307414104878</v>
      </c>
      <c r="K99" s="391" t="str">
        <f>IF('SEGUIMIENTO Y MONITOREO'!AD185="NA","NA",'SEGUIMIENTO Y MONITOREO'!AH185)</f>
        <v/>
      </c>
      <c r="L99" s="628" t="str">
        <f>'SEGUIMIENTO Y MONITOREO'!AU185</f>
        <v/>
      </c>
      <c r="M99" s="628">
        <f>'SEGUIMIENTO Y MONITOREO'!AW185</f>
        <v>0.23110307414104878</v>
      </c>
      <c r="N99" s="629" t="str">
        <f>IF(M99="","",CONCATENATE(IF('SEGUIMIENTO Y MONITOREO'!AX185=0,"",'SEGUIMIENTO Y MONITOREO'!AX185),Datos!$Y$4,IF('SEGUIMIENTO Y MONITOREO'!AX186=0,"",'SEGUIMIENTO Y MONITOREO'!AX186),Datos!$Y$4,IF('SEGUIMIENTO Y MONITOREO'!AX187=0,"",'SEGUIMIENTO Y MONITOREO'!AX187)))</f>
        <v xml:space="preserve">No se han iniciado actividades
Audiencias de rendición de cuentas de Rectoria, Fac ciencias basicas y Fac ciencias de la salud
</v>
      </c>
      <c r="O99" s="629"/>
    </row>
    <row r="100" spans="1:15" ht="15" customHeight="1" x14ac:dyDescent="0.2">
      <c r="A100" s="589"/>
      <c r="B100" s="591"/>
      <c r="C100" s="82" t="str">
        <f>'SEGUIMIENTO Y MONITOREO'!D186</f>
        <v>Planeación, ejecución y evaluación de audiencias públicas de rendición de cuentas</v>
      </c>
      <c r="D100" s="82" t="str">
        <f>'SEGUIMIENTO Y MONITOREO'!E186</f>
        <v>Calendario Audiencia Pública de Rendición de Cuentas 2016 (Rector y Facultades)</v>
      </c>
      <c r="E100" s="128">
        <f>'SEGUIMIENTO Y MONITOREO'!G186</f>
        <v>42461</v>
      </c>
      <c r="F100" s="128">
        <f>'SEGUIMIENTO Y MONITOREO'!H186</f>
        <v>42674</v>
      </c>
      <c r="G100" s="391">
        <f>IF('SEGUIMIENTO Y MONITOREO'!J186="NA","NA",'SEGUIMIENTO Y MONITOREO'!N186)</f>
        <v>0.14285714285714285</v>
      </c>
      <c r="H100" s="628"/>
      <c r="I100" s="391">
        <f>IF('SEGUIMIENTO Y MONITOREO'!T186="NA","NA",'SEGUIMIENTO Y MONITOREO'!X186)</f>
        <v>0.42857142857142855</v>
      </c>
      <c r="J100" s="628"/>
      <c r="K100" s="391" t="str">
        <f>IF('SEGUIMIENTO Y MONITOREO'!AD186="NA","NA",'SEGUIMIENTO Y MONITOREO'!AH186)</f>
        <v/>
      </c>
      <c r="L100" s="628"/>
      <c r="M100" s="628"/>
      <c r="N100" s="629"/>
      <c r="O100" s="629"/>
    </row>
    <row r="101" spans="1:15" ht="15.75" thickBot="1" x14ac:dyDescent="0.25">
      <c r="A101" s="590"/>
      <c r="B101" s="591"/>
      <c r="C101" s="82" t="str">
        <f>'SEGUIMIENTO Y MONITOREO'!D187</f>
        <v/>
      </c>
      <c r="D101" s="82" t="str">
        <f>'SEGUIMIENTO Y MONITOREO'!E187</f>
        <v/>
      </c>
      <c r="E101" s="128" t="str">
        <f>'SEGUIMIENTO Y MONITOREO'!G187</f>
        <v/>
      </c>
      <c r="F101" s="128" t="str">
        <f>'SEGUIMIENTO Y MONITOREO'!H187</f>
        <v/>
      </c>
      <c r="G101" s="391" t="str">
        <f>IF('SEGUIMIENTO Y MONITOREO'!J187="NA","NA",'SEGUIMIENTO Y MONITOREO'!N187)</f>
        <v/>
      </c>
      <c r="H101" s="628"/>
      <c r="I101" s="391" t="str">
        <f>IF('SEGUIMIENTO Y MONITOREO'!T187="NA","NA",'SEGUIMIENTO Y MONITOREO'!X187)</f>
        <v/>
      </c>
      <c r="J101" s="628"/>
      <c r="K101" s="391" t="str">
        <f>IF('SEGUIMIENTO Y MONITOREO'!AD187="NA","NA",'SEGUIMIENTO Y MONITOREO'!AH187)</f>
        <v/>
      </c>
      <c r="L101" s="628"/>
      <c r="M101" s="628"/>
      <c r="N101" s="629"/>
      <c r="O101" s="629"/>
    </row>
    <row r="102" spans="1:15" ht="39" thickTop="1" x14ac:dyDescent="0.2">
      <c r="A102" s="588" t="str">
        <f>'SEGUIMIENTO Y MONITOREO'!A188</f>
        <v>32C</v>
      </c>
      <c r="B102" s="591" t="str">
        <f>'SEGUIMIENTO Y MONITOREO'!B188</f>
        <v>Gestión y Rendición de Cuentas. Alteración de la información</v>
      </c>
      <c r="C102" s="82" t="str">
        <f>'SEGUIMIENTO Y MONITOREO'!D188</f>
        <v>Implementación de auditorías internas de información</v>
      </c>
      <c r="D102" s="82" t="str">
        <f>'SEGUIMIENTO Y MONITOREO'!E188</f>
        <v>Informe de auditoría</v>
      </c>
      <c r="E102" s="128">
        <f>'SEGUIMIENTO Y MONITOREO'!G188</f>
        <v>42569</v>
      </c>
      <c r="F102" s="128">
        <f>'SEGUIMIENTO Y MONITOREO'!H188</f>
        <v>42613</v>
      </c>
      <c r="G102" s="391" t="str">
        <f>IF('SEGUIMIENTO Y MONITOREO'!J188="NA","NA",'SEGUIMIENTO Y MONITOREO'!N188)</f>
        <v>NA</v>
      </c>
      <c r="H102" s="628" t="str">
        <f>'SEGUIMIENTO Y MONITOREO'!AR188</f>
        <v>NA</v>
      </c>
      <c r="I102" s="391">
        <f>IF('SEGUIMIENTO Y MONITOREO'!T188="NA","NA",'SEGUIMIENTO Y MONITOREO'!X188)</f>
        <v>0</v>
      </c>
      <c r="J102" s="628">
        <f>'SEGUIMIENTO Y MONITOREO'!AS188</f>
        <v>0</v>
      </c>
      <c r="K102" s="391" t="str">
        <f>IF('SEGUIMIENTO Y MONITOREO'!AD188="NA","NA",'SEGUIMIENTO Y MONITOREO'!AH188)</f>
        <v/>
      </c>
      <c r="L102" s="628" t="str">
        <f>'SEGUIMIENTO Y MONITOREO'!AU188</f>
        <v/>
      </c>
      <c r="M102" s="628">
        <f>'SEGUIMIENTO Y MONITOREO'!AW188</f>
        <v>0</v>
      </c>
      <c r="N102" s="629" t="str">
        <f>IF(M102="","",CONCATENATE(IF('SEGUIMIENTO Y MONITOREO'!AX188=0,"",'SEGUIMIENTO Y MONITOREO'!AX188),Datos!$Y$4,IF('SEGUIMIENTO Y MONITOREO'!AX189=0,"",'SEGUIMIENTO Y MONITOREO'!AX189),Datos!$Y$4,IF('SEGUIMIENTO Y MONITOREO'!AX190=0,"",'SEGUIMIENTO Y MONITOREO'!AX190)))</f>
        <v>Requiere actualización de mapa del proceso y socialización para poder reprogramar las fechas
Se encuentran en proceso de articulacion de ejecución de proyecto con lineamientos ISO
No se han iniciado actividades</v>
      </c>
      <c r="O102" s="629"/>
    </row>
    <row r="103" spans="1:15" ht="15" customHeight="1" x14ac:dyDescent="0.2">
      <c r="A103" s="589"/>
      <c r="B103" s="591"/>
      <c r="C103" s="82" t="str">
        <f>'SEGUIMIENTO Y MONITOREO'!D189</f>
        <v>Diseño e implementación de un sistema de información para la gestión de Indicadores</v>
      </c>
      <c r="D103" s="82" t="str">
        <f>'SEGUIMIENTO Y MONITOREO'!E189</f>
        <v>Sistema de Información de indicadores para la toma de decisiones</v>
      </c>
      <c r="E103" s="128">
        <f>'SEGUIMIENTO Y MONITOREO'!G189</f>
        <v>42583</v>
      </c>
      <c r="F103" s="128">
        <f>'SEGUIMIENTO Y MONITOREO'!H189</f>
        <v>43313</v>
      </c>
      <c r="G103" s="391" t="str">
        <f>IF('SEGUIMIENTO Y MONITOREO'!J189="NA","NA",'SEGUIMIENTO Y MONITOREO'!N189)</f>
        <v>NA</v>
      </c>
      <c r="H103" s="628"/>
      <c r="I103" s="391">
        <f>IF('SEGUIMIENTO Y MONITOREO'!T189="NA","NA",'SEGUIMIENTO Y MONITOREO'!X189)</f>
        <v>0</v>
      </c>
      <c r="J103" s="628"/>
      <c r="K103" s="391" t="str">
        <f>IF('SEGUIMIENTO Y MONITOREO'!AD189="NA","NA",'SEGUIMIENTO Y MONITOREO'!AH189)</f>
        <v/>
      </c>
      <c r="L103" s="628"/>
      <c r="M103" s="628"/>
      <c r="N103" s="629"/>
      <c r="O103" s="629"/>
    </row>
    <row r="104" spans="1:15" ht="15.75" customHeight="1" thickBot="1" x14ac:dyDescent="0.25">
      <c r="A104" s="590"/>
      <c r="B104" s="591"/>
      <c r="C104" s="82" t="str">
        <f>'SEGUIMIENTO Y MONITOREO'!D190</f>
        <v>Estrategia para masificar el uso y conocimiento del sitio Web de Transparencia y Acceso a Ia Información Pública</v>
      </c>
      <c r="D104" s="82" t="str">
        <f>'SEGUIMIENTO Y MONITOREO'!E190</f>
        <v>Diseño e implementación de estrategia publicitaria del sitio Web</v>
      </c>
      <c r="E104" s="128">
        <f>'SEGUIMIENTO Y MONITOREO'!G190</f>
        <v>42552</v>
      </c>
      <c r="F104" s="128">
        <f>'SEGUIMIENTO Y MONITOREO'!H190</f>
        <v>42734</v>
      </c>
      <c r="G104" s="391" t="str">
        <f>IF('SEGUIMIENTO Y MONITOREO'!J190="NA","NA",'SEGUIMIENTO Y MONITOREO'!N190)</f>
        <v>NA</v>
      </c>
      <c r="H104" s="628"/>
      <c r="I104" s="391">
        <f>IF('SEGUIMIENTO Y MONITOREO'!T190="NA","NA",'SEGUIMIENTO Y MONITOREO'!X190)</f>
        <v>0</v>
      </c>
      <c r="J104" s="628"/>
      <c r="K104" s="391" t="str">
        <f>IF('SEGUIMIENTO Y MONITOREO'!AD190="NA","NA",'SEGUIMIENTO Y MONITOREO'!AH190)</f>
        <v/>
      </c>
      <c r="L104" s="628"/>
      <c r="M104" s="628"/>
      <c r="N104" s="629"/>
      <c r="O104" s="629"/>
    </row>
    <row r="105" spans="1:15" ht="39" thickTop="1" x14ac:dyDescent="0.2">
      <c r="A105" s="588" t="str">
        <f>'SEGUIMIENTO Y MONITOREO'!A191</f>
        <v>33C</v>
      </c>
      <c r="B105" s="591" t="str">
        <f>'SEGUIMIENTO Y MONITOREO'!B191</f>
        <v>Evaluación Independiente. Falta de Objetividad e Independencia en el proceso auditor, de evaluación y seguimiento</v>
      </c>
      <c r="C105" s="82" t="str">
        <f>'SEGUIMIENTO Y MONITOREO'!D191</f>
        <v>Seguir ejecutando y monitoreando los controles existentes</v>
      </c>
      <c r="D105" s="82" t="str">
        <f>'SEGUIMIENTO Y MONITOREO'!E191</f>
        <v/>
      </c>
      <c r="E105" s="128" t="str">
        <f>'SEGUIMIENTO Y MONITOREO'!G191</f>
        <v/>
      </c>
      <c r="F105" s="128" t="str">
        <f>'SEGUIMIENTO Y MONITOREO'!H191</f>
        <v/>
      </c>
      <c r="G105" s="391" t="str">
        <f>IF('SEGUIMIENTO Y MONITOREO'!J191="NA","NA",'SEGUIMIENTO Y MONITOREO'!N191)</f>
        <v>NA</v>
      </c>
      <c r="H105" s="628" t="str">
        <f>'SEGUIMIENTO Y MONITOREO'!AR191</f>
        <v>NA</v>
      </c>
      <c r="I105" s="391" t="str">
        <f>IF('SEGUIMIENTO Y MONITOREO'!T191="NA","NA",'SEGUIMIENTO Y MONITOREO'!X191)</f>
        <v>NA</v>
      </c>
      <c r="J105" s="628" t="str">
        <f>'SEGUIMIENTO Y MONITOREO'!AS191</f>
        <v>NA</v>
      </c>
      <c r="K105" s="391" t="str">
        <f>IF('SEGUIMIENTO Y MONITOREO'!AD191="NA","NA",'SEGUIMIENTO Y MONITOREO'!AH191)</f>
        <v/>
      </c>
      <c r="L105" s="628" t="str">
        <f>'SEGUIMIENTO Y MONITOREO'!AU191</f>
        <v/>
      </c>
      <c r="M105" s="628" t="str">
        <f>'SEGUIMIENTO Y MONITOREO'!AW191</f>
        <v>NA</v>
      </c>
      <c r="N105" s="629" t="str">
        <f>IF(M105="","",CONCATENATE(IF('SEGUIMIENTO Y MONITOREO'!AX191=0,"",'SEGUIMIENTO Y MONITOREO'!AX191),Datos!$Y$4,IF('SEGUIMIENTO Y MONITOREO'!AX192=0,"",'SEGUIMIENTO Y MONITOREO'!AX192),Datos!$Y$4,IF('SEGUIMIENTO Y MONITOREO'!AX193=0,"",'SEGUIMIENTO Y MONITOREO'!AX193)))</f>
        <v xml:space="preserve">
</v>
      </c>
      <c r="O105" s="629"/>
    </row>
    <row r="106" spans="1:15" x14ac:dyDescent="0.2">
      <c r="A106" s="589"/>
      <c r="B106" s="591"/>
      <c r="C106" s="82" t="str">
        <f>'SEGUIMIENTO Y MONITOREO'!D192</f>
        <v/>
      </c>
      <c r="D106" s="82" t="str">
        <f>'SEGUIMIENTO Y MONITOREO'!E192</f>
        <v/>
      </c>
      <c r="E106" s="128" t="str">
        <f>'SEGUIMIENTO Y MONITOREO'!G192</f>
        <v/>
      </c>
      <c r="F106" s="128" t="str">
        <f>'SEGUIMIENTO Y MONITOREO'!H192</f>
        <v/>
      </c>
      <c r="G106" s="391" t="str">
        <f>IF('SEGUIMIENTO Y MONITOREO'!J192="NA","NA",'SEGUIMIENTO Y MONITOREO'!N192)</f>
        <v/>
      </c>
      <c r="H106" s="628"/>
      <c r="I106" s="391" t="str">
        <f>IF('SEGUIMIENTO Y MONITOREO'!T192="NA","NA",'SEGUIMIENTO Y MONITOREO'!X192)</f>
        <v/>
      </c>
      <c r="J106" s="628"/>
      <c r="K106" s="391" t="str">
        <f>IF('SEGUIMIENTO Y MONITOREO'!AD192="NA","NA",'SEGUIMIENTO Y MONITOREO'!AH192)</f>
        <v/>
      </c>
      <c r="L106" s="628"/>
      <c r="M106" s="628"/>
      <c r="N106" s="629"/>
      <c r="O106" s="629"/>
    </row>
    <row r="107" spans="1:15" ht="15.75" thickBot="1" x14ac:dyDescent="0.25">
      <c r="A107" s="590"/>
      <c r="B107" s="591"/>
      <c r="C107" s="82" t="str">
        <f>'SEGUIMIENTO Y MONITOREO'!D193</f>
        <v/>
      </c>
      <c r="D107" s="82" t="str">
        <f>'SEGUIMIENTO Y MONITOREO'!E193</f>
        <v/>
      </c>
      <c r="E107" s="128" t="str">
        <f>'SEGUIMIENTO Y MONITOREO'!G193</f>
        <v/>
      </c>
      <c r="F107" s="128" t="str">
        <f>'SEGUIMIENTO Y MONITOREO'!H193</f>
        <v/>
      </c>
      <c r="G107" s="391" t="str">
        <f>IF('SEGUIMIENTO Y MONITOREO'!J193="NA","NA",'SEGUIMIENTO Y MONITOREO'!N193)</f>
        <v/>
      </c>
      <c r="H107" s="628"/>
      <c r="I107" s="391" t="str">
        <f>IF('SEGUIMIENTO Y MONITOREO'!T193="NA","NA",'SEGUIMIENTO Y MONITOREO'!X193)</f>
        <v/>
      </c>
      <c r="J107" s="628"/>
      <c r="K107" s="391" t="str">
        <f>IF('SEGUIMIENTO Y MONITOREO'!AD193="NA","NA",'SEGUIMIENTO Y MONITOREO'!AH193)</f>
        <v/>
      </c>
      <c r="L107" s="628"/>
      <c r="M107" s="628"/>
      <c r="N107" s="629"/>
      <c r="O107" s="629"/>
    </row>
    <row r="108" spans="1:15" ht="39" thickTop="1" x14ac:dyDescent="0.2">
      <c r="A108" s="588" t="str">
        <f>'SEGUIMIENTO Y MONITOREO'!A194</f>
        <v>34C</v>
      </c>
      <c r="B108" s="591" t="str">
        <f>'SEGUIMIENTO Y MONITOREO'!B194</f>
        <v>Evaluación Independiente. No reportar posibles actos de corrupción e irregularidades</v>
      </c>
      <c r="C108" s="82" t="str">
        <f>'SEGUIMIENTO Y MONITOREO'!D194</f>
        <v>Seguir ejecutando y monitoreando los controles existentes</v>
      </c>
      <c r="D108" s="82" t="str">
        <f>'SEGUIMIENTO Y MONITOREO'!E194</f>
        <v/>
      </c>
      <c r="E108" s="128" t="str">
        <f>'SEGUIMIENTO Y MONITOREO'!G194</f>
        <v/>
      </c>
      <c r="F108" s="128" t="str">
        <f>'SEGUIMIENTO Y MONITOREO'!H194</f>
        <v/>
      </c>
      <c r="G108" s="391" t="str">
        <f>IF('SEGUIMIENTO Y MONITOREO'!J194="NA","NA",'SEGUIMIENTO Y MONITOREO'!N194)</f>
        <v>NA</v>
      </c>
      <c r="H108" s="628" t="str">
        <f>'SEGUIMIENTO Y MONITOREO'!AR194</f>
        <v>NA</v>
      </c>
      <c r="I108" s="391" t="str">
        <f>IF('SEGUIMIENTO Y MONITOREO'!T194="NA","NA",'SEGUIMIENTO Y MONITOREO'!X194)</f>
        <v>NA</v>
      </c>
      <c r="J108" s="628" t="str">
        <f>'SEGUIMIENTO Y MONITOREO'!AS194</f>
        <v>NA</v>
      </c>
      <c r="K108" s="391" t="str">
        <f>IF('SEGUIMIENTO Y MONITOREO'!AD194="NA","NA",'SEGUIMIENTO Y MONITOREO'!AH194)</f>
        <v/>
      </c>
      <c r="L108" s="628" t="str">
        <f>'SEGUIMIENTO Y MONITOREO'!AU194</f>
        <v/>
      </c>
      <c r="M108" s="628" t="str">
        <f>'SEGUIMIENTO Y MONITOREO'!AW194</f>
        <v>NA</v>
      </c>
      <c r="N108" s="629" t="str">
        <f>IF(M108="","",CONCATENATE(IF('SEGUIMIENTO Y MONITOREO'!AX194=0,"",'SEGUIMIENTO Y MONITOREO'!AX194),Datos!$Y$4,IF('SEGUIMIENTO Y MONITOREO'!AX195=0,"",'SEGUIMIENTO Y MONITOREO'!AX195),Datos!$Y$4,IF('SEGUIMIENTO Y MONITOREO'!AX196=0,"",'SEGUIMIENTO Y MONITOREO'!AX196)))</f>
        <v xml:space="preserve">
</v>
      </c>
      <c r="O108" s="629"/>
    </row>
    <row r="109" spans="1:15" x14ac:dyDescent="0.2">
      <c r="A109" s="589"/>
      <c r="B109" s="591"/>
      <c r="C109" s="82" t="str">
        <f>'SEGUIMIENTO Y MONITOREO'!D195</f>
        <v/>
      </c>
      <c r="D109" s="82" t="str">
        <f>'SEGUIMIENTO Y MONITOREO'!E195</f>
        <v/>
      </c>
      <c r="E109" s="128" t="str">
        <f>'SEGUIMIENTO Y MONITOREO'!G195</f>
        <v/>
      </c>
      <c r="F109" s="128" t="str">
        <f>'SEGUIMIENTO Y MONITOREO'!H195</f>
        <v/>
      </c>
      <c r="G109" s="391" t="str">
        <f>IF('SEGUIMIENTO Y MONITOREO'!J195="NA","NA",'SEGUIMIENTO Y MONITOREO'!N195)</f>
        <v/>
      </c>
      <c r="H109" s="628"/>
      <c r="I109" s="391" t="str">
        <f>IF('SEGUIMIENTO Y MONITOREO'!T195="NA","NA",'SEGUIMIENTO Y MONITOREO'!X195)</f>
        <v/>
      </c>
      <c r="J109" s="628"/>
      <c r="K109" s="391" t="str">
        <f>IF('SEGUIMIENTO Y MONITOREO'!AD195="NA","NA",'SEGUIMIENTO Y MONITOREO'!AH195)</f>
        <v/>
      </c>
      <c r="L109" s="628"/>
      <c r="M109" s="628"/>
      <c r="N109" s="629"/>
      <c r="O109" s="629"/>
    </row>
    <row r="110" spans="1:15" ht="15.75" thickBot="1" x14ac:dyDescent="0.25">
      <c r="A110" s="590"/>
      <c r="B110" s="591"/>
      <c r="C110" s="82" t="str">
        <f>'SEGUIMIENTO Y MONITOREO'!D196</f>
        <v/>
      </c>
      <c r="D110" s="82" t="str">
        <f>'SEGUIMIENTO Y MONITOREO'!E196</f>
        <v/>
      </c>
      <c r="E110" s="128" t="str">
        <f>'SEGUIMIENTO Y MONITOREO'!G196</f>
        <v/>
      </c>
      <c r="F110" s="128" t="str">
        <f>'SEGUIMIENTO Y MONITOREO'!H196</f>
        <v/>
      </c>
      <c r="G110" s="391" t="str">
        <f>IF('SEGUIMIENTO Y MONITOREO'!J196="NA","NA",'SEGUIMIENTO Y MONITOREO'!N196)</f>
        <v/>
      </c>
      <c r="H110" s="628"/>
      <c r="I110" s="391" t="str">
        <f>IF('SEGUIMIENTO Y MONITOREO'!T196="NA","NA",'SEGUIMIENTO Y MONITOREO'!X196)</f>
        <v/>
      </c>
      <c r="J110" s="628"/>
      <c r="K110" s="391" t="str">
        <f>IF('SEGUIMIENTO Y MONITOREO'!AD196="NA","NA",'SEGUIMIENTO Y MONITOREO'!AH196)</f>
        <v/>
      </c>
      <c r="L110" s="628"/>
      <c r="M110" s="628"/>
      <c r="N110" s="629"/>
      <c r="O110" s="629"/>
    </row>
    <row r="111" spans="1:15" ht="16.5" thickTop="1" x14ac:dyDescent="0.25">
      <c r="A111" s="634" t="str">
        <f>'SEGUIMIENTO Y MONITOREO'!B202</f>
        <v>Cumplimiento Riesgos de CORRUPCIÓN (Respecto a los plazos establecidos)</v>
      </c>
      <c r="B111" s="635"/>
      <c r="C111" s="635"/>
      <c r="D111" s="635"/>
      <c r="E111" s="635"/>
      <c r="F111" s="636"/>
      <c r="G111" s="637">
        <f>'SEGUIMIENTO Y MONITOREO'!J202</f>
        <v>0.24291617473435656</v>
      </c>
      <c r="H111" s="643"/>
      <c r="I111" s="637">
        <f>'SEGUIMIENTO Y MONITOREO'!T202</f>
        <v>0.42483333929614925</v>
      </c>
      <c r="J111" s="643"/>
      <c r="K111" s="637" t="str">
        <f>'SEGUIMIENTO Y MONITOREO'!AD202</f>
        <v/>
      </c>
      <c r="L111" s="643"/>
      <c r="M111" s="164">
        <f>'SEGUIMIENTO Y MONITOREO'!AW202</f>
        <v>0.42483333929614925</v>
      </c>
      <c r="N111" s="27"/>
      <c r="O111" s="27"/>
    </row>
    <row r="112" spans="1:15" ht="16.5" thickBot="1" x14ac:dyDescent="0.3">
      <c r="A112" s="639" t="str">
        <f>'SEGUIMIENTO Y MONITOREO'!B203</f>
        <v xml:space="preserve">% Avance Riesgo de CORRUPCIÓN </v>
      </c>
      <c r="B112" s="639"/>
      <c r="C112" s="639"/>
      <c r="D112" s="639"/>
      <c r="E112" s="639"/>
      <c r="F112" s="640"/>
      <c r="G112" s="641">
        <f>'SEGUIMIENTO Y MONITOREO'!J203</f>
        <v>0.24291617473435656</v>
      </c>
      <c r="H112" s="642"/>
      <c r="I112" s="641">
        <f>'SEGUIMIENTO Y MONITOREO'!T203</f>
        <v>0.43242161878525515</v>
      </c>
      <c r="J112" s="642"/>
      <c r="K112" s="641" t="str">
        <f>'SEGUIMIENTO Y MONITOREO'!AD203</f>
        <v/>
      </c>
      <c r="L112" s="642"/>
      <c r="M112" s="273">
        <f>'SEGUIMIENTO Y MONITOREO'!AW203</f>
        <v>0.43242161878525515</v>
      </c>
      <c r="N112" s="27"/>
      <c r="O112" s="27"/>
    </row>
    <row r="113" ht="15.75" thickTop="1" x14ac:dyDescent="0.2"/>
  </sheetData>
  <sheetProtection formatCells="0" formatRows="0" selectLockedCells="1"/>
  <mergeCells count="262">
    <mergeCell ref="L18:L20"/>
    <mergeCell ref="A112:F112"/>
    <mergeCell ref="G112:H112"/>
    <mergeCell ref="I112:J112"/>
    <mergeCell ref="K112:L112"/>
    <mergeCell ref="N21:O23"/>
    <mergeCell ref="L21:L23"/>
    <mergeCell ref="M21:M23"/>
    <mergeCell ref="A24:A26"/>
    <mergeCell ref="B24:B26"/>
    <mergeCell ref="H24:H26"/>
    <mergeCell ref="J24:J26"/>
    <mergeCell ref="L24:L26"/>
    <mergeCell ref="M24:M26"/>
    <mergeCell ref="A111:F111"/>
    <mergeCell ref="G111:H111"/>
    <mergeCell ref="I111:J111"/>
    <mergeCell ref="K111:L111"/>
    <mergeCell ref="N24:O26"/>
    <mergeCell ref="A27:A29"/>
    <mergeCell ref="B27:B29"/>
    <mergeCell ref="H27:H29"/>
    <mergeCell ref="J27:J29"/>
    <mergeCell ref="A1:B3"/>
    <mergeCell ref="C1:M3"/>
    <mergeCell ref="N1:O1"/>
    <mergeCell ref="N2:O2"/>
    <mergeCell ref="N3:O3"/>
    <mergeCell ref="A5:O5"/>
    <mergeCell ref="A12:A14"/>
    <mergeCell ref="B12:B14"/>
    <mergeCell ref="H12:H14"/>
    <mergeCell ref="J12:J14"/>
    <mergeCell ref="L12:L14"/>
    <mergeCell ref="M12:M14"/>
    <mergeCell ref="N12:O14"/>
    <mergeCell ref="G8:H8"/>
    <mergeCell ref="I8:J8"/>
    <mergeCell ref="K8:L8"/>
    <mergeCell ref="N8:O8"/>
    <mergeCell ref="A9:A11"/>
    <mergeCell ref="M9:M11"/>
    <mergeCell ref="N9:O11"/>
    <mergeCell ref="A6:B6"/>
    <mergeCell ref="H9:H11"/>
    <mergeCell ref="J9:J11"/>
    <mergeCell ref="L9:L11"/>
    <mergeCell ref="N27:O29"/>
    <mergeCell ref="C6:K6"/>
    <mergeCell ref="M6:N6"/>
    <mergeCell ref="A7:B7"/>
    <mergeCell ref="C7:F7"/>
    <mergeCell ref="G7:M7"/>
    <mergeCell ref="N15:O17"/>
    <mergeCell ref="A15:A17"/>
    <mergeCell ref="B15:B17"/>
    <mergeCell ref="H15:H17"/>
    <mergeCell ref="J15:J17"/>
    <mergeCell ref="L15:L17"/>
    <mergeCell ref="M15:M17"/>
    <mergeCell ref="B9:B11"/>
    <mergeCell ref="M18:M20"/>
    <mergeCell ref="N18:O20"/>
    <mergeCell ref="A18:A20"/>
    <mergeCell ref="B18:B20"/>
    <mergeCell ref="H18:H20"/>
    <mergeCell ref="J18:J20"/>
    <mergeCell ref="A21:A23"/>
    <mergeCell ref="B21:B23"/>
    <mergeCell ref="H21:H23"/>
    <mergeCell ref="J21:J23"/>
    <mergeCell ref="M30:M32"/>
    <mergeCell ref="N30:O32"/>
    <mergeCell ref="A33:A35"/>
    <mergeCell ref="B33:B35"/>
    <mergeCell ref="H33:H35"/>
    <mergeCell ref="J33:J35"/>
    <mergeCell ref="L33:L35"/>
    <mergeCell ref="M33:M35"/>
    <mergeCell ref="N33:O35"/>
    <mergeCell ref="A30:A32"/>
    <mergeCell ref="B30:B32"/>
    <mergeCell ref="H30:H32"/>
    <mergeCell ref="J30:J32"/>
    <mergeCell ref="L30:L32"/>
    <mergeCell ref="L27:L29"/>
    <mergeCell ref="M27:M29"/>
    <mergeCell ref="M36:M38"/>
    <mergeCell ref="N36:O38"/>
    <mergeCell ref="A39:A41"/>
    <mergeCell ref="B39:B41"/>
    <mergeCell ref="H39:H41"/>
    <mergeCell ref="J39:J41"/>
    <mergeCell ref="L39:L41"/>
    <mergeCell ref="M39:M41"/>
    <mergeCell ref="N39:O41"/>
    <mergeCell ref="A36:A38"/>
    <mergeCell ref="B36:B38"/>
    <mergeCell ref="H36:H38"/>
    <mergeCell ref="J36:J38"/>
    <mergeCell ref="L36:L38"/>
    <mergeCell ref="M42:M44"/>
    <mergeCell ref="N42:O44"/>
    <mergeCell ref="A45:A47"/>
    <mergeCell ref="B45:B47"/>
    <mergeCell ref="H45:H47"/>
    <mergeCell ref="J45:J47"/>
    <mergeCell ref="L45:L47"/>
    <mergeCell ref="M45:M47"/>
    <mergeCell ref="N45:O47"/>
    <mergeCell ref="A42:A44"/>
    <mergeCell ref="B42:B44"/>
    <mergeCell ref="H42:H44"/>
    <mergeCell ref="J42:J44"/>
    <mergeCell ref="L42:L44"/>
    <mergeCell ref="M48:M50"/>
    <mergeCell ref="N48:O50"/>
    <mergeCell ref="A51:A53"/>
    <mergeCell ref="B51:B53"/>
    <mergeCell ref="H51:H53"/>
    <mergeCell ref="J51:J53"/>
    <mergeCell ref="L51:L53"/>
    <mergeCell ref="M51:M53"/>
    <mergeCell ref="N51:O53"/>
    <mergeCell ref="A48:A50"/>
    <mergeCell ref="B48:B50"/>
    <mergeCell ref="H48:H50"/>
    <mergeCell ref="J48:J50"/>
    <mergeCell ref="L48:L50"/>
    <mergeCell ref="M54:M56"/>
    <mergeCell ref="N54:O56"/>
    <mergeCell ref="A57:A59"/>
    <mergeCell ref="B57:B59"/>
    <mergeCell ref="H57:H59"/>
    <mergeCell ref="J57:J59"/>
    <mergeCell ref="L57:L59"/>
    <mergeCell ref="M57:M59"/>
    <mergeCell ref="N57:O59"/>
    <mergeCell ref="A54:A56"/>
    <mergeCell ref="B54:B56"/>
    <mergeCell ref="H54:H56"/>
    <mergeCell ref="J54:J56"/>
    <mergeCell ref="L54:L56"/>
    <mergeCell ref="M60:M62"/>
    <mergeCell ref="N60:O62"/>
    <mergeCell ref="A63:A65"/>
    <mergeCell ref="B63:B65"/>
    <mergeCell ref="H63:H65"/>
    <mergeCell ref="J63:J65"/>
    <mergeCell ref="L63:L65"/>
    <mergeCell ref="M63:M65"/>
    <mergeCell ref="N63:O65"/>
    <mergeCell ref="A60:A62"/>
    <mergeCell ref="B60:B62"/>
    <mergeCell ref="H60:H62"/>
    <mergeCell ref="J60:J62"/>
    <mergeCell ref="L60:L62"/>
    <mergeCell ref="M66:M68"/>
    <mergeCell ref="N66:O68"/>
    <mergeCell ref="A69:A71"/>
    <mergeCell ref="B69:B71"/>
    <mergeCell ref="H69:H71"/>
    <mergeCell ref="J69:J71"/>
    <mergeCell ref="L69:L71"/>
    <mergeCell ref="M69:M71"/>
    <mergeCell ref="N69:O71"/>
    <mergeCell ref="A66:A68"/>
    <mergeCell ref="B66:B68"/>
    <mergeCell ref="H66:H68"/>
    <mergeCell ref="J66:J68"/>
    <mergeCell ref="L66:L68"/>
    <mergeCell ref="M72:M74"/>
    <mergeCell ref="N72:O74"/>
    <mergeCell ref="A75:A77"/>
    <mergeCell ref="B75:B77"/>
    <mergeCell ref="H75:H77"/>
    <mergeCell ref="J75:J77"/>
    <mergeCell ref="L75:L77"/>
    <mergeCell ref="M75:M77"/>
    <mergeCell ref="N75:O77"/>
    <mergeCell ref="A72:A74"/>
    <mergeCell ref="B72:B74"/>
    <mergeCell ref="H72:H74"/>
    <mergeCell ref="J72:J74"/>
    <mergeCell ref="L72:L74"/>
    <mergeCell ref="M78:M80"/>
    <mergeCell ref="N78:O80"/>
    <mergeCell ref="A81:A83"/>
    <mergeCell ref="B81:B83"/>
    <mergeCell ref="H81:H83"/>
    <mergeCell ref="J81:J83"/>
    <mergeCell ref="L81:L83"/>
    <mergeCell ref="M81:M83"/>
    <mergeCell ref="N81:O83"/>
    <mergeCell ref="A78:A80"/>
    <mergeCell ref="B78:B80"/>
    <mergeCell ref="H78:H80"/>
    <mergeCell ref="J78:J80"/>
    <mergeCell ref="L78:L80"/>
    <mergeCell ref="M84:M86"/>
    <mergeCell ref="N84:O86"/>
    <mergeCell ref="A87:A89"/>
    <mergeCell ref="B87:B89"/>
    <mergeCell ref="H87:H89"/>
    <mergeCell ref="J87:J89"/>
    <mergeCell ref="L87:L89"/>
    <mergeCell ref="M87:M89"/>
    <mergeCell ref="N87:O89"/>
    <mergeCell ref="A84:A86"/>
    <mergeCell ref="B84:B86"/>
    <mergeCell ref="H84:H86"/>
    <mergeCell ref="J84:J86"/>
    <mergeCell ref="L84:L86"/>
    <mergeCell ref="M90:M92"/>
    <mergeCell ref="N90:O92"/>
    <mergeCell ref="A93:A95"/>
    <mergeCell ref="B93:B95"/>
    <mergeCell ref="H93:H95"/>
    <mergeCell ref="J93:J95"/>
    <mergeCell ref="L93:L95"/>
    <mergeCell ref="M93:M95"/>
    <mergeCell ref="N93:O95"/>
    <mergeCell ref="A90:A92"/>
    <mergeCell ref="B90:B92"/>
    <mergeCell ref="H90:H92"/>
    <mergeCell ref="J90:J92"/>
    <mergeCell ref="L90:L92"/>
    <mergeCell ref="M96:M98"/>
    <mergeCell ref="N96:O98"/>
    <mergeCell ref="A99:A101"/>
    <mergeCell ref="B99:B101"/>
    <mergeCell ref="H99:H101"/>
    <mergeCell ref="J99:J101"/>
    <mergeCell ref="L99:L101"/>
    <mergeCell ref="M99:M101"/>
    <mergeCell ref="N99:O101"/>
    <mergeCell ref="A96:A98"/>
    <mergeCell ref="B96:B98"/>
    <mergeCell ref="H96:H98"/>
    <mergeCell ref="J96:J98"/>
    <mergeCell ref="L96:L98"/>
    <mergeCell ref="M108:M110"/>
    <mergeCell ref="N108:O110"/>
    <mergeCell ref="A108:A110"/>
    <mergeCell ref="B108:B110"/>
    <mergeCell ref="H108:H110"/>
    <mergeCell ref="J108:J110"/>
    <mergeCell ref="L108:L110"/>
    <mergeCell ref="M102:M104"/>
    <mergeCell ref="N102:O104"/>
    <mergeCell ref="A105:A107"/>
    <mergeCell ref="B105:B107"/>
    <mergeCell ref="H105:H107"/>
    <mergeCell ref="J105:J107"/>
    <mergeCell ref="L105:L107"/>
    <mergeCell ref="M105:M107"/>
    <mergeCell ref="N105:O107"/>
    <mergeCell ref="A102:A104"/>
    <mergeCell ref="B102:B104"/>
    <mergeCell ref="H102:H104"/>
    <mergeCell ref="J102:J104"/>
    <mergeCell ref="L102:L104"/>
  </mergeCells>
  <conditionalFormatting sqref="O7">
    <cfRule type="containsText" dxfId="205" priority="58" operator="containsText" text="Sin Seguimientos">
      <formula>NOT(ISERROR(SEARCH("Sin Seguimientos",O7)))</formula>
    </cfRule>
  </conditionalFormatting>
  <conditionalFormatting sqref="G9:G110">
    <cfRule type="containsText" dxfId="204" priority="7" operator="containsText" text="NA">
      <formula>NOT(ISERROR(SEARCH("NA",G9)))</formula>
    </cfRule>
  </conditionalFormatting>
  <conditionalFormatting sqref="I9:I110">
    <cfRule type="containsText" dxfId="203" priority="4" operator="containsText" text="NA">
      <formula>NOT(ISERROR(SEARCH("NA",I9)))</formula>
    </cfRule>
  </conditionalFormatting>
  <conditionalFormatting sqref="K9:K110">
    <cfRule type="containsText" dxfId="202" priority="1" operator="containsText" text="NA">
      <formula>NOT(ISERROR(SEARCH("NA",K9)))</formula>
    </cfRule>
  </conditionalFormatting>
  <dataValidations count="1">
    <dataValidation operator="equal" allowBlank="1" showInputMessage="1" showErrorMessage="1" sqref="G9:H9 G12:H12 G18:H18 G15:H15 G21:H21 G10:G11 G13:G14 G16:G17 G19:G20 G22:G23 G103:G104 G24:H24 G27:H27 G30:H30 G33:H33 G36:H36 G39:H39 G42:H42 G45:H45 G48:H48 G51:H51 G54:H54 G57:H57 G60:H60 G63:H63 G66:H66 G69:H69 G72:H72 G75:H75 G78:H78 G81:H81 G84:H84 G87:H87 G90:H90 G93:H93 G96:H96 G99:H99 G102:H102 G105:H105 G25:G26 G28:G29 G31:G32 G34:G35 G37:G38 G40:G41 G43:G44 G46:G47 G49:G50 G52:G53 G55:G56 G58:G59 G61:G62 G64:G65 G67:G68 G70:G71 G73:G74 G76:G77 G79:G80 G82:G83 G85:G86 G88:G89 G91:G92 G94:G95 G97:G98 G100:G101 G106:G107 G108:H108 G109:G110"/>
  </dataValidations>
  <pageMargins left="0.7" right="0.7" top="0.75" bottom="0.75" header="0.3" footer="0.3"/>
  <pageSetup scale="4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56" operator="notEqual" id="{949FC871-97B6-4B9D-B32C-05B522C311AC}">
            <xm:f>VALORACIÓN!$D$10</xm:f>
            <x14:dxf>
              <font>
                <color auto="1"/>
              </font>
              <fill>
                <patternFill patternType="lightGrid">
                  <fgColor theme="0" tint="-4.9989318521683403E-2"/>
                  <bgColor theme="0"/>
                </patternFill>
              </fill>
            </x14:dxf>
          </x14:cfRule>
          <x14:cfRule type="cellIs" priority="57" operator="equal" id="{49E9E0D8-916E-4C60-8136-C59A59D307B5}">
            <xm:f>VALORACIÓN!$D$10</xm:f>
            <x14:dxf>
              <fill>
                <patternFill patternType="lightGrid">
                  <fgColor theme="0" tint="-4.9989318521683403E-2"/>
                </patternFill>
              </fill>
            </x14:dxf>
          </x14:cfRule>
          <xm:sqref>M111:M112</xm:sqref>
        </x14:conditionalFormatting>
        <x14:conditionalFormatting xmlns:xm="http://schemas.microsoft.com/office/excel/2006/main">
          <x14:cfRule type="cellIs" priority="54" operator="notEqual" id="{7C173B4E-71CE-4B5D-9DF5-B1F67492679F}">
            <xm:f>VALORACIÓN!$D$10</xm:f>
            <x14:dxf>
              <font>
                <color auto="1"/>
              </font>
              <fill>
                <patternFill patternType="lightGrid">
                  <fgColor theme="0" tint="-4.9989318521683403E-2"/>
                  <bgColor theme="0"/>
                </patternFill>
              </fill>
            </x14:dxf>
          </x14:cfRule>
          <x14:cfRule type="cellIs" priority="55" operator="equal" id="{C4B98F17-8A19-4FDE-AD1A-E78CC50C46DB}">
            <xm:f>VALORACIÓN!$D$10</xm:f>
            <x14:dxf>
              <fill>
                <patternFill patternType="lightGrid">
                  <fgColor theme="0" tint="-4.9989318521683403E-2"/>
                </patternFill>
              </fill>
            </x14:dxf>
          </x14:cfRule>
          <xm:sqref>G111:G112</xm:sqref>
        </x14:conditionalFormatting>
        <x14:conditionalFormatting xmlns:xm="http://schemas.microsoft.com/office/excel/2006/main">
          <x14:cfRule type="cellIs" priority="52" operator="notEqual" id="{46C7E50A-D88E-48FD-82F5-409BF2C75B40}">
            <xm:f>VALORACIÓN!$D$10</xm:f>
            <x14:dxf>
              <font>
                <color auto="1"/>
              </font>
              <fill>
                <patternFill patternType="lightGrid">
                  <fgColor theme="0" tint="-4.9989318521683403E-2"/>
                  <bgColor theme="0"/>
                </patternFill>
              </fill>
            </x14:dxf>
          </x14:cfRule>
          <x14:cfRule type="cellIs" priority="53" operator="equal" id="{170D05B2-BD3B-4DE3-86A8-A575B3C24639}">
            <xm:f>VALORACIÓN!$D$10</xm:f>
            <x14:dxf>
              <fill>
                <patternFill patternType="lightGrid">
                  <fgColor theme="0" tint="-4.9989318521683403E-2"/>
                </patternFill>
              </fill>
            </x14:dxf>
          </x14:cfRule>
          <xm:sqref>I111:I112</xm:sqref>
        </x14:conditionalFormatting>
        <x14:conditionalFormatting xmlns:xm="http://schemas.microsoft.com/office/excel/2006/main">
          <x14:cfRule type="cellIs" priority="50" operator="notEqual" id="{1737B7AE-99A0-4CD3-9899-E81DECC42FFD}">
            <xm:f>VALORACIÓN!$D$10</xm:f>
            <x14:dxf>
              <font>
                <color auto="1"/>
              </font>
              <fill>
                <patternFill patternType="lightGrid">
                  <fgColor theme="0" tint="-4.9989318521683403E-2"/>
                  <bgColor theme="0"/>
                </patternFill>
              </fill>
            </x14:dxf>
          </x14:cfRule>
          <x14:cfRule type="cellIs" priority="51" operator="equal" id="{CF9F882B-AF8F-4D47-85B2-F6175264C242}">
            <xm:f>VALORACIÓN!$D$10</xm:f>
            <x14:dxf>
              <fill>
                <patternFill patternType="lightGrid">
                  <fgColor theme="0" tint="-4.9989318521683403E-2"/>
                </patternFill>
              </fill>
            </x14:dxf>
          </x14:cfRule>
          <xm:sqref>K111:K112</xm:sqref>
        </x14:conditionalFormatting>
        <x14:conditionalFormatting xmlns:xm="http://schemas.microsoft.com/office/excel/2006/main">
          <x14:cfRule type="cellIs" priority="48" operator="notEqual" id="{D59BA7B6-D712-4654-953F-3287CA6678C1}">
            <xm:f>VALORACIÓN!$D$10</xm:f>
            <x14:dxf>
              <font>
                <color auto="1"/>
              </font>
              <fill>
                <patternFill patternType="lightGrid">
                  <fgColor theme="0" tint="-4.9989318521683403E-2"/>
                  <bgColor theme="0"/>
                </patternFill>
              </fill>
            </x14:dxf>
          </x14:cfRule>
          <x14:cfRule type="cellIs" priority="49" operator="equal" id="{0E610F22-BB93-4A8F-A596-C580643EBF06}">
            <xm:f>VALORACIÓN!$D$10</xm:f>
            <x14:dxf>
              <fill>
                <patternFill patternType="lightGrid">
                  <fgColor theme="0" tint="-4.9989318521683403E-2"/>
                </patternFill>
              </fill>
            </x14:dxf>
          </x14:cfRule>
          <xm:sqref>H9</xm:sqref>
        </x14:conditionalFormatting>
        <x14:conditionalFormatting xmlns:xm="http://schemas.microsoft.com/office/excel/2006/main">
          <x14:cfRule type="cellIs" priority="46" operator="notEqual" id="{4FEACBEF-1585-444E-BD57-BBBDED185C8E}">
            <xm:f>VALORACIÓN!$D$10</xm:f>
            <x14:dxf>
              <font>
                <color auto="1"/>
              </font>
              <fill>
                <patternFill patternType="lightGrid">
                  <fgColor theme="0" tint="-4.9989318521683403E-2"/>
                  <bgColor theme="0"/>
                </patternFill>
              </fill>
            </x14:dxf>
          </x14:cfRule>
          <x14:cfRule type="cellIs" priority="47" operator="equal" id="{45B0D7A8-FDD1-4873-9D1E-F66D83BBF17F}">
            <xm:f>VALORACIÓN!$D$10</xm:f>
            <x14:dxf>
              <fill>
                <patternFill patternType="lightGrid">
                  <fgColor theme="0" tint="-4.9989318521683403E-2"/>
                </patternFill>
              </fill>
            </x14:dxf>
          </x14:cfRule>
          <xm:sqref>J9 L9</xm:sqref>
        </x14:conditionalFormatting>
        <x14:conditionalFormatting xmlns:xm="http://schemas.microsoft.com/office/excel/2006/main">
          <x14:cfRule type="cellIs" priority="44" operator="notEqual" id="{0533B1B7-FDE7-4D8C-A7B4-936AEB8617B2}">
            <xm:f>VALORACIÓN!$D$10</xm:f>
            <x14:dxf>
              <font>
                <color auto="1"/>
              </font>
              <fill>
                <patternFill patternType="lightGrid">
                  <fgColor theme="0" tint="-4.9989318521683403E-2"/>
                  <bgColor theme="0"/>
                </patternFill>
              </fill>
            </x14:dxf>
          </x14:cfRule>
          <x14:cfRule type="cellIs" priority="45" operator="equal" id="{8C8D3A0F-E2E6-43AE-B11A-79E129DECE74}">
            <xm:f>VALORACIÓN!$D$10</xm:f>
            <x14:dxf>
              <fill>
                <patternFill patternType="lightGrid">
                  <fgColor theme="0" tint="-4.9989318521683403E-2"/>
                </patternFill>
              </fill>
            </x14:dxf>
          </x14:cfRule>
          <xm:sqref>M9</xm:sqref>
        </x14:conditionalFormatting>
        <x14:conditionalFormatting xmlns:xm="http://schemas.microsoft.com/office/excel/2006/main">
          <x14:cfRule type="cellIs" priority="42" operator="notEqual" id="{E3D48415-CEEC-4B08-85F1-B34FF7597166}">
            <xm:f>VALORACIÓN!$D$10</xm:f>
            <x14:dxf>
              <font>
                <color auto="1"/>
              </font>
              <fill>
                <patternFill patternType="lightGrid">
                  <fgColor theme="0" tint="-4.9989318521683403E-2"/>
                  <bgColor theme="0"/>
                </patternFill>
              </fill>
            </x14:dxf>
          </x14:cfRule>
          <x14:cfRule type="cellIs" priority="43" operator="equal" id="{CC41EE93-BECC-474F-B2E3-79FAA8818439}">
            <xm:f>VALORACIÓN!$D$10</xm:f>
            <x14:dxf>
              <fill>
                <patternFill patternType="lightGrid">
                  <fgColor theme="0" tint="-4.9989318521683403E-2"/>
                </patternFill>
              </fill>
            </x14:dxf>
          </x14:cfRule>
          <xm:sqref>N9 N12 N15 N18 N21 N24 N27 N30 N33 N36 N39 N42 N45 N48 N51 N54 N57 N60 N63 N66 N69 N72 N75 N78 N81 N84 N87 N90 N93 N96 N99 N102 N105 N108</xm:sqref>
        </x14:conditionalFormatting>
        <x14:conditionalFormatting xmlns:xm="http://schemas.microsoft.com/office/excel/2006/main">
          <x14:cfRule type="cellIs" priority="40" operator="notEqual" id="{8F0CC441-1905-472F-8826-EA6BEFA72871}">
            <xm:f>VALORACIÓN!$D$10</xm:f>
            <x14:dxf>
              <font>
                <color auto="1"/>
              </font>
              <fill>
                <patternFill patternType="lightGrid">
                  <fgColor theme="0" tint="-4.9989318521683403E-2"/>
                  <bgColor theme="0"/>
                </patternFill>
              </fill>
            </x14:dxf>
          </x14:cfRule>
          <x14:cfRule type="cellIs" priority="41" operator="equal" id="{625D85A2-F667-4E4E-96C5-7F6369A63CD3}">
            <xm:f>VALORACIÓN!$D$10</xm:f>
            <x14:dxf>
              <fill>
                <patternFill patternType="lightGrid">
                  <fgColor theme="0" tint="-4.9989318521683403E-2"/>
                </patternFill>
              </fill>
            </x14:dxf>
          </x14:cfRule>
          <xm:sqref>H12</xm:sqref>
        </x14:conditionalFormatting>
        <x14:conditionalFormatting xmlns:xm="http://schemas.microsoft.com/office/excel/2006/main">
          <x14:cfRule type="cellIs" priority="38" operator="notEqual" id="{C350FBC0-C067-4A02-9ECF-3202015826E7}">
            <xm:f>VALORACIÓN!$D$10</xm:f>
            <x14:dxf>
              <font>
                <color auto="1"/>
              </font>
              <fill>
                <patternFill patternType="lightGrid">
                  <fgColor theme="0" tint="-4.9989318521683403E-2"/>
                  <bgColor theme="0"/>
                </patternFill>
              </fill>
            </x14:dxf>
          </x14:cfRule>
          <x14:cfRule type="cellIs" priority="39" operator="equal" id="{244294BE-46D9-4515-8AD2-206BC8BF7DD1}">
            <xm:f>VALORACIÓN!$D$10</xm:f>
            <x14:dxf>
              <fill>
                <patternFill patternType="lightGrid">
                  <fgColor theme="0" tint="-4.9989318521683403E-2"/>
                </patternFill>
              </fill>
            </x14:dxf>
          </x14:cfRule>
          <xm:sqref>J12 L12</xm:sqref>
        </x14:conditionalFormatting>
        <x14:conditionalFormatting xmlns:xm="http://schemas.microsoft.com/office/excel/2006/main">
          <x14:cfRule type="cellIs" priority="36" operator="notEqual" id="{4B9C7861-B86D-49AF-9725-E1E4A483B671}">
            <xm:f>VALORACIÓN!$D$10</xm:f>
            <x14:dxf>
              <font>
                <color auto="1"/>
              </font>
              <fill>
                <patternFill patternType="lightGrid">
                  <fgColor theme="0" tint="-4.9989318521683403E-2"/>
                  <bgColor theme="0"/>
                </patternFill>
              </fill>
            </x14:dxf>
          </x14:cfRule>
          <x14:cfRule type="cellIs" priority="37" operator="equal" id="{FCFE2E29-80D2-4C1B-8D50-94151B6D5010}">
            <xm:f>VALORACIÓN!$D$10</xm:f>
            <x14:dxf>
              <fill>
                <patternFill patternType="lightGrid">
                  <fgColor theme="0" tint="-4.9989318521683403E-2"/>
                </patternFill>
              </fill>
            </x14:dxf>
          </x14:cfRule>
          <xm:sqref>M12</xm:sqref>
        </x14:conditionalFormatting>
        <x14:conditionalFormatting xmlns:xm="http://schemas.microsoft.com/office/excel/2006/main">
          <x14:cfRule type="cellIs" priority="32" operator="notEqual" id="{EEDD3AC0-8B2D-4AE9-AA79-70A8A1B4888D}">
            <xm:f>VALORACIÓN!$D$10</xm:f>
            <x14:dxf>
              <font>
                <color auto="1"/>
              </font>
              <fill>
                <patternFill patternType="lightGrid">
                  <fgColor theme="0" tint="-4.9989318521683403E-2"/>
                  <bgColor theme="0"/>
                </patternFill>
              </fill>
            </x14:dxf>
          </x14:cfRule>
          <x14:cfRule type="cellIs" priority="33" operator="equal" id="{5A516DD3-35CA-436B-8113-B26751C5E743}">
            <xm:f>VALORACIÓN!$D$10</xm:f>
            <x14:dxf>
              <fill>
                <patternFill patternType="lightGrid">
                  <fgColor theme="0" tint="-4.9989318521683403E-2"/>
                </patternFill>
              </fill>
            </x14:dxf>
          </x14:cfRule>
          <xm:sqref>H15</xm:sqref>
        </x14:conditionalFormatting>
        <x14:conditionalFormatting xmlns:xm="http://schemas.microsoft.com/office/excel/2006/main">
          <x14:cfRule type="cellIs" priority="30" operator="notEqual" id="{FFC73538-3E48-4A80-857D-DCE86C0C183F}">
            <xm:f>VALORACIÓN!$D$10</xm:f>
            <x14:dxf>
              <font>
                <color auto="1"/>
              </font>
              <fill>
                <patternFill patternType="lightGrid">
                  <fgColor theme="0" tint="-4.9989318521683403E-2"/>
                  <bgColor theme="0"/>
                </patternFill>
              </fill>
            </x14:dxf>
          </x14:cfRule>
          <x14:cfRule type="cellIs" priority="31" operator="equal" id="{FB359B88-DDE1-44F1-A43D-9E032BF88AC5}">
            <xm:f>VALORACIÓN!$D$10</xm:f>
            <x14:dxf>
              <fill>
                <patternFill patternType="lightGrid">
                  <fgColor theme="0" tint="-4.9989318521683403E-2"/>
                </patternFill>
              </fill>
            </x14:dxf>
          </x14:cfRule>
          <xm:sqref>J15 L15</xm:sqref>
        </x14:conditionalFormatting>
        <x14:conditionalFormatting xmlns:xm="http://schemas.microsoft.com/office/excel/2006/main">
          <x14:cfRule type="cellIs" priority="28" operator="notEqual" id="{676D2C38-2C1B-4C71-B681-1700D333E21C}">
            <xm:f>VALORACIÓN!$D$10</xm:f>
            <x14:dxf>
              <font>
                <color auto="1"/>
              </font>
              <fill>
                <patternFill patternType="lightGrid">
                  <fgColor theme="0" tint="-4.9989318521683403E-2"/>
                  <bgColor theme="0"/>
                </patternFill>
              </fill>
            </x14:dxf>
          </x14:cfRule>
          <x14:cfRule type="cellIs" priority="29" operator="equal" id="{282D5A0F-BEF8-4A7C-A2B0-5518E1CC8EE0}">
            <xm:f>VALORACIÓN!$D$10</xm:f>
            <x14:dxf>
              <fill>
                <patternFill patternType="lightGrid">
                  <fgColor theme="0" tint="-4.9989318521683403E-2"/>
                </patternFill>
              </fill>
            </x14:dxf>
          </x14:cfRule>
          <xm:sqref>M15</xm:sqref>
        </x14:conditionalFormatting>
        <x14:conditionalFormatting xmlns:xm="http://schemas.microsoft.com/office/excel/2006/main">
          <x14:cfRule type="cellIs" priority="24" operator="notEqual" id="{83E813AB-CD88-48D6-853E-64513FBA7E51}">
            <xm:f>VALORACIÓN!$D$10</xm:f>
            <x14:dxf>
              <font>
                <color auto="1"/>
              </font>
              <fill>
                <patternFill patternType="lightGrid">
                  <fgColor theme="0" tint="-4.9989318521683403E-2"/>
                  <bgColor theme="0"/>
                </patternFill>
              </fill>
            </x14:dxf>
          </x14:cfRule>
          <x14:cfRule type="cellIs" priority="25" operator="equal" id="{6AB39ECC-90BF-4119-A1B3-10BC5E042CCD}">
            <xm:f>VALORACIÓN!$D$10</xm:f>
            <x14:dxf>
              <fill>
                <patternFill patternType="lightGrid">
                  <fgColor theme="0" tint="-4.9989318521683403E-2"/>
                </patternFill>
              </fill>
            </x14:dxf>
          </x14:cfRule>
          <xm:sqref>H18</xm:sqref>
        </x14:conditionalFormatting>
        <x14:conditionalFormatting xmlns:xm="http://schemas.microsoft.com/office/excel/2006/main">
          <x14:cfRule type="cellIs" priority="22" operator="notEqual" id="{18BB33DB-FF61-4E4A-9EB7-E77646ADE7AC}">
            <xm:f>VALORACIÓN!$D$10</xm:f>
            <x14:dxf>
              <font>
                <color auto="1"/>
              </font>
              <fill>
                <patternFill patternType="lightGrid">
                  <fgColor theme="0" tint="-4.9989318521683403E-2"/>
                  <bgColor theme="0"/>
                </patternFill>
              </fill>
            </x14:dxf>
          </x14:cfRule>
          <x14:cfRule type="cellIs" priority="23" operator="equal" id="{07A903D9-6E29-48F4-827E-45FBAD93B8B7}">
            <xm:f>VALORACIÓN!$D$10</xm:f>
            <x14:dxf>
              <fill>
                <patternFill patternType="lightGrid">
                  <fgColor theme="0" tint="-4.9989318521683403E-2"/>
                </patternFill>
              </fill>
            </x14:dxf>
          </x14:cfRule>
          <xm:sqref>J18 L18</xm:sqref>
        </x14:conditionalFormatting>
        <x14:conditionalFormatting xmlns:xm="http://schemas.microsoft.com/office/excel/2006/main">
          <x14:cfRule type="cellIs" priority="20" operator="notEqual" id="{B8C7A224-794D-4BB0-AE17-01155ACDD2A0}">
            <xm:f>VALORACIÓN!$D$10</xm:f>
            <x14:dxf>
              <font>
                <color auto="1"/>
              </font>
              <fill>
                <patternFill patternType="lightGrid">
                  <fgColor theme="0" tint="-4.9989318521683403E-2"/>
                  <bgColor theme="0"/>
                </patternFill>
              </fill>
            </x14:dxf>
          </x14:cfRule>
          <x14:cfRule type="cellIs" priority="21" operator="equal" id="{AC60B3A2-C1D9-4A39-B0FF-869DD2BE9ED5}">
            <xm:f>VALORACIÓN!$D$10</xm:f>
            <x14:dxf>
              <fill>
                <patternFill patternType="lightGrid">
                  <fgColor theme="0" tint="-4.9989318521683403E-2"/>
                </patternFill>
              </fill>
            </x14:dxf>
          </x14:cfRule>
          <xm:sqref>M18</xm:sqref>
        </x14:conditionalFormatting>
        <x14:conditionalFormatting xmlns:xm="http://schemas.microsoft.com/office/excel/2006/main">
          <x14:cfRule type="cellIs" priority="16" operator="notEqual" id="{7F2768D3-E5B7-41E8-8CCB-AF23276327CC}">
            <xm:f>VALORACIÓN!$D$10</xm:f>
            <x14:dxf>
              <font>
                <color auto="1"/>
              </font>
              <fill>
                <patternFill patternType="lightGrid">
                  <fgColor theme="0" tint="-4.9989318521683403E-2"/>
                  <bgColor theme="0"/>
                </patternFill>
              </fill>
            </x14:dxf>
          </x14:cfRule>
          <x14:cfRule type="cellIs" priority="17" operator="equal" id="{430761D8-8C1F-4E0F-B2DF-3A5ED46FAD16}">
            <xm:f>VALORACIÓN!$D$10</xm:f>
            <x14:dxf>
              <fill>
                <patternFill patternType="lightGrid">
                  <fgColor theme="0" tint="-4.9989318521683403E-2"/>
                </patternFill>
              </fill>
            </x14:dxf>
          </x14:cfRule>
          <xm:sqref>H21 H24 H27 H30 H33 H36 H39 H42 H45 H48 H51 H54 H57 H60 H63 H66 H69 H72 H75 H78 H81 H84 H87 H90 H93 H96 H99 H102 H105 H108</xm:sqref>
        </x14:conditionalFormatting>
        <x14:conditionalFormatting xmlns:xm="http://schemas.microsoft.com/office/excel/2006/main">
          <x14:cfRule type="cellIs" priority="14" operator="notEqual" id="{52E1C103-A9C0-428C-A168-B452C8A4B66A}">
            <xm:f>VALORACIÓN!$D$10</xm:f>
            <x14:dxf>
              <font>
                <color auto="1"/>
              </font>
              <fill>
                <patternFill patternType="lightGrid">
                  <fgColor theme="0" tint="-4.9989318521683403E-2"/>
                  <bgColor theme="0"/>
                </patternFill>
              </fill>
            </x14:dxf>
          </x14:cfRule>
          <x14:cfRule type="cellIs" priority="15" operator="equal" id="{778AD0FE-BCF2-43AA-87B2-8D9304FE5DF4}">
            <xm:f>VALORACIÓN!$D$10</xm:f>
            <x14:dxf>
              <fill>
                <patternFill patternType="lightGrid">
                  <fgColor theme="0" tint="-4.9989318521683403E-2"/>
                </patternFill>
              </fill>
            </x14:dxf>
          </x14:cfRule>
          <xm:sqref>J21 L21 J24 J27 J30 J33 J36 J39 J42 J45 J48 J51 J54 J57 J60 J63 J66 J69 J72 J75 J78 J81 J84 J87 J90 J93 J96 J99 J102 J105 L24 L27 L30 L33 L36 L39 L42 L45 L48 L51 L54 L57 L60 L63 L66 L69 L72 L75 L78 L81 L84 L87 L90 L93 L96 L99 L102 L105 J108 L108</xm:sqref>
        </x14:conditionalFormatting>
        <x14:conditionalFormatting xmlns:xm="http://schemas.microsoft.com/office/excel/2006/main">
          <x14:cfRule type="cellIs" priority="12" operator="notEqual" id="{F4ED788D-247C-46EB-A84B-ADFE31D853EE}">
            <xm:f>VALORACIÓN!$D$10</xm:f>
            <x14:dxf>
              <font>
                <color auto="1"/>
              </font>
              <fill>
                <patternFill patternType="lightGrid">
                  <fgColor theme="0" tint="-4.9989318521683403E-2"/>
                  <bgColor theme="0"/>
                </patternFill>
              </fill>
            </x14:dxf>
          </x14:cfRule>
          <x14:cfRule type="cellIs" priority="13" operator="equal" id="{0E6A0DE3-D501-4F95-8556-A8701B58A1CD}">
            <xm:f>VALORACIÓN!$D$10</xm:f>
            <x14:dxf>
              <fill>
                <patternFill patternType="lightGrid">
                  <fgColor theme="0" tint="-4.9989318521683403E-2"/>
                </patternFill>
              </fill>
            </x14:dxf>
          </x14:cfRule>
          <xm:sqref>M21 M24 M27 M30 M33 M36 M39 M42 M45 M48 M51 M54 M57 M60 M63 M66 M69 M72 M75 M78 M81 M84 M87 M90 M93 M96 M99 M102 M105 M108</xm:sqref>
        </x14:conditionalFormatting>
        <x14:conditionalFormatting xmlns:xm="http://schemas.microsoft.com/office/excel/2006/main">
          <x14:cfRule type="cellIs" priority="8" operator="notEqual" id="{8C878754-FAB5-46A3-A11B-2906A294BB8C}">
            <xm:f>VALORACIÓN!$D$10</xm:f>
            <x14:dxf>
              <font>
                <color auto="1"/>
              </font>
              <fill>
                <patternFill patternType="lightGrid">
                  <fgColor theme="0" tint="-4.9989318521683403E-2"/>
                  <bgColor theme="0"/>
                </patternFill>
              </fill>
            </x14:dxf>
          </x14:cfRule>
          <x14:cfRule type="cellIs" priority="9" operator="equal" id="{260A3007-673F-4AE1-853A-25B6F99E2C9F}">
            <xm:f>VALORACIÓN!$D$10</xm:f>
            <x14:dxf>
              <fill>
                <patternFill patternType="lightGrid">
                  <fgColor theme="0" tint="-4.9989318521683403E-2"/>
                </patternFill>
              </fill>
            </x14:dxf>
          </x14:cfRule>
          <xm:sqref>G9:G110</xm:sqref>
        </x14:conditionalFormatting>
        <x14:conditionalFormatting xmlns:xm="http://schemas.microsoft.com/office/excel/2006/main">
          <x14:cfRule type="cellIs" priority="5" operator="notEqual" id="{F4B67A89-78A2-4454-BC31-A45B3824B3B4}">
            <xm:f>VALORACIÓN!$D$10</xm:f>
            <x14:dxf>
              <font>
                <color auto="1"/>
              </font>
              <fill>
                <patternFill patternType="lightGrid">
                  <fgColor theme="0" tint="-4.9989318521683403E-2"/>
                  <bgColor theme="0"/>
                </patternFill>
              </fill>
            </x14:dxf>
          </x14:cfRule>
          <x14:cfRule type="cellIs" priority="6" operator="equal" id="{7BD1ED63-EA35-4A17-9F01-0A08CA9F8FA0}">
            <xm:f>VALORACIÓN!$D$10</xm:f>
            <x14:dxf>
              <fill>
                <patternFill patternType="lightGrid">
                  <fgColor theme="0" tint="-4.9989318521683403E-2"/>
                </patternFill>
              </fill>
            </x14:dxf>
          </x14:cfRule>
          <xm:sqref>I9:I110</xm:sqref>
        </x14:conditionalFormatting>
        <x14:conditionalFormatting xmlns:xm="http://schemas.microsoft.com/office/excel/2006/main">
          <x14:cfRule type="cellIs" priority="2" operator="notEqual" id="{096D8F66-1585-48D8-8231-FB9B24699C6D}">
            <xm:f>VALORACIÓN!$D$10</xm:f>
            <x14:dxf>
              <font>
                <color auto="1"/>
              </font>
              <fill>
                <patternFill patternType="lightGrid">
                  <fgColor theme="0" tint="-4.9989318521683403E-2"/>
                  <bgColor theme="0"/>
                </patternFill>
              </fill>
            </x14:dxf>
          </x14:cfRule>
          <x14:cfRule type="cellIs" priority="3" operator="equal" id="{3C216C8E-55C8-4A99-8CD3-6F96F9EEB727}">
            <xm:f>VALORACIÓN!$D$10</xm:f>
            <x14:dxf>
              <fill>
                <patternFill patternType="lightGrid">
                  <fgColor theme="0" tint="-4.9989318521683403E-2"/>
                </patternFill>
              </fill>
            </x14:dxf>
          </x14:cfRule>
          <xm:sqref>K9:K110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7030A0"/>
  </sheetPr>
  <dimension ref="A1:K38"/>
  <sheetViews>
    <sheetView view="pageBreakPreview" zoomScaleNormal="100" zoomScaleSheetLayoutView="100" workbookViewId="0">
      <pane xSplit="2" ySplit="8" topLeftCell="C33"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22.5546875" customWidth="1"/>
    <col min="3" max="5" width="9" style="96" customWidth="1"/>
    <col min="6" max="6" width="12" hidden="1" customWidth="1"/>
    <col min="7" max="7" width="31" customWidth="1"/>
    <col min="8" max="8" width="25.109375" customWidth="1"/>
  </cols>
  <sheetData>
    <row r="1" spans="1:11" ht="15" customHeight="1" x14ac:dyDescent="0.2">
      <c r="A1" s="437" t="s">
        <v>145</v>
      </c>
      <c r="B1" s="437"/>
      <c r="C1" s="646" t="s">
        <v>206</v>
      </c>
      <c r="D1" s="647"/>
      <c r="E1" s="647"/>
      <c r="F1" s="647"/>
      <c r="G1" s="648"/>
      <c r="H1" s="182" t="s">
        <v>71</v>
      </c>
      <c r="I1" s="392"/>
      <c r="J1" s="392"/>
      <c r="K1" s="392"/>
    </row>
    <row r="2" spans="1:11" ht="15" customHeight="1" x14ac:dyDescent="0.2">
      <c r="A2" s="437"/>
      <c r="B2" s="437"/>
      <c r="C2" s="649"/>
      <c r="D2" s="650"/>
      <c r="E2" s="650"/>
      <c r="F2" s="650"/>
      <c r="G2" s="651"/>
      <c r="H2" s="182" t="s">
        <v>107</v>
      </c>
      <c r="I2" s="392"/>
      <c r="J2" s="392"/>
      <c r="K2" s="392"/>
    </row>
    <row r="3" spans="1:11" ht="15" customHeight="1" x14ac:dyDescent="0.2">
      <c r="A3" s="437"/>
      <c r="B3" s="437"/>
      <c r="C3" s="652"/>
      <c r="D3" s="653"/>
      <c r="E3" s="653"/>
      <c r="F3" s="653"/>
      <c r="G3" s="654"/>
      <c r="H3" s="182" t="s">
        <v>408</v>
      </c>
      <c r="I3" s="392"/>
      <c r="J3" s="392"/>
      <c r="K3" s="392"/>
    </row>
    <row r="4" spans="1:11" ht="3.75" customHeight="1" x14ac:dyDescent="0.2">
      <c r="A4" s="33"/>
      <c r="B4" s="34"/>
      <c r="C4" s="35"/>
      <c r="D4" s="35"/>
      <c r="E4" s="38"/>
      <c r="F4" s="38"/>
      <c r="G4" s="49"/>
      <c r="H4" s="49"/>
      <c r="I4" s="392"/>
      <c r="J4" s="392"/>
      <c r="K4" s="392"/>
    </row>
    <row r="5" spans="1:11" ht="15.75" x14ac:dyDescent="0.2">
      <c r="A5" s="439" t="s">
        <v>184</v>
      </c>
      <c r="B5" s="439"/>
      <c r="C5" s="439"/>
      <c r="D5" s="439"/>
      <c r="E5" s="523"/>
      <c r="F5" s="523"/>
      <c r="G5" s="523"/>
      <c r="H5" s="523"/>
      <c r="I5" s="392"/>
      <c r="J5" s="392"/>
      <c r="K5" s="392"/>
    </row>
    <row r="6" spans="1:11" ht="15.75" customHeight="1" x14ac:dyDescent="0.2">
      <c r="A6" s="489" t="str">
        <f>'CONTEXTO ESTRATEGICO'!A7</f>
        <v>INSTITUCIONAL</v>
      </c>
      <c r="B6" s="489"/>
      <c r="C6" s="579" t="str">
        <f>'SEGUIMIENTO Y MONITOREO'!C6</f>
        <v>Mapa de Riesgo Institucional</v>
      </c>
      <c r="D6" s="580"/>
      <c r="E6" s="580"/>
      <c r="F6" s="580"/>
      <c r="G6" s="173" t="str">
        <f>'SEGUIMIENTO Y MONITOREO'!E6</f>
        <v>Fecha de Actualización (AAAA/MM/DD)</v>
      </c>
      <c r="H6" s="171">
        <f>'SEGUIMIENTO Y MONITOREO'!H6</f>
        <v>42443</v>
      </c>
      <c r="I6" s="392"/>
      <c r="J6" s="392"/>
      <c r="K6" s="392"/>
    </row>
    <row r="7" spans="1:11" ht="15.75" customHeight="1" x14ac:dyDescent="0.2">
      <c r="A7" s="489"/>
      <c r="B7" s="489"/>
      <c r="C7" s="655" t="s">
        <v>161</v>
      </c>
      <c r="D7" s="656"/>
      <c r="E7" s="656"/>
      <c r="F7" s="657"/>
      <c r="G7" s="170" t="s">
        <v>185</v>
      </c>
      <c r="H7" s="172">
        <f>'SEGUIMIENTO Y MONITOREO'!$AX$7</f>
        <v>42613</v>
      </c>
      <c r="I7" s="392"/>
      <c r="J7" s="392"/>
      <c r="K7" s="392"/>
    </row>
    <row r="8" spans="1:11" ht="24" customHeight="1" x14ac:dyDescent="0.2">
      <c r="A8" s="154" t="s">
        <v>22</v>
      </c>
      <c r="B8" s="154" t="s">
        <v>28</v>
      </c>
      <c r="C8" s="174" t="str">
        <f>TGS!G8</f>
        <v>% 1ER CuaT</v>
      </c>
      <c r="D8" s="174" t="str">
        <f>TGS!I8</f>
        <v>% 2DO CuaT</v>
      </c>
      <c r="E8" s="183" t="str">
        <f>TGS!K8</f>
        <v>% 3ER CuaT</v>
      </c>
      <c r="F8" s="169" t="s">
        <v>201</v>
      </c>
      <c r="G8" s="645"/>
      <c r="H8" s="645"/>
      <c r="I8" s="392"/>
      <c r="J8" s="392"/>
      <c r="K8" s="392"/>
    </row>
    <row r="9" spans="1:11" ht="22.5" customHeight="1" x14ac:dyDescent="0.2">
      <c r="A9" s="178" t="str">
        <f>IDENTIFICACIÓN!C9</f>
        <v>1G</v>
      </c>
      <c r="B9" s="179" t="str">
        <f>IF(IDENTIFICACIÓN!D9="","",IDENTIFICACIÓN!D9)</f>
        <v>Relaciones Interinstitucionales. Concentrar labores múltiples en poco personal</v>
      </c>
      <c r="C9" s="314" t="str">
        <f>'SEGUIMIENTO Y MONITOREO'!AR9</f>
        <v>NA</v>
      </c>
      <c r="D9" s="391">
        <f>'SEGUIMIENTO Y MONITOREO'!AS9</f>
        <v>0</v>
      </c>
      <c r="E9" s="391" t="str">
        <f>'SEGUIMIENTO Y MONITOREO'!AU9</f>
        <v/>
      </c>
      <c r="F9" s="180">
        <f>'SEGUIMIENTO Y MONITOREO'!AW9</f>
        <v>0</v>
      </c>
      <c r="G9" s="644"/>
      <c r="H9" s="644"/>
      <c r="I9" s="392"/>
      <c r="J9" s="392"/>
      <c r="K9" s="392"/>
    </row>
    <row r="10" spans="1:11" ht="22.5" customHeight="1" x14ac:dyDescent="0.2">
      <c r="A10" s="178" t="str">
        <f>IDENTIFICACIÓN!C10</f>
        <v>2G</v>
      </c>
      <c r="B10" s="179" t="str">
        <f>IF(IDENTIFICACIÓN!D10="","",IDENTIFICACIÓN!D10)</f>
        <v xml:space="preserve">Relaciones Interinstitucionales. Escaso registro y control de la movilidad internacional entrante y saliente. </v>
      </c>
      <c r="C10" s="391">
        <f>'SEGUIMIENTO Y MONITOREO'!AR12</f>
        <v>1</v>
      </c>
      <c r="D10" s="391">
        <f>'SEGUIMIENTO Y MONITOREO'!AS12</f>
        <v>1</v>
      </c>
      <c r="E10" s="391" t="str">
        <f>'SEGUIMIENTO Y MONITOREO'!AU12</f>
        <v/>
      </c>
      <c r="F10" s="180">
        <f>'SEGUIMIENTO Y MONITOREO'!AW12</f>
        <v>1</v>
      </c>
      <c r="G10" s="644"/>
      <c r="H10" s="644"/>
      <c r="I10" s="392"/>
      <c r="J10" s="392"/>
      <c r="K10" s="392"/>
    </row>
    <row r="11" spans="1:11" ht="22.5" customHeight="1" x14ac:dyDescent="0.2">
      <c r="A11" s="178" t="str">
        <f>IDENTIFICACIÓN!C11</f>
        <v>3G</v>
      </c>
      <c r="B11" s="179" t="str">
        <f>IF(IDENTIFICACIÓN!D11="","",IDENTIFICACIÓN!D11)</f>
        <v>Relaciones Interinstitucionales. Gestionar la movilidad internacional sin requisitos legales</v>
      </c>
      <c r="C11" s="391">
        <f>'SEGUIMIENTO Y MONITOREO'!AR15</f>
        <v>1</v>
      </c>
      <c r="D11" s="391">
        <f>'SEGUIMIENTO Y MONITOREO'!AS15</f>
        <v>1</v>
      </c>
      <c r="E11" s="391" t="str">
        <f>'SEGUIMIENTO Y MONITOREO'!AU15</f>
        <v/>
      </c>
      <c r="F11" s="180">
        <f>'SEGUIMIENTO Y MONITOREO'!AW15</f>
        <v>1</v>
      </c>
      <c r="G11" s="644"/>
      <c r="H11" s="644"/>
      <c r="I11" s="392"/>
      <c r="J11" s="392"/>
      <c r="K11" s="392"/>
    </row>
    <row r="12" spans="1:11" ht="22.5" customHeight="1" x14ac:dyDescent="0.2">
      <c r="A12" s="178" t="str">
        <f>IDENTIFICACIÓN!C12</f>
        <v>4G</v>
      </c>
      <c r="B12" s="179" t="str">
        <f>IF(IDENTIFICACIÓN!D12="","",IDENTIFICACIÓN!D12)</f>
        <v>Acreditación. Insuficiente Implementación de la Política Institucional de Autoevaluación, Acreditación y Aseguramiento de la calidad</v>
      </c>
      <c r="C12" s="391">
        <f>'SEGUIMIENTO Y MONITOREO'!AR18</f>
        <v>0</v>
      </c>
      <c r="D12" s="391">
        <f>'SEGUIMIENTO Y MONITOREO'!AS18</f>
        <v>0.5</v>
      </c>
      <c r="E12" s="391" t="str">
        <f>'SEGUIMIENTO Y MONITOREO'!AU18</f>
        <v/>
      </c>
      <c r="F12" s="180">
        <f>'SEGUIMIENTO Y MONITOREO'!AW18</f>
        <v>0.5</v>
      </c>
      <c r="G12" s="644"/>
      <c r="H12" s="644"/>
      <c r="I12" s="392"/>
      <c r="J12" s="392"/>
      <c r="K12" s="392"/>
    </row>
    <row r="13" spans="1:11" ht="22.5" customHeight="1" x14ac:dyDescent="0.2">
      <c r="A13" s="178" t="str">
        <f>IDENTIFICACIÓN!C13</f>
        <v>5G</v>
      </c>
      <c r="B13" s="179" t="str">
        <f>IF(IDENTIFICACIÓN!D13="","",IDENTIFICACIÓN!D13)</f>
        <v xml:space="preserve">Acreditación. Deficiencia en la calidad técnica de los informes </v>
      </c>
      <c r="C13" s="391">
        <f>'SEGUIMIENTO Y MONITOREO'!AR21</f>
        <v>1</v>
      </c>
      <c r="D13" s="391">
        <f>'SEGUIMIENTO Y MONITOREO'!AS21</f>
        <v>1</v>
      </c>
      <c r="E13" s="391" t="str">
        <f>'SEGUIMIENTO Y MONITOREO'!AU21</f>
        <v/>
      </c>
      <c r="F13" s="180">
        <f>'SEGUIMIENTO Y MONITOREO'!AW21</f>
        <v>1</v>
      </c>
      <c r="G13" s="644"/>
      <c r="H13" s="644"/>
      <c r="I13" s="392"/>
      <c r="J13" s="392"/>
      <c r="K13" s="392"/>
    </row>
    <row r="14" spans="1:11" ht="22.5" customHeight="1" x14ac:dyDescent="0.2">
      <c r="A14" s="178" t="str">
        <f>IDENTIFICACIÓN!C14</f>
        <v>6G</v>
      </c>
      <c r="B14" s="179" t="str">
        <f>IF(IDENTIFICACIÓN!D14="","",IDENTIFICACIÓN!D14)</f>
        <v>Acreditación. Negación de la acreditación o de la renovación de registro calificado</v>
      </c>
      <c r="C14" s="391" t="str">
        <f>'SEGUIMIENTO Y MONITOREO'!AR24</f>
        <v>NA</v>
      </c>
      <c r="D14" s="391" t="str">
        <f>'SEGUIMIENTO Y MONITOREO'!AS24</f>
        <v>NA</v>
      </c>
      <c r="E14" s="391" t="str">
        <f>'SEGUIMIENTO Y MONITOREO'!AU24</f>
        <v/>
      </c>
      <c r="F14" s="180" t="str">
        <f>'SEGUIMIENTO Y MONITOREO'!AW24</f>
        <v>NA</v>
      </c>
      <c r="G14" s="644"/>
      <c r="H14" s="644"/>
      <c r="I14" s="392"/>
      <c r="J14" s="392"/>
      <c r="K14" s="392"/>
    </row>
    <row r="15" spans="1:11" ht="22.5" customHeight="1" x14ac:dyDescent="0.2">
      <c r="A15" s="178" t="str">
        <f>IDENTIFICACIÓN!C15</f>
        <v>7G</v>
      </c>
      <c r="B15" s="179" t="str">
        <f>IF(IDENTIFICACIÓN!D15="","",IDENTIFICACIÓN!D15)</f>
        <v>Acreditación. Incumplimiento en algunas actividades establecidas en el plan de trabajo</v>
      </c>
      <c r="C15" s="391" t="str">
        <f>'SEGUIMIENTO Y MONITOREO'!AR27</f>
        <v>NA</v>
      </c>
      <c r="D15" s="391" t="str">
        <f>'SEGUIMIENTO Y MONITOREO'!AS27</f>
        <v>NA</v>
      </c>
      <c r="E15" s="391" t="str">
        <f>'SEGUIMIENTO Y MONITOREO'!AU27</f>
        <v/>
      </c>
      <c r="F15" s="180" t="str">
        <f>'SEGUIMIENTO Y MONITOREO'!AW27</f>
        <v>NA</v>
      </c>
      <c r="G15" s="644"/>
      <c r="H15" s="644"/>
      <c r="I15" s="392"/>
      <c r="J15" s="392"/>
      <c r="K15" s="392"/>
    </row>
    <row r="16" spans="1:11" ht="22.5" customHeight="1" x14ac:dyDescent="0.2">
      <c r="A16" s="178" t="str">
        <f>IDENTIFICACIÓN!C16</f>
        <v>8G</v>
      </c>
      <c r="B16" s="179" t="str">
        <f>IF(IDENTIFICACIÓN!D16="","",IDENTIFICACIÓN!D16)</f>
        <v>Acreditación. Retraso en el otorgamiento o renovacion del registro calificado</v>
      </c>
      <c r="C16" s="391" t="str">
        <f>'SEGUIMIENTO Y MONITOREO'!AR30</f>
        <v>NA</v>
      </c>
      <c r="D16" s="391" t="str">
        <f>'SEGUIMIENTO Y MONITOREO'!AS30</f>
        <v>NA</v>
      </c>
      <c r="E16" s="391" t="str">
        <f>'SEGUIMIENTO Y MONITOREO'!AU30</f>
        <v/>
      </c>
      <c r="F16" s="180" t="str">
        <f>'SEGUIMIENTO Y MONITOREO'!AW30</f>
        <v>NA</v>
      </c>
      <c r="G16" s="644"/>
      <c r="H16" s="644"/>
      <c r="I16" s="392"/>
      <c r="J16" s="392"/>
      <c r="K16" s="392"/>
    </row>
    <row r="17" spans="1:11" ht="22.5" customHeight="1" x14ac:dyDescent="0.2">
      <c r="A17" s="178" t="str">
        <f>IDENTIFICACIÓN!C17</f>
        <v>9G</v>
      </c>
      <c r="B17" s="179" t="str">
        <f>IF(IDENTIFICACIÓN!D17="","",IDENTIFICACIÓN!D17)</f>
        <v>Gestión de la Calidad. La alta dirección no asegura la disponibilidad de los recursos para el mantenimiento y mejora del sistema.</v>
      </c>
      <c r="C17" s="391">
        <f>'SEGUIMIENTO Y MONITOREO'!AR33</f>
        <v>1</v>
      </c>
      <c r="D17" s="391">
        <f>'SEGUIMIENTO Y MONITOREO'!AS33</f>
        <v>1</v>
      </c>
      <c r="E17" s="391" t="str">
        <f>'SEGUIMIENTO Y MONITOREO'!AU33</f>
        <v/>
      </c>
      <c r="F17" s="180">
        <f>'SEGUIMIENTO Y MONITOREO'!AW33</f>
        <v>1</v>
      </c>
      <c r="G17" s="644"/>
      <c r="H17" s="644"/>
      <c r="I17" s="392"/>
      <c r="J17" s="392"/>
      <c r="K17" s="392"/>
    </row>
    <row r="18" spans="1:11" ht="22.5" customHeight="1" x14ac:dyDescent="0.2">
      <c r="A18" s="178" t="str">
        <f>IDENTIFICACIÓN!C18</f>
        <v>10G</v>
      </c>
      <c r="B18" s="179" t="str">
        <f>IF(IDENTIFICACIÓN!D18="","",IDENTIFICACIÓN!D18)</f>
        <v>Comunicaciones. Inoportuna e ineficaz divulgación de los productos comunicativos y publicitarios ante los usuarios internos y externos.</v>
      </c>
      <c r="C18" s="391">
        <f>'SEGUIMIENTO Y MONITOREO'!AR36</f>
        <v>0.125</v>
      </c>
      <c r="D18" s="391">
        <f>'SEGUIMIENTO Y MONITOREO'!AS36</f>
        <v>0.25</v>
      </c>
      <c r="E18" s="391" t="str">
        <f>'SEGUIMIENTO Y MONITOREO'!AU36</f>
        <v/>
      </c>
      <c r="F18" s="180">
        <f>'SEGUIMIENTO Y MONITOREO'!AW36</f>
        <v>0.25</v>
      </c>
      <c r="G18" s="644"/>
      <c r="H18" s="644"/>
      <c r="I18" s="392"/>
      <c r="J18" s="392"/>
      <c r="K18" s="392"/>
    </row>
    <row r="19" spans="1:11" ht="22.5" customHeight="1" x14ac:dyDescent="0.2">
      <c r="A19" s="390" t="str">
        <f>IDENTIFICACIÓN!C19</f>
        <v>11G</v>
      </c>
      <c r="B19" s="389" t="str">
        <f>IF(IDENTIFICACIÓN!D19="","",IDENTIFICACIÓN!D19)</f>
        <v>Gestión Academica. Pérdida de Registro Calificado de los Programas Académicos.</v>
      </c>
      <c r="C19" s="391" t="str">
        <f>'SEGUIMIENTO Y MONITOREO'!AR39</f>
        <v>NA</v>
      </c>
      <c r="D19" s="391">
        <f>'SEGUIMIENTO Y MONITOREO'!AS39</f>
        <v>3.5000000000000003E-2</v>
      </c>
      <c r="E19" s="391" t="str">
        <f>'SEGUIMIENTO Y MONITOREO'!AU39</f>
        <v/>
      </c>
      <c r="F19" s="391">
        <f>'SEGUIMIENTO Y MONITOREO'!AW39</f>
        <v>3.5000000000000003E-2</v>
      </c>
      <c r="G19" s="392"/>
      <c r="H19" s="392"/>
      <c r="I19" s="392"/>
      <c r="J19" s="392"/>
      <c r="K19" s="392"/>
    </row>
    <row r="20" spans="1:11" ht="22.5" customHeight="1" x14ac:dyDescent="0.2">
      <c r="A20" s="390" t="str">
        <f>IDENTIFICACIÓN!C20</f>
        <v>12G</v>
      </c>
      <c r="B20" s="389" t="str">
        <f>IF(IDENTIFICACIÓN!D20="","",IDENTIFICACIÓN!D20)</f>
        <v>Gestión Academica. Formulación inadecuada de políticas.</v>
      </c>
      <c r="C20" s="391" t="str">
        <f>'SEGUIMIENTO Y MONITOREO'!AR42</f>
        <v>NA</v>
      </c>
      <c r="D20" s="391">
        <f>'SEGUIMIENTO Y MONITOREO'!AS42</f>
        <v>0.05</v>
      </c>
      <c r="E20" s="391" t="str">
        <f>'SEGUIMIENTO Y MONITOREO'!AU42</f>
        <v/>
      </c>
      <c r="F20" s="391">
        <f>'SEGUIMIENTO Y MONITOREO'!AW42</f>
        <v>0.05</v>
      </c>
      <c r="G20" s="392"/>
      <c r="H20" s="392"/>
      <c r="I20" s="392"/>
      <c r="J20" s="392"/>
      <c r="K20" s="392"/>
    </row>
    <row r="21" spans="1:11" ht="22.5" customHeight="1" x14ac:dyDescent="0.2">
      <c r="A21" s="390" t="str">
        <f>IDENTIFICACIÓN!C21</f>
        <v>13G</v>
      </c>
      <c r="B21" s="389" t="str">
        <f>IF(IDENTIFICACIÓN!D21="","",IDENTIFICACIÓN!D21)</f>
        <v>Gestión Academica. Aplicación inadecuada de la normatividad en el desarrollo de los diferentes procesos academicos de los programas.</v>
      </c>
      <c r="C21" s="391" t="str">
        <f>'SEGUIMIENTO Y MONITOREO'!AR45</f>
        <v>NA</v>
      </c>
      <c r="D21" s="391">
        <f>'SEGUIMIENTO Y MONITOREO'!AS45</f>
        <v>0.05</v>
      </c>
      <c r="E21" s="391" t="str">
        <f>'SEGUIMIENTO Y MONITOREO'!AU45</f>
        <v/>
      </c>
      <c r="F21" s="391">
        <f>'SEGUIMIENTO Y MONITOREO'!AW45</f>
        <v>0.05</v>
      </c>
      <c r="G21" s="392"/>
      <c r="H21" s="392"/>
      <c r="I21" s="392"/>
      <c r="J21" s="392"/>
      <c r="K21" s="392"/>
    </row>
    <row r="22" spans="1:11" ht="22.5" customHeight="1" x14ac:dyDescent="0.2">
      <c r="A22" s="390" t="str">
        <f>IDENTIFICACIÓN!C22</f>
        <v>14G</v>
      </c>
      <c r="B22" s="389" t="str">
        <f>IF(IDENTIFICACIÓN!D22="","",IDENTIFICACIÓN!D22)</f>
        <v>Gestión Academica. Deterioro en la calidad de los programas académicos por necesidades de recursos no cubiertas.</v>
      </c>
      <c r="C22" s="391" t="str">
        <f>'SEGUIMIENTO Y MONITOREO'!AR48</f>
        <v>NA</v>
      </c>
      <c r="D22" s="391">
        <f>'SEGUIMIENTO Y MONITOREO'!AS48</f>
        <v>0.02</v>
      </c>
      <c r="E22" s="391" t="str">
        <f>'SEGUIMIENTO Y MONITOREO'!AU48</f>
        <v/>
      </c>
      <c r="F22" s="391">
        <f>'SEGUIMIENTO Y MONITOREO'!AW48</f>
        <v>0.02</v>
      </c>
      <c r="G22" s="392"/>
      <c r="H22" s="392"/>
      <c r="I22" s="392"/>
      <c r="J22" s="392"/>
      <c r="K22" s="392"/>
    </row>
    <row r="23" spans="1:11" ht="22.5" customHeight="1" x14ac:dyDescent="0.2">
      <c r="A23" s="390" t="str">
        <f>IDENTIFICACIÓN!C23</f>
        <v>15G</v>
      </c>
      <c r="B23" s="389" t="str">
        <f>IF(IDENTIFICACIÓN!D23="","",IDENTIFICACIÓN!D23)</f>
        <v xml:space="preserve">Gestión de Investigación. No fomentar la actividad investigativa en la Universidad.  </v>
      </c>
      <c r="C23" s="391">
        <f>'SEGUIMIENTO Y MONITOREO'!AR51</f>
        <v>0.58333333333333326</v>
      </c>
      <c r="D23" s="391">
        <f>'SEGUIMIENTO Y MONITOREO'!AS51</f>
        <v>0.71666666666666667</v>
      </c>
      <c r="E23" s="391" t="str">
        <f>'SEGUIMIENTO Y MONITOREO'!AU51</f>
        <v/>
      </c>
      <c r="F23" s="391">
        <f>'SEGUIMIENTO Y MONITOREO'!AW51</f>
        <v>0.71666666666666667</v>
      </c>
      <c r="G23" s="392"/>
      <c r="H23" s="392"/>
      <c r="I23" s="392"/>
      <c r="J23" s="392"/>
      <c r="K23" s="392"/>
    </row>
    <row r="24" spans="1:11" ht="22.5" customHeight="1" x14ac:dyDescent="0.2">
      <c r="A24" s="390" t="str">
        <f>IDENTIFICACIÓN!C24</f>
        <v>16G</v>
      </c>
      <c r="B24" s="389" t="str">
        <f>IF(IDENTIFICACIÓN!D24="","",IDENTIFICACIÓN!D24)</f>
        <v>Gestión de Investigación. Deficiente cumplimiento del plan de acción de la Vicerrectoría de Investigación</v>
      </c>
      <c r="C24" s="391">
        <f>'SEGUIMIENTO Y MONITOREO'!AR54</f>
        <v>8.3333333333333343E-2</v>
      </c>
      <c r="D24" s="391">
        <f>'SEGUIMIENTO Y MONITOREO'!AS54</f>
        <v>0.5</v>
      </c>
      <c r="E24" s="391" t="str">
        <f>'SEGUIMIENTO Y MONITOREO'!AU54</f>
        <v/>
      </c>
      <c r="F24" s="391">
        <f>'SEGUIMIENTO Y MONITOREO'!AW54</f>
        <v>0.5</v>
      </c>
      <c r="G24" s="392"/>
      <c r="H24" s="392"/>
      <c r="I24" s="392"/>
      <c r="J24" s="392"/>
      <c r="K24" s="392"/>
    </row>
    <row r="25" spans="1:11" ht="22.5" customHeight="1" x14ac:dyDescent="0.2">
      <c r="A25" s="390" t="str">
        <f>IDENTIFICACIÓN!C25</f>
        <v>17G</v>
      </c>
      <c r="B25" s="389" t="str">
        <f>IF(IDENTIFICACIÓN!D25="","",IDENTIFICACIÓN!D25)</f>
        <v>Gestión de Extensión y Proyección Social. Incumplimiento en los compromisos establecidos en la formalización de los proyectos.</v>
      </c>
      <c r="C25" s="391">
        <f>'SEGUIMIENTO Y MONITOREO'!AR57</f>
        <v>0</v>
      </c>
      <c r="D25" s="391">
        <f>'SEGUIMIENTO Y MONITOREO'!AS57</f>
        <v>0.67</v>
      </c>
      <c r="E25" s="391" t="str">
        <f>'SEGUIMIENTO Y MONITOREO'!AU57</f>
        <v/>
      </c>
      <c r="F25" s="391">
        <f>'SEGUIMIENTO Y MONITOREO'!AW57</f>
        <v>0.67</v>
      </c>
      <c r="G25" s="392"/>
      <c r="H25" s="392"/>
      <c r="I25" s="392"/>
      <c r="J25" s="392"/>
      <c r="K25" s="392"/>
    </row>
    <row r="26" spans="1:11" ht="22.5" customHeight="1" x14ac:dyDescent="0.2">
      <c r="A26" s="390" t="str">
        <f>IDENTIFICACIÓN!C26</f>
        <v>18G</v>
      </c>
      <c r="B26" s="389"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26" s="391" t="str">
        <f>'SEGUIMIENTO Y MONITOREO'!AR60</f>
        <v>NA</v>
      </c>
      <c r="D26" s="391" t="str">
        <f>'SEGUIMIENTO Y MONITOREO'!AS60</f>
        <v>NA</v>
      </c>
      <c r="E26" s="391" t="str">
        <f>'SEGUIMIENTO Y MONITOREO'!AU60</f>
        <v/>
      </c>
      <c r="F26" s="391" t="str">
        <f>'SEGUIMIENTO Y MONITOREO'!AW60</f>
        <v>NA</v>
      </c>
      <c r="G26" s="392"/>
      <c r="H26" s="392"/>
      <c r="I26" s="392"/>
      <c r="J26" s="392"/>
      <c r="K26" s="392"/>
    </row>
    <row r="27" spans="1:11" ht="22.5" customHeight="1" x14ac:dyDescent="0.2">
      <c r="A27" s="390" t="str">
        <f>IDENTIFICACIÓN!C27</f>
        <v>19G</v>
      </c>
      <c r="B27" s="389" t="str">
        <f>IF(IDENTIFICACIÓN!D27="","",IDENTIFICACIÓN!D27)</f>
        <v>Gestión de Extensión y Proyección Social. Interrupción en las actividades e incumplimiento de los proyectos de extensión y proyección social, en las zonas de influencia.</v>
      </c>
      <c r="C27" s="391" t="str">
        <f>'SEGUIMIENTO Y MONITOREO'!AR63</f>
        <v>NA</v>
      </c>
      <c r="D27" s="391" t="str">
        <f>'SEGUIMIENTO Y MONITOREO'!AS63</f>
        <v>NA</v>
      </c>
      <c r="E27" s="391" t="str">
        <f>'SEGUIMIENTO Y MONITOREO'!AU63</f>
        <v/>
      </c>
      <c r="F27" s="391" t="str">
        <f>'SEGUIMIENTO Y MONITOREO'!AW63</f>
        <v>NA</v>
      </c>
      <c r="G27" s="392"/>
      <c r="H27" s="392"/>
      <c r="I27" s="392"/>
      <c r="J27" s="392"/>
      <c r="K27" s="392"/>
    </row>
    <row r="28" spans="1:11" ht="22.5" customHeight="1" x14ac:dyDescent="0.2">
      <c r="A28" s="390" t="str">
        <f>IDENTIFICACIÓN!C28</f>
        <v>20G</v>
      </c>
      <c r="B28" s="389" t="str">
        <f>IF(IDENTIFICACIÓN!D28="","",IDENTIFICACIÓN!D28)</f>
        <v>Gestión de Contratación. Celebración de contratos sin el cumplimiento de los requisitos internos y externos de carácter contractual</v>
      </c>
      <c r="C28" s="391" t="str">
        <f>'SEGUIMIENTO Y MONITOREO'!AR66</f>
        <v>NA</v>
      </c>
      <c r="D28" s="391" t="str">
        <f>'SEGUIMIENTO Y MONITOREO'!AS66</f>
        <v>NA</v>
      </c>
      <c r="E28" s="391" t="str">
        <f>'SEGUIMIENTO Y MONITOREO'!AU66</f>
        <v/>
      </c>
      <c r="F28" s="391" t="str">
        <f>'SEGUIMIENTO Y MONITOREO'!AW66</f>
        <v>NA</v>
      </c>
      <c r="G28" s="392"/>
      <c r="H28" s="392"/>
      <c r="I28" s="392"/>
      <c r="J28" s="392"/>
      <c r="K28" s="392"/>
    </row>
    <row r="29" spans="1:11" ht="22.5" customHeight="1" x14ac:dyDescent="0.2">
      <c r="A29" s="390" t="str">
        <f>IDENTIFICACIÓN!C29</f>
        <v>21G</v>
      </c>
      <c r="B29" s="389" t="str">
        <f>IF(IDENTIFICACIÓN!D29="","",IDENTIFICACIÓN!D29)</f>
        <v>Gestión de Contratación. Documentación incompleta en la carpeta contractual</v>
      </c>
      <c r="C29" s="391" t="str">
        <f>'SEGUIMIENTO Y MONITOREO'!AR69</f>
        <v>NA</v>
      </c>
      <c r="D29" s="391" t="str">
        <f>'SEGUIMIENTO Y MONITOREO'!AS69</f>
        <v>NA</v>
      </c>
      <c r="E29" s="391" t="str">
        <f>'SEGUIMIENTO Y MONITOREO'!AU69</f>
        <v/>
      </c>
      <c r="F29" s="391" t="str">
        <f>'SEGUIMIENTO Y MONITOREO'!AW69</f>
        <v>NA</v>
      </c>
      <c r="G29" s="392"/>
      <c r="H29" s="392"/>
      <c r="I29" s="392"/>
      <c r="J29" s="392"/>
      <c r="K29" s="392"/>
    </row>
    <row r="30" spans="1:11" ht="22.5" customHeight="1" x14ac:dyDescent="0.2">
      <c r="A30" s="390" t="str">
        <f>IDENTIFICACIÓN!C30</f>
        <v>22G</v>
      </c>
      <c r="B30" s="389" t="str">
        <f>IF(IDENTIFICACIÓN!D30="","",IDENTIFICACIÓN!D30)</f>
        <v>Gestión Administrativa. Inseguridad en el campus</v>
      </c>
      <c r="C30" s="391">
        <f>'SEGUIMIENTO Y MONITOREO'!AR72</f>
        <v>0</v>
      </c>
      <c r="D30" s="391">
        <f>'SEGUIMIENTO Y MONITOREO'!AS72</f>
        <v>0.21666666666666665</v>
      </c>
      <c r="E30" s="391" t="str">
        <f>'SEGUIMIENTO Y MONITOREO'!AU72</f>
        <v/>
      </c>
      <c r="F30" s="391">
        <f>'SEGUIMIENTO Y MONITOREO'!AW72</f>
        <v>0.21666666666666665</v>
      </c>
      <c r="G30" s="392"/>
      <c r="H30" s="392"/>
      <c r="I30" s="392"/>
      <c r="J30" s="392"/>
      <c r="K30" s="392"/>
    </row>
    <row r="31" spans="1:11" ht="22.5" customHeight="1" x14ac:dyDescent="0.2">
      <c r="A31" s="390" t="str">
        <f>IDENTIFICACIÓN!C31</f>
        <v>23G</v>
      </c>
      <c r="B31" s="389" t="str">
        <f>IF(IDENTIFICACIÓN!D31="","",IDENTIFICACIÓN!D31)</f>
        <v>Gestión Administrativa. Inadecuado gestión de los residuos</v>
      </c>
      <c r="C31" s="391">
        <f>'SEGUIMIENTO Y MONITOREO'!AR75</f>
        <v>0</v>
      </c>
      <c r="D31" s="391">
        <f>'SEGUIMIENTO Y MONITOREO'!AS75</f>
        <v>0.5</v>
      </c>
      <c r="E31" s="391" t="str">
        <f>'SEGUIMIENTO Y MONITOREO'!AU75</f>
        <v/>
      </c>
      <c r="F31" s="391">
        <f>'SEGUIMIENTO Y MONITOREO'!AW75</f>
        <v>0.5</v>
      </c>
      <c r="G31" s="392"/>
      <c r="H31" s="392"/>
      <c r="I31" s="392"/>
      <c r="J31" s="392"/>
      <c r="K31" s="392"/>
    </row>
    <row r="32" spans="1:11" ht="22.5" customHeight="1" x14ac:dyDescent="0.2">
      <c r="A32" s="390" t="str">
        <f>IDENTIFICACIÓN!C32</f>
        <v>24G</v>
      </c>
      <c r="B32" s="389" t="str">
        <f>IF(IDENTIFICACIÓN!D32="","",IDENTIFICACIÓN!D32)</f>
        <v>Gestión del Talento Humano. Deficiente desempeño laboral de los funcionarios de la Universidad.</v>
      </c>
      <c r="C32" s="391">
        <f>'SEGUIMIENTO Y MONITOREO'!AR78</f>
        <v>0</v>
      </c>
      <c r="D32" s="391">
        <f>'SEGUIMIENTO Y MONITOREO'!AS78</f>
        <v>0.45</v>
      </c>
      <c r="E32" s="391" t="str">
        <f>'SEGUIMIENTO Y MONITOREO'!AU78</f>
        <v/>
      </c>
      <c r="F32" s="391">
        <f>'SEGUIMIENTO Y MONITOREO'!AW78</f>
        <v>0.45</v>
      </c>
      <c r="G32" s="392"/>
      <c r="H32" s="392"/>
      <c r="I32" s="392"/>
      <c r="J32" s="392"/>
      <c r="K32" s="392"/>
    </row>
    <row r="33" spans="1:11" ht="22.5" customHeight="1" x14ac:dyDescent="0.2">
      <c r="A33" s="390" t="str">
        <f>IDENTIFICACIÓN!C33</f>
        <v>25G</v>
      </c>
      <c r="B33" s="389" t="str">
        <f>IF(IDENTIFICACIÓN!D33="","",IDENTIFICACIÓN!D33)</f>
        <v>Gestión del Talento Humano. Falta de plan de incentivos y/o estímulos.</v>
      </c>
      <c r="C33" s="391">
        <f>'SEGUIMIENTO Y MONITOREO'!AR81</f>
        <v>0</v>
      </c>
      <c r="D33" s="391">
        <f>'SEGUIMIENTO Y MONITOREO'!AS81</f>
        <v>0</v>
      </c>
      <c r="E33" s="391" t="str">
        <f>'SEGUIMIENTO Y MONITOREO'!AU81</f>
        <v/>
      </c>
      <c r="F33" s="391">
        <f>'SEGUIMIENTO Y MONITOREO'!AW81</f>
        <v>0</v>
      </c>
      <c r="G33" s="392"/>
      <c r="H33" s="392"/>
      <c r="I33" s="392"/>
      <c r="J33" s="392"/>
      <c r="K33" s="392"/>
    </row>
    <row r="34" spans="1:11" ht="22.5" customHeight="1" x14ac:dyDescent="0.2">
      <c r="A34" s="390" t="str">
        <f>IDENTIFICACIÓN!C34</f>
        <v>26G</v>
      </c>
      <c r="B34" s="389" t="str">
        <f>IF(IDENTIFICACIÓN!D34="","",IDENTIFICACIÓN!D34)</f>
        <v>Gestión del Talento Humano. Demoras en la afilicación de catedráticos y ocasionales al Sistema de Seguridad Social Integral, y de los contratistas y estudiantes de Práctica a la Administradora de Riesgos Laborales.</v>
      </c>
      <c r="C34" s="391">
        <f>'SEGUIMIENTO Y MONITOREO'!AR84</f>
        <v>0</v>
      </c>
      <c r="D34" s="391">
        <f>'SEGUIMIENTO Y MONITOREO'!AS84</f>
        <v>0</v>
      </c>
      <c r="E34" s="391" t="str">
        <f>'SEGUIMIENTO Y MONITOREO'!AU84</f>
        <v/>
      </c>
      <c r="F34" s="391">
        <f>'SEGUIMIENTO Y MONITOREO'!AW84</f>
        <v>0</v>
      </c>
      <c r="G34" s="392"/>
      <c r="H34" s="392"/>
      <c r="I34" s="392"/>
      <c r="J34" s="392"/>
      <c r="K34" s="392"/>
    </row>
    <row r="35" spans="1:11" ht="22.5" customHeight="1" x14ac:dyDescent="0.2">
      <c r="A35" s="390" t="str">
        <f>IDENTIFICACIÓN!C35</f>
        <v>27G</v>
      </c>
      <c r="B35" s="389" t="str">
        <f>IF(IDENTIFICACIÓN!D35="","",IDENTIFICACIÓN!D35)</f>
        <v>Evaluación Independiente. Deficiente evaluación y verificacion de la existencia, nivel de desarrollo y grado de efectividad del Sistema de Control Interno</v>
      </c>
      <c r="C35" s="391" t="str">
        <f>'SEGUIMIENTO Y MONITOREO'!AR87</f>
        <v>NA</v>
      </c>
      <c r="D35" s="391" t="str">
        <f>'SEGUIMIENTO Y MONITOREO'!AS87</f>
        <v>NA</v>
      </c>
      <c r="E35" s="391" t="str">
        <f>'SEGUIMIENTO Y MONITOREO'!AU87</f>
        <v/>
      </c>
      <c r="F35" s="391" t="str">
        <f>'SEGUIMIENTO Y MONITOREO'!AW87</f>
        <v>NA</v>
      </c>
      <c r="G35" s="392"/>
      <c r="H35" s="392"/>
      <c r="I35" s="392"/>
      <c r="J35" s="392"/>
      <c r="K35" s="392"/>
    </row>
    <row r="36" spans="1:11" ht="22.5" customHeight="1" x14ac:dyDescent="0.2">
      <c r="A36" s="390" t="str">
        <f>IDENTIFICACIÓN!C36</f>
        <v>28G</v>
      </c>
      <c r="B36" s="389" t="str">
        <f>IF(IDENTIFICACIÓN!D36="","",IDENTIFICACIÓN!D36)</f>
        <v>Evaluación Independiente. Deficiente evaluación del nivel de avance de las acciones pactadas en los planes de mejoramiento</v>
      </c>
      <c r="C36" s="391" t="str">
        <f>'SEGUIMIENTO Y MONITOREO'!AR90</f>
        <v>NA</v>
      </c>
      <c r="D36" s="391" t="str">
        <f>'SEGUIMIENTO Y MONITOREO'!AS90</f>
        <v>NA</v>
      </c>
      <c r="E36" s="391" t="str">
        <f>'SEGUIMIENTO Y MONITOREO'!AU90</f>
        <v/>
      </c>
      <c r="F36" s="391" t="str">
        <f>'SEGUIMIENTO Y MONITOREO'!AW90</f>
        <v>NA</v>
      </c>
      <c r="G36" s="392"/>
      <c r="H36" s="392"/>
      <c r="I36" s="392"/>
      <c r="J36" s="392"/>
      <c r="K36" s="392"/>
    </row>
    <row r="37" spans="1:11" hidden="1" x14ac:dyDescent="0.2">
      <c r="A37" s="658" t="str">
        <f>'SEGUIMIENTO Y MONITOREO'!B200</f>
        <v>Cumplimiento Riesgos de GESTIÓN (Respecto a los plazos establecidos)</v>
      </c>
      <c r="B37" s="659"/>
      <c r="C37" s="659"/>
      <c r="D37" s="659"/>
      <c r="E37" s="660"/>
      <c r="F37" s="164">
        <f>'SEGUIMIENTO Y MONITOREO'!AW200</f>
        <v>0.40058372352285398</v>
      </c>
      <c r="G37" s="168"/>
      <c r="H37" s="168"/>
    </row>
    <row r="38" spans="1:11" hidden="1" x14ac:dyDescent="0.2">
      <c r="A38" s="661" t="str">
        <f>'SEGUIMIENTO Y MONITOREO'!B201</f>
        <v xml:space="preserve">% Avance Riesgos de GESTIÓN </v>
      </c>
      <c r="B38" s="661"/>
      <c r="C38" s="661"/>
      <c r="D38" s="661"/>
      <c r="E38" s="662"/>
      <c r="F38" s="164">
        <f>'SEGUIMIENTO Y MONITOREO'!AW201</f>
        <v>0.40058372352285398</v>
      </c>
      <c r="G38" s="168"/>
      <c r="H38" s="168"/>
    </row>
  </sheetData>
  <sheetProtection selectLockedCells="1"/>
  <mergeCells count="20">
    <mergeCell ref="G16:H16"/>
    <mergeCell ref="G17:H17"/>
    <mergeCell ref="G18:H18"/>
    <mergeCell ref="A37:E37"/>
    <mergeCell ref="A38:E38"/>
    <mergeCell ref="A6:B6"/>
    <mergeCell ref="A7:B7"/>
    <mergeCell ref="A1:B3"/>
    <mergeCell ref="A5:H5"/>
    <mergeCell ref="G9:H9"/>
    <mergeCell ref="G10:H10"/>
    <mergeCell ref="G8:H8"/>
    <mergeCell ref="C1:G3"/>
    <mergeCell ref="C6:F6"/>
    <mergeCell ref="C7:F7"/>
    <mergeCell ref="G11:H11"/>
    <mergeCell ref="G12:H12"/>
    <mergeCell ref="G13:H13"/>
    <mergeCell ref="G14:H14"/>
    <mergeCell ref="G15:H15"/>
  </mergeCells>
  <conditionalFormatting sqref="H7">
    <cfRule type="containsText" dxfId="155" priority="26" operator="containsText" text="Sin Seguimientos">
      <formula>NOT(ISERROR(SEARCH("Sin Seguimientos",H7)))</formula>
    </cfRule>
  </conditionalFormatting>
  <conditionalFormatting sqref="C9">
    <cfRule type="containsText" dxfId="154" priority="15" operator="containsText" text="NA">
      <formula>NOT(ISERROR(SEARCH("NA",C9)))</formula>
    </cfRule>
  </conditionalFormatting>
  <conditionalFormatting sqref="C10:C16">
    <cfRule type="containsText" dxfId="153" priority="7" operator="containsText" text="NA">
      <formula>NOT(ISERROR(SEARCH("NA",C10)))</formula>
    </cfRule>
  </conditionalFormatting>
  <conditionalFormatting sqref="C17:C36">
    <cfRule type="containsText" dxfId="152" priority="4" operator="containsText" text="NA">
      <formula>NOT(ISERROR(SEARCH("NA",C17)))</formula>
    </cfRule>
  </conditionalFormatting>
  <conditionalFormatting sqref="D9:E36">
    <cfRule type="containsText" dxfId="151" priority="1" operator="containsText" text="NA">
      <formula>NOT(ISERROR(SEARCH("NA",D9)))</formula>
    </cfRule>
  </conditionalFormatting>
  <dataValidations count="1">
    <dataValidation operator="equal" allowBlank="1" showInputMessage="1" showErrorMessage="1" sqref="C9:C36 D19:F36"/>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3" operator="notEqual" id="{64CD3E03-7D89-454E-BE6B-070829286C20}">
            <xm:f>VALORACIÓN!$D$10</xm:f>
            <x14:dxf>
              <font>
                <color auto="1"/>
              </font>
              <fill>
                <patternFill patternType="lightGrid">
                  <fgColor theme="0" tint="-4.9989318521683403E-2"/>
                  <bgColor theme="0"/>
                </patternFill>
              </fill>
            </x14:dxf>
          </x14:cfRule>
          <x14:cfRule type="cellIs" priority="34" operator="equal" id="{CF897324-9115-4EEA-B0BD-2B8208194274}">
            <xm:f>VALORACIÓN!$D$10</xm:f>
            <x14:dxf>
              <fill>
                <patternFill patternType="lightGrid">
                  <fgColor theme="0" tint="-4.9989318521683403E-2"/>
                </patternFill>
              </fill>
            </x14:dxf>
          </x14:cfRule>
          <xm:sqref>F19:F36</xm:sqref>
        </x14:conditionalFormatting>
        <x14:conditionalFormatting xmlns:xm="http://schemas.microsoft.com/office/excel/2006/main">
          <x14:cfRule type="cellIs" priority="29" operator="notEqual" id="{E568F569-1A75-41AD-9E87-98330D261B25}">
            <xm:f>VALORACIÓN!$D$10</xm:f>
            <x14:dxf>
              <font>
                <color auto="1"/>
              </font>
              <fill>
                <patternFill patternType="lightGrid">
                  <fgColor theme="0" tint="-4.9989318521683403E-2"/>
                  <bgColor theme="0"/>
                </patternFill>
              </fill>
            </x14:dxf>
          </x14:cfRule>
          <x14:cfRule type="cellIs" priority="30" operator="equal" id="{47E8CDD3-5F87-487A-A21E-4778CC81FB8E}">
            <xm:f>VALORACIÓN!$D$10</xm:f>
            <x14:dxf>
              <fill>
                <patternFill patternType="lightGrid">
                  <fgColor theme="0" tint="-4.9989318521683403E-2"/>
                </patternFill>
              </fill>
            </x14:dxf>
          </x14:cfRule>
          <xm:sqref>F9:F18</xm:sqref>
        </x14:conditionalFormatting>
        <x14:conditionalFormatting xmlns:xm="http://schemas.microsoft.com/office/excel/2006/main">
          <x14:cfRule type="cellIs" priority="27" operator="notEqual" id="{B5D24AAE-7382-4763-B5D2-4FF8B4A1E0CA}">
            <xm:f>VALORACIÓN!$D$10</xm:f>
            <x14:dxf>
              <font>
                <color auto="1"/>
              </font>
              <fill>
                <patternFill patternType="lightGrid">
                  <fgColor theme="0" tint="-4.9989318521683403E-2"/>
                  <bgColor theme="0"/>
                </patternFill>
              </fill>
            </x14:dxf>
          </x14:cfRule>
          <x14:cfRule type="cellIs" priority="28" operator="equal" id="{EFA09873-6933-4291-918D-BC6B4C4E4D59}">
            <xm:f>VALORACIÓN!$D$10</xm:f>
            <x14:dxf>
              <fill>
                <patternFill patternType="lightGrid">
                  <fgColor theme="0" tint="-4.9989318521683403E-2"/>
                </patternFill>
              </fill>
            </x14:dxf>
          </x14:cfRule>
          <xm:sqref>G9:G36</xm:sqref>
        </x14:conditionalFormatting>
        <x14:conditionalFormatting xmlns:xm="http://schemas.microsoft.com/office/excel/2006/main">
          <x14:cfRule type="cellIs" priority="24" operator="notEqual" id="{B1B113C7-B67A-4F16-A35E-ED02C614F05F}">
            <xm:f>VALORACIÓN!$D$10</xm:f>
            <x14:dxf>
              <font>
                <color auto="1"/>
              </font>
              <fill>
                <patternFill patternType="lightGrid">
                  <fgColor theme="0" tint="-4.9989318521683403E-2"/>
                  <bgColor theme="0"/>
                </patternFill>
              </fill>
            </x14:dxf>
          </x14:cfRule>
          <x14:cfRule type="cellIs" priority="25" operator="equal" id="{2ACFB207-B9E7-4DA4-AEDB-B4F58774B689}">
            <xm:f>VALORACIÓN!$D$10</xm:f>
            <x14:dxf>
              <fill>
                <patternFill patternType="lightGrid">
                  <fgColor theme="0" tint="-4.9989318521683403E-2"/>
                </patternFill>
              </fill>
            </x14:dxf>
          </x14:cfRule>
          <xm:sqref>F37:F38</xm:sqref>
        </x14:conditionalFormatting>
        <x14:conditionalFormatting xmlns:xm="http://schemas.microsoft.com/office/excel/2006/main">
          <x14:cfRule type="cellIs" priority="16" operator="notEqual" id="{A0B9C0C3-1971-475D-9D80-434816ABD084}">
            <xm:f>VALORACIÓN!$D$10</xm:f>
            <x14:dxf>
              <font>
                <color auto="1"/>
              </font>
              <fill>
                <patternFill patternType="lightGrid">
                  <fgColor theme="0" tint="-4.9989318521683403E-2"/>
                  <bgColor theme="0"/>
                </patternFill>
              </fill>
            </x14:dxf>
          </x14:cfRule>
          <x14:cfRule type="cellIs" priority="17" operator="equal" id="{0C851169-3832-4878-92AA-59A9FE0950C8}">
            <xm:f>VALORACIÓN!$D$10</xm:f>
            <x14:dxf>
              <fill>
                <patternFill patternType="lightGrid">
                  <fgColor theme="0" tint="-4.9989318521683403E-2"/>
                </patternFill>
              </fill>
            </x14:dxf>
          </x14:cfRule>
          <xm:sqref>C9</xm:sqref>
        </x14:conditionalFormatting>
        <x14:conditionalFormatting xmlns:xm="http://schemas.microsoft.com/office/excel/2006/main">
          <x14:cfRule type="cellIs" priority="10" operator="notEqual" id="{C694E55F-72F6-4437-AA15-501D37BE091C}">
            <xm:f>VALORACIÓN!$D$10</xm:f>
            <x14:dxf>
              <font>
                <color auto="1"/>
              </font>
              <fill>
                <patternFill patternType="lightGrid">
                  <fgColor theme="0" tint="-4.9989318521683403E-2"/>
                  <bgColor theme="0"/>
                </patternFill>
              </fill>
            </x14:dxf>
          </x14:cfRule>
          <x14:cfRule type="cellIs" priority="11" operator="equal" id="{371E2BDE-3EA7-4EAF-B79E-4D56F115AF63}">
            <xm:f>VALORACIÓN!$D$10</xm:f>
            <x14:dxf>
              <fill>
                <patternFill patternType="lightGrid">
                  <fgColor theme="0" tint="-4.9989318521683403E-2"/>
                </patternFill>
              </fill>
            </x14:dxf>
          </x14:cfRule>
          <xm:sqref>H19:K36 I1:K21</xm:sqref>
        </x14:conditionalFormatting>
        <x14:conditionalFormatting xmlns:xm="http://schemas.microsoft.com/office/excel/2006/main">
          <x14:cfRule type="cellIs" priority="8" operator="notEqual" id="{643F27BC-6320-4727-9E95-6848358C3BAE}">
            <xm:f>VALORACIÓN!$D$10</xm:f>
            <x14:dxf>
              <font>
                <color auto="1"/>
              </font>
              <fill>
                <patternFill patternType="lightGrid">
                  <fgColor theme="0" tint="-4.9989318521683403E-2"/>
                  <bgColor theme="0"/>
                </patternFill>
              </fill>
            </x14:dxf>
          </x14:cfRule>
          <x14:cfRule type="cellIs" priority="9" operator="equal" id="{08F77233-EA37-4951-A3BD-FBFC31675E19}">
            <xm:f>VALORACIÓN!$D$10</xm:f>
            <x14:dxf>
              <fill>
                <patternFill patternType="lightGrid">
                  <fgColor theme="0" tint="-4.9989318521683403E-2"/>
                </patternFill>
              </fill>
            </x14:dxf>
          </x14:cfRule>
          <xm:sqref>C10:C16</xm:sqref>
        </x14:conditionalFormatting>
        <x14:conditionalFormatting xmlns:xm="http://schemas.microsoft.com/office/excel/2006/main">
          <x14:cfRule type="cellIs" priority="5" operator="notEqual" id="{59F30276-7654-438A-8DB7-11A03D157B67}">
            <xm:f>VALORACIÓN!$D$10</xm:f>
            <x14:dxf>
              <font>
                <color auto="1"/>
              </font>
              <fill>
                <patternFill patternType="lightGrid">
                  <fgColor theme="0" tint="-4.9989318521683403E-2"/>
                  <bgColor theme="0"/>
                </patternFill>
              </fill>
            </x14:dxf>
          </x14:cfRule>
          <x14:cfRule type="cellIs" priority="6" operator="equal" id="{26C68340-7B04-434A-ABC5-1FD37C751F2A}">
            <xm:f>VALORACIÓN!$D$10</xm:f>
            <x14:dxf>
              <fill>
                <patternFill patternType="lightGrid">
                  <fgColor theme="0" tint="-4.9989318521683403E-2"/>
                </patternFill>
              </fill>
            </x14:dxf>
          </x14:cfRule>
          <xm:sqref>C17:C36</xm:sqref>
        </x14:conditionalFormatting>
        <x14:conditionalFormatting xmlns:xm="http://schemas.microsoft.com/office/excel/2006/main">
          <x14:cfRule type="cellIs" priority="2" operator="notEqual" id="{10EB1F5A-693E-49F9-A794-BCFEA86D289F}">
            <xm:f>VALORACIÓN!$D$10</xm:f>
            <x14:dxf>
              <font>
                <color auto="1"/>
              </font>
              <fill>
                <patternFill patternType="lightGrid">
                  <fgColor theme="0" tint="-4.9989318521683403E-2"/>
                  <bgColor theme="0"/>
                </patternFill>
              </fill>
            </x14:dxf>
          </x14:cfRule>
          <x14:cfRule type="cellIs" priority="3" operator="equal" id="{BCF3FEFC-FF86-4EF7-A998-BB9B2461EFD9}">
            <xm:f>VALORACIÓN!$D$10</xm:f>
            <x14:dxf>
              <fill>
                <patternFill patternType="lightGrid">
                  <fgColor theme="0" tint="-4.9989318521683403E-2"/>
                </patternFill>
              </fill>
            </x14:dxf>
          </x14:cfRule>
          <xm:sqref>D9:E36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5"/>
  <sheetViews>
    <sheetView view="pageBreakPreview" zoomScaleNormal="100" zoomScaleSheetLayoutView="100" workbookViewId="0">
      <pane xSplit="2" ySplit="8" topLeftCell="C9"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22.5546875" customWidth="1"/>
    <col min="3" max="3" width="8.21875" style="96" customWidth="1"/>
    <col min="4" max="4" width="7.77734375" style="96" customWidth="1"/>
    <col min="5" max="5" width="7.88671875" style="96" customWidth="1"/>
    <col min="6" max="6" width="12" hidden="1" customWidth="1"/>
    <col min="7" max="7" width="31" customWidth="1"/>
    <col min="8" max="8" width="25.109375" customWidth="1"/>
  </cols>
  <sheetData>
    <row r="1" spans="1:12" ht="15" customHeight="1" x14ac:dyDescent="0.2">
      <c r="A1" s="437" t="s">
        <v>145</v>
      </c>
      <c r="B1" s="437"/>
      <c r="C1" s="646" t="s">
        <v>206</v>
      </c>
      <c r="D1" s="647"/>
      <c r="E1" s="647"/>
      <c r="F1" s="647"/>
      <c r="G1" s="648"/>
      <c r="H1" s="182" t="s">
        <v>71</v>
      </c>
      <c r="I1" s="392"/>
      <c r="J1" s="392"/>
      <c r="K1" s="392"/>
      <c r="L1" s="392"/>
    </row>
    <row r="2" spans="1:12" ht="15" customHeight="1" x14ac:dyDescent="0.2">
      <c r="A2" s="437"/>
      <c r="B2" s="437"/>
      <c r="C2" s="649"/>
      <c r="D2" s="650"/>
      <c r="E2" s="650"/>
      <c r="F2" s="650"/>
      <c r="G2" s="651"/>
      <c r="H2" s="182" t="s">
        <v>107</v>
      </c>
      <c r="I2" s="392"/>
      <c r="J2" s="392"/>
      <c r="K2" s="392"/>
      <c r="L2" s="392"/>
    </row>
    <row r="3" spans="1:12" ht="15" customHeight="1" x14ac:dyDescent="0.2">
      <c r="A3" s="437"/>
      <c r="B3" s="437"/>
      <c r="C3" s="652"/>
      <c r="D3" s="653"/>
      <c r="E3" s="653"/>
      <c r="F3" s="653"/>
      <c r="G3" s="654"/>
      <c r="H3" s="182" t="s">
        <v>408</v>
      </c>
      <c r="I3" s="392"/>
      <c r="J3" s="392"/>
      <c r="K3" s="392"/>
      <c r="L3" s="392"/>
    </row>
    <row r="4" spans="1:12" ht="3.75" customHeight="1" x14ac:dyDescent="0.2">
      <c r="A4" s="33"/>
      <c r="B4" s="34"/>
      <c r="C4" s="280"/>
      <c r="D4" s="280"/>
      <c r="E4" s="279"/>
      <c r="F4" s="279"/>
      <c r="G4" s="49"/>
      <c r="H4" s="49"/>
      <c r="I4" s="392"/>
      <c r="J4" s="392"/>
      <c r="K4" s="392"/>
      <c r="L4" s="392"/>
    </row>
    <row r="5" spans="1:12" ht="15.75" x14ac:dyDescent="0.2">
      <c r="A5" s="439" t="s">
        <v>184</v>
      </c>
      <c r="B5" s="439"/>
      <c r="C5" s="439"/>
      <c r="D5" s="439"/>
      <c r="E5" s="523"/>
      <c r="F5" s="523"/>
      <c r="G5" s="523"/>
      <c r="H5" s="523"/>
      <c r="I5" s="392"/>
      <c r="J5" s="392"/>
      <c r="K5" s="392"/>
      <c r="L5" s="392"/>
    </row>
    <row r="6" spans="1:12" ht="15.75" customHeight="1" x14ac:dyDescent="0.2">
      <c r="A6" s="489" t="str">
        <f>'CONTEXTO ESTRATEGICO'!A7</f>
        <v>INSTITUCIONAL</v>
      </c>
      <c r="B6" s="489"/>
      <c r="C6" s="579" t="str">
        <f>'SEGUIMIENTO Y MONITOREO'!C6</f>
        <v>Mapa de Riesgo Institucional</v>
      </c>
      <c r="D6" s="580"/>
      <c r="E6" s="580"/>
      <c r="F6" s="580"/>
      <c r="G6" s="287" t="str">
        <f>'SEGUIMIENTO Y MONITOREO'!E6</f>
        <v>Fecha de Actualización (AAAA/MM/DD)</v>
      </c>
      <c r="H6" s="171">
        <f>'SEGUIMIENTO Y MONITOREO'!H6</f>
        <v>42443</v>
      </c>
      <c r="I6" s="392"/>
      <c r="J6" s="392"/>
      <c r="K6" s="392"/>
      <c r="L6" s="392"/>
    </row>
    <row r="7" spans="1:12" ht="21.75" customHeight="1" x14ac:dyDescent="0.2">
      <c r="A7" s="489"/>
      <c r="B7" s="489"/>
      <c r="C7" s="655" t="s">
        <v>161</v>
      </c>
      <c r="D7" s="656"/>
      <c r="E7" s="656"/>
      <c r="F7" s="657"/>
      <c r="G7" s="288" t="s">
        <v>185</v>
      </c>
      <c r="H7" s="172">
        <f>'SEGUIMIENTO Y MONITOREO'!$AX$7</f>
        <v>42613</v>
      </c>
      <c r="I7" s="392"/>
      <c r="J7" s="392"/>
      <c r="K7" s="392"/>
      <c r="L7" s="392"/>
    </row>
    <row r="8" spans="1:12" ht="24" customHeight="1" x14ac:dyDescent="0.2">
      <c r="A8" s="281" t="s">
        <v>22</v>
      </c>
      <c r="B8" s="281" t="s">
        <v>28</v>
      </c>
      <c r="C8" s="285" t="str">
        <f>TGS!G8</f>
        <v>% 1ER CuaT</v>
      </c>
      <c r="D8" s="285" t="str">
        <f>TGS!I8</f>
        <v>% 2DO CuaT</v>
      </c>
      <c r="E8" s="284" t="str">
        <f>TGS!K8</f>
        <v>% 3ER CuaT</v>
      </c>
      <c r="F8" s="286" t="s">
        <v>201</v>
      </c>
      <c r="G8" s="645"/>
      <c r="H8" s="645"/>
      <c r="I8" s="392"/>
      <c r="J8" s="392"/>
      <c r="K8" s="392"/>
      <c r="L8" s="392"/>
    </row>
    <row r="9" spans="1:12" ht="39.75" customHeight="1" thickBot="1" x14ac:dyDescent="0.25">
      <c r="A9" s="252" t="str">
        <f>IDENTIFICACIÓN!C38</f>
        <v>1C</v>
      </c>
      <c r="B9" s="282" t="str">
        <f>IF(IDENTIFICACIÓN!D38="","",IDENTIFICACIÓN!D38)</f>
        <v>Relaciones Interinstitucionales. Tráfico de Influencias</v>
      </c>
      <c r="C9" s="391">
        <f>'SEGUIMIENTO Y MONITOREO'!AR95</f>
        <v>1</v>
      </c>
      <c r="D9" s="391">
        <f>'SEGUIMIENTO Y MONITOREO'!AS95</f>
        <v>1</v>
      </c>
      <c r="E9" s="391" t="str">
        <f>'SEGUIMIENTO Y MONITOREO'!AU95</f>
        <v/>
      </c>
      <c r="F9" s="283">
        <f>'SEGUIMIENTO Y MONITOREO'!AW95</f>
        <v>1</v>
      </c>
      <c r="G9" s="644"/>
      <c r="H9" s="644"/>
      <c r="I9" s="392"/>
      <c r="J9" s="392"/>
      <c r="K9" s="392"/>
      <c r="L9" s="392"/>
    </row>
    <row r="10" spans="1:12" ht="39.75" customHeight="1" thickTop="1" thickBot="1" x14ac:dyDescent="0.25">
      <c r="A10" s="252" t="str">
        <f>IDENTIFICACIÓN!C39</f>
        <v>2C</v>
      </c>
      <c r="B10" s="282" t="str">
        <f>IF(IDENTIFICACIÓN!D39="","",IDENTIFICACIÓN!D39)</f>
        <v>Dirección y Planeación. Ausencia o debilidad de procesos y procedimientos para la gestión administrativa y misional</v>
      </c>
      <c r="C10" s="391" t="str">
        <f>'SEGUIMIENTO Y MONITOREO'!AR98</f>
        <v>NA</v>
      </c>
      <c r="D10" s="391" t="str">
        <f>'SEGUIMIENTO Y MONITOREO'!AS98</f>
        <v>NA</v>
      </c>
      <c r="E10" s="391" t="str">
        <f>'SEGUIMIENTO Y MONITOREO'!AU98</f>
        <v/>
      </c>
      <c r="F10" s="283" t="str">
        <f>'SEGUIMIENTO Y MONITOREO'!AW98</f>
        <v>NA</v>
      </c>
      <c r="G10" s="644"/>
      <c r="H10" s="644"/>
      <c r="I10" s="392"/>
      <c r="J10" s="392"/>
      <c r="K10" s="392"/>
      <c r="L10" s="392"/>
    </row>
    <row r="11" spans="1:12" ht="39.75" customHeight="1" thickTop="1" thickBot="1" x14ac:dyDescent="0.25">
      <c r="A11" s="252" t="str">
        <f>IDENTIFICACIÓN!C40</f>
        <v>3C</v>
      </c>
      <c r="B11" s="282" t="str">
        <f>IF(IDENTIFICACIÓN!D40="","",IDENTIFICACIÓN!D40)</f>
        <v>Dirección y Planeación. Prevaricato</v>
      </c>
      <c r="C11" s="391" t="str">
        <f>'SEGUIMIENTO Y MONITOREO'!AR101</f>
        <v>NA</v>
      </c>
      <c r="D11" s="391" t="str">
        <f>'SEGUIMIENTO Y MONITOREO'!AS101</f>
        <v>NA</v>
      </c>
      <c r="E11" s="391" t="str">
        <f>'SEGUIMIENTO Y MONITOREO'!AU101</f>
        <v/>
      </c>
      <c r="F11" s="283" t="str">
        <f>'SEGUIMIENTO Y MONITOREO'!AW101</f>
        <v>NA</v>
      </c>
      <c r="G11" s="644"/>
      <c r="H11" s="644"/>
      <c r="I11" s="392"/>
      <c r="J11" s="392"/>
      <c r="K11" s="392"/>
      <c r="L11" s="392"/>
    </row>
    <row r="12" spans="1:12" ht="39.75" customHeight="1" thickTop="1" thickBot="1" x14ac:dyDescent="0.25">
      <c r="A12" s="252" t="str">
        <f>IDENTIFICACIÓN!C41</f>
        <v>4C</v>
      </c>
      <c r="B12" s="282" t="str">
        <f>IF(IDENTIFICACIÓN!D41="","",IDENTIFICACIÓN!D41)</f>
        <v>Dirección y Planeación. Malversación de Recursos</v>
      </c>
      <c r="C12" s="391" t="str">
        <f>'SEGUIMIENTO Y MONITOREO'!AR104</f>
        <v>NA</v>
      </c>
      <c r="D12" s="391" t="str">
        <f>'SEGUIMIENTO Y MONITOREO'!AS104</f>
        <v>NA</v>
      </c>
      <c r="E12" s="391" t="str">
        <f>'SEGUIMIENTO Y MONITOREO'!AU104</f>
        <v/>
      </c>
      <c r="F12" s="283" t="str">
        <f>'SEGUIMIENTO Y MONITOREO'!AW104</f>
        <v>NA</v>
      </c>
      <c r="G12" s="644"/>
      <c r="H12" s="644"/>
      <c r="I12" s="392"/>
      <c r="J12" s="392"/>
      <c r="K12" s="392"/>
      <c r="L12" s="392"/>
    </row>
    <row r="13" spans="1:12" ht="39.75" customHeight="1" thickTop="1" thickBot="1" x14ac:dyDescent="0.25">
      <c r="A13" s="252" t="str">
        <f>IDENTIFICACIÓN!C42</f>
        <v>5C</v>
      </c>
      <c r="B13" s="282" t="str">
        <f>IF(IDENTIFICACIÓN!D42="","",IDENTIFICACIÓN!D42)</f>
        <v>Acreditación. Deficiencias en el manejo documental y de archivo</v>
      </c>
      <c r="C13" s="391">
        <f>'SEGUIMIENTO Y MONITOREO'!AR107</f>
        <v>1</v>
      </c>
      <c r="D13" s="391">
        <f>'SEGUIMIENTO Y MONITOREO'!AS107</f>
        <v>1</v>
      </c>
      <c r="E13" s="391" t="str">
        <f>'SEGUIMIENTO Y MONITOREO'!AU107</f>
        <v/>
      </c>
      <c r="F13" s="283">
        <f>'SEGUIMIENTO Y MONITOREO'!AW107</f>
        <v>1</v>
      </c>
      <c r="G13" s="644"/>
      <c r="H13" s="644"/>
      <c r="I13" s="392"/>
      <c r="J13" s="392"/>
      <c r="K13" s="392"/>
      <c r="L13" s="392"/>
    </row>
    <row r="14" spans="1:12" ht="39.75" customHeight="1" thickTop="1" thickBot="1" x14ac:dyDescent="0.25">
      <c r="A14" s="252" t="str">
        <f>IDENTIFICACIÓN!C43</f>
        <v>6C</v>
      </c>
      <c r="B14" s="389" t="str">
        <f>IF(IDENTIFICACIÓN!D43="","",IDENTIFICACIÓN!D43)</f>
        <v>Acreditación. Concentración de información de determinadas actividades o procesos en una persona</v>
      </c>
      <c r="C14" s="391">
        <f>'SEGUIMIENTO Y MONITOREO'!AR110</f>
        <v>1</v>
      </c>
      <c r="D14" s="391">
        <f>'SEGUIMIENTO Y MONITOREO'!AS110</f>
        <v>1</v>
      </c>
      <c r="E14" s="391" t="str">
        <f>'SEGUIMIENTO Y MONITOREO'!AU110</f>
        <v/>
      </c>
      <c r="F14" s="391">
        <f>'SEGUIMIENTO Y MONITOREO'!AW110</f>
        <v>1</v>
      </c>
      <c r="G14" s="392"/>
      <c r="H14" s="392"/>
      <c r="I14" s="392"/>
      <c r="J14" s="392"/>
      <c r="K14" s="392"/>
      <c r="L14" s="392"/>
    </row>
    <row r="15" spans="1:12" ht="39.75" customHeight="1" thickTop="1" thickBot="1" x14ac:dyDescent="0.25">
      <c r="A15" s="252" t="str">
        <f>IDENTIFICACIÓN!C44</f>
        <v>7C</v>
      </c>
      <c r="B15" s="389" t="str">
        <f>IF(IDENTIFICACIÓN!D44="","",IDENTIFICACIÓN!D44)</f>
        <v>Gestión de la Calidad. Concentración de información de determinadas actividades o procesos en una persona</v>
      </c>
      <c r="C15" s="391" t="str">
        <f>'SEGUIMIENTO Y MONITOREO'!AR113</f>
        <v>NA</v>
      </c>
      <c r="D15" s="391" t="str">
        <f>'SEGUIMIENTO Y MONITOREO'!AS113</f>
        <v>NA</v>
      </c>
      <c r="E15" s="391" t="str">
        <f>'SEGUIMIENTO Y MONITOREO'!AU113</f>
        <v/>
      </c>
      <c r="F15" s="391" t="str">
        <f>'SEGUIMIENTO Y MONITOREO'!AW113</f>
        <v>NA</v>
      </c>
      <c r="G15" s="392"/>
      <c r="H15" s="392"/>
      <c r="I15" s="392"/>
      <c r="J15" s="392"/>
      <c r="K15" s="392"/>
      <c r="L15" s="392"/>
    </row>
    <row r="16" spans="1:12" ht="39.75" customHeight="1" thickTop="1" thickBot="1" x14ac:dyDescent="0.25">
      <c r="A16" s="252" t="str">
        <f>IDENTIFICACIÓN!C45</f>
        <v>8C</v>
      </c>
      <c r="B16" s="389" t="str">
        <f>IF(IDENTIFICACIÓN!D45="","",IDENTIFICACIÓN!D45)</f>
        <v>Gestión de la Calidad. Deficiencias en el  manejo documental y de archivo</v>
      </c>
      <c r="C16" s="391" t="str">
        <f>'SEGUIMIENTO Y MONITOREO'!AR116</f>
        <v>NA</v>
      </c>
      <c r="D16" s="391" t="str">
        <f>'SEGUIMIENTO Y MONITOREO'!AS116</f>
        <v>NA</v>
      </c>
      <c r="E16" s="391" t="str">
        <f>'SEGUIMIENTO Y MONITOREO'!AU116</f>
        <v/>
      </c>
      <c r="F16" s="391" t="str">
        <f>'SEGUIMIENTO Y MONITOREO'!AW116</f>
        <v>NA</v>
      </c>
      <c r="G16" s="392"/>
      <c r="H16" s="392"/>
      <c r="I16" s="392"/>
      <c r="J16" s="392"/>
      <c r="K16" s="392"/>
      <c r="L16" s="392"/>
    </row>
    <row r="17" spans="1:12" ht="39.75" customHeight="1" thickTop="1" thickBot="1" x14ac:dyDescent="0.25">
      <c r="A17" s="252" t="str">
        <f>IDENTIFICACIÓN!C46</f>
        <v>9C</v>
      </c>
      <c r="B17" s="389" t="str">
        <f>IF(IDENTIFICACIÓN!D46="","",IDENTIFICACIÓN!D46)</f>
        <v>Comunicaciones Concentración de información de determinadas actividades o procesos en una persona</v>
      </c>
      <c r="C17" s="391" t="str">
        <f>'SEGUIMIENTO Y MONITOREO'!AR119</f>
        <v>NA</v>
      </c>
      <c r="D17" s="391" t="str">
        <f>'SEGUIMIENTO Y MONITOREO'!AS119</f>
        <v>NA</v>
      </c>
      <c r="E17" s="391" t="str">
        <f>'SEGUIMIENTO Y MONITOREO'!AU119</f>
        <v/>
      </c>
      <c r="F17" s="391" t="str">
        <f>'SEGUIMIENTO Y MONITOREO'!AW119</f>
        <v>NA</v>
      </c>
      <c r="G17" s="392"/>
      <c r="H17" s="392"/>
      <c r="I17" s="392"/>
      <c r="J17" s="392"/>
      <c r="K17" s="392"/>
      <c r="L17" s="392"/>
    </row>
    <row r="18" spans="1:12" ht="39.75" customHeight="1" thickTop="1" thickBot="1" x14ac:dyDescent="0.25">
      <c r="A18" s="252" t="str">
        <f>IDENTIFICACIÓN!C47</f>
        <v>10C</v>
      </c>
      <c r="B18" s="389" t="str">
        <f>IF(IDENTIFICACIÓN!D47="","",IDENTIFICACIÓN!D47)</f>
        <v xml:space="preserve">Gestión Academica. Ausencia de canales de comunicación
</v>
      </c>
      <c r="C18" s="391" t="str">
        <f>'SEGUIMIENTO Y MONITOREO'!AR122</f>
        <v>NA</v>
      </c>
      <c r="D18" s="391">
        <f>'SEGUIMIENTO Y MONITOREO'!AS122</f>
        <v>0.02</v>
      </c>
      <c r="E18" s="391" t="str">
        <f>'SEGUIMIENTO Y MONITOREO'!AU122</f>
        <v/>
      </c>
      <c r="F18" s="391">
        <f>'SEGUIMIENTO Y MONITOREO'!AW122</f>
        <v>0.02</v>
      </c>
      <c r="G18" s="392"/>
      <c r="H18" s="392"/>
      <c r="I18" s="392"/>
      <c r="J18" s="392"/>
      <c r="K18" s="392"/>
      <c r="L18" s="392"/>
    </row>
    <row r="19" spans="1:12" ht="39.75" customHeight="1" thickTop="1" thickBot="1" x14ac:dyDescent="0.25">
      <c r="A19" s="252" t="str">
        <f>IDENTIFICACIÓN!C48</f>
        <v>11C</v>
      </c>
      <c r="B19" s="389" t="str">
        <f>IF(IDENTIFICACIÓN!D48="","",IDENTIFICACIÓN!D48)</f>
        <v>Gestión Academica. Concentración de información de determinadas actividades o procesos en una persona</v>
      </c>
      <c r="C19" s="391" t="str">
        <f>'SEGUIMIENTO Y MONITOREO'!AR125</f>
        <v>NA</v>
      </c>
      <c r="D19" s="391">
        <f>'SEGUIMIENTO Y MONITOREO'!AS125</f>
        <v>1.6666666666666666E-2</v>
      </c>
      <c r="E19" s="391" t="str">
        <f>'SEGUIMIENTO Y MONITOREO'!AU125</f>
        <v/>
      </c>
      <c r="F19" s="391">
        <f>'SEGUIMIENTO Y MONITOREO'!AW125</f>
        <v>1.6666666666666666E-2</v>
      </c>
      <c r="G19" s="392"/>
      <c r="H19" s="392"/>
      <c r="I19" s="392"/>
      <c r="J19" s="392"/>
      <c r="K19" s="392"/>
      <c r="L19" s="392"/>
    </row>
    <row r="20" spans="1:12" ht="39.75" customHeight="1" thickTop="1" thickBot="1" x14ac:dyDescent="0.25">
      <c r="A20" s="252" t="str">
        <f>IDENTIFICACIÓN!C49</f>
        <v>12C</v>
      </c>
      <c r="B20" s="389" t="str">
        <f>IF(IDENTIFICACIÓN!D49="","",IDENTIFICACIÓN!D49)</f>
        <v>Gestión Academica. Deficiencias en el manejo documental y de archivo</v>
      </c>
      <c r="C20" s="391" t="str">
        <f>'SEGUIMIENTO Y MONITOREO'!AR128</f>
        <v>NA</v>
      </c>
      <c r="D20" s="391">
        <f>'SEGUIMIENTO Y MONITOREO'!AS128</f>
        <v>0.02</v>
      </c>
      <c r="E20" s="391" t="str">
        <f>'SEGUIMIENTO Y MONITOREO'!AU128</f>
        <v/>
      </c>
      <c r="F20" s="391">
        <f>'SEGUIMIENTO Y MONITOREO'!AW128</f>
        <v>0.02</v>
      </c>
      <c r="G20" s="392"/>
      <c r="H20" s="392"/>
      <c r="I20" s="392"/>
      <c r="J20" s="392"/>
      <c r="K20" s="392"/>
      <c r="L20" s="392"/>
    </row>
    <row r="21" spans="1:12" ht="39.75" customHeight="1" thickTop="1" thickBot="1" x14ac:dyDescent="0.25">
      <c r="A21" s="252" t="str">
        <f>IDENTIFICACIÓN!C50</f>
        <v>13C</v>
      </c>
      <c r="B21" s="389" t="str">
        <f>IF(IDENTIFICACIÓN!D50="","",IDENTIFICACIÓN!D50)</f>
        <v>Gestión de Investigación. Vulnerabilidad en el manejo de la información de la actividad investigativa</v>
      </c>
      <c r="C21" s="391">
        <f>'SEGUIMIENTO Y MONITOREO'!AR131</f>
        <v>0.2</v>
      </c>
      <c r="D21" s="391">
        <f>'SEGUIMIENTO Y MONITOREO'!AS131</f>
        <v>0.25</v>
      </c>
      <c r="E21" s="391" t="str">
        <f>'SEGUIMIENTO Y MONITOREO'!AU131</f>
        <v/>
      </c>
      <c r="F21" s="391">
        <f>'SEGUIMIENTO Y MONITOREO'!AW131</f>
        <v>0.25</v>
      </c>
      <c r="G21" s="392"/>
      <c r="H21" s="392"/>
      <c r="I21" s="392"/>
      <c r="J21" s="392"/>
      <c r="K21" s="392"/>
      <c r="L21" s="392"/>
    </row>
    <row r="22" spans="1:12" ht="39.75" customHeight="1" thickTop="1" thickBot="1" x14ac:dyDescent="0.25">
      <c r="A22" s="252" t="str">
        <f>IDENTIFICACIÓN!C51</f>
        <v>14C</v>
      </c>
      <c r="B22" s="389" t="str">
        <f>IF(IDENTIFICACIÓN!D51="","",IDENTIFICACIÓN!D51)</f>
        <v>Gestión de Investigación. Violación de la propiedad Intelectual.</v>
      </c>
      <c r="C22" s="391">
        <f>'SEGUIMIENTO Y MONITOREO'!AR134</f>
        <v>0.75</v>
      </c>
      <c r="D22" s="391">
        <f>'SEGUIMIENTO Y MONITOREO'!AS134</f>
        <v>0.75</v>
      </c>
      <c r="E22" s="391" t="str">
        <f>'SEGUIMIENTO Y MONITOREO'!AU134</f>
        <v/>
      </c>
      <c r="F22" s="391">
        <f>'SEGUIMIENTO Y MONITOREO'!AW134</f>
        <v>0.75</v>
      </c>
      <c r="G22" s="392"/>
      <c r="H22" s="392"/>
      <c r="I22" s="392"/>
      <c r="J22" s="392"/>
      <c r="K22" s="392"/>
      <c r="L22" s="392"/>
    </row>
    <row r="23" spans="1:12" ht="39.75" customHeight="1" thickTop="1" thickBot="1" x14ac:dyDescent="0.25">
      <c r="A23" s="252" t="str">
        <f>IDENTIFICACIÓN!C52</f>
        <v>15C</v>
      </c>
      <c r="B23" s="389" t="str">
        <f>IF(IDENTIFICACIÓN!D52="","",IDENTIFICACIÓN!D52)</f>
        <v>Gestión de Extensión y Proyección Social. Desviación o uso indebido de recursos, que impidan la ejecución de los proyectos y actividades misionales de la vicerrectoria de extensión y proyección social</v>
      </c>
      <c r="C23" s="391">
        <f>'SEGUIMIENTO Y MONITOREO'!AR137</f>
        <v>0</v>
      </c>
      <c r="D23" s="391">
        <f>'SEGUIMIENTO Y MONITOREO'!AS137</f>
        <v>0.6</v>
      </c>
      <c r="E23" s="391" t="str">
        <f>'SEGUIMIENTO Y MONITOREO'!AU137</f>
        <v/>
      </c>
      <c r="F23" s="391">
        <f>'SEGUIMIENTO Y MONITOREO'!AW137</f>
        <v>0.6</v>
      </c>
      <c r="G23" s="392"/>
      <c r="H23" s="392"/>
      <c r="I23" s="392"/>
      <c r="J23" s="392"/>
      <c r="K23" s="392"/>
      <c r="L23" s="392"/>
    </row>
    <row r="24" spans="1:12" ht="39.75" customHeight="1" thickTop="1" thickBot="1" x14ac:dyDescent="0.25">
      <c r="A24" s="252" t="str">
        <f>IDENTIFICACIÓN!C53</f>
        <v>16C</v>
      </c>
      <c r="B24" s="389" t="str">
        <f>IF(IDENTIFICACIÓN!D53="","",IDENTIFICACIÓN!D53)</f>
        <v xml:space="preserve">Gestión de Extensión y Proyección Social. Concentración de la información en una persona. </v>
      </c>
      <c r="C24" s="391">
        <f>'SEGUIMIENTO Y MONITOREO'!AR140</f>
        <v>0</v>
      </c>
      <c r="D24" s="391">
        <f>'SEGUIMIENTO Y MONITOREO'!AS140</f>
        <v>0.6</v>
      </c>
      <c r="E24" s="391" t="str">
        <f>'SEGUIMIENTO Y MONITOREO'!AU140</f>
        <v/>
      </c>
      <c r="F24" s="391">
        <f>'SEGUIMIENTO Y MONITOREO'!AW140</f>
        <v>0.6</v>
      </c>
      <c r="G24" s="392"/>
      <c r="H24" s="392"/>
      <c r="I24" s="392"/>
      <c r="J24" s="392"/>
      <c r="K24" s="392"/>
      <c r="L24" s="392"/>
    </row>
    <row r="25" spans="1:12" ht="39.75" customHeight="1" thickTop="1" thickBot="1" x14ac:dyDescent="0.25">
      <c r="A25" s="252" t="str">
        <f>IDENTIFICACIÓN!C54</f>
        <v>17C</v>
      </c>
      <c r="B25" s="389" t="str">
        <f>IF(IDENTIFICACIÓN!D54="","",IDENTIFICACIÓN!D54)</f>
        <v xml:space="preserve">Gestión de Extensión y Proyección Social. Inadecuada ejecución de los recursos asignados </v>
      </c>
      <c r="C25" s="391">
        <f>'SEGUIMIENTO Y MONITOREO'!AR143</f>
        <v>0</v>
      </c>
      <c r="D25" s="391">
        <f>'SEGUIMIENTO Y MONITOREO'!AS143</f>
        <v>0.6</v>
      </c>
      <c r="E25" s="391" t="str">
        <f>'SEGUIMIENTO Y MONITOREO'!AU143</f>
        <v/>
      </c>
      <c r="F25" s="391">
        <f>'SEGUIMIENTO Y MONITOREO'!AW143</f>
        <v>0.6</v>
      </c>
      <c r="G25" s="392"/>
      <c r="H25" s="392"/>
      <c r="I25" s="392"/>
      <c r="J25" s="392"/>
      <c r="K25" s="392"/>
      <c r="L25" s="392"/>
    </row>
    <row r="26" spans="1:12" ht="39.75" customHeight="1" thickTop="1" thickBot="1" x14ac:dyDescent="0.25">
      <c r="A26" s="252" t="str">
        <f>IDENTIFICACIÓN!C55</f>
        <v>18C</v>
      </c>
      <c r="B26" s="389" t="str">
        <f>IF(IDENTIFICACIÓN!D55="","",IDENTIFICACIÓN!D55)</f>
        <v>Gestión de Extensión y Proyección Social. Extralimitación de funciones.</v>
      </c>
      <c r="C26" s="391">
        <f>'SEGUIMIENTO Y MONITOREO'!AR146</f>
        <v>0</v>
      </c>
      <c r="D26" s="391">
        <f>'SEGUIMIENTO Y MONITOREO'!AS146</f>
        <v>0.6</v>
      </c>
      <c r="E26" s="391" t="str">
        <f>'SEGUIMIENTO Y MONITOREO'!AU146</f>
        <v/>
      </c>
      <c r="F26" s="391">
        <f>'SEGUIMIENTO Y MONITOREO'!AW146</f>
        <v>0.6</v>
      </c>
      <c r="G26" s="392"/>
      <c r="H26" s="392"/>
      <c r="I26" s="392"/>
      <c r="J26" s="392"/>
      <c r="K26" s="392"/>
      <c r="L26" s="392"/>
    </row>
    <row r="27" spans="1:12" ht="39.75" customHeight="1" thickTop="1" thickBot="1" x14ac:dyDescent="0.25">
      <c r="A27" s="252" t="str">
        <f>IDENTIFICACIÓN!C56</f>
        <v>19C</v>
      </c>
      <c r="B27" s="389" t="str">
        <f>IF(IDENTIFICACIÓN!D56="","",IDENTIFICACIÓN!D56)</f>
        <v>Gestión de Extensión y Proyección Social. Omisión de la ley para beneficio propio.</v>
      </c>
      <c r="C27" s="391">
        <f>'SEGUIMIENTO Y MONITOREO'!AR149</f>
        <v>0</v>
      </c>
      <c r="D27" s="391">
        <f>'SEGUIMIENTO Y MONITOREO'!AS149</f>
        <v>0.6</v>
      </c>
      <c r="E27" s="391" t="str">
        <f>'SEGUIMIENTO Y MONITOREO'!AU149</f>
        <v/>
      </c>
      <c r="F27" s="391">
        <f>'SEGUIMIENTO Y MONITOREO'!AW149</f>
        <v>0.6</v>
      </c>
      <c r="G27" s="392"/>
      <c r="H27" s="392"/>
      <c r="I27" s="392"/>
      <c r="J27" s="392"/>
      <c r="K27" s="392"/>
      <c r="L27" s="392"/>
    </row>
    <row r="28" spans="1:12" ht="39.75" customHeight="1" thickTop="1" thickBot="1" x14ac:dyDescent="0.25">
      <c r="A28" s="252" t="str">
        <f>IDENTIFICACIÓN!C57</f>
        <v>20C</v>
      </c>
      <c r="B28" s="389" t="str">
        <f>IF(IDENTIFICACIÓN!D57="","",IDENTIFICACIÓN!D57)</f>
        <v>Gestión de Contratación. Pliegos de condiciones hechos a la medida de una firma en particular.</v>
      </c>
      <c r="C28" s="391" t="str">
        <f>'SEGUIMIENTO Y MONITOREO'!AR152</f>
        <v>NA</v>
      </c>
      <c r="D28" s="391" t="str">
        <f>'SEGUIMIENTO Y MONITOREO'!AS152</f>
        <v>NA</v>
      </c>
      <c r="E28" s="391" t="str">
        <f>'SEGUIMIENTO Y MONITOREO'!AU152</f>
        <v/>
      </c>
      <c r="F28" s="391" t="str">
        <f>'SEGUIMIENTO Y MONITOREO'!AW152</f>
        <v>NA</v>
      </c>
      <c r="G28" s="392"/>
      <c r="H28" s="392"/>
      <c r="I28" s="392"/>
      <c r="J28" s="392"/>
      <c r="K28" s="392"/>
      <c r="L28" s="392"/>
    </row>
    <row r="29" spans="1:12" ht="39.75" customHeight="1" thickTop="1" thickBot="1" x14ac:dyDescent="0.25">
      <c r="A29" s="252" t="str">
        <f>IDENTIFICACIÓN!C58</f>
        <v>21C</v>
      </c>
      <c r="B29" s="389" t="str">
        <f>IF(IDENTIFICACIÓN!D58="","",IDENTIFICACIÓN!D58)</f>
        <v xml:space="preserve">Gestión Financiera. Pago de obligaciones sin el lleno de requisitos. </v>
      </c>
      <c r="C29" s="391">
        <f>'SEGUIMIENTO Y MONITOREO'!AR155</f>
        <v>0.25</v>
      </c>
      <c r="D29" s="391">
        <f>'SEGUIMIENTO Y MONITOREO'!AS155</f>
        <v>0.6</v>
      </c>
      <c r="E29" s="391" t="str">
        <f>'SEGUIMIENTO Y MONITOREO'!AU155</f>
        <v/>
      </c>
      <c r="F29" s="391">
        <f>'SEGUIMIENTO Y MONITOREO'!AW155</f>
        <v>0.6</v>
      </c>
      <c r="G29" s="392"/>
      <c r="H29" s="392"/>
      <c r="I29" s="392"/>
      <c r="J29" s="392"/>
      <c r="K29" s="392"/>
      <c r="L29" s="392"/>
    </row>
    <row r="30" spans="1:12" ht="39.75" customHeight="1" thickTop="1" thickBot="1" x14ac:dyDescent="0.25">
      <c r="A30" s="252" t="str">
        <f>IDENTIFICACIÓN!C59</f>
        <v>22C</v>
      </c>
      <c r="B30" s="389" t="str">
        <f>IF(IDENTIFICACIÓN!D59="","",IDENTIFICACIÓN!D59)</f>
        <v>Gestión Financiera. Perdida de titulos valores</v>
      </c>
      <c r="C30" s="391">
        <f>'SEGUIMIENTO Y MONITOREO'!AR158</f>
        <v>0.25</v>
      </c>
      <c r="D30" s="391">
        <f>'SEGUIMIENTO Y MONITOREO'!AS158</f>
        <v>0.6</v>
      </c>
      <c r="E30" s="391" t="str">
        <f>'SEGUIMIENTO Y MONITOREO'!AU158</f>
        <v/>
      </c>
      <c r="F30" s="391">
        <f>'SEGUIMIENTO Y MONITOREO'!AW158</f>
        <v>0.6</v>
      </c>
      <c r="G30" s="392"/>
      <c r="H30" s="392"/>
      <c r="I30" s="392"/>
      <c r="J30" s="392"/>
      <c r="K30" s="392"/>
      <c r="L30" s="392"/>
    </row>
    <row r="31" spans="1:12" ht="39.75" customHeight="1" thickTop="1" thickBot="1" x14ac:dyDescent="0.25">
      <c r="A31" s="252" t="str">
        <f>IDENTIFICACIÓN!C60</f>
        <v>23C</v>
      </c>
      <c r="B31" s="389" t="str">
        <f>IF(IDENTIFICACIÓN!D60="","",IDENTIFICACIÓN!D60)</f>
        <v>Gestión Financiera. Omisión en la aplicación  de la normatividad vigente en los procesos de la Gestión Financiera</v>
      </c>
      <c r="C31" s="391">
        <f>'SEGUIMIENTO Y MONITOREO'!AR161</f>
        <v>0.25</v>
      </c>
      <c r="D31" s="391">
        <f>'SEGUIMIENTO Y MONITOREO'!AS161</f>
        <v>0.6</v>
      </c>
      <c r="E31" s="391" t="str">
        <f>'SEGUIMIENTO Y MONITOREO'!AU161</f>
        <v/>
      </c>
      <c r="F31" s="391">
        <f>'SEGUIMIENTO Y MONITOREO'!AW161</f>
        <v>0.6</v>
      </c>
      <c r="G31" s="392"/>
      <c r="H31" s="392"/>
      <c r="I31" s="392"/>
      <c r="J31" s="392"/>
      <c r="K31" s="392"/>
      <c r="L31" s="392"/>
    </row>
    <row r="32" spans="1:12" ht="39.75" customHeight="1" thickTop="1" thickBot="1" x14ac:dyDescent="0.25">
      <c r="A32" s="252" t="str">
        <f>IDENTIFICACIÓN!C61</f>
        <v>24C</v>
      </c>
      <c r="B32" s="389" t="str">
        <f>IF(IDENTIFICACIÓN!D61="","",IDENTIFICACIÓN!D61)</f>
        <v xml:space="preserve">Apoyo Tecnológico TIC. Vulnerabilidad de la Información </v>
      </c>
      <c r="C32" s="391" t="str">
        <f>'SEGUIMIENTO Y MONITOREO'!AR164</f>
        <v>NA</v>
      </c>
      <c r="D32" s="391">
        <f>'SEGUIMIENTO Y MONITOREO'!AS164</f>
        <v>0.33333333333333331</v>
      </c>
      <c r="E32" s="391" t="str">
        <f>'SEGUIMIENTO Y MONITOREO'!AU164</f>
        <v/>
      </c>
      <c r="F32" s="391">
        <f>'SEGUIMIENTO Y MONITOREO'!AW164</f>
        <v>0.33333333333333331</v>
      </c>
      <c r="G32" s="392"/>
      <c r="H32" s="392"/>
      <c r="I32" s="392"/>
      <c r="J32" s="392"/>
      <c r="K32" s="392"/>
      <c r="L32" s="392"/>
    </row>
    <row r="33" spans="1:12" ht="39.75" customHeight="1" thickTop="1" thickBot="1" x14ac:dyDescent="0.25">
      <c r="A33" s="252" t="str">
        <f>IDENTIFICACIÓN!C62</f>
        <v>25C</v>
      </c>
      <c r="B33" s="389" t="str">
        <f>IF(IDENTIFICACIÓN!D62="","",IDENTIFICACIÓN!D62)</f>
        <v xml:space="preserve">Gestión Documental. Entregar un título o certificado sin los requisitos para ello </v>
      </c>
      <c r="C33" s="391" t="str">
        <f>'SEGUIMIENTO Y MONITOREO'!AR167</f>
        <v>NA</v>
      </c>
      <c r="D33" s="391" t="str">
        <f>'SEGUIMIENTO Y MONITOREO'!AS167</f>
        <v>NA</v>
      </c>
      <c r="E33" s="391" t="str">
        <f>'SEGUIMIENTO Y MONITOREO'!AU167</f>
        <v/>
      </c>
      <c r="F33" s="391" t="str">
        <f>'SEGUIMIENTO Y MONITOREO'!AW167</f>
        <v>NA</v>
      </c>
      <c r="G33" s="392"/>
      <c r="H33" s="392"/>
      <c r="I33" s="392"/>
      <c r="J33" s="392"/>
      <c r="K33" s="392"/>
      <c r="L33" s="392"/>
    </row>
    <row r="34" spans="1:12" ht="39.75" customHeight="1" thickTop="1" thickBot="1" x14ac:dyDescent="0.25">
      <c r="A34" s="252" t="str">
        <f>IDENTIFICACIÓN!C63</f>
        <v>26C</v>
      </c>
      <c r="B34" s="389" t="str">
        <f>IF(IDENTIFICACIÓN!D63="","",IDENTIFICACIÓN!D63)</f>
        <v>Gestión Documental. Expedición de un certificado de título falso</v>
      </c>
      <c r="C34" s="391" t="str">
        <f>'SEGUIMIENTO Y MONITOREO'!AR170</f>
        <v>NA</v>
      </c>
      <c r="D34" s="391" t="str">
        <f>'SEGUIMIENTO Y MONITOREO'!AS170</f>
        <v>NA</v>
      </c>
      <c r="E34" s="391" t="str">
        <f>'SEGUIMIENTO Y MONITOREO'!AU170</f>
        <v/>
      </c>
      <c r="F34" s="391" t="str">
        <f>'SEGUIMIENTO Y MONITOREO'!AW170</f>
        <v>NA</v>
      </c>
      <c r="G34" s="392"/>
      <c r="H34" s="392"/>
      <c r="I34" s="392"/>
      <c r="J34" s="392"/>
      <c r="K34" s="392"/>
      <c r="L34" s="392"/>
    </row>
    <row r="35" spans="1:12" ht="39.75" customHeight="1" thickTop="1" thickBot="1" x14ac:dyDescent="0.25">
      <c r="A35" s="252" t="str">
        <f>IDENTIFICACIÓN!C64</f>
        <v>27C</v>
      </c>
      <c r="B35" s="389" t="str">
        <f>IF(IDENTIFICACIÓN!D64="","",IDENTIFICACIÓN!D64)</f>
        <v>Gestión del Talento Humano. Concentración de información de determinadas actividades o procesos en una persona.</v>
      </c>
      <c r="C35" s="391">
        <f>'SEGUIMIENTO Y MONITOREO'!AR173</f>
        <v>4.9999999999999996E-2</v>
      </c>
      <c r="D35" s="391">
        <f>'SEGUIMIENTO Y MONITOREO'!AS173</f>
        <v>4.9999999999999996E-2</v>
      </c>
      <c r="E35" s="391" t="str">
        <f>'SEGUIMIENTO Y MONITOREO'!AU173</f>
        <v/>
      </c>
      <c r="F35" s="391">
        <f>'SEGUIMIENTO Y MONITOREO'!AW173</f>
        <v>4.9999999999999996E-2</v>
      </c>
      <c r="G35" s="392"/>
      <c r="H35" s="392"/>
      <c r="I35" s="392"/>
      <c r="J35" s="392"/>
      <c r="K35" s="392"/>
      <c r="L35" s="392"/>
    </row>
    <row r="36" spans="1:12" ht="39.75" customHeight="1" thickTop="1" thickBot="1" x14ac:dyDescent="0.25">
      <c r="A36" s="252" t="str">
        <f>IDENTIFICACIÓN!C65</f>
        <v>28C</v>
      </c>
      <c r="B36" s="389" t="str">
        <f>IF(IDENTIFICACIÓN!D65="","",IDENTIFICACIÓN!D65)</f>
        <v>Gestión del Talento Humano. Decisiones no ajustadas a la normatividad legal.</v>
      </c>
      <c r="C36" s="391">
        <f>'SEGUIMIENTO Y MONITOREO'!AR176</f>
        <v>0.85</v>
      </c>
      <c r="D36" s="391">
        <f>'SEGUIMIENTO Y MONITOREO'!AS176</f>
        <v>0.85</v>
      </c>
      <c r="E36" s="391" t="str">
        <f>'SEGUIMIENTO Y MONITOREO'!AU176</f>
        <v/>
      </c>
      <c r="F36" s="391">
        <f>'SEGUIMIENTO Y MONITOREO'!AW176</f>
        <v>0.85</v>
      </c>
      <c r="G36" s="392"/>
      <c r="H36" s="392"/>
      <c r="I36" s="392"/>
      <c r="J36" s="392"/>
      <c r="K36" s="392"/>
      <c r="L36" s="392"/>
    </row>
    <row r="37" spans="1:12" ht="39.75" customHeight="1" thickTop="1" thickBot="1" x14ac:dyDescent="0.25">
      <c r="A37" s="252" t="str">
        <f>IDENTIFICACIÓN!C66</f>
        <v>29C</v>
      </c>
      <c r="B37" s="389" t="str">
        <f>IF(IDENTIFICACIÓN!D66="","",IDENTIFICACIÓN!D66)</f>
        <v>Gestión de Admisiones y Registro. Manipulación de resultados del examen  de admisión.</v>
      </c>
      <c r="C37" s="391" t="str">
        <f>'SEGUIMIENTO Y MONITOREO'!AR179</f>
        <v>NA</v>
      </c>
      <c r="D37" s="391" t="str">
        <f>'SEGUIMIENTO Y MONITOREO'!AS179</f>
        <v>NA</v>
      </c>
      <c r="E37" s="391" t="str">
        <f>'SEGUIMIENTO Y MONITOREO'!AU179</f>
        <v/>
      </c>
      <c r="F37" s="391" t="str">
        <f>'SEGUIMIENTO Y MONITOREO'!AW179</f>
        <v>NA</v>
      </c>
      <c r="G37" s="392"/>
      <c r="H37" s="392"/>
      <c r="I37" s="392"/>
      <c r="J37" s="392"/>
      <c r="K37" s="392"/>
      <c r="L37" s="392"/>
    </row>
    <row r="38" spans="1:12" ht="39.75" customHeight="1" thickTop="1" thickBot="1" x14ac:dyDescent="0.25">
      <c r="A38" s="252" t="str">
        <f>IDENTIFICACIÓN!C67</f>
        <v>30C</v>
      </c>
      <c r="B38" s="389" t="str">
        <f>IF(IDENTIFICACIÓN!D67="","",IDENTIFICACIÓN!D67)</f>
        <v>Gestión de Admisiones y Registro. Alteración de notas de estudiantes.</v>
      </c>
      <c r="C38" s="391" t="str">
        <f>'SEGUIMIENTO Y MONITOREO'!AR182</f>
        <v>NA</v>
      </c>
      <c r="D38" s="391" t="str">
        <f>'SEGUIMIENTO Y MONITOREO'!AS182</f>
        <v>NA</v>
      </c>
      <c r="E38" s="391" t="str">
        <f>'SEGUIMIENTO Y MONITOREO'!AU182</f>
        <v/>
      </c>
      <c r="F38" s="391" t="str">
        <f>'SEGUIMIENTO Y MONITOREO'!AW182</f>
        <v>NA</v>
      </c>
      <c r="G38" s="392"/>
      <c r="H38" s="392"/>
      <c r="I38" s="392"/>
      <c r="J38" s="392"/>
      <c r="K38" s="392"/>
      <c r="L38" s="392"/>
    </row>
    <row r="39" spans="1:12" ht="39.75" customHeight="1" thickTop="1" thickBot="1" x14ac:dyDescent="0.25">
      <c r="A39" s="252" t="str">
        <f>IDENTIFICACIÓN!C68</f>
        <v>31C</v>
      </c>
      <c r="B39" s="389" t="str">
        <f>IF(IDENTIFICACIÓN!D68="","",IDENTIFICACIÓN!D68)</f>
        <v>Gestión y Rendición de Cuentas. Rendición de cuentas a la ciudadanía inadecuada, incompleta e inoportuna</v>
      </c>
      <c r="C39" s="391">
        <f>'SEGUIMIENTO Y MONITOREO'!AR185</f>
        <v>7.7034358047016263E-2</v>
      </c>
      <c r="D39" s="391">
        <f>'SEGUIMIENTO Y MONITOREO'!AS185</f>
        <v>0.23110307414104878</v>
      </c>
      <c r="E39" s="391" t="str">
        <f>'SEGUIMIENTO Y MONITOREO'!AU185</f>
        <v/>
      </c>
      <c r="F39" s="391">
        <f>'SEGUIMIENTO Y MONITOREO'!AW185</f>
        <v>0.23110307414104878</v>
      </c>
      <c r="G39" s="392"/>
      <c r="H39" s="392"/>
      <c r="I39" s="392"/>
      <c r="J39" s="392"/>
      <c r="K39" s="392"/>
      <c r="L39" s="392"/>
    </row>
    <row r="40" spans="1:12" ht="39.75" customHeight="1" thickTop="1" thickBot="1" x14ac:dyDescent="0.25">
      <c r="A40" s="252" t="str">
        <f>IDENTIFICACIÓN!C69</f>
        <v>32C</v>
      </c>
      <c r="B40" s="389" t="str">
        <f>IF(IDENTIFICACIÓN!D69="","",IDENTIFICACIÓN!D69)</f>
        <v>Gestión y Rendición de Cuentas. Alteración de la información</v>
      </c>
      <c r="C40" s="391" t="str">
        <f>'SEGUIMIENTO Y MONITOREO'!AR188</f>
        <v>NA</v>
      </c>
      <c r="D40" s="391">
        <f>'SEGUIMIENTO Y MONITOREO'!AS188</f>
        <v>0</v>
      </c>
      <c r="E40" s="391" t="str">
        <f>'SEGUIMIENTO Y MONITOREO'!AU188</f>
        <v/>
      </c>
      <c r="F40" s="391">
        <f>'SEGUIMIENTO Y MONITOREO'!AW188</f>
        <v>0</v>
      </c>
      <c r="G40" s="392"/>
      <c r="H40" s="392"/>
      <c r="I40" s="392"/>
      <c r="J40" s="392"/>
      <c r="K40" s="392"/>
      <c r="L40" s="392"/>
    </row>
    <row r="41" spans="1:12" ht="39.75" customHeight="1" thickTop="1" thickBot="1" x14ac:dyDescent="0.25">
      <c r="A41" s="252" t="str">
        <f>IDENTIFICACIÓN!C70</f>
        <v>33C</v>
      </c>
      <c r="B41" s="389" t="str">
        <f>IF(IDENTIFICACIÓN!D70="","",IDENTIFICACIÓN!D70)</f>
        <v>Evaluación Independiente. Falta de Objetividad e Independencia en el proceso auditor, de evaluación y seguimiento</v>
      </c>
      <c r="C41" s="391" t="str">
        <f>'SEGUIMIENTO Y MONITOREO'!AR191</f>
        <v>NA</v>
      </c>
      <c r="D41" s="391" t="str">
        <f>'SEGUIMIENTO Y MONITOREO'!AS191</f>
        <v>NA</v>
      </c>
      <c r="E41" s="391" t="str">
        <f>'SEGUIMIENTO Y MONITOREO'!AU191</f>
        <v/>
      </c>
      <c r="F41" s="391" t="str">
        <f>'SEGUIMIENTO Y MONITOREO'!AW191</f>
        <v>NA</v>
      </c>
      <c r="G41" s="392"/>
      <c r="H41" s="392"/>
      <c r="I41" s="392"/>
      <c r="J41" s="392"/>
      <c r="K41" s="392"/>
      <c r="L41" s="392"/>
    </row>
    <row r="42" spans="1:12" ht="39.75" customHeight="1" thickTop="1" thickBot="1" x14ac:dyDescent="0.25">
      <c r="A42" s="252" t="str">
        <f>IDENTIFICACIÓN!C71</f>
        <v>34C</v>
      </c>
      <c r="B42" s="389" t="str">
        <f>IF(IDENTIFICACIÓN!D71="","",IDENTIFICACIÓN!D71)</f>
        <v>Evaluación Independiente. No reportar posibles actos de corrupción e irregularidades</v>
      </c>
      <c r="C42" s="391" t="str">
        <f>'SEGUIMIENTO Y MONITOREO'!AR194</f>
        <v>NA</v>
      </c>
      <c r="D42" s="391" t="str">
        <f>'SEGUIMIENTO Y MONITOREO'!AS194</f>
        <v>NA</v>
      </c>
      <c r="E42" s="391" t="str">
        <f>'SEGUIMIENTO Y MONITOREO'!AU194</f>
        <v/>
      </c>
      <c r="F42" s="391" t="str">
        <f>'SEGUIMIENTO Y MONITOREO'!AW194</f>
        <v>NA</v>
      </c>
      <c r="G42" s="392"/>
      <c r="H42" s="392"/>
      <c r="I42" s="392"/>
      <c r="J42" s="392"/>
      <c r="K42" s="392"/>
      <c r="L42" s="392"/>
    </row>
    <row r="43" spans="1:12" ht="15.75" hidden="1" thickTop="1" x14ac:dyDescent="0.2">
      <c r="A43" s="658" t="str">
        <f>'SEGUIMIENTO Y MONITOREO'!B202</f>
        <v>Cumplimiento Riesgos de CORRUPCIÓN (Respecto a los plazos establecidos)</v>
      </c>
      <c r="B43" s="659"/>
      <c r="C43" s="659"/>
      <c r="D43" s="659"/>
      <c r="E43" s="660"/>
      <c r="F43" s="164">
        <f>'SEGUIMIENTO Y MONITOREO'!AW202</f>
        <v>0.42483333929614925</v>
      </c>
      <c r="G43" s="168"/>
      <c r="H43" s="168"/>
    </row>
    <row r="44" spans="1:12" hidden="1" x14ac:dyDescent="0.2">
      <c r="A44" s="661" t="str">
        <f>'SEGUIMIENTO Y MONITOREO'!B203</f>
        <v xml:space="preserve">% Avance Riesgo de CORRUPCIÓN </v>
      </c>
      <c r="B44" s="661"/>
      <c r="C44" s="661"/>
      <c r="D44" s="661"/>
      <c r="E44" s="662"/>
      <c r="F44" s="164">
        <f>'SEGUIMIENTO Y MONITOREO'!AW203</f>
        <v>0.43242161878525515</v>
      </c>
      <c r="G44" s="168"/>
      <c r="H44" s="168"/>
    </row>
    <row r="45" spans="1:12" ht="15.75" thickTop="1" x14ac:dyDescent="0.2"/>
  </sheetData>
  <sheetProtection selectLockedCells="1"/>
  <mergeCells count="15">
    <mergeCell ref="A7:B7"/>
    <mergeCell ref="C7:F7"/>
    <mergeCell ref="A1:B3"/>
    <mergeCell ref="C1:G3"/>
    <mergeCell ref="A5:H5"/>
    <mergeCell ref="A6:B6"/>
    <mergeCell ref="C6:F6"/>
    <mergeCell ref="A44:E44"/>
    <mergeCell ref="A43:E43"/>
    <mergeCell ref="G8:H8"/>
    <mergeCell ref="G9:H9"/>
    <mergeCell ref="G10:H10"/>
    <mergeCell ref="G11:H11"/>
    <mergeCell ref="G12:H12"/>
    <mergeCell ref="G13:H13"/>
  </mergeCells>
  <conditionalFormatting sqref="H7">
    <cfRule type="containsText" dxfId="132" priority="18" operator="containsText" text="Sin Seguimientos">
      <formula>NOT(ISERROR(SEARCH("Sin Seguimientos",H7)))</formula>
    </cfRule>
  </conditionalFormatting>
  <conditionalFormatting sqref="C9:D42 E14:F42">
    <cfRule type="containsText" dxfId="131" priority="13" operator="containsText" text="NA">
      <formula>NOT(ISERROR(SEARCH("NA",C9)))</formula>
    </cfRule>
  </conditionalFormatting>
  <conditionalFormatting sqref="E13">
    <cfRule type="containsText" dxfId="130" priority="10" operator="containsText" text="NA">
      <formula>NOT(ISERROR(SEARCH("NA",E13)))</formula>
    </cfRule>
  </conditionalFormatting>
  <conditionalFormatting sqref="E9:E12">
    <cfRule type="containsText" dxfId="129" priority="7" operator="containsText" text="NA">
      <formula>NOT(ISERROR(SEARCH("NA",E9)))</formula>
    </cfRule>
  </conditionalFormatting>
  <dataValidations count="1">
    <dataValidation operator="equal" allowBlank="1" showInputMessage="1" showErrorMessage="1" sqref="C9:D42 E14:F42"/>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4" operator="notEqual" id="{80FA5850-58B9-4043-9DAB-791CA05EECA1}">
            <xm:f>VALORACIÓN!$D$10</xm:f>
            <x14:dxf>
              <font>
                <color auto="1"/>
              </font>
              <fill>
                <patternFill patternType="lightGrid">
                  <fgColor theme="0" tint="-4.9989318521683403E-2"/>
                  <bgColor theme="0"/>
                </patternFill>
              </fill>
            </x14:dxf>
          </x14:cfRule>
          <x14:cfRule type="cellIs" priority="15" operator="equal" id="{19207357-8A43-439F-9787-2A7080B949C7}">
            <xm:f>VALORACIÓN!$D$10</xm:f>
            <x14:dxf>
              <fill>
                <patternFill patternType="lightGrid">
                  <fgColor theme="0" tint="-4.9989318521683403E-2"/>
                </patternFill>
              </fill>
            </x14:dxf>
          </x14:cfRule>
          <xm:sqref>C9:D42 E14:F42</xm:sqref>
        </x14:conditionalFormatting>
        <x14:conditionalFormatting xmlns:xm="http://schemas.microsoft.com/office/excel/2006/main">
          <x14:cfRule type="cellIs" priority="21" operator="notEqual" id="{FDBC2F9E-E469-4716-B031-B4A04D78B01D}">
            <xm:f>VALORACIÓN!$D$10</xm:f>
            <x14:dxf>
              <font>
                <color auto="1"/>
              </font>
              <fill>
                <patternFill patternType="lightGrid">
                  <fgColor theme="0" tint="-4.9989318521683403E-2"/>
                  <bgColor theme="0"/>
                </patternFill>
              </fill>
            </x14:dxf>
          </x14:cfRule>
          <x14:cfRule type="cellIs" priority="22" operator="equal" id="{A4DC2C9E-B2A7-435B-945A-FCC53B709A5F}">
            <xm:f>VALORACIÓN!$D$10</xm:f>
            <x14:dxf>
              <fill>
                <patternFill patternType="lightGrid">
                  <fgColor theme="0" tint="-4.9989318521683403E-2"/>
                </patternFill>
              </fill>
            </x14:dxf>
          </x14:cfRule>
          <xm:sqref>F9:F13</xm:sqref>
        </x14:conditionalFormatting>
        <x14:conditionalFormatting xmlns:xm="http://schemas.microsoft.com/office/excel/2006/main">
          <x14:cfRule type="cellIs" priority="19" operator="notEqual" id="{86A3723E-EA31-40F3-BCCD-D393B386BDC9}">
            <xm:f>VALORACIÓN!$D$10</xm:f>
            <x14:dxf>
              <font>
                <color auto="1"/>
              </font>
              <fill>
                <patternFill patternType="lightGrid">
                  <fgColor theme="0" tint="-4.9989318521683403E-2"/>
                  <bgColor theme="0"/>
                </patternFill>
              </fill>
            </x14:dxf>
          </x14:cfRule>
          <x14:cfRule type="cellIs" priority="20" operator="equal" id="{AAFB5F3E-4791-4123-9646-7ABC44B5621C}">
            <xm:f>VALORACIÓN!$D$10</xm:f>
            <x14:dxf>
              <fill>
                <patternFill patternType="lightGrid">
                  <fgColor theme="0" tint="-4.9989318521683403E-2"/>
                </patternFill>
              </fill>
            </x14:dxf>
          </x14:cfRule>
          <xm:sqref>G9:G42</xm:sqref>
        </x14:conditionalFormatting>
        <x14:conditionalFormatting xmlns:xm="http://schemas.microsoft.com/office/excel/2006/main">
          <x14:cfRule type="cellIs" priority="16" operator="notEqual" id="{2F968F6D-DF5A-4F3C-BF35-0F3FA0D6D37B}">
            <xm:f>VALORACIÓN!$D$10</xm:f>
            <x14:dxf>
              <font>
                <color auto="1"/>
              </font>
              <fill>
                <patternFill patternType="lightGrid">
                  <fgColor theme="0" tint="-4.9989318521683403E-2"/>
                  <bgColor theme="0"/>
                </patternFill>
              </fill>
            </x14:dxf>
          </x14:cfRule>
          <x14:cfRule type="cellIs" priority="17" operator="equal" id="{09E57377-3BC4-41B9-9245-C1DF457CFFA6}">
            <xm:f>VALORACIÓN!$D$10</xm:f>
            <x14:dxf>
              <fill>
                <patternFill patternType="lightGrid">
                  <fgColor theme="0" tint="-4.9989318521683403E-2"/>
                </patternFill>
              </fill>
            </x14:dxf>
          </x14:cfRule>
          <xm:sqref>F43:F44</xm:sqref>
        </x14:conditionalFormatting>
        <x14:conditionalFormatting xmlns:xm="http://schemas.microsoft.com/office/excel/2006/main">
          <x14:cfRule type="cellIs" priority="11" operator="notEqual" id="{A4B25C8B-5B2E-4E90-B891-5E92AEB2B3A0}">
            <xm:f>VALORACIÓN!$D$10</xm:f>
            <x14:dxf>
              <font>
                <color auto="1"/>
              </font>
              <fill>
                <patternFill patternType="lightGrid">
                  <fgColor theme="0" tint="-4.9989318521683403E-2"/>
                  <bgColor theme="0"/>
                </patternFill>
              </fill>
            </x14:dxf>
          </x14:cfRule>
          <x14:cfRule type="cellIs" priority="12" operator="equal" id="{BC4539E2-FEA5-4D11-A96A-3BA3D0241041}">
            <xm:f>VALORACIÓN!$D$10</xm:f>
            <x14:dxf>
              <fill>
                <patternFill patternType="lightGrid">
                  <fgColor theme="0" tint="-4.9989318521683403E-2"/>
                </patternFill>
              </fill>
            </x14:dxf>
          </x14:cfRule>
          <xm:sqref>E13</xm:sqref>
        </x14:conditionalFormatting>
        <x14:conditionalFormatting xmlns:xm="http://schemas.microsoft.com/office/excel/2006/main">
          <x14:cfRule type="cellIs" priority="8" operator="notEqual" id="{B37FF60E-2BC7-40B0-A034-61A5A7668F91}">
            <xm:f>VALORACIÓN!$D$10</xm:f>
            <x14:dxf>
              <font>
                <color auto="1"/>
              </font>
              <fill>
                <patternFill patternType="lightGrid">
                  <fgColor theme="0" tint="-4.9989318521683403E-2"/>
                  <bgColor theme="0"/>
                </patternFill>
              </fill>
            </x14:dxf>
          </x14:cfRule>
          <x14:cfRule type="cellIs" priority="9" operator="equal" id="{C7D3B978-1A1F-47D5-B158-AC5170E50CBA}">
            <xm:f>VALORACIÓN!$D$10</xm:f>
            <x14:dxf>
              <fill>
                <patternFill patternType="lightGrid">
                  <fgColor theme="0" tint="-4.9989318521683403E-2"/>
                </patternFill>
              </fill>
            </x14:dxf>
          </x14:cfRule>
          <xm:sqref>E9:E12</xm:sqref>
        </x14:conditionalFormatting>
        <x14:conditionalFormatting xmlns:xm="http://schemas.microsoft.com/office/excel/2006/main">
          <x14:cfRule type="cellIs" priority="5" operator="notEqual" id="{F76EEAFF-679C-4C5F-ACF0-92647D367CEB}">
            <xm:f>VALORACIÓN!$D$10</xm:f>
            <x14:dxf>
              <font>
                <color auto="1"/>
              </font>
              <fill>
                <patternFill patternType="lightGrid">
                  <fgColor theme="0" tint="-4.9989318521683403E-2"/>
                  <bgColor theme="0"/>
                </patternFill>
              </fill>
            </x14:dxf>
          </x14:cfRule>
          <x14:cfRule type="cellIs" priority="6" operator="equal" id="{6B394359-F4AE-4FBE-8322-31EBB11A5D65}">
            <xm:f>VALORACIÓN!$D$10</xm:f>
            <x14:dxf>
              <fill>
                <patternFill patternType="lightGrid">
                  <fgColor theme="0" tint="-4.9989318521683403E-2"/>
                </patternFill>
              </fill>
            </x14:dxf>
          </x14:cfRule>
          <xm:sqref>I1:K42</xm:sqref>
        </x14:conditionalFormatting>
        <x14:conditionalFormatting xmlns:xm="http://schemas.microsoft.com/office/excel/2006/main">
          <x14:cfRule type="cellIs" priority="3" operator="notEqual" id="{C392C442-2331-4BD8-941F-CFC94665E382}">
            <xm:f>VALORACIÓN!$D$10</xm:f>
            <x14:dxf>
              <font>
                <color auto="1"/>
              </font>
              <fill>
                <patternFill patternType="lightGrid">
                  <fgColor theme="0" tint="-4.9989318521683403E-2"/>
                  <bgColor theme="0"/>
                </patternFill>
              </fill>
            </x14:dxf>
          </x14:cfRule>
          <x14:cfRule type="cellIs" priority="4" operator="equal" id="{3AAADB8A-5859-4726-B49D-6B9D19A465C8}">
            <xm:f>VALORACIÓN!$D$10</xm:f>
            <x14:dxf>
              <fill>
                <patternFill patternType="lightGrid">
                  <fgColor theme="0" tint="-4.9989318521683403E-2"/>
                </patternFill>
              </fill>
            </x14:dxf>
          </x14:cfRule>
          <xm:sqref>H14:H42</xm:sqref>
        </x14:conditionalFormatting>
        <x14:conditionalFormatting xmlns:xm="http://schemas.microsoft.com/office/excel/2006/main">
          <x14:cfRule type="cellIs" priority="1" operator="notEqual" id="{788EC67A-42F2-4308-B562-1A6BA6BE66BE}">
            <xm:f>VALORACIÓN!$D$10</xm:f>
            <x14:dxf>
              <font>
                <color auto="1"/>
              </font>
              <fill>
                <patternFill patternType="lightGrid">
                  <fgColor theme="0" tint="-4.9989318521683403E-2"/>
                  <bgColor theme="0"/>
                </patternFill>
              </fill>
            </x14:dxf>
          </x14:cfRule>
          <x14:cfRule type="cellIs" priority="2" operator="equal" id="{4F5FFD7B-EE65-4FDD-B63D-116B68390424}">
            <xm:f>VALORACIÓN!$D$10</xm:f>
            <x14:dxf>
              <fill>
                <patternFill patternType="lightGrid">
                  <fgColor theme="0" tint="-4.9989318521683403E-2"/>
                </patternFill>
              </fill>
            </x14:dxf>
          </x14:cfRule>
          <xm:sqref>L1:L42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7030A0"/>
  </sheetPr>
  <dimension ref="A1:K38"/>
  <sheetViews>
    <sheetView view="pageBreakPreview" zoomScaleNormal="100" zoomScaleSheetLayoutView="100" workbookViewId="0">
      <pane xSplit="2" ySplit="8" topLeftCell="F9"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18" customWidth="1"/>
    <col min="3" max="5" width="6.5546875" style="96" hidden="1" customWidth="1"/>
    <col min="6" max="6" width="28.33203125" customWidth="1"/>
    <col min="7" max="7" width="31" customWidth="1"/>
    <col min="8" max="8" width="25.109375" customWidth="1"/>
  </cols>
  <sheetData>
    <row r="1" spans="1:11" ht="15" customHeight="1" x14ac:dyDescent="0.2">
      <c r="A1" s="437" t="s">
        <v>145</v>
      </c>
      <c r="B1" s="437"/>
      <c r="C1" s="646" t="s">
        <v>206</v>
      </c>
      <c r="D1" s="647"/>
      <c r="E1" s="647"/>
      <c r="F1" s="647"/>
      <c r="G1" s="648"/>
      <c r="H1" s="182" t="s">
        <v>71</v>
      </c>
      <c r="I1" s="392"/>
      <c r="J1" s="392"/>
      <c r="K1" s="392"/>
    </row>
    <row r="2" spans="1:11" ht="15" customHeight="1" x14ac:dyDescent="0.2">
      <c r="A2" s="437"/>
      <c r="B2" s="437"/>
      <c r="C2" s="649"/>
      <c r="D2" s="650"/>
      <c r="E2" s="650"/>
      <c r="F2" s="650"/>
      <c r="G2" s="651"/>
      <c r="H2" s="182" t="s">
        <v>107</v>
      </c>
      <c r="I2" s="392"/>
      <c r="J2" s="392"/>
      <c r="K2" s="392"/>
    </row>
    <row r="3" spans="1:11" ht="15" customHeight="1" x14ac:dyDescent="0.2">
      <c r="A3" s="437"/>
      <c r="B3" s="437"/>
      <c r="C3" s="652"/>
      <c r="D3" s="653"/>
      <c r="E3" s="653"/>
      <c r="F3" s="653"/>
      <c r="G3" s="654"/>
      <c r="H3" s="182" t="s">
        <v>408</v>
      </c>
      <c r="I3" s="392"/>
      <c r="J3" s="392"/>
      <c r="K3" s="392"/>
    </row>
    <row r="4" spans="1:11" ht="3.75" customHeight="1" x14ac:dyDescent="0.2">
      <c r="A4" s="33"/>
      <c r="B4" s="34"/>
      <c r="C4" s="35"/>
      <c r="D4" s="35"/>
      <c r="E4" s="38"/>
      <c r="F4" s="38"/>
      <c r="G4" s="49"/>
      <c r="H4" s="49"/>
      <c r="I4" s="392"/>
      <c r="J4" s="392"/>
      <c r="K4" s="392"/>
    </row>
    <row r="5" spans="1:11" ht="15.75" x14ac:dyDescent="0.2">
      <c r="A5" s="439" t="s">
        <v>184</v>
      </c>
      <c r="B5" s="439"/>
      <c r="C5" s="439"/>
      <c r="D5" s="439"/>
      <c r="E5" s="523"/>
      <c r="F5" s="523"/>
      <c r="G5" s="523"/>
      <c r="H5" s="523"/>
      <c r="I5" s="392"/>
      <c r="J5" s="392"/>
      <c r="K5" s="392"/>
    </row>
    <row r="6" spans="1:11" ht="15.75" customHeight="1" x14ac:dyDescent="0.2">
      <c r="A6" s="489" t="str">
        <f>'CONTEXTO ESTRATEGICO'!A7</f>
        <v>INSTITUCIONAL</v>
      </c>
      <c r="B6" s="489"/>
      <c r="C6" s="579" t="str">
        <f>'SEGUIMIENTO Y MONITOREO'!C6</f>
        <v>Mapa de Riesgo Institucional</v>
      </c>
      <c r="D6" s="580"/>
      <c r="E6" s="580"/>
      <c r="F6" s="580"/>
      <c r="G6" s="173" t="str">
        <f>'SEGUIMIENTO Y MONITOREO'!E6</f>
        <v>Fecha de Actualización (AAAA/MM/DD)</v>
      </c>
      <c r="H6" s="171">
        <f>'SEGUIMIENTO Y MONITOREO'!H6</f>
        <v>42443</v>
      </c>
      <c r="I6" s="392"/>
      <c r="J6" s="392"/>
      <c r="K6" s="392"/>
    </row>
    <row r="7" spans="1:11" ht="15.75" customHeight="1" x14ac:dyDescent="0.2">
      <c r="A7" s="489"/>
      <c r="B7" s="489"/>
      <c r="C7" s="655" t="s">
        <v>161</v>
      </c>
      <c r="D7" s="656"/>
      <c r="E7" s="656"/>
      <c r="F7" s="657"/>
      <c r="G7" s="170" t="s">
        <v>185</v>
      </c>
      <c r="H7" s="172">
        <f>'SEGUIMIENTO Y MONITOREO'!$AX$7</f>
        <v>42613</v>
      </c>
      <c r="I7" s="392"/>
      <c r="J7" s="392"/>
      <c r="K7" s="392"/>
    </row>
    <row r="8" spans="1:11" ht="24" customHeight="1" x14ac:dyDescent="0.2">
      <c r="A8" s="176" t="s">
        <v>22</v>
      </c>
      <c r="B8" s="176" t="s">
        <v>28</v>
      </c>
      <c r="C8" s="174" t="str">
        <f>TGS!G8</f>
        <v>% 1ER CuaT</v>
      </c>
      <c r="D8" s="174" t="str">
        <f>TGS!I8</f>
        <v>% 2DO CuaT</v>
      </c>
      <c r="E8" s="174" t="str">
        <f>TGS!K8</f>
        <v>% 3ER CuaT</v>
      </c>
      <c r="F8" s="169" t="s">
        <v>369</v>
      </c>
      <c r="G8" s="645"/>
      <c r="H8" s="645"/>
      <c r="I8" s="392"/>
      <c r="J8" s="392"/>
      <c r="K8" s="392"/>
    </row>
    <row r="9" spans="1:11" ht="22.5" customHeight="1" x14ac:dyDescent="0.2">
      <c r="A9" s="178" t="str">
        <f>IDENTIFICACIÓN!C9</f>
        <v>1G</v>
      </c>
      <c r="B9" s="179" t="str">
        <f>IF(IDENTIFICACIÓN!D9="","",IDENTIFICACIÓN!D9)</f>
        <v>Relaciones Interinstitucionales. Concentrar labores múltiples en poco personal</v>
      </c>
      <c r="C9" s="180" t="str">
        <f>RXC!C9</f>
        <v>NA</v>
      </c>
      <c r="D9" s="180">
        <f>RXC!D9</f>
        <v>0</v>
      </c>
      <c r="E9" s="181" t="str">
        <f>RXC!E9</f>
        <v/>
      </c>
      <c r="F9" s="391">
        <f>RXC!F9</f>
        <v>0</v>
      </c>
      <c r="G9" s="644"/>
      <c r="H9" s="644"/>
      <c r="I9" s="392"/>
      <c r="J9" s="392"/>
      <c r="K9" s="392"/>
    </row>
    <row r="10" spans="1:11" ht="22.5" customHeight="1" x14ac:dyDescent="0.2">
      <c r="A10" s="178" t="str">
        <f>IDENTIFICACIÓN!C10</f>
        <v>2G</v>
      </c>
      <c r="B10" s="179" t="str">
        <f>IF(IDENTIFICACIÓN!D10="","",IDENTIFICACIÓN!D10)</f>
        <v xml:space="preserve">Relaciones Interinstitucionales. Escaso registro y control de la movilidad internacional entrante y saliente. </v>
      </c>
      <c r="C10" s="391">
        <f>RXC!C10</f>
        <v>1</v>
      </c>
      <c r="D10" s="391">
        <f>RXC!D10</f>
        <v>1</v>
      </c>
      <c r="E10" s="181" t="str">
        <f>RXC!E10</f>
        <v/>
      </c>
      <c r="F10" s="391">
        <f>RXC!F10</f>
        <v>1</v>
      </c>
      <c r="G10" s="644"/>
      <c r="H10" s="644"/>
      <c r="I10" s="392"/>
      <c r="J10" s="392"/>
      <c r="K10" s="392"/>
    </row>
    <row r="11" spans="1:11" ht="22.5" customHeight="1" x14ac:dyDescent="0.2">
      <c r="A11" s="178" t="str">
        <f>IDENTIFICACIÓN!C11</f>
        <v>3G</v>
      </c>
      <c r="B11" s="179" t="str">
        <f>IF(IDENTIFICACIÓN!D11="","",IDENTIFICACIÓN!D11)</f>
        <v>Relaciones Interinstitucionales. Gestionar la movilidad internacional sin requisitos legales</v>
      </c>
      <c r="C11" s="391">
        <f>RXC!C11</f>
        <v>1</v>
      </c>
      <c r="D11" s="391">
        <f>RXC!D11</f>
        <v>1</v>
      </c>
      <c r="E11" s="181" t="str">
        <f>RXC!E11</f>
        <v/>
      </c>
      <c r="F11" s="391">
        <f>RXC!F11</f>
        <v>1</v>
      </c>
      <c r="G11" s="644"/>
      <c r="H11" s="644"/>
      <c r="I11" s="392"/>
      <c r="J11" s="392"/>
      <c r="K11" s="392"/>
    </row>
    <row r="12" spans="1:11" ht="22.5" customHeight="1" x14ac:dyDescent="0.2">
      <c r="A12" s="178" t="str">
        <f>IDENTIFICACIÓN!C12</f>
        <v>4G</v>
      </c>
      <c r="B12" s="179" t="str">
        <f>IF(IDENTIFICACIÓN!D12="","",IDENTIFICACIÓN!D12)</f>
        <v>Acreditación. Insuficiente Implementación de la Política Institucional de Autoevaluación, Acreditación y Aseguramiento de la calidad</v>
      </c>
      <c r="C12" s="391">
        <f>RXC!C12</f>
        <v>0</v>
      </c>
      <c r="D12" s="391">
        <f>RXC!D12</f>
        <v>0.5</v>
      </c>
      <c r="E12" s="181" t="str">
        <f>RXC!E12</f>
        <v/>
      </c>
      <c r="F12" s="391">
        <f>RXC!F12</f>
        <v>0.5</v>
      </c>
      <c r="G12" s="644"/>
      <c r="H12" s="644"/>
      <c r="I12" s="392"/>
      <c r="J12" s="392"/>
      <c r="K12" s="392"/>
    </row>
    <row r="13" spans="1:11" ht="22.5" customHeight="1" x14ac:dyDescent="0.2">
      <c r="A13" s="178" t="str">
        <f>IDENTIFICACIÓN!C13</f>
        <v>5G</v>
      </c>
      <c r="B13" s="179" t="str">
        <f>IF(IDENTIFICACIÓN!D13="","",IDENTIFICACIÓN!D13)</f>
        <v xml:space="preserve">Acreditación. Deficiencia en la calidad técnica de los informes </v>
      </c>
      <c r="C13" s="391">
        <f>RXC!C13</f>
        <v>1</v>
      </c>
      <c r="D13" s="391">
        <f>RXC!D13</f>
        <v>1</v>
      </c>
      <c r="E13" s="181" t="str">
        <f>RXC!E13</f>
        <v/>
      </c>
      <c r="F13" s="391">
        <f>RXC!F13</f>
        <v>1</v>
      </c>
      <c r="G13" s="644"/>
      <c r="H13" s="644"/>
      <c r="I13" s="392"/>
      <c r="J13" s="392"/>
      <c r="K13" s="392"/>
    </row>
    <row r="14" spans="1:11" ht="22.5" customHeight="1" x14ac:dyDescent="0.2">
      <c r="A14" s="178" t="str">
        <f>IDENTIFICACIÓN!C14</f>
        <v>6G</v>
      </c>
      <c r="B14" s="179" t="str">
        <f>IF(IDENTIFICACIÓN!D14="","",IDENTIFICACIÓN!D14)</f>
        <v>Acreditación. Negación de la acreditación o de la renovación de registro calificado</v>
      </c>
      <c r="C14" s="391" t="str">
        <f>RXC!C14</f>
        <v>NA</v>
      </c>
      <c r="D14" s="391" t="str">
        <f>RXC!D14</f>
        <v>NA</v>
      </c>
      <c r="E14" s="181" t="str">
        <f>RXC!E14</f>
        <v/>
      </c>
      <c r="F14" s="391" t="str">
        <f>RXC!F14</f>
        <v>NA</v>
      </c>
      <c r="G14" s="644"/>
      <c r="H14" s="644"/>
      <c r="I14" s="392"/>
      <c r="J14" s="392"/>
      <c r="K14" s="392"/>
    </row>
    <row r="15" spans="1:11" ht="22.5" customHeight="1" x14ac:dyDescent="0.2">
      <c r="A15" s="178" t="str">
        <f>IDENTIFICACIÓN!C15</f>
        <v>7G</v>
      </c>
      <c r="B15" s="179" t="str">
        <f>IF(IDENTIFICACIÓN!D15="","",IDENTIFICACIÓN!D15)</f>
        <v>Acreditación. Incumplimiento en algunas actividades establecidas en el plan de trabajo</v>
      </c>
      <c r="C15" s="391" t="str">
        <f>RXC!C15</f>
        <v>NA</v>
      </c>
      <c r="D15" s="391" t="str">
        <f>RXC!D15</f>
        <v>NA</v>
      </c>
      <c r="E15" s="181" t="str">
        <f>RXC!E15</f>
        <v/>
      </c>
      <c r="F15" s="391" t="str">
        <f>RXC!F15</f>
        <v>NA</v>
      </c>
      <c r="G15" s="644"/>
      <c r="H15" s="644"/>
      <c r="I15" s="392"/>
      <c r="J15" s="392"/>
      <c r="K15" s="392"/>
    </row>
    <row r="16" spans="1:11" ht="22.5" customHeight="1" x14ac:dyDescent="0.2">
      <c r="A16" s="178" t="str">
        <f>IDENTIFICACIÓN!C16</f>
        <v>8G</v>
      </c>
      <c r="B16" s="179" t="str">
        <f>IF(IDENTIFICACIÓN!D16="","",IDENTIFICACIÓN!D16)</f>
        <v>Acreditación. Retraso en el otorgamiento o renovacion del registro calificado</v>
      </c>
      <c r="C16" s="391" t="str">
        <f>RXC!C16</f>
        <v>NA</v>
      </c>
      <c r="D16" s="391" t="str">
        <f>RXC!D16</f>
        <v>NA</v>
      </c>
      <c r="E16" s="181" t="str">
        <f>RXC!E16</f>
        <v/>
      </c>
      <c r="F16" s="391" t="str">
        <f>RXC!F16</f>
        <v>NA</v>
      </c>
      <c r="G16" s="644"/>
      <c r="H16" s="644"/>
      <c r="I16" s="392"/>
      <c r="J16" s="392"/>
      <c r="K16" s="392"/>
    </row>
    <row r="17" spans="1:11" ht="22.5" customHeight="1" x14ac:dyDescent="0.2">
      <c r="A17" s="178" t="str">
        <f>IDENTIFICACIÓN!C17</f>
        <v>9G</v>
      </c>
      <c r="B17" s="179" t="str">
        <f>IF(IDENTIFICACIÓN!D17="","",IDENTIFICACIÓN!D17)</f>
        <v>Gestión de la Calidad. La alta dirección no asegura la disponibilidad de los recursos para el mantenimiento y mejora del sistema.</v>
      </c>
      <c r="C17" s="391">
        <f>RXC!C17</f>
        <v>1</v>
      </c>
      <c r="D17" s="391">
        <f>RXC!D17</f>
        <v>1</v>
      </c>
      <c r="E17" s="181" t="str">
        <f>RXC!E17</f>
        <v/>
      </c>
      <c r="F17" s="391">
        <f>RXC!F17</f>
        <v>1</v>
      </c>
      <c r="G17" s="644"/>
      <c r="H17" s="644"/>
      <c r="I17" s="392"/>
      <c r="J17" s="392"/>
      <c r="K17" s="392"/>
    </row>
    <row r="18" spans="1:11" ht="22.5" customHeight="1" x14ac:dyDescent="0.2">
      <c r="A18" s="178" t="str">
        <f>IDENTIFICACIÓN!C18</f>
        <v>10G</v>
      </c>
      <c r="B18" s="179" t="str">
        <f>IF(IDENTIFICACIÓN!D18="","",IDENTIFICACIÓN!D18)</f>
        <v>Comunicaciones. Inoportuna e ineficaz divulgación de los productos comunicativos y publicitarios ante los usuarios internos y externos.</v>
      </c>
      <c r="C18" s="391">
        <f>RXC!C18</f>
        <v>0.125</v>
      </c>
      <c r="D18" s="391">
        <f>RXC!D18</f>
        <v>0.25</v>
      </c>
      <c r="E18" s="181" t="str">
        <f>RXC!E18</f>
        <v/>
      </c>
      <c r="F18" s="391">
        <f>RXC!F18</f>
        <v>0.25</v>
      </c>
      <c r="G18" s="644"/>
      <c r="H18" s="644"/>
      <c r="I18" s="392"/>
      <c r="J18" s="392"/>
      <c r="K18" s="392"/>
    </row>
    <row r="19" spans="1:11" ht="22.5" customHeight="1" x14ac:dyDescent="0.2">
      <c r="A19" s="390" t="str">
        <f>IDENTIFICACIÓN!C19</f>
        <v>11G</v>
      </c>
      <c r="B19" s="389" t="str">
        <f>IF(IDENTIFICACIÓN!D19="","",IDENTIFICACIÓN!D19)</f>
        <v>Gestión Academica. Pérdida de Registro Calificado de los Programas Académicos.</v>
      </c>
      <c r="C19" s="391" t="str">
        <f>RXC!C19</f>
        <v>NA</v>
      </c>
      <c r="D19" s="391">
        <f>RXC!D19</f>
        <v>3.5000000000000003E-2</v>
      </c>
      <c r="E19" s="181" t="str">
        <f>RXC!E19</f>
        <v/>
      </c>
      <c r="F19" s="391">
        <f>RXC!F19</f>
        <v>3.5000000000000003E-2</v>
      </c>
      <c r="G19" s="392"/>
      <c r="H19" s="392"/>
      <c r="I19" s="392"/>
      <c r="J19" s="392"/>
      <c r="K19" s="392"/>
    </row>
    <row r="20" spans="1:11" ht="22.5" customHeight="1" x14ac:dyDescent="0.2">
      <c r="A20" s="390" t="str">
        <f>IDENTIFICACIÓN!C20</f>
        <v>12G</v>
      </c>
      <c r="B20" s="389" t="str">
        <f>IF(IDENTIFICACIÓN!D20="","",IDENTIFICACIÓN!D20)</f>
        <v>Gestión Academica. Formulación inadecuada de políticas.</v>
      </c>
      <c r="C20" s="391" t="str">
        <f>RXC!C20</f>
        <v>NA</v>
      </c>
      <c r="D20" s="391">
        <f>RXC!D20</f>
        <v>0.05</v>
      </c>
      <c r="E20" s="181" t="str">
        <f>RXC!E20</f>
        <v/>
      </c>
      <c r="F20" s="391">
        <f>RXC!F20</f>
        <v>0.05</v>
      </c>
      <c r="G20" s="392"/>
      <c r="H20" s="392"/>
      <c r="I20" s="392"/>
      <c r="J20" s="392"/>
      <c r="K20" s="392"/>
    </row>
    <row r="21" spans="1:11" ht="22.5" customHeight="1" x14ac:dyDescent="0.2">
      <c r="A21" s="390" t="str">
        <f>IDENTIFICACIÓN!C21</f>
        <v>13G</v>
      </c>
      <c r="B21" s="389" t="str">
        <f>IF(IDENTIFICACIÓN!D21="","",IDENTIFICACIÓN!D21)</f>
        <v>Gestión Academica. Aplicación inadecuada de la normatividad en el desarrollo de los diferentes procesos academicos de los programas.</v>
      </c>
      <c r="C21" s="391" t="str">
        <f>RXC!C21</f>
        <v>NA</v>
      </c>
      <c r="D21" s="391">
        <f>RXC!D21</f>
        <v>0.05</v>
      </c>
      <c r="E21" s="181" t="str">
        <f>RXC!E21</f>
        <v/>
      </c>
      <c r="F21" s="391">
        <f>RXC!F21</f>
        <v>0.05</v>
      </c>
      <c r="G21" s="392"/>
      <c r="H21" s="392"/>
      <c r="I21" s="392"/>
      <c r="J21" s="392"/>
      <c r="K21" s="392"/>
    </row>
    <row r="22" spans="1:11" ht="22.5" customHeight="1" x14ac:dyDescent="0.2">
      <c r="A22" s="390" t="str">
        <f>IDENTIFICACIÓN!C22</f>
        <v>14G</v>
      </c>
      <c r="B22" s="389" t="str">
        <f>IF(IDENTIFICACIÓN!D22="","",IDENTIFICACIÓN!D22)</f>
        <v>Gestión Academica. Deterioro en la calidad de los programas académicos por necesidades de recursos no cubiertas.</v>
      </c>
      <c r="C22" s="391" t="str">
        <f>RXC!C22</f>
        <v>NA</v>
      </c>
      <c r="D22" s="391">
        <f>RXC!D22</f>
        <v>0.02</v>
      </c>
      <c r="E22" s="181" t="str">
        <f>RXC!E22</f>
        <v/>
      </c>
      <c r="F22" s="391">
        <f>RXC!F22</f>
        <v>0.02</v>
      </c>
      <c r="G22" s="392"/>
      <c r="H22" s="392"/>
      <c r="I22" s="392"/>
      <c r="J22" s="392"/>
      <c r="K22" s="392"/>
    </row>
    <row r="23" spans="1:11" ht="22.5" customHeight="1" x14ac:dyDescent="0.2">
      <c r="A23" s="390" t="str">
        <f>IDENTIFICACIÓN!C23</f>
        <v>15G</v>
      </c>
      <c r="B23" s="389" t="str">
        <f>IF(IDENTIFICACIÓN!D23="","",IDENTIFICACIÓN!D23)</f>
        <v xml:space="preserve">Gestión de Investigación. No fomentar la actividad investigativa en la Universidad.  </v>
      </c>
      <c r="C23" s="391">
        <f>RXC!C23</f>
        <v>0.58333333333333326</v>
      </c>
      <c r="D23" s="391">
        <f>RXC!D23</f>
        <v>0.71666666666666667</v>
      </c>
      <c r="E23" s="181" t="str">
        <f>RXC!E23</f>
        <v/>
      </c>
      <c r="F23" s="391">
        <f>RXC!F23</f>
        <v>0.71666666666666667</v>
      </c>
      <c r="G23" s="392"/>
      <c r="H23" s="392"/>
      <c r="I23" s="392"/>
      <c r="J23" s="392"/>
      <c r="K23" s="392"/>
    </row>
    <row r="24" spans="1:11" ht="22.5" customHeight="1" x14ac:dyDescent="0.2">
      <c r="A24" s="390" t="str">
        <f>IDENTIFICACIÓN!C24</f>
        <v>16G</v>
      </c>
      <c r="B24" s="389" t="str">
        <f>IF(IDENTIFICACIÓN!D24="","",IDENTIFICACIÓN!D24)</f>
        <v>Gestión de Investigación. Deficiente cumplimiento del plan de acción de la Vicerrectoría de Investigación</v>
      </c>
      <c r="C24" s="391">
        <f>RXC!C24</f>
        <v>8.3333333333333343E-2</v>
      </c>
      <c r="D24" s="391">
        <f>RXC!D24</f>
        <v>0.5</v>
      </c>
      <c r="E24" s="181" t="str">
        <f>RXC!E24</f>
        <v/>
      </c>
      <c r="F24" s="391">
        <f>RXC!F24</f>
        <v>0.5</v>
      </c>
      <c r="G24" s="392"/>
      <c r="H24" s="392"/>
      <c r="I24" s="392"/>
      <c r="J24" s="392"/>
      <c r="K24" s="392"/>
    </row>
    <row r="25" spans="1:11" ht="22.5" customHeight="1" x14ac:dyDescent="0.2">
      <c r="A25" s="390" t="str">
        <f>IDENTIFICACIÓN!C25</f>
        <v>17G</v>
      </c>
      <c r="B25" s="389" t="str">
        <f>IF(IDENTIFICACIÓN!D25="","",IDENTIFICACIÓN!D25)</f>
        <v>Gestión de Extensión y Proyección Social. Incumplimiento en los compromisos establecidos en la formalización de los proyectos.</v>
      </c>
      <c r="C25" s="391">
        <f>RXC!C25</f>
        <v>0</v>
      </c>
      <c r="D25" s="391">
        <f>RXC!D25</f>
        <v>0.67</v>
      </c>
      <c r="E25" s="181" t="str">
        <f>RXC!E25</f>
        <v/>
      </c>
      <c r="F25" s="391">
        <f>RXC!F25</f>
        <v>0.67</v>
      </c>
      <c r="G25" s="392"/>
      <c r="H25" s="392"/>
      <c r="I25" s="392"/>
      <c r="J25" s="392"/>
      <c r="K25" s="392"/>
    </row>
    <row r="26" spans="1:11" ht="22.5" customHeight="1" x14ac:dyDescent="0.2">
      <c r="A26" s="390" t="str">
        <f>IDENTIFICACIÓN!C26</f>
        <v>18G</v>
      </c>
      <c r="B26" s="389"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26" s="391" t="str">
        <f>RXC!C26</f>
        <v>NA</v>
      </c>
      <c r="D26" s="391" t="str">
        <f>RXC!D26</f>
        <v>NA</v>
      </c>
      <c r="E26" s="181" t="str">
        <f>RXC!E26</f>
        <v/>
      </c>
      <c r="F26" s="391" t="str">
        <f>RXC!F26</f>
        <v>NA</v>
      </c>
      <c r="G26" s="392"/>
      <c r="H26" s="392"/>
      <c r="I26" s="392"/>
      <c r="J26" s="392"/>
      <c r="K26" s="392"/>
    </row>
    <row r="27" spans="1:11" ht="22.5" customHeight="1" x14ac:dyDescent="0.2">
      <c r="A27" s="390" t="str">
        <f>IDENTIFICACIÓN!C27</f>
        <v>19G</v>
      </c>
      <c r="B27" s="389" t="str">
        <f>IF(IDENTIFICACIÓN!D27="","",IDENTIFICACIÓN!D27)</f>
        <v>Gestión de Extensión y Proyección Social. Interrupción en las actividades e incumplimiento de los proyectos de extensión y proyección social, en las zonas de influencia.</v>
      </c>
      <c r="C27" s="391" t="str">
        <f>RXC!C27</f>
        <v>NA</v>
      </c>
      <c r="D27" s="391" t="str">
        <f>RXC!D27</f>
        <v>NA</v>
      </c>
      <c r="E27" s="181" t="str">
        <f>RXC!E27</f>
        <v/>
      </c>
      <c r="F27" s="391" t="str">
        <f>RXC!F27</f>
        <v>NA</v>
      </c>
      <c r="G27" s="392"/>
      <c r="H27" s="392"/>
      <c r="I27" s="392"/>
      <c r="J27" s="392"/>
      <c r="K27" s="392"/>
    </row>
    <row r="28" spans="1:11" ht="22.5" customHeight="1" x14ac:dyDescent="0.2">
      <c r="A28" s="390" t="str">
        <f>IDENTIFICACIÓN!C28</f>
        <v>20G</v>
      </c>
      <c r="B28" s="389" t="str">
        <f>IF(IDENTIFICACIÓN!D28="","",IDENTIFICACIÓN!D28)</f>
        <v>Gestión de Contratación. Celebración de contratos sin el cumplimiento de los requisitos internos y externos de carácter contractual</v>
      </c>
      <c r="C28" s="391" t="str">
        <f>RXC!C28</f>
        <v>NA</v>
      </c>
      <c r="D28" s="391" t="str">
        <f>RXC!D28</f>
        <v>NA</v>
      </c>
      <c r="E28" s="181" t="str">
        <f>RXC!E28</f>
        <v/>
      </c>
      <c r="F28" s="391" t="str">
        <f>RXC!F28</f>
        <v>NA</v>
      </c>
      <c r="G28" s="392"/>
      <c r="H28" s="392"/>
      <c r="I28" s="392"/>
      <c r="J28" s="392"/>
      <c r="K28" s="392"/>
    </row>
    <row r="29" spans="1:11" ht="22.5" customHeight="1" x14ac:dyDescent="0.2">
      <c r="A29" s="390" t="str">
        <f>IDENTIFICACIÓN!C29</f>
        <v>21G</v>
      </c>
      <c r="B29" s="389" t="str">
        <f>IF(IDENTIFICACIÓN!D29="","",IDENTIFICACIÓN!D29)</f>
        <v>Gestión de Contratación. Documentación incompleta en la carpeta contractual</v>
      </c>
      <c r="C29" s="391" t="str">
        <f>RXC!C29</f>
        <v>NA</v>
      </c>
      <c r="D29" s="391" t="str">
        <f>RXC!D29</f>
        <v>NA</v>
      </c>
      <c r="E29" s="181" t="str">
        <f>RXC!E29</f>
        <v/>
      </c>
      <c r="F29" s="391" t="str">
        <f>RXC!F29</f>
        <v>NA</v>
      </c>
      <c r="G29" s="392"/>
      <c r="H29" s="392"/>
      <c r="I29" s="392"/>
      <c r="J29" s="392"/>
      <c r="K29" s="392"/>
    </row>
    <row r="30" spans="1:11" ht="22.5" customHeight="1" x14ac:dyDescent="0.2">
      <c r="A30" s="390" t="str">
        <f>IDENTIFICACIÓN!C30</f>
        <v>22G</v>
      </c>
      <c r="B30" s="389" t="str">
        <f>IF(IDENTIFICACIÓN!D30="","",IDENTIFICACIÓN!D30)</f>
        <v>Gestión Administrativa. Inseguridad en el campus</v>
      </c>
      <c r="C30" s="391">
        <f>RXC!C30</f>
        <v>0</v>
      </c>
      <c r="D30" s="391">
        <f>RXC!D30</f>
        <v>0.21666666666666665</v>
      </c>
      <c r="E30" s="181" t="str">
        <f>RXC!E30</f>
        <v/>
      </c>
      <c r="F30" s="391">
        <f>RXC!F30</f>
        <v>0.21666666666666665</v>
      </c>
      <c r="G30" s="392"/>
      <c r="H30" s="392"/>
      <c r="I30" s="392"/>
      <c r="J30" s="392"/>
      <c r="K30" s="392"/>
    </row>
    <row r="31" spans="1:11" ht="22.5" customHeight="1" x14ac:dyDescent="0.2">
      <c r="A31" s="390" t="str">
        <f>IDENTIFICACIÓN!C31</f>
        <v>23G</v>
      </c>
      <c r="B31" s="389" t="str">
        <f>IF(IDENTIFICACIÓN!D31="","",IDENTIFICACIÓN!D31)</f>
        <v>Gestión Administrativa. Inadecuado gestión de los residuos</v>
      </c>
      <c r="C31" s="391">
        <f>RXC!C31</f>
        <v>0</v>
      </c>
      <c r="D31" s="391">
        <f>RXC!D31</f>
        <v>0.5</v>
      </c>
      <c r="E31" s="181" t="str">
        <f>RXC!E31</f>
        <v/>
      </c>
      <c r="F31" s="391">
        <f>RXC!F31</f>
        <v>0.5</v>
      </c>
      <c r="G31" s="392"/>
      <c r="H31" s="392"/>
      <c r="I31" s="392"/>
      <c r="J31" s="392"/>
      <c r="K31" s="392"/>
    </row>
    <row r="32" spans="1:11" ht="22.5" customHeight="1" x14ac:dyDescent="0.2">
      <c r="A32" s="390" t="str">
        <f>IDENTIFICACIÓN!C32</f>
        <v>24G</v>
      </c>
      <c r="B32" s="389" t="str">
        <f>IF(IDENTIFICACIÓN!D32="","",IDENTIFICACIÓN!D32)</f>
        <v>Gestión del Talento Humano. Deficiente desempeño laboral de los funcionarios de la Universidad.</v>
      </c>
      <c r="C32" s="391">
        <f>RXC!C32</f>
        <v>0</v>
      </c>
      <c r="D32" s="391">
        <f>RXC!D32</f>
        <v>0.45</v>
      </c>
      <c r="E32" s="181" t="str">
        <f>RXC!E32</f>
        <v/>
      </c>
      <c r="F32" s="391">
        <f>RXC!F32</f>
        <v>0.45</v>
      </c>
      <c r="G32" s="392"/>
      <c r="H32" s="392"/>
      <c r="I32" s="392"/>
      <c r="J32" s="392"/>
      <c r="K32" s="392"/>
    </row>
    <row r="33" spans="1:11" ht="22.5" customHeight="1" x14ac:dyDescent="0.2">
      <c r="A33" s="390" t="str">
        <f>IDENTIFICACIÓN!C33</f>
        <v>25G</v>
      </c>
      <c r="B33" s="389" t="str">
        <f>IF(IDENTIFICACIÓN!D33="","",IDENTIFICACIÓN!D33)</f>
        <v>Gestión del Talento Humano. Falta de plan de incentivos y/o estímulos.</v>
      </c>
      <c r="C33" s="391">
        <f>RXC!C33</f>
        <v>0</v>
      </c>
      <c r="D33" s="391">
        <f>RXC!D33</f>
        <v>0</v>
      </c>
      <c r="E33" s="181" t="str">
        <f>RXC!E33</f>
        <v/>
      </c>
      <c r="F33" s="391">
        <f>RXC!F33</f>
        <v>0</v>
      </c>
      <c r="G33" s="392"/>
      <c r="H33" s="392"/>
      <c r="I33" s="392"/>
      <c r="J33" s="392"/>
      <c r="K33" s="392"/>
    </row>
    <row r="34" spans="1:11" ht="22.5" customHeight="1" x14ac:dyDescent="0.2">
      <c r="A34" s="390" t="str">
        <f>IDENTIFICACIÓN!C34</f>
        <v>26G</v>
      </c>
      <c r="B34" s="389" t="str">
        <f>IF(IDENTIFICACIÓN!D34="","",IDENTIFICACIÓN!D34)</f>
        <v>Gestión del Talento Humano. Demoras en la afilicación de catedráticos y ocasionales al Sistema de Seguridad Social Integral, y de los contratistas y estudiantes de Práctica a la Administradora de Riesgos Laborales.</v>
      </c>
      <c r="C34" s="391">
        <f>RXC!C34</f>
        <v>0</v>
      </c>
      <c r="D34" s="391">
        <f>RXC!D34</f>
        <v>0</v>
      </c>
      <c r="E34" s="181" t="str">
        <f>RXC!E34</f>
        <v/>
      </c>
      <c r="F34" s="391">
        <f>RXC!F34</f>
        <v>0</v>
      </c>
      <c r="G34" s="392"/>
      <c r="H34" s="392"/>
      <c r="I34" s="392"/>
      <c r="J34" s="392"/>
      <c r="K34" s="392"/>
    </row>
    <row r="35" spans="1:11" ht="22.5" customHeight="1" x14ac:dyDescent="0.2">
      <c r="A35" s="390" t="str">
        <f>IDENTIFICACIÓN!C35</f>
        <v>27G</v>
      </c>
      <c r="B35" s="389" t="str">
        <f>IF(IDENTIFICACIÓN!D35="","",IDENTIFICACIÓN!D35)</f>
        <v>Evaluación Independiente. Deficiente evaluación y verificacion de la existencia, nivel de desarrollo y grado de efectividad del Sistema de Control Interno</v>
      </c>
      <c r="C35" s="391" t="str">
        <f>RXC!C35</f>
        <v>NA</v>
      </c>
      <c r="D35" s="391" t="str">
        <f>RXC!D35</f>
        <v>NA</v>
      </c>
      <c r="E35" s="181" t="str">
        <f>RXC!E35</f>
        <v/>
      </c>
      <c r="F35" s="391" t="str">
        <f>RXC!F35</f>
        <v>NA</v>
      </c>
      <c r="G35" s="392"/>
      <c r="H35" s="392"/>
      <c r="I35" s="392"/>
      <c r="J35" s="392"/>
      <c r="K35" s="392"/>
    </row>
    <row r="36" spans="1:11" ht="22.5" customHeight="1" x14ac:dyDescent="0.2">
      <c r="A36" s="390" t="str">
        <f>IDENTIFICACIÓN!C36</f>
        <v>28G</v>
      </c>
      <c r="B36" s="389" t="str">
        <f>IF(IDENTIFICACIÓN!D36="","",IDENTIFICACIÓN!D36)</f>
        <v>Evaluación Independiente. Deficiente evaluación del nivel de avance de las acciones pactadas en los planes de mejoramiento</v>
      </c>
      <c r="C36" s="391" t="str">
        <f>RXC!C36</f>
        <v>NA</v>
      </c>
      <c r="D36" s="391" t="str">
        <f>RXC!D36</f>
        <v>NA</v>
      </c>
      <c r="E36" s="181" t="str">
        <f>RXC!E36</f>
        <v/>
      </c>
      <c r="F36" s="391" t="str">
        <f>RXC!F36</f>
        <v>NA</v>
      </c>
      <c r="G36" s="392"/>
      <c r="H36" s="392"/>
      <c r="I36" s="392"/>
      <c r="J36" s="392"/>
      <c r="K36" s="392"/>
    </row>
    <row r="37" spans="1:11" hidden="1" x14ac:dyDescent="0.2">
      <c r="A37" s="658" t="str">
        <f>'SEGUIMIENTO Y MONITOREO'!B200</f>
        <v>Cumplimiento Riesgos de GESTIÓN (Respecto a los plazos establecidos)</v>
      </c>
      <c r="B37" s="659"/>
      <c r="C37" s="659"/>
      <c r="D37" s="659"/>
      <c r="E37" s="660"/>
      <c r="F37" s="164">
        <f>'SEGUIMIENTO Y MONITOREO'!AW200</f>
        <v>0.40058372352285398</v>
      </c>
      <c r="G37" s="168"/>
      <c r="H37" s="168"/>
    </row>
    <row r="38" spans="1:11" hidden="1" x14ac:dyDescent="0.2">
      <c r="A38" s="661" t="str">
        <f>'SEGUIMIENTO Y MONITOREO'!B201</f>
        <v xml:space="preserve">% Avance Riesgos de GESTIÓN </v>
      </c>
      <c r="B38" s="661"/>
      <c r="C38" s="661"/>
      <c r="D38" s="661"/>
      <c r="E38" s="662"/>
      <c r="F38" s="164">
        <f>'SEGUIMIENTO Y MONITOREO'!AW201</f>
        <v>0.40058372352285398</v>
      </c>
      <c r="G38" s="168"/>
      <c r="H38" s="168"/>
    </row>
  </sheetData>
  <mergeCells count="20">
    <mergeCell ref="G13:H13"/>
    <mergeCell ref="A1:B3"/>
    <mergeCell ref="C1:G3"/>
    <mergeCell ref="A5:H5"/>
    <mergeCell ref="A6:B6"/>
    <mergeCell ref="C6:F6"/>
    <mergeCell ref="A7:B7"/>
    <mergeCell ref="C7:F7"/>
    <mergeCell ref="G8:H8"/>
    <mergeCell ref="G9:H9"/>
    <mergeCell ref="G10:H10"/>
    <mergeCell ref="G11:H11"/>
    <mergeCell ref="G12:H12"/>
    <mergeCell ref="A38:E38"/>
    <mergeCell ref="G14:H14"/>
    <mergeCell ref="G15:H15"/>
    <mergeCell ref="G16:H16"/>
    <mergeCell ref="G17:H17"/>
    <mergeCell ref="G18:H18"/>
    <mergeCell ref="A37:E37"/>
  </mergeCells>
  <conditionalFormatting sqref="H7">
    <cfRule type="containsText" dxfId="110" priority="10" operator="containsText" text="Sin Seguimientos">
      <formula>NOT(ISERROR(SEARCH("Sin Seguimientos",H7)))</formula>
    </cfRule>
  </conditionalFormatting>
  <conditionalFormatting sqref="F9:F36">
    <cfRule type="containsText" dxfId="109" priority="5" operator="containsText" text="NA">
      <formula>NOT(ISERROR(SEARCH("NA",F9)))</formula>
    </cfRule>
  </conditionalFormatting>
  <dataValidations count="1">
    <dataValidation operator="equal" allowBlank="1" showInputMessage="1" showErrorMessage="1" sqref="C9:C36"/>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64FC6D30-B3C2-4ED1-B73D-1DB7185878BA}">
            <xm:f>VALORACIÓN!$D$10</xm:f>
            <x14:dxf>
              <font>
                <color auto="1"/>
              </font>
              <fill>
                <patternFill patternType="lightGrid">
                  <fgColor theme="0" tint="-4.9989318521683403E-2"/>
                  <bgColor theme="0"/>
                </patternFill>
              </fill>
            </x14:dxf>
          </x14:cfRule>
          <x14:cfRule type="cellIs" priority="16" operator="equal" id="{17240EA6-7B8D-46A2-A134-D7BE3EA77BF5}">
            <xm:f>VALORACIÓN!$D$10</xm:f>
            <x14:dxf>
              <fill>
                <patternFill patternType="lightGrid">
                  <fgColor theme="0" tint="-4.9989318521683403E-2"/>
                </patternFill>
              </fill>
            </x14:dxf>
          </x14:cfRule>
          <xm:sqref>C9:E36</xm:sqref>
        </x14:conditionalFormatting>
        <x14:conditionalFormatting xmlns:xm="http://schemas.microsoft.com/office/excel/2006/main">
          <x14:cfRule type="cellIs" priority="11" operator="notEqual" id="{35F84B27-FE90-4531-9026-A5F5FE8FA456}">
            <xm:f>VALORACIÓN!$D$10</xm:f>
            <x14:dxf>
              <font>
                <color auto="1"/>
              </font>
              <fill>
                <patternFill patternType="lightGrid">
                  <fgColor theme="0" tint="-4.9989318521683403E-2"/>
                  <bgColor theme="0"/>
                </patternFill>
              </fill>
            </x14:dxf>
          </x14:cfRule>
          <x14:cfRule type="cellIs" priority="12" operator="equal" id="{469507E3-76A9-4CAF-A6FA-97216C2DC05C}">
            <xm:f>VALORACIÓN!$D$10</xm:f>
            <x14:dxf>
              <fill>
                <patternFill patternType="lightGrid">
                  <fgColor theme="0" tint="-4.9989318521683403E-2"/>
                </patternFill>
              </fill>
            </x14:dxf>
          </x14:cfRule>
          <xm:sqref>G9:G36</xm:sqref>
        </x14:conditionalFormatting>
        <x14:conditionalFormatting xmlns:xm="http://schemas.microsoft.com/office/excel/2006/main">
          <x14:cfRule type="cellIs" priority="8" operator="notEqual" id="{11C06524-00E4-442B-95C7-5CEA0FCFC149}">
            <xm:f>VALORACIÓN!$D$10</xm:f>
            <x14:dxf>
              <font>
                <color auto="1"/>
              </font>
              <fill>
                <patternFill patternType="lightGrid">
                  <fgColor theme="0" tint="-4.9989318521683403E-2"/>
                  <bgColor theme="0"/>
                </patternFill>
              </fill>
            </x14:dxf>
          </x14:cfRule>
          <x14:cfRule type="cellIs" priority="9" operator="equal" id="{0F11C44B-B22C-47C8-948D-6D39C8C2AAFB}">
            <xm:f>VALORACIÓN!$D$10</xm:f>
            <x14:dxf>
              <fill>
                <patternFill patternType="lightGrid">
                  <fgColor theme="0" tint="-4.9989318521683403E-2"/>
                </patternFill>
              </fill>
            </x14:dxf>
          </x14:cfRule>
          <xm:sqref>F37:F38</xm:sqref>
        </x14:conditionalFormatting>
        <x14:conditionalFormatting xmlns:xm="http://schemas.microsoft.com/office/excel/2006/main">
          <x14:cfRule type="cellIs" priority="6" operator="notEqual" id="{3EAFE8D7-3459-4E7F-A3A5-BD0BB1E855AC}">
            <xm:f>VALORACIÓN!$D$10</xm:f>
            <x14:dxf>
              <font>
                <color auto="1"/>
              </font>
              <fill>
                <patternFill patternType="lightGrid">
                  <fgColor theme="0" tint="-4.9989318521683403E-2"/>
                  <bgColor theme="0"/>
                </patternFill>
              </fill>
            </x14:dxf>
          </x14:cfRule>
          <x14:cfRule type="cellIs" priority="7" operator="equal" id="{EBBC5968-83C0-4F07-9A4A-698135D73009}">
            <xm:f>VALORACIÓN!$D$10</xm:f>
            <x14:dxf>
              <fill>
                <patternFill patternType="lightGrid">
                  <fgColor theme="0" tint="-4.9989318521683403E-2"/>
                </patternFill>
              </fill>
            </x14:dxf>
          </x14:cfRule>
          <xm:sqref>F9:F36</xm:sqref>
        </x14:conditionalFormatting>
        <x14:conditionalFormatting xmlns:xm="http://schemas.microsoft.com/office/excel/2006/main">
          <x14:cfRule type="cellIs" priority="3" operator="notEqual" id="{A90A662D-A6D4-43A8-AE27-BBCFAC3EFD23}">
            <xm:f>VALORACIÓN!$D$10</xm:f>
            <x14:dxf>
              <font>
                <color auto="1"/>
              </font>
              <fill>
                <patternFill patternType="lightGrid">
                  <fgColor theme="0" tint="-4.9989318521683403E-2"/>
                  <bgColor theme="0"/>
                </patternFill>
              </fill>
            </x14:dxf>
          </x14:cfRule>
          <x14:cfRule type="cellIs" priority="4" operator="equal" id="{9C7EBDDE-5233-41E8-90EB-DE2CBA721780}">
            <xm:f>VALORACIÓN!$D$10</xm:f>
            <x14:dxf>
              <fill>
                <patternFill patternType="lightGrid">
                  <fgColor theme="0" tint="-4.9989318521683403E-2"/>
                </patternFill>
              </fill>
            </x14:dxf>
          </x14:cfRule>
          <xm:sqref>I1:K36</xm:sqref>
        </x14:conditionalFormatting>
        <x14:conditionalFormatting xmlns:xm="http://schemas.microsoft.com/office/excel/2006/main">
          <x14:cfRule type="cellIs" priority="1" operator="notEqual" id="{5702BC1C-27AE-4F3C-9DDA-D6E9384FD492}">
            <xm:f>VALORACIÓN!$D$10</xm:f>
            <x14:dxf>
              <font>
                <color auto="1"/>
              </font>
              <fill>
                <patternFill patternType="lightGrid">
                  <fgColor theme="0" tint="-4.9989318521683403E-2"/>
                  <bgColor theme="0"/>
                </patternFill>
              </fill>
            </x14:dxf>
          </x14:cfRule>
          <x14:cfRule type="cellIs" priority="2" operator="equal" id="{066BFD97-C835-40FC-9712-0BDBBA9FA538}">
            <xm:f>VALORACIÓN!$D$10</xm:f>
            <x14:dxf>
              <fill>
                <patternFill patternType="lightGrid">
                  <fgColor theme="0" tint="-4.9989318521683403E-2"/>
                </patternFill>
              </fill>
            </x14:dxf>
          </x14:cfRule>
          <xm:sqref>H19:H36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45"/>
  <sheetViews>
    <sheetView view="pageBreakPreview" zoomScaleNormal="100" zoomScaleSheetLayoutView="100" workbookViewId="0">
      <pane xSplit="2" ySplit="8" topLeftCell="F48" activePane="bottomRight" state="frozen"/>
      <selection pane="topRight" activeCell="D1" sqref="D1"/>
      <selection pane="bottomLeft" activeCell="A9" sqref="A9"/>
      <selection pane="bottomRight" activeCell="G6" sqref="G6"/>
    </sheetView>
  </sheetViews>
  <sheetFormatPr baseColWidth="10" defaultRowHeight="15" x14ac:dyDescent="0.2"/>
  <cols>
    <col min="1" max="1" width="3.88671875" customWidth="1"/>
    <col min="2" max="2" width="22.5546875" customWidth="1"/>
    <col min="3" max="5" width="9" style="96" hidden="1" customWidth="1"/>
    <col min="6" max="6" width="28.5546875" customWidth="1"/>
    <col min="7" max="7" width="31" customWidth="1"/>
    <col min="8" max="8" width="25.109375" customWidth="1"/>
  </cols>
  <sheetData>
    <row r="1" spans="1:11" ht="15" customHeight="1" x14ac:dyDescent="0.2">
      <c r="A1" s="437" t="s">
        <v>145</v>
      </c>
      <c r="B1" s="437"/>
      <c r="C1" s="646" t="s">
        <v>206</v>
      </c>
      <c r="D1" s="647"/>
      <c r="E1" s="647"/>
      <c r="F1" s="647"/>
      <c r="G1" s="648"/>
      <c r="H1" s="182" t="s">
        <v>71</v>
      </c>
      <c r="I1" s="392"/>
      <c r="J1" s="392"/>
      <c r="K1" s="392"/>
    </row>
    <row r="2" spans="1:11" ht="15" customHeight="1" x14ac:dyDescent="0.2">
      <c r="A2" s="437"/>
      <c r="B2" s="437"/>
      <c r="C2" s="649"/>
      <c r="D2" s="650"/>
      <c r="E2" s="650"/>
      <c r="F2" s="650"/>
      <c r="G2" s="651"/>
      <c r="H2" s="182" t="s">
        <v>107</v>
      </c>
      <c r="I2" s="392"/>
      <c r="J2" s="392"/>
      <c r="K2" s="392"/>
    </row>
    <row r="3" spans="1:11" ht="15" customHeight="1" x14ac:dyDescent="0.2">
      <c r="A3" s="437"/>
      <c r="B3" s="437"/>
      <c r="C3" s="652"/>
      <c r="D3" s="653"/>
      <c r="E3" s="653"/>
      <c r="F3" s="653"/>
      <c r="G3" s="654"/>
      <c r="H3" s="182" t="s">
        <v>408</v>
      </c>
      <c r="I3" s="392"/>
      <c r="J3" s="392"/>
      <c r="K3" s="392"/>
    </row>
    <row r="4" spans="1:11" ht="3.75" customHeight="1" x14ac:dyDescent="0.2">
      <c r="A4" s="33"/>
      <c r="B4" s="34"/>
      <c r="C4" s="291"/>
      <c r="D4" s="291"/>
      <c r="E4" s="290"/>
      <c r="F4" s="290"/>
      <c r="G4" s="49"/>
      <c r="H4" s="49"/>
      <c r="I4" s="392"/>
      <c r="J4" s="392"/>
      <c r="K4" s="392"/>
    </row>
    <row r="5" spans="1:11" ht="15.75" x14ac:dyDescent="0.2">
      <c r="A5" s="439" t="s">
        <v>184</v>
      </c>
      <c r="B5" s="439"/>
      <c r="C5" s="439"/>
      <c r="D5" s="439"/>
      <c r="E5" s="523"/>
      <c r="F5" s="523"/>
      <c r="G5" s="523"/>
      <c r="H5" s="523"/>
      <c r="I5" s="392"/>
      <c r="J5" s="392"/>
      <c r="K5" s="392"/>
    </row>
    <row r="6" spans="1:11" ht="15.75" customHeight="1" x14ac:dyDescent="0.2">
      <c r="A6" s="489" t="str">
        <f>'CONTEXTO ESTRATEGICO'!A7</f>
        <v>INSTITUCIONAL</v>
      </c>
      <c r="B6" s="489"/>
      <c r="C6" s="579" t="str">
        <f>'SEGUIMIENTO Y MONITOREO'!C6</f>
        <v>Mapa de Riesgo Institucional</v>
      </c>
      <c r="D6" s="580"/>
      <c r="E6" s="580"/>
      <c r="F6" s="580"/>
      <c r="G6" s="302" t="str">
        <f>'SEGUIMIENTO Y MONITOREO'!E6</f>
        <v>Fecha de Actualización (AAAA/MM/DD)</v>
      </c>
      <c r="H6" s="171">
        <f>'SEGUIMIENTO Y MONITOREO'!H6</f>
        <v>42443</v>
      </c>
      <c r="I6" s="392"/>
      <c r="J6" s="392"/>
      <c r="K6" s="392"/>
    </row>
    <row r="7" spans="1:11" ht="15.75" customHeight="1" x14ac:dyDescent="0.2">
      <c r="A7" s="489"/>
      <c r="B7" s="489"/>
      <c r="C7" s="655" t="s">
        <v>161</v>
      </c>
      <c r="D7" s="656"/>
      <c r="E7" s="656"/>
      <c r="F7" s="657"/>
      <c r="G7" s="303" t="s">
        <v>185</v>
      </c>
      <c r="H7" s="172">
        <f>'SEGUIMIENTO Y MONITOREO'!$AX$7</f>
        <v>42613</v>
      </c>
      <c r="I7" s="392"/>
      <c r="J7" s="392"/>
      <c r="K7" s="392"/>
    </row>
    <row r="8" spans="1:11" ht="24" customHeight="1" x14ac:dyDescent="0.2">
      <c r="A8" s="292" t="s">
        <v>22</v>
      </c>
      <c r="B8" s="292" t="s">
        <v>28</v>
      </c>
      <c r="C8" s="300" t="str">
        <f>TGS!G8</f>
        <v>% 1ER CuaT</v>
      </c>
      <c r="D8" s="300" t="str">
        <f>TGS!I8</f>
        <v>% 2DO CuaT</v>
      </c>
      <c r="E8" s="298" t="str">
        <f>TGS!K8</f>
        <v>% 3ER CuaT</v>
      </c>
      <c r="F8" s="301" t="s">
        <v>201</v>
      </c>
      <c r="G8" s="645"/>
      <c r="H8" s="645"/>
      <c r="I8" s="392"/>
      <c r="J8" s="392"/>
      <c r="K8" s="392"/>
    </row>
    <row r="9" spans="1:11" ht="39.75" customHeight="1" thickBot="1" x14ac:dyDescent="0.25">
      <c r="A9" s="252" t="str">
        <f>IDENTIFICACIÓN!C38</f>
        <v>1C</v>
      </c>
      <c r="B9" s="293" t="str">
        <f>IF(IDENTIFICACIÓN!D38="","",IDENTIFICACIÓN!D38)</f>
        <v>Relaciones Interinstitucionales. Tráfico de Influencias</v>
      </c>
      <c r="C9" s="295">
        <f>'RXC C'!C9</f>
        <v>1</v>
      </c>
      <c r="D9" s="295">
        <f>'RXC C'!D9</f>
        <v>1</v>
      </c>
      <c r="E9" s="295" t="str">
        <f>'RXC C'!E9</f>
        <v/>
      </c>
      <c r="F9" s="391">
        <f>'RXC C'!F9</f>
        <v>1</v>
      </c>
      <c r="G9" s="644"/>
      <c r="H9" s="644"/>
      <c r="I9" s="392"/>
      <c r="J9" s="392"/>
      <c r="K9" s="392"/>
    </row>
    <row r="10" spans="1:11" ht="39.75" customHeight="1" thickTop="1" thickBot="1" x14ac:dyDescent="0.25">
      <c r="A10" s="252" t="str">
        <f>IDENTIFICACIÓN!C39</f>
        <v>2C</v>
      </c>
      <c r="B10" s="293" t="str">
        <f>IF(IDENTIFICACIÓN!D39="","",IDENTIFICACIÓN!D39)</f>
        <v>Dirección y Planeación. Ausencia o debilidad de procesos y procedimientos para la gestión administrativa y misional</v>
      </c>
      <c r="C10" s="391" t="str">
        <f>'RXC C'!C10</f>
        <v>NA</v>
      </c>
      <c r="D10" s="391" t="str">
        <f>'RXC C'!D10</f>
        <v>NA</v>
      </c>
      <c r="E10" s="391" t="str">
        <f>'RXC C'!E10</f>
        <v/>
      </c>
      <c r="F10" s="391" t="str">
        <f>'RXC C'!F10</f>
        <v>NA</v>
      </c>
      <c r="G10" s="644"/>
      <c r="H10" s="644"/>
      <c r="I10" s="392"/>
      <c r="J10" s="392"/>
      <c r="K10" s="392"/>
    </row>
    <row r="11" spans="1:11" ht="39.75" customHeight="1" thickTop="1" thickBot="1" x14ac:dyDescent="0.25">
      <c r="A11" s="252" t="str">
        <f>IDENTIFICACIÓN!C40</f>
        <v>3C</v>
      </c>
      <c r="B11" s="293" t="str">
        <f>IF(IDENTIFICACIÓN!D40="","",IDENTIFICACIÓN!D40)</f>
        <v>Dirección y Planeación. Prevaricato</v>
      </c>
      <c r="C11" s="391" t="str">
        <f>'RXC C'!C11</f>
        <v>NA</v>
      </c>
      <c r="D11" s="391" t="str">
        <f>'RXC C'!D11</f>
        <v>NA</v>
      </c>
      <c r="E11" s="391" t="str">
        <f>'RXC C'!E11</f>
        <v/>
      </c>
      <c r="F11" s="391" t="str">
        <f>'RXC C'!F11</f>
        <v>NA</v>
      </c>
      <c r="G11" s="644"/>
      <c r="H11" s="644"/>
      <c r="I11" s="392"/>
      <c r="J11" s="392"/>
      <c r="K11" s="392"/>
    </row>
    <row r="12" spans="1:11" ht="39.75" customHeight="1" thickTop="1" thickBot="1" x14ac:dyDescent="0.25">
      <c r="A12" s="252" t="str">
        <f>IDENTIFICACIÓN!C41</f>
        <v>4C</v>
      </c>
      <c r="B12" s="293" t="str">
        <f>IF(IDENTIFICACIÓN!D41="","",IDENTIFICACIÓN!D41)</f>
        <v>Dirección y Planeación. Malversación de Recursos</v>
      </c>
      <c r="C12" s="391" t="str">
        <f>'RXC C'!C12</f>
        <v>NA</v>
      </c>
      <c r="D12" s="391" t="str">
        <f>'RXC C'!D12</f>
        <v>NA</v>
      </c>
      <c r="E12" s="391" t="str">
        <f>'RXC C'!E12</f>
        <v/>
      </c>
      <c r="F12" s="391" t="str">
        <f>'RXC C'!F12</f>
        <v>NA</v>
      </c>
      <c r="G12" s="644"/>
      <c r="H12" s="644"/>
      <c r="I12" s="392"/>
      <c r="J12" s="392"/>
      <c r="K12" s="392"/>
    </row>
    <row r="13" spans="1:11" ht="39.75" customHeight="1" thickTop="1" thickBot="1" x14ac:dyDescent="0.25">
      <c r="A13" s="252" t="str">
        <f>IDENTIFICACIÓN!C42</f>
        <v>5C</v>
      </c>
      <c r="B13" s="293" t="str">
        <f>IF(IDENTIFICACIÓN!D42="","",IDENTIFICACIÓN!D42)</f>
        <v>Acreditación. Deficiencias en el manejo documental y de archivo</v>
      </c>
      <c r="C13" s="391">
        <f>'RXC C'!C13</f>
        <v>1</v>
      </c>
      <c r="D13" s="391">
        <f>'RXC C'!D13</f>
        <v>1</v>
      </c>
      <c r="E13" s="391" t="str">
        <f>'RXC C'!E13</f>
        <v/>
      </c>
      <c r="F13" s="391">
        <f>'RXC C'!F13</f>
        <v>1</v>
      </c>
      <c r="G13" s="644"/>
      <c r="H13" s="644"/>
      <c r="I13" s="392"/>
      <c r="J13" s="392"/>
      <c r="K13" s="392"/>
    </row>
    <row r="14" spans="1:11" ht="39.75" customHeight="1" thickTop="1" thickBot="1" x14ac:dyDescent="0.25">
      <c r="A14" s="252" t="str">
        <f>IDENTIFICACIÓN!C43</f>
        <v>6C</v>
      </c>
      <c r="B14" s="389" t="str">
        <f>IF(IDENTIFICACIÓN!D43="","",IDENTIFICACIÓN!D43)</f>
        <v>Acreditación. Concentración de información de determinadas actividades o procesos en una persona</v>
      </c>
      <c r="C14" s="391">
        <f>'RXC C'!C14</f>
        <v>1</v>
      </c>
      <c r="D14" s="391">
        <f>'RXC C'!D14</f>
        <v>1</v>
      </c>
      <c r="E14" s="391" t="str">
        <f>'RXC C'!E14</f>
        <v/>
      </c>
      <c r="F14" s="391">
        <f>'RXC C'!F14</f>
        <v>1</v>
      </c>
      <c r="G14" s="392"/>
      <c r="H14" s="392"/>
      <c r="I14" s="392"/>
      <c r="J14" s="392"/>
      <c r="K14" s="392"/>
    </row>
    <row r="15" spans="1:11" ht="39.75" customHeight="1" thickTop="1" thickBot="1" x14ac:dyDescent="0.25">
      <c r="A15" s="252" t="str">
        <f>IDENTIFICACIÓN!C44</f>
        <v>7C</v>
      </c>
      <c r="B15" s="389" t="str">
        <f>IF(IDENTIFICACIÓN!D44="","",IDENTIFICACIÓN!D44)</f>
        <v>Gestión de la Calidad. Concentración de información de determinadas actividades o procesos en una persona</v>
      </c>
      <c r="C15" s="391" t="str">
        <f>'RXC C'!C15</f>
        <v>NA</v>
      </c>
      <c r="D15" s="391" t="str">
        <f>'RXC C'!D15</f>
        <v>NA</v>
      </c>
      <c r="E15" s="391" t="str">
        <f>'RXC C'!E15</f>
        <v/>
      </c>
      <c r="F15" s="391" t="str">
        <f>'RXC C'!F15</f>
        <v>NA</v>
      </c>
      <c r="G15" s="392"/>
      <c r="H15" s="392"/>
      <c r="I15" s="392"/>
      <c r="J15" s="392"/>
      <c r="K15" s="392"/>
    </row>
    <row r="16" spans="1:11" ht="39.75" customHeight="1" thickTop="1" thickBot="1" x14ac:dyDescent="0.25">
      <c r="A16" s="252" t="str">
        <f>IDENTIFICACIÓN!C45</f>
        <v>8C</v>
      </c>
      <c r="B16" s="389" t="str">
        <f>IF(IDENTIFICACIÓN!D45="","",IDENTIFICACIÓN!D45)</f>
        <v>Gestión de la Calidad. Deficiencias en el  manejo documental y de archivo</v>
      </c>
      <c r="C16" s="391" t="str">
        <f>'RXC C'!C16</f>
        <v>NA</v>
      </c>
      <c r="D16" s="391" t="str">
        <f>'RXC C'!D16</f>
        <v>NA</v>
      </c>
      <c r="E16" s="391" t="str">
        <f>'RXC C'!E16</f>
        <v/>
      </c>
      <c r="F16" s="391" t="str">
        <f>'RXC C'!F16</f>
        <v>NA</v>
      </c>
      <c r="G16" s="392"/>
      <c r="H16" s="392"/>
      <c r="I16" s="392"/>
      <c r="J16" s="392"/>
      <c r="K16" s="392"/>
    </row>
    <row r="17" spans="1:11" ht="39.75" customHeight="1" thickTop="1" thickBot="1" x14ac:dyDescent="0.25">
      <c r="A17" s="252" t="str">
        <f>IDENTIFICACIÓN!C46</f>
        <v>9C</v>
      </c>
      <c r="B17" s="389" t="str">
        <f>IF(IDENTIFICACIÓN!D46="","",IDENTIFICACIÓN!D46)</f>
        <v>Comunicaciones Concentración de información de determinadas actividades o procesos en una persona</v>
      </c>
      <c r="C17" s="391" t="str">
        <f>'RXC C'!C17</f>
        <v>NA</v>
      </c>
      <c r="D17" s="391" t="str">
        <f>'RXC C'!D17</f>
        <v>NA</v>
      </c>
      <c r="E17" s="391" t="str">
        <f>'RXC C'!E17</f>
        <v/>
      </c>
      <c r="F17" s="391" t="str">
        <f>'RXC C'!F17</f>
        <v>NA</v>
      </c>
      <c r="G17" s="392"/>
      <c r="H17" s="392"/>
      <c r="I17" s="392"/>
      <c r="J17" s="392"/>
      <c r="K17" s="392"/>
    </row>
    <row r="18" spans="1:11" ht="39.75" customHeight="1" thickTop="1" thickBot="1" x14ac:dyDescent="0.25">
      <c r="A18" s="252" t="str">
        <f>IDENTIFICACIÓN!C47</f>
        <v>10C</v>
      </c>
      <c r="B18" s="389" t="str">
        <f>IF(IDENTIFICACIÓN!D47="","",IDENTIFICACIÓN!D47)</f>
        <v xml:space="preserve">Gestión Academica. Ausencia de canales de comunicación
</v>
      </c>
      <c r="C18" s="391" t="str">
        <f>'RXC C'!C18</f>
        <v>NA</v>
      </c>
      <c r="D18" s="391">
        <f>'RXC C'!D18</f>
        <v>0.02</v>
      </c>
      <c r="E18" s="391" t="str">
        <f>'RXC C'!E18</f>
        <v/>
      </c>
      <c r="F18" s="391">
        <f>'RXC C'!F18</f>
        <v>0.02</v>
      </c>
      <c r="G18" s="392"/>
      <c r="H18" s="392"/>
      <c r="I18" s="392"/>
      <c r="J18" s="392"/>
      <c r="K18" s="392"/>
    </row>
    <row r="19" spans="1:11" ht="39.75" customHeight="1" thickTop="1" thickBot="1" x14ac:dyDescent="0.25">
      <c r="A19" s="252" t="str">
        <f>IDENTIFICACIÓN!C48</f>
        <v>11C</v>
      </c>
      <c r="B19" s="389" t="str">
        <f>IF(IDENTIFICACIÓN!D48="","",IDENTIFICACIÓN!D48)</f>
        <v>Gestión Academica. Concentración de información de determinadas actividades o procesos en una persona</v>
      </c>
      <c r="C19" s="391" t="str">
        <f>'RXC C'!C19</f>
        <v>NA</v>
      </c>
      <c r="D19" s="391">
        <f>'RXC C'!D19</f>
        <v>1.6666666666666666E-2</v>
      </c>
      <c r="E19" s="391" t="str">
        <f>'RXC C'!E19</f>
        <v/>
      </c>
      <c r="F19" s="391">
        <f>'RXC C'!F19</f>
        <v>1.6666666666666666E-2</v>
      </c>
      <c r="G19" s="392"/>
      <c r="H19" s="392"/>
      <c r="I19" s="392"/>
      <c r="J19" s="392"/>
      <c r="K19" s="392"/>
    </row>
    <row r="20" spans="1:11" ht="39.75" customHeight="1" thickTop="1" thickBot="1" x14ac:dyDescent="0.25">
      <c r="A20" s="252" t="str">
        <f>IDENTIFICACIÓN!C49</f>
        <v>12C</v>
      </c>
      <c r="B20" s="389" t="str">
        <f>IF(IDENTIFICACIÓN!D49="","",IDENTIFICACIÓN!D49)</f>
        <v>Gestión Academica. Deficiencias en el manejo documental y de archivo</v>
      </c>
      <c r="C20" s="391" t="str">
        <f>'RXC C'!C20</f>
        <v>NA</v>
      </c>
      <c r="D20" s="391">
        <f>'RXC C'!D20</f>
        <v>0.02</v>
      </c>
      <c r="E20" s="391" t="str">
        <f>'RXC C'!E20</f>
        <v/>
      </c>
      <c r="F20" s="391">
        <f>'RXC C'!F20</f>
        <v>0.02</v>
      </c>
      <c r="G20" s="392"/>
      <c r="H20" s="392"/>
      <c r="I20" s="392"/>
      <c r="J20" s="392"/>
      <c r="K20" s="392"/>
    </row>
    <row r="21" spans="1:11" ht="39.75" customHeight="1" thickTop="1" thickBot="1" x14ac:dyDescent="0.25">
      <c r="A21" s="252" t="str">
        <f>IDENTIFICACIÓN!C50</f>
        <v>13C</v>
      </c>
      <c r="B21" s="389" t="str">
        <f>IF(IDENTIFICACIÓN!D50="","",IDENTIFICACIÓN!D50)</f>
        <v>Gestión de Investigación. Vulnerabilidad en el manejo de la información de la actividad investigativa</v>
      </c>
      <c r="C21" s="391">
        <f>'RXC C'!C21</f>
        <v>0.2</v>
      </c>
      <c r="D21" s="391">
        <f>'RXC C'!D21</f>
        <v>0.25</v>
      </c>
      <c r="E21" s="391" t="str">
        <f>'RXC C'!E21</f>
        <v/>
      </c>
      <c r="F21" s="391">
        <f>'RXC C'!F21</f>
        <v>0.25</v>
      </c>
      <c r="G21" s="392"/>
      <c r="H21" s="392"/>
      <c r="I21" s="392"/>
      <c r="J21" s="392"/>
      <c r="K21" s="392"/>
    </row>
    <row r="22" spans="1:11" ht="39.75" customHeight="1" thickTop="1" thickBot="1" x14ac:dyDescent="0.25">
      <c r="A22" s="252" t="str">
        <f>IDENTIFICACIÓN!C51</f>
        <v>14C</v>
      </c>
      <c r="B22" s="389" t="str">
        <f>IF(IDENTIFICACIÓN!D51="","",IDENTIFICACIÓN!D51)</f>
        <v>Gestión de Investigación. Violación de la propiedad Intelectual.</v>
      </c>
      <c r="C22" s="391">
        <f>'RXC C'!C22</f>
        <v>0.75</v>
      </c>
      <c r="D22" s="391">
        <f>'RXC C'!D22</f>
        <v>0.75</v>
      </c>
      <c r="E22" s="391" t="str">
        <f>'RXC C'!E22</f>
        <v/>
      </c>
      <c r="F22" s="391">
        <f>'RXC C'!F22</f>
        <v>0.75</v>
      </c>
      <c r="G22" s="392"/>
      <c r="H22" s="392"/>
      <c r="I22" s="392"/>
      <c r="J22" s="392"/>
      <c r="K22" s="392"/>
    </row>
    <row r="23" spans="1:11" ht="39.75" customHeight="1" thickTop="1" thickBot="1" x14ac:dyDescent="0.25">
      <c r="A23" s="252" t="str">
        <f>IDENTIFICACIÓN!C52</f>
        <v>15C</v>
      </c>
      <c r="B23" s="389" t="str">
        <f>IF(IDENTIFICACIÓN!D52="","",IDENTIFICACIÓN!D52)</f>
        <v>Gestión de Extensión y Proyección Social. Desviación o uso indebido de recursos, que impidan la ejecución de los proyectos y actividades misionales de la vicerrectoria de extensión y proyección social</v>
      </c>
      <c r="C23" s="391">
        <f>'RXC C'!C23</f>
        <v>0</v>
      </c>
      <c r="D23" s="391">
        <f>'RXC C'!D23</f>
        <v>0.6</v>
      </c>
      <c r="E23" s="391" t="str">
        <f>'RXC C'!E23</f>
        <v/>
      </c>
      <c r="F23" s="391">
        <f>'RXC C'!F23</f>
        <v>0.6</v>
      </c>
      <c r="G23" s="392"/>
      <c r="H23" s="392"/>
      <c r="I23" s="392"/>
      <c r="J23" s="392"/>
      <c r="K23" s="392"/>
    </row>
    <row r="24" spans="1:11" ht="39.75" customHeight="1" thickTop="1" thickBot="1" x14ac:dyDescent="0.25">
      <c r="A24" s="252" t="str">
        <f>IDENTIFICACIÓN!C53</f>
        <v>16C</v>
      </c>
      <c r="B24" s="389" t="str">
        <f>IF(IDENTIFICACIÓN!D53="","",IDENTIFICACIÓN!D53)</f>
        <v xml:space="preserve">Gestión de Extensión y Proyección Social. Concentración de la información en una persona. </v>
      </c>
      <c r="C24" s="391">
        <f>'RXC C'!C24</f>
        <v>0</v>
      </c>
      <c r="D24" s="391">
        <f>'RXC C'!D24</f>
        <v>0.6</v>
      </c>
      <c r="E24" s="391" t="str">
        <f>'RXC C'!E24</f>
        <v/>
      </c>
      <c r="F24" s="391">
        <f>'RXC C'!F24</f>
        <v>0.6</v>
      </c>
      <c r="G24" s="392"/>
      <c r="H24" s="392"/>
      <c r="I24" s="392"/>
      <c r="J24" s="392"/>
      <c r="K24" s="392"/>
    </row>
    <row r="25" spans="1:11" ht="39.75" customHeight="1" thickTop="1" thickBot="1" x14ac:dyDescent="0.25">
      <c r="A25" s="252" t="str">
        <f>IDENTIFICACIÓN!C54</f>
        <v>17C</v>
      </c>
      <c r="B25" s="389" t="str">
        <f>IF(IDENTIFICACIÓN!D54="","",IDENTIFICACIÓN!D54)</f>
        <v xml:space="preserve">Gestión de Extensión y Proyección Social. Inadecuada ejecución de los recursos asignados </v>
      </c>
      <c r="C25" s="391">
        <f>'RXC C'!C25</f>
        <v>0</v>
      </c>
      <c r="D25" s="391">
        <f>'RXC C'!D25</f>
        <v>0.6</v>
      </c>
      <c r="E25" s="391" t="str">
        <f>'RXC C'!E25</f>
        <v/>
      </c>
      <c r="F25" s="391">
        <f>'RXC C'!F25</f>
        <v>0.6</v>
      </c>
      <c r="G25" s="392"/>
      <c r="H25" s="392"/>
      <c r="I25" s="392"/>
      <c r="J25" s="392"/>
      <c r="K25" s="392"/>
    </row>
    <row r="26" spans="1:11" ht="39.75" customHeight="1" thickTop="1" thickBot="1" x14ac:dyDescent="0.25">
      <c r="A26" s="252" t="str">
        <f>IDENTIFICACIÓN!C55</f>
        <v>18C</v>
      </c>
      <c r="B26" s="389" t="str">
        <f>IF(IDENTIFICACIÓN!D55="","",IDENTIFICACIÓN!D55)</f>
        <v>Gestión de Extensión y Proyección Social. Extralimitación de funciones.</v>
      </c>
      <c r="C26" s="391">
        <f>'RXC C'!C26</f>
        <v>0</v>
      </c>
      <c r="D26" s="391">
        <f>'RXC C'!D26</f>
        <v>0.6</v>
      </c>
      <c r="E26" s="391" t="str">
        <f>'RXC C'!E26</f>
        <v/>
      </c>
      <c r="F26" s="391">
        <f>'RXC C'!F26</f>
        <v>0.6</v>
      </c>
      <c r="G26" s="392"/>
      <c r="H26" s="392"/>
      <c r="I26" s="392"/>
      <c r="J26" s="392"/>
      <c r="K26" s="392"/>
    </row>
    <row r="27" spans="1:11" ht="39.75" customHeight="1" thickTop="1" thickBot="1" x14ac:dyDescent="0.25">
      <c r="A27" s="252" t="str">
        <f>IDENTIFICACIÓN!C56</f>
        <v>19C</v>
      </c>
      <c r="B27" s="389" t="str">
        <f>IF(IDENTIFICACIÓN!D56="","",IDENTIFICACIÓN!D56)</f>
        <v>Gestión de Extensión y Proyección Social. Omisión de la ley para beneficio propio.</v>
      </c>
      <c r="C27" s="391">
        <f>'RXC C'!C27</f>
        <v>0</v>
      </c>
      <c r="D27" s="391">
        <f>'RXC C'!D27</f>
        <v>0.6</v>
      </c>
      <c r="E27" s="391" t="str">
        <f>'RXC C'!E27</f>
        <v/>
      </c>
      <c r="F27" s="391">
        <f>'RXC C'!F27</f>
        <v>0.6</v>
      </c>
      <c r="G27" s="392"/>
      <c r="H27" s="392"/>
      <c r="I27" s="392"/>
      <c r="J27" s="392"/>
      <c r="K27" s="392"/>
    </row>
    <row r="28" spans="1:11" ht="39.75" customHeight="1" thickTop="1" thickBot="1" x14ac:dyDescent="0.25">
      <c r="A28" s="252" t="str">
        <f>IDENTIFICACIÓN!C57</f>
        <v>20C</v>
      </c>
      <c r="B28" s="389" t="str">
        <f>IF(IDENTIFICACIÓN!D57="","",IDENTIFICACIÓN!D57)</f>
        <v>Gestión de Contratación. Pliegos de condiciones hechos a la medida de una firma en particular.</v>
      </c>
      <c r="C28" s="391" t="str">
        <f>'RXC C'!C28</f>
        <v>NA</v>
      </c>
      <c r="D28" s="391" t="str">
        <f>'RXC C'!D28</f>
        <v>NA</v>
      </c>
      <c r="E28" s="391" t="str">
        <f>'RXC C'!E28</f>
        <v/>
      </c>
      <c r="F28" s="391" t="str">
        <f>'RXC C'!F28</f>
        <v>NA</v>
      </c>
      <c r="G28" s="392"/>
      <c r="H28" s="392"/>
      <c r="I28" s="392"/>
      <c r="J28" s="392"/>
      <c r="K28" s="392"/>
    </row>
    <row r="29" spans="1:11" ht="39.75" customHeight="1" thickTop="1" thickBot="1" x14ac:dyDescent="0.25">
      <c r="A29" s="252" t="str">
        <f>IDENTIFICACIÓN!C58</f>
        <v>21C</v>
      </c>
      <c r="B29" s="389" t="str">
        <f>IF(IDENTIFICACIÓN!D58="","",IDENTIFICACIÓN!D58)</f>
        <v xml:space="preserve">Gestión Financiera. Pago de obligaciones sin el lleno de requisitos. </v>
      </c>
      <c r="C29" s="391">
        <f>'RXC C'!C29</f>
        <v>0.25</v>
      </c>
      <c r="D29" s="391">
        <f>'RXC C'!D29</f>
        <v>0.6</v>
      </c>
      <c r="E29" s="391" t="str">
        <f>'RXC C'!E29</f>
        <v/>
      </c>
      <c r="F29" s="391">
        <f>'RXC C'!F29</f>
        <v>0.6</v>
      </c>
      <c r="G29" s="392"/>
      <c r="H29" s="392"/>
      <c r="I29" s="392"/>
      <c r="J29" s="392"/>
      <c r="K29" s="392"/>
    </row>
    <row r="30" spans="1:11" ht="39.75" customHeight="1" thickTop="1" thickBot="1" x14ac:dyDescent="0.25">
      <c r="A30" s="252" t="str">
        <f>IDENTIFICACIÓN!C59</f>
        <v>22C</v>
      </c>
      <c r="B30" s="389" t="str">
        <f>IF(IDENTIFICACIÓN!D59="","",IDENTIFICACIÓN!D59)</f>
        <v>Gestión Financiera. Perdida de titulos valores</v>
      </c>
      <c r="C30" s="391">
        <f>'RXC C'!C30</f>
        <v>0.25</v>
      </c>
      <c r="D30" s="391">
        <f>'RXC C'!D30</f>
        <v>0.6</v>
      </c>
      <c r="E30" s="391" t="str">
        <f>'RXC C'!E30</f>
        <v/>
      </c>
      <c r="F30" s="391">
        <f>'RXC C'!F30</f>
        <v>0.6</v>
      </c>
      <c r="G30" s="392"/>
      <c r="H30" s="392"/>
      <c r="I30" s="392"/>
      <c r="J30" s="392"/>
      <c r="K30" s="392"/>
    </row>
    <row r="31" spans="1:11" ht="39.75" customHeight="1" thickTop="1" thickBot="1" x14ac:dyDescent="0.25">
      <c r="A31" s="252" t="str">
        <f>IDENTIFICACIÓN!C60</f>
        <v>23C</v>
      </c>
      <c r="B31" s="389" t="str">
        <f>IF(IDENTIFICACIÓN!D60="","",IDENTIFICACIÓN!D60)</f>
        <v>Gestión Financiera. Omisión en la aplicación  de la normatividad vigente en los procesos de la Gestión Financiera</v>
      </c>
      <c r="C31" s="391">
        <f>'RXC C'!C31</f>
        <v>0.25</v>
      </c>
      <c r="D31" s="391">
        <f>'RXC C'!D31</f>
        <v>0.6</v>
      </c>
      <c r="E31" s="391" t="str">
        <f>'RXC C'!E31</f>
        <v/>
      </c>
      <c r="F31" s="391">
        <f>'RXC C'!F31</f>
        <v>0.6</v>
      </c>
      <c r="G31" s="392"/>
      <c r="H31" s="392"/>
      <c r="I31" s="392"/>
      <c r="J31" s="392"/>
      <c r="K31" s="392"/>
    </row>
    <row r="32" spans="1:11" ht="39.75" customHeight="1" thickTop="1" thickBot="1" x14ac:dyDescent="0.25">
      <c r="A32" s="252" t="str">
        <f>IDENTIFICACIÓN!C61</f>
        <v>24C</v>
      </c>
      <c r="B32" s="389" t="str">
        <f>IF(IDENTIFICACIÓN!D61="","",IDENTIFICACIÓN!D61)</f>
        <v xml:space="preserve">Apoyo Tecnológico TIC. Vulnerabilidad de la Información </v>
      </c>
      <c r="C32" s="391" t="str">
        <f>'RXC C'!C32</f>
        <v>NA</v>
      </c>
      <c r="D32" s="391">
        <f>'RXC C'!D32</f>
        <v>0.33333333333333331</v>
      </c>
      <c r="E32" s="391" t="str">
        <f>'RXC C'!E32</f>
        <v/>
      </c>
      <c r="F32" s="391">
        <f>'RXC C'!F32</f>
        <v>0.33333333333333331</v>
      </c>
      <c r="G32" s="392"/>
      <c r="H32" s="392"/>
      <c r="I32" s="392"/>
      <c r="J32" s="392"/>
      <c r="K32" s="392"/>
    </row>
    <row r="33" spans="1:11" ht="39.75" customHeight="1" thickTop="1" thickBot="1" x14ac:dyDescent="0.25">
      <c r="A33" s="252" t="str">
        <f>IDENTIFICACIÓN!C62</f>
        <v>25C</v>
      </c>
      <c r="B33" s="389" t="str">
        <f>IF(IDENTIFICACIÓN!D62="","",IDENTIFICACIÓN!D62)</f>
        <v xml:space="preserve">Gestión Documental. Entregar un título o certificado sin los requisitos para ello </v>
      </c>
      <c r="C33" s="391" t="str">
        <f>'RXC C'!C33</f>
        <v>NA</v>
      </c>
      <c r="D33" s="391" t="str">
        <f>'RXC C'!D33</f>
        <v>NA</v>
      </c>
      <c r="E33" s="391" t="str">
        <f>'RXC C'!E33</f>
        <v/>
      </c>
      <c r="F33" s="391" t="str">
        <f>'RXC C'!F33</f>
        <v>NA</v>
      </c>
      <c r="G33" s="392"/>
      <c r="H33" s="392"/>
      <c r="I33" s="392"/>
      <c r="J33" s="392"/>
      <c r="K33" s="392"/>
    </row>
    <row r="34" spans="1:11" ht="39.75" customHeight="1" thickTop="1" thickBot="1" x14ac:dyDescent="0.25">
      <c r="A34" s="252" t="str">
        <f>IDENTIFICACIÓN!C63</f>
        <v>26C</v>
      </c>
      <c r="B34" s="389" t="str">
        <f>IF(IDENTIFICACIÓN!D63="","",IDENTIFICACIÓN!D63)</f>
        <v>Gestión Documental. Expedición de un certificado de título falso</v>
      </c>
      <c r="C34" s="391" t="str">
        <f>'RXC C'!C34</f>
        <v>NA</v>
      </c>
      <c r="D34" s="391" t="str">
        <f>'RXC C'!D34</f>
        <v>NA</v>
      </c>
      <c r="E34" s="391" t="str">
        <f>'RXC C'!E34</f>
        <v/>
      </c>
      <c r="F34" s="391" t="str">
        <f>'RXC C'!F34</f>
        <v>NA</v>
      </c>
      <c r="G34" s="392"/>
      <c r="H34" s="392"/>
      <c r="I34" s="392"/>
      <c r="J34" s="392"/>
      <c r="K34" s="392"/>
    </row>
    <row r="35" spans="1:11" ht="39.75" customHeight="1" thickTop="1" thickBot="1" x14ac:dyDescent="0.25">
      <c r="A35" s="252" t="str">
        <f>IDENTIFICACIÓN!C64</f>
        <v>27C</v>
      </c>
      <c r="B35" s="389" t="str">
        <f>IF(IDENTIFICACIÓN!D64="","",IDENTIFICACIÓN!D64)</f>
        <v>Gestión del Talento Humano. Concentración de información de determinadas actividades o procesos en una persona.</v>
      </c>
      <c r="C35" s="391">
        <f>'RXC C'!C35</f>
        <v>4.9999999999999996E-2</v>
      </c>
      <c r="D35" s="391">
        <f>'RXC C'!D35</f>
        <v>4.9999999999999996E-2</v>
      </c>
      <c r="E35" s="391" t="str">
        <f>'RXC C'!E35</f>
        <v/>
      </c>
      <c r="F35" s="391">
        <f>'RXC C'!F35</f>
        <v>4.9999999999999996E-2</v>
      </c>
      <c r="G35" s="392"/>
      <c r="H35" s="392"/>
      <c r="I35" s="392"/>
      <c r="J35" s="392"/>
      <c r="K35" s="392"/>
    </row>
    <row r="36" spans="1:11" ht="39.75" customHeight="1" thickTop="1" thickBot="1" x14ac:dyDescent="0.25">
      <c r="A36" s="252" t="str">
        <f>IDENTIFICACIÓN!C65</f>
        <v>28C</v>
      </c>
      <c r="B36" s="389" t="str">
        <f>IF(IDENTIFICACIÓN!D65="","",IDENTIFICACIÓN!D65)</f>
        <v>Gestión del Talento Humano. Decisiones no ajustadas a la normatividad legal.</v>
      </c>
      <c r="C36" s="391">
        <f>'RXC C'!C36</f>
        <v>0.85</v>
      </c>
      <c r="D36" s="391">
        <f>'RXC C'!D36</f>
        <v>0.85</v>
      </c>
      <c r="E36" s="391" t="str">
        <f>'RXC C'!E36</f>
        <v/>
      </c>
      <c r="F36" s="391">
        <f>'RXC C'!F36</f>
        <v>0.85</v>
      </c>
      <c r="G36" s="392"/>
      <c r="H36" s="392"/>
      <c r="I36" s="392"/>
      <c r="J36" s="392"/>
      <c r="K36" s="392"/>
    </row>
    <row r="37" spans="1:11" ht="39.75" customHeight="1" thickTop="1" thickBot="1" x14ac:dyDescent="0.25">
      <c r="A37" s="252" t="str">
        <f>IDENTIFICACIÓN!C66</f>
        <v>29C</v>
      </c>
      <c r="B37" s="389" t="str">
        <f>IF(IDENTIFICACIÓN!D66="","",IDENTIFICACIÓN!D66)</f>
        <v>Gestión de Admisiones y Registro. Manipulación de resultados del examen  de admisión.</v>
      </c>
      <c r="C37" s="391" t="str">
        <f>'RXC C'!C37</f>
        <v>NA</v>
      </c>
      <c r="D37" s="391" t="str">
        <f>'RXC C'!D37</f>
        <v>NA</v>
      </c>
      <c r="E37" s="391" t="str">
        <f>'RXC C'!E37</f>
        <v/>
      </c>
      <c r="F37" s="391" t="str">
        <f>'RXC C'!F37</f>
        <v>NA</v>
      </c>
      <c r="G37" s="392"/>
      <c r="H37" s="392"/>
      <c r="I37" s="392"/>
      <c r="J37" s="392"/>
      <c r="K37" s="392"/>
    </row>
    <row r="38" spans="1:11" ht="39.75" customHeight="1" thickTop="1" thickBot="1" x14ac:dyDescent="0.25">
      <c r="A38" s="252" t="str">
        <f>IDENTIFICACIÓN!C67</f>
        <v>30C</v>
      </c>
      <c r="B38" s="389" t="str">
        <f>IF(IDENTIFICACIÓN!D67="","",IDENTIFICACIÓN!D67)</f>
        <v>Gestión de Admisiones y Registro. Alteración de notas de estudiantes.</v>
      </c>
      <c r="C38" s="391" t="str">
        <f>'RXC C'!C38</f>
        <v>NA</v>
      </c>
      <c r="D38" s="391" t="str">
        <f>'RXC C'!D38</f>
        <v>NA</v>
      </c>
      <c r="E38" s="391" t="str">
        <f>'RXC C'!E38</f>
        <v/>
      </c>
      <c r="F38" s="391" t="str">
        <f>'RXC C'!F38</f>
        <v>NA</v>
      </c>
      <c r="G38" s="392"/>
      <c r="H38" s="392"/>
      <c r="I38" s="392"/>
      <c r="J38" s="392"/>
      <c r="K38" s="392"/>
    </row>
    <row r="39" spans="1:11" ht="39.75" customHeight="1" thickTop="1" thickBot="1" x14ac:dyDescent="0.25">
      <c r="A39" s="252" t="str">
        <f>IDENTIFICACIÓN!C68</f>
        <v>31C</v>
      </c>
      <c r="B39" s="389" t="str">
        <f>IF(IDENTIFICACIÓN!D68="","",IDENTIFICACIÓN!D68)</f>
        <v>Gestión y Rendición de Cuentas. Rendición de cuentas a la ciudadanía inadecuada, incompleta e inoportuna</v>
      </c>
      <c r="C39" s="391">
        <f>'RXC C'!C39</f>
        <v>7.7034358047016263E-2</v>
      </c>
      <c r="D39" s="391">
        <f>'RXC C'!D39</f>
        <v>0.23110307414104878</v>
      </c>
      <c r="E39" s="391" t="str">
        <f>'RXC C'!E39</f>
        <v/>
      </c>
      <c r="F39" s="391">
        <f>'RXC C'!F39</f>
        <v>0.23110307414104878</v>
      </c>
      <c r="G39" s="392"/>
      <c r="H39" s="392"/>
      <c r="I39" s="392"/>
      <c r="J39" s="392"/>
      <c r="K39" s="392"/>
    </row>
    <row r="40" spans="1:11" ht="39.75" customHeight="1" thickTop="1" thickBot="1" x14ac:dyDescent="0.25">
      <c r="A40" s="252" t="str">
        <f>IDENTIFICACIÓN!C69</f>
        <v>32C</v>
      </c>
      <c r="B40" s="389" t="str">
        <f>IF(IDENTIFICACIÓN!D69="","",IDENTIFICACIÓN!D69)</f>
        <v>Gestión y Rendición de Cuentas. Alteración de la información</v>
      </c>
      <c r="C40" s="391" t="str">
        <f>'RXC C'!C40</f>
        <v>NA</v>
      </c>
      <c r="D40" s="391">
        <f>'RXC C'!D40</f>
        <v>0</v>
      </c>
      <c r="E40" s="391" t="str">
        <f>'RXC C'!E40</f>
        <v/>
      </c>
      <c r="F40" s="391">
        <f>'RXC C'!F40</f>
        <v>0</v>
      </c>
      <c r="G40" s="392"/>
      <c r="H40" s="392"/>
      <c r="I40" s="392"/>
      <c r="J40" s="392"/>
      <c r="K40" s="392"/>
    </row>
    <row r="41" spans="1:11" ht="39.75" customHeight="1" thickTop="1" thickBot="1" x14ac:dyDescent="0.25">
      <c r="A41" s="252" t="str">
        <f>IDENTIFICACIÓN!C70</f>
        <v>33C</v>
      </c>
      <c r="B41" s="389" t="str">
        <f>IF(IDENTIFICACIÓN!D70="","",IDENTIFICACIÓN!D70)</f>
        <v>Evaluación Independiente. Falta de Objetividad e Independencia en el proceso auditor, de evaluación y seguimiento</v>
      </c>
      <c r="C41" s="391" t="str">
        <f>'RXC C'!C41</f>
        <v>NA</v>
      </c>
      <c r="D41" s="391" t="str">
        <f>'RXC C'!D41</f>
        <v>NA</v>
      </c>
      <c r="E41" s="391" t="str">
        <f>'RXC C'!E41</f>
        <v/>
      </c>
      <c r="F41" s="391" t="str">
        <f>'RXC C'!F41</f>
        <v>NA</v>
      </c>
      <c r="G41" s="392"/>
      <c r="H41" s="392"/>
      <c r="I41" s="392"/>
      <c r="J41" s="392"/>
      <c r="K41" s="392"/>
    </row>
    <row r="42" spans="1:11" ht="39.75" customHeight="1" thickTop="1" thickBot="1" x14ac:dyDescent="0.25">
      <c r="A42" s="252" t="str">
        <f>IDENTIFICACIÓN!C71</f>
        <v>34C</v>
      </c>
      <c r="B42" s="389" t="str">
        <f>IF(IDENTIFICACIÓN!D71="","",IDENTIFICACIÓN!D71)</f>
        <v>Evaluación Independiente. No reportar posibles actos de corrupción e irregularidades</v>
      </c>
      <c r="C42" s="391" t="str">
        <f>'RXC C'!C42</f>
        <v>NA</v>
      </c>
      <c r="D42" s="391" t="str">
        <f>'RXC C'!D42</f>
        <v>NA</v>
      </c>
      <c r="E42" s="391" t="str">
        <f>'RXC C'!E42</f>
        <v/>
      </c>
      <c r="F42" s="391" t="str">
        <f>'RXC C'!F42</f>
        <v>NA</v>
      </c>
      <c r="G42" s="392"/>
      <c r="H42" s="392"/>
      <c r="I42" s="392"/>
      <c r="J42" s="392"/>
      <c r="K42" s="392"/>
    </row>
    <row r="43" spans="1:11" ht="15.75" hidden="1" thickTop="1" x14ac:dyDescent="0.2">
      <c r="A43" s="658" t="str">
        <f>'SEGUIMIENTO Y MONITOREO'!B202</f>
        <v>Cumplimiento Riesgos de CORRUPCIÓN (Respecto a los plazos establecidos)</v>
      </c>
      <c r="B43" s="659"/>
      <c r="C43" s="659"/>
      <c r="D43" s="659"/>
      <c r="E43" s="660"/>
      <c r="F43" s="164">
        <f>'SEGUIMIENTO Y MONITOREO'!AW202</f>
        <v>0.42483333929614925</v>
      </c>
      <c r="G43" s="168"/>
      <c r="H43" s="168"/>
    </row>
    <row r="44" spans="1:11" hidden="1" x14ac:dyDescent="0.2">
      <c r="A44" s="661" t="str">
        <f>'SEGUIMIENTO Y MONITOREO'!B203</f>
        <v xml:space="preserve">% Avance Riesgo de CORRUPCIÓN </v>
      </c>
      <c r="B44" s="661"/>
      <c r="C44" s="661"/>
      <c r="D44" s="661"/>
      <c r="E44" s="662"/>
      <c r="F44" s="164">
        <f>'SEGUIMIENTO Y MONITOREO'!AW203</f>
        <v>0.43242161878525515</v>
      </c>
      <c r="G44" s="168"/>
      <c r="H44" s="168"/>
    </row>
    <row r="45" spans="1:11" ht="15.75" thickTop="1" x14ac:dyDescent="0.2"/>
  </sheetData>
  <sheetProtection selectLockedCells="1"/>
  <mergeCells count="15">
    <mergeCell ref="A43:E43"/>
    <mergeCell ref="A44:E44"/>
    <mergeCell ref="G8:H8"/>
    <mergeCell ref="G9:H9"/>
    <mergeCell ref="G10:H10"/>
    <mergeCell ref="G11:H11"/>
    <mergeCell ref="G12:H12"/>
    <mergeCell ref="G13:H13"/>
    <mergeCell ref="A7:B7"/>
    <mergeCell ref="C7:F7"/>
    <mergeCell ref="A1:B3"/>
    <mergeCell ref="C1:G3"/>
    <mergeCell ref="A5:H5"/>
    <mergeCell ref="A6:B6"/>
    <mergeCell ref="C6:F6"/>
  </mergeCells>
  <conditionalFormatting sqref="H7">
    <cfRule type="containsText" dxfId="96" priority="10" operator="containsText" text="Sin Seguimientos">
      <formula>NOT(ISERROR(SEARCH("Sin Seguimientos",H7)))</formula>
    </cfRule>
  </conditionalFormatting>
  <conditionalFormatting sqref="F9:F42">
    <cfRule type="containsText" dxfId="95" priority="5" operator="containsText" text="NA">
      <formula>NOT(ISERROR(SEARCH("NA",F9)))</formula>
    </cfRule>
  </conditionalFormatting>
  <dataValidations count="1">
    <dataValidation operator="equal" allowBlank="1" showInputMessage="1" showErrorMessage="1" sqref="C9:C42"/>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2A1FB07C-0D60-4440-B2E5-584C72BB044C}">
            <xm:f>VALORACIÓN!$D$10</xm:f>
            <x14:dxf>
              <font>
                <color auto="1"/>
              </font>
              <fill>
                <patternFill patternType="lightGrid">
                  <fgColor theme="0" tint="-4.9989318521683403E-2"/>
                  <bgColor theme="0"/>
                </patternFill>
              </fill>
            </x14:dxf>
          </x14:cfRule>
          <x14:cfRule type="cellIs" priority="16" operator="equal" id="{22103A76-9294-4A92-BC52-1944103A1962}">
            <xm:f>VALORACIÓN!$D$10</xm:f>
            <x14:dxf>
              <fill>
                <patternFill patternType="lightGrid">
                  <fgColor theme="0" tint="-4.9989318521683403E-2"/>
                </patternFill>
              </fill>
            </x14:dxf>
          </x14:cfRule>
          <xm:sqref>C9:E42</xm:sqref>
        </x14:conditionalFormatting>
        <x14:conditionalFormatting xmlns:xm="http://schemas.microsoft.com/office/excel/2006/main">
          <x14:cfRule type="cellIs" priority="11" operator="notEqual" id="{92B586F3-37E6-4E04-9EA8-193A2E5DA098}">
            <xm:f>VALORACIÓN!$D$10</xm:f>
            <x14:dxf>
              <font>
                <color auto="1"/>
              </font>
              <fill>
                <patternFill patternType="lightGrid">
                  <fgColor theme="0" tint="-4.9989318521683403E-2"/>
                  <bgColor theme="0"/>
                </patternFill>
              </fill>
            </x14:dxf>
          </x14:cfRule>
          <x14:cfRule type="cellIs" priority="12" operator="equal" id="{66D4AC25-9C73-464E-8F2F-7EEF54E1FBD4}">
            <xm:f>VALORACIÓN!$D$10</xm:f>
            <x14:dxf>
              <fill>
                <patternFill patternType="lightGrid">
                  <fgColor theme="0" tint="-4.9989318521683403E-2"/>
                </patternFill>
              </fill>
            </x14:dxf>
          </x14:cfRule>
          <xm:sqref>G9:G42</xm:sqref>
        </x14:conditionalFormatting>
        <x14:conditionalFormatting xmlns:xm="http://schemas.microsoft.com/office/excel/2006/main">
          <x14:cfRule type="cellIs" priority="8" operator="notEqual" id="{A34E793F-4B54-43A6-9A22-F3481A78A36F}">
            <xm:f>VALORACIÓN!$D$10</xm:f>
            <x14:dxf>
              <font>
                <color auto="1"/>
              </font>
              <fill>
                <patternFill patternType="lightGrid">
                  <fgColor theme="0" tint="-4.9989318521683403E-2"/>
                  <bgColor theme="0"/>
                </patternFill>
              </fill>
            </x14:dxf>
          </x14:cfRule>
          <x14:cfRule type="cellIs" priority="9" operator="equal" id="{688CFE28-120E-4E78-9F73-342D5EE7E127}">
            <xm:f>VALORACIÓN!$D$10</xm:f>
            <x14:dxf>
              <fill>
                <patternFill patternType="lightGrid">
                  <fgColor theme="0" tint="-4.9989318521683403E-2"/>
                </patternFill>
              </fill>
            </x14:dxf>
          </x14:cfRule>
          <xm:sqref>F43:F44</xm:sqref>
        </x14:conditionalFormatting>
        <x14:conditionalFormatting xmlns:xm="http://schemas.microsoft.com/office/excel/2006/main">
          <x14:cfRule type="cellIs" priority="6" operator="notEqual" id="{44915882-8EC1-4668-A9DC-B31C3AB532CD}">
            <xm:f>VALORACIÓN!$D$10</xm:f>
            <x14:dxf>
              <font>
                <color auto="1"/>
              </font>
              <fill>
                <patternFill patternType="lightGrid">
                  <fgColor theme="0" tint="-4.9989318521683403E-2"/>
                  <bgColor theme="0"/>
                </patternFill>
              </fill>
            </x14:dxf>
          </x14:cfRule>
          <x14:cfRule type="cellIs" priority="7" operator="equal" id="{CF20410D-2C66-4BE6-8A37-C15CA183BCD5}">
            <xm:f>VALORACIÓN!$D$10</xm:f>
            <x14:dxf>
              <fill>
                <patternFill patternType="lightGrid">
                  <fgColor theme="0" tint="-4.9989318521683403E-2"/>
                </patternFill>
              </fill>
            </x14:dxf>
          </x14:cfRule>
          <xm:sqref>F9:F42</xm:sqref>
        </x14:conditionalFormatting>
        <x14:conditionalFormatting xmlns:xm="http://schemas.microsoft.com/office/excel/2006/main">
          <x14:cfRule type="cellIs" priority="3" operator="notEqual" id="{3AFAA47F-6284-4B78-B571-DB1CBEDF68B3}">
            <xm:f>VALORACIÓN!$D$10</xm:f>
            <x14:dxf>
              <font>
                <color auto="1"/>
              </font>
              <fill>
                <patternFill patternType="lightGrid">
                  <fgColor theme="0" tint="-4.9989318521683403E-2"/>
                  <bgColor theme="0"/>
                </patternFill>
              </fill>
            </x14:dxf>
          </x14:cfRule>
          <x14:cfRule type="cellIs" priority="4" operator="equal" id="{92A66B42-49ED-44D3-B121-B25A94F5C4DC}">
            <xm:f>VALORACIÓN!$D$10</xm:f>
            <x14:dxf>
              <fill>
                <patternFill patternType="lightGrid">
                  <fgColor theme="0" tint="-4.9989318521683403E-2"/>
                </patternFill>
              </fill>
            </x14:dxf>
          </x14:cfRule>
          <xm:sqref>H16:K42 H15</xm:sqref>
        </x14:conditionalFormatting>
        <x14:conditionalFormatting xmlns:xm="http://schemas.microsoft.com/office/excel/2006/main">
          <x14:cfRule type="cellIs" priority="1" operator="notEqual" id="{72EFBA0B-22CC-4318-BD1E-C562672F2010}">
            <xm:f>VALORACIÓN!$D$10</xm:f>
            <x14:dxf>
              <font>
                <color auto="1"/>
              </font>
              <fill>
                <patternFill patternType="lightGrid">
                  <fgColor theme="0" tint="-4.9989318521683403E-2"/>
                  <bgColor theme="0"/>
                </patternFill>
              </fill>
            </x14:dxf>
          </x14:cfRule>
          <x14:cfRule type="cellIs" priority="2" operator="equal" id="{7A51EFFD-FA67-49E9-A8BA-AEBAB4D55D71}">
            <xm:f>VALORACIÓN!$D$10</xm:f>
            <x14:dxf>
              <fill>
                <patternFill patternType="lightGrid">
                  <fgColor theme="0" tint="-4.9989318521683403E-2"/>
                </patternFill>
              </fill>
            </x14:dxf>
          </x14:cfRule>
          <xm:sqref>I1:K15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7030A0"/>
  </sheetPr>
  <dimension ref="A1:X22"/>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W6" sqref="W6"/>
    </sheetView>
  </sheetViews>
  <sheetFormatPr baseColWidth="10" defaultRowHeight="15" x14ac:dyDescent="0.2"/>
  <cols>
    <col min="1" max="1" width="19.21875" customWidth="1"/>
    <col min="2" max="2" width="12.44140625" customWidth="1"/>
    <col min="3" max="4" width="7.44140625" style="201" customWidth="1"/>
    <col min="5" max="5" width="0.21875" style="201" customWidth="1"/>
    <col min="6" max="6" width="5.5546875" style="201" customWidth="1"/>
    <col min="7" max="7" width="0.21875" style="201" customWidth="1"/>
    <col min="8" max="9" width="4.6640625" style="96" customWidth="1"/>
    <col min="10" max="10" width="0.21875" style="96" customWidth="1"/>
    <col min="11" max="12" width="4.88671875" style="96" customWidth="1"/>
    <col min="13" max="13" width="0.21875" style="96" customWidth="1"/>
    <col min="14" max="15" width="5" style="96" customWidth="1"/>
    <col min="16" max="16" width="0.21875" style="96" customWidth="1"/>
    <col min="17" max="18" width="5.33203125" customWidth="1"/>
    <col min="19" max="19" width="0.21875" customWidth="1"/>
    <col min="20" max="20" width="5.109375" customWidth="1"/>
    <col min="21" max="21" width="4.6640625" customWidth="1"/>
    <col min="22" max="22" width="0.21875" customWidth="1"/>
    <col min="23" max="23" width="18.33203125" customWidth="1"/>
    <col min="24" max="24" width="22.5546875" customWidth="1"/>
  </cols>
  <sheetData>
    <row r="1" spans="1:24" ht="15" customHeight="1" x14ac:dyDescent="0.2">
      <c r="A1" s="437" t="s">
        <v>145</v>
      </c>
      <c r="B1" s="437"/>
      <c r="C1" s="646" t="s">
        <v>206</v>
      </c>
      <c r="D1" s="647"/>
      <c r="E1" s="647"/>
      <c r="F1" s="647"/>
      <c r="G1" s="647"/>
      <c r="H1" s="647"/>
      <c r="I1" s="647"/>
      <c r="J1" s="647"/>
      <c r="K1" s="647"/>
      <c r="L1" s="647"/>
      <c r="M1" s="647"/>
      <c r="N1" s="647"/>
      <c r="O1" s="647"/>
      <c r="P1" s="647"/>
      <c r="Q1" s="647"/>
      <c r="R1" s="647"/>
      <c r="S1" s="647"/>
      <c r="T1" s="647"/>
      <c r="U1" s="647"/>
      <c r="V1" s="647"/>
      <c r="W1" s="648"/>
      <c r="X1" s="182" t="s">
        <v>71</v>
      </c>
    </row>
    <row r="2" spans="1:24" ht="15" customHeight="1" x14ac:dyDescent="0.2">
      <c r="A2" s="437"/>
      <c r="B2" s="437"/>
      <c r="C2" s="649"/>
      <c r="D2" s="650"/>
      <c r="E2" s="650"/>
      <c r="F2" s="650"/>
      <c r="G2" s="650"/>
      <c r="H2" s="650"/>
      <c r="I2" s="650"/>
      <c r="J2" s="650"/>
      <c r="K2" s="650"/>
      <c r="L2" s="650"/>
      <c r="M2" s="650"/>
      <c r="N2" s="650"/>
      <c r="O2" s="650"/>
      <c r="P2" s="650"/>
      <c r="Q2" s="650"/>
      <c r="R2" s="650"/>
      <c r="S2" s="650"/>
      <c r="T2" s="650"/>
      <c r="U2" s="650"/>
      <c r="V2" s="650"/>
      <c r="W2" s="651"/>
      <c r="X2" s="182" t="s">
        <v>107</v>
      </c>
    </row>
    <row r="3" spans="1:24" ht="15" customHeight="1" x14ac:dyDescent="0.2">
      <c r="A3" s="437"/>
      <c r="B3" s="437"/>
      <c r="C3" s="652"/>
      <c r="D3" s="653"/>
      <c r="E3" s="653"/>
      <c r="F3" s="653"/>
      <c r="G3" s="653"/>
      <c r="H3" s="653"/>
      <c r="I3" s="653"/>
      <c r="J3" s="653"/>
      <c r="K3" s="653"/>
      <c r="L3" s="653"/>
      <c r="M3" s="653"/>
      <c r="N3" s="653"/>
      <c r="O3" s="653"/>
      <c r="P3" s="653"/>
      <c r="Q3" s="653"/>
      <c r="R3" s="653"/>
      <c r="S3" s="653"/>
      <c r="T3" s="653"/>
      <c r="U3" s="653"/>
      <c r="V3" s="653"/>
      <c r="W3" s="654"/>
      <c r="X3" s="182" t="s">
        <v>408</v>
      </c>
    </row>
    <row r="4" spans="1:24" ht="3.75" customHeight="1" x14ac:dyDescent="0.2">
      <c r="A4" s="33"/>
      <c r="B4" s="34"/>
      <c r="C4" s="198"/>
      <c r="D4" s="198"/>
      <c r="E4" s="198"/>
      <c r="F4" s="198"/>
      <c r="G4" s="198"/>
      <c r="H4" s="35"/>
      <c r="I4" s="38"/>
      <c r="J4" s="38"/>
      <c r="K4" s="233"/>
      <c r="L4" s="232"/>
      <c r="M4" s="232"/>
      <c r="N4" s="38"/>
      <c r="O4" s="38"/>
      <c r="P4" s="38"/>
      <c r="Q4" s="38"/>
      <c r="R4" s="38"/>
      <c r="S4" s="38"/>
      <c r="T4" s="232"/>
      <c r="U4" s="232"/>
      <c r="V4" s="232"/>
      <c r="W4" s="49"/>
      <c r="X4" s="49"/>
    </row>
    <row r="5" spans="1:24" ht="15.75" x14ac:dyDescent="0.2">
      <c r="A5" s="439" t="s">
        <v>184</v>
      </c>
      <c r="B5" s="439"/>
      <c r="C5" s="439"/>
      <c r="D5" s="439"/>
      <c r="E5" s="439"/>
      <c r="F5" s="439"/>
      <c r="G5" s="439"/>
      <c r="H5" s="439"/>
      <c r="I5" s="523"/>
      <c r="J5" s="523"/>
      <c r="K5" s="523"/>
      <c r="L5" s="523"/>
      <c r="M5" s="523"/>
      <c r="N5" s="523"/>
      <c r="O5" s="523"/>
      <c r="P5" s="523"/>
      <c r="Q5" s="523"/>
      <c r="R5" s="523"/>
      <c r="S5" s="523"/>
      <c r="T5" s="523"/>
      <c r="U5" s="523"/>
      <c r="V5" s="523"/>
      <c r="W5" s="523"/>
      <c r="X5" s="523"/>
    </row>
    <row r="6" spans="1:24" ht="15.75" customHeight="1" x14ac:dyDescent="0.2">
      <c r="A6" s="489" t="str">
        <f>'CONTEXTO ESTRATEGICO'!A7</f>
        <v>INSTITUCIONAL</v>
      </c>
      <c r="B6" s="489"/>
      <c r="C6" s="579" t="str">
        <f>'SEGUIMIENTO Y MONITOREO'!C6</f>
        <v>Mapa de Riesgo Institucional</v>
      </c>
      <c r="D6" s="580"/>
      <c r="E6" s="580"/>
      <c r="F6" s="580"/>
      <c r="G6" s="580"/>
      <c r="H6" s="580"/>
      <c r="I6" s="580"/>
      <c r="J6" s="580"/>
      <c r="K6" s="580"/>
      <c r="L6" s="580"/>
      <c r="M6" s="580"/>
      <c r="N6" s="580"/>
      <c r="O6" s="580"/>
      <c r="P6" s="580"/>
      <c r="Q6" s="580"/>
      <c r="R6" s="580"/>
      <c r="S6" s="187"/>
      <c r="T6" s="236"/>
      <c r="U6" s="236"/>
      <c r="V6" s="236"/>
      <c r="W6" s="173" t="str">
        <f>'SEGUIMIENTO Y MONITOREO'!E6</f>
        <v>Fecha de Actualización (AAAA/MM/DD)</v>
      </c>
      <c r="X6" s="171">
        <f>'SEGUIMIENTO Y MONITOREO'!H6</f>
        <v>42443</v>
      </c>
    </row>
    <row r="7" spans="1:24" ht="15.75" customHeight="1" x14ac:dyDescent="0.2">
      <c r="A7" s="489"/>
      <c r="B7" s="489"/>
      <c r="C7" s="622" t="s">
        <v>367</v>
      </c>
      <c r="D7" s="623"/>
      <c r="E7" s="623"/>
      <c r="F7" s="623"/>
      <c r="G7" s="623"/>
      <c r="H7" s="623"/>
      <c r="I7" s="623"/>
      <c r="J7" s="623"/>
      <c r="K7" s="623"/>
      <c r="L7" s="623"/>
      <c r="M7" s="623"/>
      <c r="N7" s="623"/>
      <c r="O7" s="623"/>
      <c r="P7" s="623"/>
      <c r="Q7" s="623"/>
      <c r="R7" s="623"/>
      <c r="S7" s="623"/>
      <c r="T7" s="623"/>
      <c r="U7" s="624"/>
      <c r="V7" s="209"/>
      <c r="W7" s="170" t="s">
        <v>185</v>
      </c>
      <c r="X7" s="172">
        <f>'SEGUIMIENTO Y MONITOREO'!$AX$7</f>
        <v>42613</v>
      </c>
    </row>
    <row r="8" spans="1:24" ht="25.5" customHeight="1" x14ac:dyDescent="0.2">
      <c r="A8" s="666" t="s">
        <v>286</v>
      </c>
      <c r="B8" s="668">
        <f>VALORACIÓN!BD3</f>
        <v>28</v>
      </c>
      <c r="C8" s="670" t="s">
        <v>292</v>
      </c>
      <c r="D8" s="670" t="s">
        <v>293</v>
      </c>
      <c r="E8" s="202"/>
      <c r="F8" s="670" t="s">
        <v>288</v>
      </c>
      <c r="G8" s="202"/>
      <c r="H8" s="674" t="s">
        <v>289</v>
      </c>
      <c r="I8" s="674"/>
      <c r="J8" s="204"/>
      <c r="K8" s="674" t="s">
        <v>343</v>
      </c>
      <c r="L8" s="674"/>
      <c r="M8" s="238"/>
      <c r="N8" s="675" t="s">
        <v>291</v>
      </c>
      <c r="O8" s="676"/>
      <c r="P8" s="205"/>
      <c r="Q8" s="677" t="s">
        <v>290</v>
      </c>
      <c r="R8" s="677"/>
      <c r="S8" s="210"/>
      <c r="T8" s="677" t="s">
        <v>344</v>
      </c>
      <c r="U8" s="677"/>
      <c r="V8" s="210"/>
      <c r="W8" s="673"/>
      <c r="X8" s="673"/>
    </row>
    <row r="9" spans="1:24" ht="12.75" customHeight="1" x14ac:dyDescent="0.2">
      <c r="A9" s="667"/>
      <c r="B9" s="669"/>
      <c r="C9" s="670"/>
      <c r="D9" s="670"/>
      <c r="E9" s="202"/>
      <c r="F9" s="670"/>
      <c r="G9" s="202"/>
      <c r="H9" s="183" t="s">
        <v>11</v>
      </c>
      <c r="I9" s="183" t="s">
        <v>10</v>
      </c>
      <c r="J9" s="183"/>
      <c r="K9" s="237" t="s">
        <v>342</v>
      </c>
      <c r="L9" s="237" t="s">
        <v>341</v>
      </c>
      <c r="M9" s="237"/>
      <c r="N9" s="183" t="s">
        <v>11</v>
      </c>
      <c r="O9" s="183" t="s">
        <v>10</v>
      </c>
      <c r="P9" s="183"/>
      <c r="Q9" s="169" t="s">
        <v>11</v>
      </c>
      <c r="R9" s="169" t="s">
        <v>10</v>
      </c>
      <c r="S9" s="210"/>
      <c r="T9" s="239" t="s">
        <v>11</v>
      </c>
      <c r="U9" s="239" t="s">
        <v>10</v>
      </c>
      <c r="V9" s="210"/>
      <c r="W9" s="188"/>
      <c r="X9" s="188"/>
    </row>
    <row r="10" spans="1:24" ht="18.75" customHeight="1" x14ac:dyDescent="0.2">
      <c r="A10" s="671" t="s">
        <v>284</v>
      </c>
      <c r="B10" s="672"/>
      <c r="C10" s="199">
        <f>VALORACIÓN!BH6</f>
        <v>48</v>
      </c>
      <c r="D10" s="199">
        <f>VALORACIÓN!BH8</f>
        <v>2</v>
      </c>
      <c r="E10" s="199">
        <f>C12/F12</f>
        <v>0.9642857142857143</v>
      </c>
      <c r="F10" s="199">
        <f>VALORACIÓN!BB3</f>
        <v>50</v>
      </c>
      <c r="G10" s="203">
        <f>F10/$F$12</f>
        <v>0.8928571428571429</v>
      </c>
      <c r="H10" s="199">
        <f>VALORACIÓN!BB6</f>
        <v>48</v>
      </c>
      <c r="I10" s="199">
        <f>VALORACIÓN!BB8</f>
        <v>2</v>
      </c>
      <c r="J10" s="199">
        <f>H12/F12</f>
        <v>0.9107142857142857</v>
      </c>
      <c r="K10" s="199">
        <f>VALORACIÓN!BJ6</f>
        <v>2</v>
      </c>
      <c r="L10" s="199">
        <f>VALORACIÓN!BJ8</f>
        <v>48</v>
      </c>
      <c r="M10" s="199">
        <f>K12/F12</f>
        <v>5.3571428571428568E-2</v>
      </c>
      <c r="N10" s="199">
        <f>VALORACIÓN!BD6</f>
        <v>50</v>
      </c>
      <c r="O10" s="199">
        <f>VALORACIÓN!BD8</f>
        <v>0</v>
      </c>
      <c r="P10" s="199">
        <f>N12/F12</f>
        <v>0.9821428571428571</v>
      </c>
      <c r="Q10" s="199">
        <f>VALORACIÓN!BF6</f>
        <v>45</v>
      </c>
      <c r="R10" s="199">
        <f>VALORACIÓN!BF8</f>
        <v>5</v>
      </c>
      <c r="S10" s="211">
        <f>Q12/$F12</f>
        <v>0.8214285714285714</v>
      </c>
      <c r="T10" s="199">
        <f>VALORACIÓN!BL6</f>
        <v>50</v>
      </c>
      <c r="U10" s="199">
        <f>VALORACIÓN!BL8</f>
        <v>0</v>
      </c>
      <c r="V10" s="211">
        <f>T12/$F12</f>
        <v>0.9642857142857143</v>
      </c>
      <c r="W10" s="184"/>
      <c r="X10" s="184"/>
    </row>
    <row r="11" spans="1:24" ht="18.75" customHeight="1" x14ac:dyDescent="0.2">
      <c r="A11" s="664" t="s">
        <v>285</v>
      </c>
      <c r="B11" s="665"/>
      <c r="C11" s="199">
        <f>VALORACIÓN!BI6</f>
        <v>6</v>
      </c>
      <c r="D11" s="199">
        <f>VALORACIÓN!BI8</f>
        <v>0</v>
      </c>
      <c r="E11" s="199">
        <f>D12/F12</f>
        <v>3.5714285714285712E-2</v>
      </c>
      <c r="F11" s="199">
        <f>VALORACIÓN!BC3</f>
        <v>6</v>
      </c>
      <c r="G11" s="203">
        <f>F11/$F$12</f>
        <v>0.10714285714285714</v>
      </c>
      <c r="H11" s="199">
        <f>VALORACIÓN!BC6</f>
        <v>3</v>
      </c>
      <c r="I11" s="199">
        <f>VALORACIÓN!BC8</f>
        <v>3</v>
      </c>
      <c r="J11" s="199">
        <f>I12/F12</f>
        <v>8.9285714285714288E-2</v>
      </c>
      <c r="K11" s="199">
        <f>VALORACIÓN!BK6</f>
        <v>1</v>
      </c>
      <c r="L11" s="199">
        <f>VALORACIÓN!BK8</f>
        <v>5</v>
      </c>
      <c r="M11" s="199">
        <f>L12/F12</f>
        <v>0.9464285714285714</v>
      </c>
      <c r="N11" s="199">
        <f>VALORACIÓN!BE6</f>
        <v>5</v>
      </c>
      <c r="O11" s="199">
        <f>VALORACIÓN!BE8</f>
        <v>1</v>
      </c>
      <c r="P11" s="199">
        <f>O12/F12</f>
        <v>1.7857142857142856E-2</v>
      </c>
      <c r="Q11" s="199">
        <f>VALORACIÓN!BG6</f>
        <v>1</v>
      </c>
      <c r="R11" s="199">
        <f>VALORACIÓN!BG8</f>
        <v>5</v>
      </c>
      <c r="S11" s="211">
        <f>R12/$F12</f>
        <v>0.17857142857142858</v>
      </c>
      <c r="T11" s="199">
        <f>VALORACIÓN!BM6</f>
        <v>4</v>
      </c>
      <c r="U11" s="199">
        <f>VALORACIÓN!BM8</f>
        <v>2</v>
      </c>
      <c r="V11" s="211">
        <f>U12/$F12</f>
        <v>3.5714285714285712E-2</v>
      </c>
      <c r="W11" s="184"/>
      <c r="X11" s="184"/>
    </row>
    <row r="12" spans="1:24" ht="15" customHeight="1" x14ac:dyDescent="0.2">
      <c r="A12" s="663" t="s">
        <v>294</v>
      </c>
      <c r="B12" s="663"/>
      <c r="C12" s="199">
        <f>SUM(C10:C11)</f>
        <v>54</v>
      </c>
      <c r="D12" s="199">
        <f t="shared" ref="D12" si="0">SUM(D10:D11)</f>
        <v>2</v>
      </c>
      <c r="E12" s="199"/>
      <c r="F12" s="199">
        <f>SUM(F10:F11)</f>
        <v>56</v>
      </c>
      <c r="G12" s="203"/>
      <c r="H12" s="199">
        <f t="shared" ref="H12:R12" si="1">SUM(H10:H11)</f>
        <v>51</v>
      </c>
      <c r="I12" s="199">
        <f t="shared" si="1"/>
        <v>5</v>
      </c>
      <c r="J12" s="199"/>
      <c r="K12" s="199">
        <f t="shared" ref="K12:L12" si="2">SUM(K10:K11)</f>
        <v>3</v>
      </c>
      <c r="L12" s="199">
        <f t="shared" si="2"/>
        <v>53</v>
      </c>
      <c r="M12" s="199"/>
      <c r="N12" s="199">
        <f t="shared" si="1"/>
        <v>55</v>
      </c>
      <c r="O12" s="199">
        <f t="shared" si="1"/>
        <v>1</v>
      </c>
      <c r="P12" s="199"/>
      <c r="Q12" s="199">
        <f t="shared" si="1"/>
        <v>46</v>
      </c>
      <c r="R12" s="199">
        <f t="shared" si="1"/>
        <v>10</v>
      </c>
      <c r="S12" s="211"/>
      <c r="T12" s="199">
        <f t="shared" ref="T12:U12" si="3">SUM(T10:T11)</f>
        <v>54</v>
      </c>
      <c r="U12" s="199">
        <f t="shared" si="3"/>
        <v>2</v>
      </c>
      <c r="V12" s="211"/>
      <c r="W12" s="184"/>
      <c r="X12" s="184"/>
    </row>
    <row r="13" spans="1:24" x14ac:dyDescent="0.2">
      <c r="A13" s="27"/>
      <c r="B13" s="27"/>
      <c r="C13" s="200"/>
      <c r="D13" s="200"/>
      <c r="E13" s="200"/>
      <c r="F13" s="200"/>
      <c r="G13" s="200"/>
      <c r="H13" s="133"/>
      <c r="I13" s="133"/>
      <c r="J13" s="133"/>
      <c r="K13" s="133"/>
      <c r="L13" s="133"/>
      <c r="M13" s="133"/>
      <c r="N13" s="133"/>
      <c r="O13" s="133"/>
      <c r="P13" s="133"/>
      <c r="Q13" s="27"/>
      <c r="R13" s="27"/>
      <c r="S13" s="27"/>
      <c r="T13" s="27"/>
      <c r="U13" s="27"/>
      <c r="V13" s="27"/>
      <c r="W13" s="27"/>
      <c r="X13" s="27"/>
    </row>
    <row r="14" spans="1:24" x14ac:dyDescent="0.2">
      <c r="A14" s="27"/>
      <c r="B14" s="27"/>
      <c r="C14" s="200"/>
      <c r="D14" s="200"/>
      <c r="E14" s="200"/>
      <c r="F14" s="200"/>
      <c r="G14" s="200"/>
      <c r="H14" s="133"/>
      <c r="I14" s="133"/>
      <c r="J14" s="133"/>
      <c r="K14" s="133"/>
      <c r="L14" s="133"/>
      <c r="M14" s="133"/>
      <c r="N14" s="133"/>
      <c r="O14" s="133"/>
      <c r="P14" s="133"/>
      <c r="Q14" s="27"/>
      <c r="R14" s="27"/>
      <c r="S14" s="27"/>
      <c r="T14" s="27"/>
      <c r="U14" s="27"/>
      <c r="V14" s="27"/>
      <c r="W14" s="27"/>
      <c r="X14" s="27"/>
    </row>
    <row r="15" spans="1:24" x14ac:dyDescent="0.2">
      <c r="A15" s="27"/>
      <c r="B15" s="27"/>
      <c r="C15" s="200"/>
      <c r="D15" s="200"/>
      <c r="E15" s="200"/>
      <c r="F15" s="200"/>
      <c r="G15" s="200"/>
      <c r="H15" s="133"/>
      <c r="I15" s="133"/>
      <c r="J15" s="133"/>
      <c r="K15" s="133"/>
      <c r="L15" s="133"/>
      <c r="M15" s="133"/>
      <c r="N15" s="133"/>
      <c r="O15" s="133"/>
      <c r="P15" s="133"/>
      <c r="Q15" s="27"/>
      <c r="R15" s="27"/>
      <c r="S15" s="27"/>
      <c r="T15" s="27"/>
      <c r="U15" s="27"/>
      <c r="V15" s="27"/>
      <c r="W15" s="27"/>
      <c r="X15" s="27"/>
    </row>
    <row r="16" spans="1:24" x14ac:dyDescent="0.2">
      <c r="A16" s="27"/>
      <c r="B16" s="27"/>
      <c r="C16" s="200"/>
      <c r="D16" s="200"/>
      <c r="E16" s="200"/>
      <c r="F16" s="200"/>
      <c r="G16" s="200"/>
      <c r="H16" s="133"/>
      <c r="I16" s="133"/>
      <c r="J16" s="133"/>
      <c r="K16" s="133"/>
      <c r="L16" s="133"/>
      <c r="M16" s="133"/>
      <c r="N16" s="133"/>
      <c r="O16" s="133"/>
      <c r="P16" s="133"/>
      <c r="Q16" s="27"/>
      <c r="R16" s="27"/>
      <c r="S16" s="27"/>
      <c r="T16" s="27"/>
      <c r="U16" s="27"/>
      <c r="V16" s="27"/>
      <c r="W16" s="27"/>
      <c r="X16" s="27"/>
    </row>
    <row r="17" spans="1:24" x14ac:dyDescent="0.2">
      <c r="A17" s="27"/>
      <c r="B17" s="27"/>
      <c r="C17" s="200"/>
      <c r="D17" s="200"/>
      <c r="E17" s="200"/>
      <c r="F17" s="200"/>
      <c r="G17" s="200"/>
      <c r="H17" s="133"/>
      <c r="I17" s="133"/>
      <c r="J17" s="133"/>
      <c r="K17" s="133"/>
      <c r="L17" s="133"/>
      <c r="M17" s="133"/>
      <c r="N17" s="133"/>
      <c r="O17" s="133"/>
      <c r="P17" s="133"/>
      <c r="Q17" s="27"/>
      <c r="R17" s="27"/>
      <c r="S17" s="27"/>
      <c r="T17" s="27"/>
      <c r="U17" s="27"/>
      <c r="V17" s="27"/>
      <c r="W17" s="27"/>
      <c r="X17" s="27"/>
    </row>
    <row r="18" spans="1:24" x14ac:dyDescent="0.2">
      <c r="A18" s="27"/>
      <c r="B18" s="27"/>
      <c r="C18" s="200"/>
      <c r="D18" s="200"/>
      <c r="E18" s="200"/>
      <c r="F18" s="200"/>
      <c r="G18" s="200"/>
      <c r="H18" s="133"/>
      <c r="I18" s="133"/>
      <c r="J18" s="133"/>
      <c r="K18" s="133"/>
      <c r="L18" s="133"/>
      <c r="M18" s="133"/>
      <c r="N18" s="133"/>
      <c r="O18" s="133"/>
      <c r="P18" s="133"/>
      <c r="Q18" s="27"/>
      <c r="R18" s="27"/>
      <c r="S18" s="27"/>
      <c r="T18" s="27"/>
      <c r="U18" s="27"/>
      <c r="V18" s="27"/>
      <c r="W18" s="27"/>
      <c r="X18" s="27"/>
    </row>
    <row r="19" spans="1:24" x14ac:dyDescent="0.2">
      <c r="A19" s="27"/>
      <c r="B19" s="27"/>
      <c r="C19" s="200"/>
      <c r="D19" s="200"/>
      <c r="E19" s="200"/>
      <c r="F19" s="200"/>
      <c r="G19" s="200"/>
      <c r="H19" s="133"/>
      <c r="I19" s="133"/>
      <c r="J19" s="133"/>
      <c r="K19" s="133"/>
      <c r="L19" s="133"/>
      <c r="M19" s="133"/>
      <c r="N19" s="133"/>
      <c r="O19" s="133"/>
      <c r="P19" s="133"/>
      <c r="Q19" s="27"/>
      <c r="R19" s="27"/>
      <c r="S19" s="27"/>
      <c r="T19" s="27"/>
      <c r="U19" s="27"/>
      <c r="V19" s="27"/>
      <c r="W19" s="27"/>
      <c r="X19" s="27"/>
    </row>
    <row r="20" spans="1:24" x14ac:dyDescent="0.2">
      <c r="A20" s="27"/>
      <c r="B20" s="27"/>
      <c r="C20" s="200"/>
      <c r="D20" s="200"/>
      <c r="E20" s="200"/>
      <c r="F20" s="200"/>
      <c r="G20" s="200"/>
      <c r="H20" s="133"/>
      <c r="I20" s="133"/>
      <c r="J20" s="133"/>
      <c r="K20" s="133"/>
      <c r="L20" s="133"/>
      <c r="M20" s="133"/>
      <c r="N20" s="133"/>
      <c r="O20" s="133"/>
      <c r="P20" s="133"/>
      <c r="Q20" s="27"/>
      <c r="R20" s="27"/>
      <c r="S20" s="27"/>
      <c r="T20" s="27"/>
      <c r="U20" s="27"/>
      <c r="V20" s="27"/>
      <c r="W20" s="27"/>
      <c r="X20" s="27"/>
    </row>
    <row r="21" spans="1:24" x14ac:dyDescent="0.2">
      <c r="A21" s="27"/>
      <c r="B21" s="27"/>
      <c r="C21" s="200"/>
      <c r="D21" s="200"/>
      <c r="E21" s="200"/>
      <c r="F21" s="200"/>
      <c r="G21" s="200"/>
      <c r="H21" s="133"/>
      <c r="I21" s="133"/>
      <c r="J21" s="133"/>
      <c r="K21" s="133"/>
      <c r="L21" s="133"/>
      <c r="M21" s="133"/>
      <c r="N21" s="133"/>
      <c r="O21" s="133"/>
      <c r="P21" s="133"/>
      <c r="Q21" s="27"/>
      <c r="R21" s="27"/>
      <c r="S21" s="27"/>
      <c r="T21" s="27"/>
      <c r="U21" s="27"/>
      <c r="V21" s="27"/>
      <c r="W21" s="27"/>
      <c r="X21" s="27"/>
    </row>
    <row r="22" spans="1:24" x14ac:dyDescent="0.2">
      <c r="A22" s="27"/>
      <c r="B22" s="27"/>
      <c r="C22" s="200"/>
      <c r="D22" s="200"/>
      <c r="E22" s="200"/>
      <c r="F22" s="200"/>
      <c r="G22" s="200"/>
      <c r="H22" s="133"/>
      <c r="I22" s="133"/>
      <c r="J22" s="133"/>
      <c r="K22" s="133"/>
      <c r="L22" s="133"/>
      <c r="M22" s="133"/>
      <c r="N22" s="133"/>
      <c r="O22" s="133"/>
      <c r="P22" s="133"/>
      <c r="Q22" s="27"/>
      <c r="R22" s="27"/>
      <c r="S22" s="27"/>
      <c r="T22" s="27"/>
      <c r="U22" s="27"/>
      <c r="V22" s="27"/>
      <c r="W22" s="27"/>
      <c r="X22" s="27"/>
    </row>
  </sheetData>
  <sheetProtection selectLockedCells="1"/>
  <mergeCells count="21">
    <mergeCell ref="W8:X8"/>
    <mergeCell ref="A1:B3"/>
    <mergeCell ref="A5:X5"/>
    <mergeCell ref="A6:B6"/>
    <mergeCell ref="A7:B7"/>
    <mergeCell ref="C8:C9"/>
    <mergeCell ref="D8:D9"/>
    <mergeCell ref="C1:W3"/>
    <mergeCell ref="C6:R6"/>
    <mergeCell ref="H8:I8"/>
    <mergeCell ref="N8:O8"/>
    <mergeCell ref="Q8:R8"/>
    <mergeCell ref="K8:L8"/>
    <mergeCell ref="T8:U8"/>
    <mergeCell ref="C7:U7"/>
    <mergeCell ref="A12:B12"/>
    <mergeCell ref="A11:B11"/>
    <mergeCell ref="A8:A9"/>
    <mergeCell ref="B8:B9"/>
    <mergeCell ref="F8:F9"/>
    <mergeCell ref="A10:B10"/>
  </mergeCells>
  <conditionalFormatting sqref="X7">
    <cfRule type="containsText" dxfId="82" priority="17" operator="containsText" text="Sin Seguimientos">
      <formula>NOT(ISERROR(SEARCH("Sin Seguimientos",X7)))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A4B254BA-EDFA-46FB-92D3-91019EB13944}">
            <xm:f>VALORACIÓN!$D$10</xm:f>
            <x14:dxf>
              <font>
                <color auto="1"/>
              </font>
              <fill>
                <patternFill patternType="lightGrid">
                  <fgColor theme="0" tint="-4.9989318521683403E-2"/>
                  <bgColor theme="0"/>
                </patternFill>
              </fill>
            </x14:dxf>
          </x14:cfRule>
          <x14:cfRule type="cellIs" priority="16" operator="equal" id="{5B274FA5-07C4-4B6C-B98E-FCE3D7F466CA}">
            <xm:f>VALORACIÓN!$D$10</xm:f>
            <x14:dxf>
              <fill>
                <patternFill patternType="lightGrid">
                  <fgColor theme="0" tint="-4.9989318521683403E-2"/>
                </patternFill>
              </fill>
            </x14:dxf>
          </x14:cfRule>
          <xm:sqref>Q10:S11 F12:J12 N12:S12</xm:sqref>
        </x14:conditionalFormatting>
        <x14:conditionalFormatting xmlns:xm="http://schemas.microsoft.com/office/excel/2006/main">
          <x14:cfRule type="cellIs" priority="13" operator="notEqual" id="{D127A4EC-2D28-4215-9B5B-04D1B01697F2}">
            <xm:f>VALORACIÓN!$D$10</xm:f>
            <x14:dxf>
              <font>
                <color auto="1"/>
              </font>
              <fill>
                <patternFill patternType="lightGrid">
                  <fgColor theme="0" tint="-4.9989318521683403E-2"/>
                  <bgColor theme="0"/>
                </patternFill>
              </fill>
            </x14:dxf>
          </x14:cfRule>
          <x14:cfRule type="cellIs" priority="14" operator="equal" id="{97073614-0EF5-4F38-B50E-A3EB75CA43A7}">
            <xm:f>VALORACIÓN!$D$10</xm:f>
            <x14:dxf>
              <fill>
                <patternFill patternType="lightGrid">
                  <fgColor theme="0" tint="-4.9989318521683403E-2"/>
                </patternFill>
              </fill>
            </x14:dxf>
          </x14:cfRule>
          <xm:sqref>F10:G11</xm:sqref>
        </x14:conditionalFormatting>
        <x14:conditionalFormatting xmlns:xm="http://schemas.microsoft.com/office/excel/2006/main">
          <x14:cfRule type="cellIs" priority="11" operator="notEqual" id="{227E2FF6-6290-4653-B317-25166AEBE7B1}">
            <xm:f>VALORACIÓN!$D$10</xm:f>
            <x14:dxf>
              <font>
                <color auto="1"/>
              </font>
              <fill>
                <patternFill patternType="lightGrid">
                  <fgColor theme="0" tint="-4.9989318521683403E-2"/>
                  <bgColor theme="0"/>
                </patternFill>
              </fill>
            </x14:dxf>
          </x14:cfRule>
          <x14:cfRule type="cellIs" priority="12" operator="equal" id="{CDDBFD7E-2937-495F-8F4D-4E890C8F737E}">
            <xm:f>VALORACIÓN!$D$10</xm:f>
            <x14:dxf>
              <fill>
                <patternFill patternType="lightGrid">
                  <fgColor theme="0" tint="-4.9989318521683403E-2"/>
                </patternFill>
              </fill>
            </x14:dxf>
          </x14:cfRule>
          <xm:sqref>H10:J11</xm:sqref>
        </x14:conditionalFormatting>
        <x14:conditionalFormatting xmlns:xm="http://schemas.microsoft.com/office/excel/2006/main">
          <x14:cfRule type="cellIs" priority="9" operator="notEqual" id="{880CD3D3-BA37-4D20-8BB8-AF4410838534}">
            <xm:f>VALORACIÓN!$D$10</xm:f>
            <x14:dxf>
              <font>
                <color auto="1"/>
              </font>
              <fill>
                <patternFill patternType="lightGrid">
                  <fgColor theme="0" tint="-4.9989318521683403E-2"/>
                  <bgColor theme="0"/>
                </patternFill>
              </fill>
            </x14:dxf>
          </x14:cfRule>
          <x14:cfRule type="cellIs" priority="10" operator="equal" id="{A58F4E4A-D386-4C41-8E45-0592824FE6C2}">
            <xm:f>VALORACIÓN!$D$10</xm:f>
            <x14:dxf>
              <fill>
                <patternFill patternType="lightGrid">
                  <fgColor theme="0" tint="-4.9989318521683403E-2"/>
                </patternFill>
              </fill>
            </x14:dxf>
          </x14:cfRule>
          <xm:sqref>N10:P11</xm:sqref>
        </x14:conditionalFormatting>
        <x14:conditionalFormatting xmlns:xm="http://schemas.microsoft.com/office/excel/2006/main">
          <x14:cfRule type="cellIs" priority="7" operator="notEqual" id="{4BC1F1B1-B4AA-4686-9505-8A153750E292}">
            <xm:f>VALORACIÓN!$D$10</xm:f>
            <x14:dxf>
              <font>
                <color auto="1"/>
              </font>
              <fill>
                <patternFill patternType="lightGrid">
                  <fgColor theme="0" tint="-4.9989318521683403E-2"/>
                  <bgColor theme="0"/>
                </patternFill>
              </fill>
            </x14:dxf>
          </x14:cfRule>
          <x14:cfRule type="cellIs" priority="8" operator="equal" id="{9532A820-35A4-46C0-8555-61F7DB969A51}">
            <xm:f>VALORACIÓN!$D$10</xm:f>
            <x14:dxf>
              <fill>
                <patternFill patternType="lightGrid">
                  <fgColor theme="0" tint="-4.9989318521683403E-2"/>
                </patternFill>
              </fill>
            </x14:dxf>
          </x14:cfRule>
          <xm:sqref>C10:E12</xm:sqref>
        </x14:conditionalFormatting>
        <x14:conditionalFormatting xmlns:xm="http://schemas.microsoft.com/office/excel/2006/main">
          <x14:cfRule type="cellIs" priority="5" operator="notEqual" id="{C895EC7D-A3E7-48AC-98FD-B580E0A79794}">
            <xm:f>VALORACIÓN!$D$10</xm:f>
            <x14:dxf>
              <font>
                <color auto="1"/>
              </font>
              <fill>
                <patternFill patternType="lightGrid">
                  <fgColor theme="0" tint="-4.9989318521683403E-2"/>
                  <bgColor theme="0"/>
                </patternFill>
              </fill>
            </x14:dxf>
          </x14:cfRule>
          <x14:cfRule type="cellIs" priority="6" operator="equal" id="{1DBDF171-79A6-48EA-B4F1-7EC305535A2C}">
            <xm:f>VALORACIÓN!$D$10</xm:f>
            <x14:dxf>
              <fill>
                <patternFill patternType="lightGrid">
                  <fgColor theme="0" tint="-4.9989318521683403E-2"/>
                </patternFill>
              </fill>
            </x14:dxf>
          </x14:cfRule>
          <xm:sqref>K12:M12</xm:sqref>
        </x14:conditionalFormatting>
        <x14:conditionalFormatting xmlns:xm="http://schemas.microsoft.com/office/excel/2006/main">
          <x14:cfRule type="cellIs" priority="3" operator="notEqual" id="{FCF07202-1FA2-40F3-B259-A4B35AB83F16}">
            <xm:f>VALORACIÓN!$D$10</xm:f>
            <x14:dxf>
              <font>
                <color auto="1"/>
              </font>
              <fill>
                <patternFill patternType="lightGrid">
                  <fgColor theme="0" tint="-4.9989318521683403E-2"/>
                  <bgColor theme="0"/>
                </patternFill>
              </fill>
            </x14:dxf>
          </x14:cfRule>
          <x14:cfRule type="cellIs" priority="4" operator="equal" id="{A23F3E73-D45F-46CE-B4A9-922C2989529F}">
            <xm:f>VALORACIÓN!$D$10</xm:f>
            <x14:dxf>
              <fill>
                <patternFill patternType="lightGrid">
                  <fgColor theme="0" tint="-4.9989318521683403E-2"/>
                </patternFill>
              </fill>
            </x14:dxf>
          </x14:cfRule>
          <xm:sqref>K10:M11</xm:sqref>
        </x14:conditionalFormatting>
        <x14:conditionalFormatting xmlns:xm="http://schemas.microsoft.com/office/excel/2006/main">
          <x14:cfRule type="cellIs" priority="1" operator="notEqual" id="{A39F58B9-D716-4D1A-9E6B-89C1EA2E29AF}">
            <xm:f>VALORACIÓN!$D$10</xm:f>
            <x14:dxf>
              <font>
                <color auto="1"/>
              </font>
              <fill>
                <patternFill patternType="lightGrid">
                  <fgColor theme="0" tint="-4.9989318521683403E-2"/>
                  <bgColor theme="0"/>
                </patternFill>
              </fill>
            </x14:dxf>
          </x14:cfRule>
          <x14:cfRule type="cellIs" priority="2" operator="equal" id="{EFC5876C-EA89-49F6-B4D0-096005E2644C}">
            <xm:f>VALORACIÓN!$D$10</xm:f>
            <x14:dxf>
              <fill>
                <patternFill patternType="lightGrid">
                  <fgColor theme="0" tint="-4.9989318521683403E-2"/>
                </patternFill>
              </fill>
            </x14:dxf>
          </x14:cfRule>
          <xm:sqref>T10:V12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X22"/>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W6" sqref="W6"/>
    </sheetView>
  </sheetViews>
  <sheetFormatPr baseColWidth="10" defaultRowHeight="15" x14ac:dyDescent="0.2"/>
  <cols>
    <col min="1" max="1" width="19.21875" customWidth="1"/>
    <col min="2" max="2" width="12.44140625" customWidth="1"/>
    <col min="3" max="4" width="7.44140625" style="201" customWidth="1"/>
    <col min="5" max="5" width="0.21875" style="201" customWidth="1"/>
    <col min="6" max="6" width="5.5546875" style="201" customWidth="1"/>
    <col min="7" max="7" width="0.21875" style="201" customWidth="1"/>
    <col min="8" max="9" width="4.6640625" style="96" customWidth="1"/>
    <col min="10" max="10" width="0.21875" style="96" customWidth="1"/>
    <col min="11" max="12" width="4.88671875" style="96" customWidth="1"/>
    <col min="13" max="13" width="0.21875" style="96" customWidth="1"/>
    <col min="14" max="15" width="5" style="96" customWidth="1"/>
    <col min="16" max="16" width="0.21875" style="96" customWidth="1"/>
    <col min="17" max="18" width="5.33203125" customWidth="1"/>
    <col min="19" max="19" width="0.21875" customWidth="1"/>
    <col min="20" max="20" width="5.109375" customWidth="1"/>
    <col min="21" max="21" width="4.6640625" customWidth="1"/>
    <col min="22" max="22" width="0.21875" customWidth="1"/>
    <col min="23" max="23" width="18.33203125" customWidth="1"/>
    <col min="24" max="24" width="22.5546875" customWidth="1"/>
  </cols>
  <sheetData>
    <row r="1" spans="1:24" ht="15" customHeight="1" x14ac:dyDescent="0.2">
      <c r="A1" s="437" t="s">
        <v>145</v>
      </c>
      <c r="B1" s="437"/>
      <c r="C1" s="646" t="s">
        <v>206</v>
      </c>
      <c r="D1" s="647"/>
      <c r="E1" s="647"/>
      <c r="F1" s="647"/>
      <c r="G1" s="647"/>
      <c r="H1" s="647"/>
      <c r="I1" s="647"/>
      <c r="J1" s="647"/>
      <c r="K1" s="647"/>
      <c r="L1" s="647"/>
      <c r="M1" s="647"/>
      <c r="N1" s="647"/>
      <c r="O1" s="647"/>
      <c r="P1" s="647"/>
      <c r="Q1" s="647"/>
      <c r="R1" s="647"/>
      <c r="S1" s="647"/>
      <c r="T1" s="647"/>
      <c r="U1" s="647"/>
      <c r="V1" s="647"/>
      <c r="W1" s="648"/>
      <c r="X1" s="182" t="s">
        <v>71</v>
      </c>
    </row>
    <row r="2" spans="1:24" ht="15" customHeight="1" x14ac:dyDescent="0.2">
      <c r="A2" s="437"/>
      <c r="B2" s="437"/>
      <c r="C2" s="649"/>
      <c r="D2" s="650"/>
      <c r="E2" s="650"/>
      <c r="F2" s="650"/>
      <c r="G2" s="650"/>
      <c r="H2" s="650"/>
      <c r="I2" s="650"/>
      <c r="J2" s="650"/>
      <c r="K2" s="650"/>
      <c r="L2" s="650"/>
      <c r="M2" s="650"/>
      <c r="N2" s="650"/>
      <c r="O2" s="650"/>
      <c r="P2" s="650"/>
      <c r="Q2" s="650"/>
      <c r="R2" s="650"/>
      <c r="S2" s="650"/>
      <c r="T2" s="650"/>
      <c r="U2" s="650"/>
      <c r="V2" s="650"/>
      <c r="W2" s="651"/>
      <c r="X2" s="182" t="s">
        <v>107</v>
      </c>
    </row>
    <row r="3" spans="1:24" ht="15" customHeight="1" x14ac:dyDescent="0.2">
      <c r="A3" s="437"/>
      <c r="B3" s="437"/>
      <c r="C3" s="652"/>
      <c r="D3" s="653"/>
      <c r="E3" s="653"/>
      <c r="F3" s="653"/>
      <c r="G3" s="653"/>
      <c r="H3" s="653"/>
      <c r="I3" s="653"/>
      <c r="J3" s="653"/>
      <c r="K3" s="653"/>
      <c r="L3" s="653"/>
      <c r="M3" s="653"/>
      <c r="N3" s="653"/>
      <c r="O3" s="653"/>
      <c r="P3" s="653"/>
      <c r="Q3" s="653"/>
      <c r="R3" s="653"/>
      <c r="S3" s="653"/>
      <c r="T3" s="653"/>
      <c r="U3" s="653"/>
      <c r="V3" s="653"/>
      <c r="W3" s="654"/>
      <c r="X3" s="182" t="s">
        <v>408</v>
      </c>
    </row>
    <row r="4" spans="1:24" ht="3.75" customHeight="1" x14ac:dyDescent="0.2">
      <c r="A4" s="33"/>
      <c r="B4" s="34"/>
      <c r="C4" s="198"/>
      <c r="D4" s="198"/>
      <c r="E4" s="198"/>
      <c r="F4" s="198"/>
      <c r="G4" s="198"/>
      <c r="H4" s="291"/>
      <c r="I4" s="290"/>
      <c r="J4" s="290"/>
      <c r="K4" s="291"/>
      <c r="L4" s="290"/>
      <c r="M4" s="290"/>
      <c r="N4" s="290"/>
      <c r="O4" s="290"/>
      <c r="P4" s="290"/>
      <c r="Q4" s="290"/>
      <c r="R4" s="290"/>
      <c r="S4" s="290"/>
      <c r="T4" s="290"/>
      <c r="U4" s="290"/>
      <c r="V4" s="290"/>
      <c r="W4" s="49"/>
      <c r="X4" s="49"/>
    </row>
    <row r="5" spans="1:24" ht="15.75" x14ac:dyDescent="0.2">
      <c r="A5" s="439" t="s">
        <v>184</v>
      </c>
      <c r="B5" s="439"/>
      <c r="C5" s="439"/>
      <c r="D5" s="439"/>
      <c r="E5" s="439"/>
      <c r="F5" s="439"/>
      <c r="G5" s="439"/>
      <c r="H5" s="439"/>
      <c r="I5" s="523"/>
      <c r="J5" s="523"/>
      <c r="K5" s="523"/>
      <c r="L5" s="523"/>
      <c r="M5" s="523"/>
      <c r="N5" s="523"/>
      <c r="O5" s="523"/>
      <c r="P5" s="523"/>
      <c r="Q5" s="523"/>
      <c r="R5" s="523"/>
      <c r="S5" s="523"/>
      <c r="T5" s="523"/>
      <c r="U5" s="523"/>
      <c r="V5" s="523"/>
      <c r="W5" s="523"/>
      <c r="X5" s="523"/>
    </row>
    <row r="6" spans="1:24" ht="15.75" customHeight="1" x14ac:dyDescent="0.2">
      <c r="A6" s="489" t="str">
        <f>'CONTEXTO ESTRATEGICO'!A7</f>
        <v>INSTITUCIONAL</v>
      </c>
      <c r="B6" s="489"/>
      <c r="C6" s="579" t="str">
        <f>'SEGUIMIENTO Y MONITOREO'!C6</f>
        <v>Mapa de Riesgo Institucional</v>
      </c>
      <c r="D6" s="580"/>
      <c r="E6" s="580"/>
      <c r="F6" s="580"/>
      <c r="G6" s="580"/>
      <c r="H6" s="580"/>
      <c r="I6" s="580"/>
      <c r="J6" s="580"/>
      <c r="K6" s="580"/>
      <c r="L6" s="580"/>
      <c r="M6" s="580"/>
      <c r="N6" s="580"/>
      <c r="O6" s="580"/>
      <c r="P6" s="580"/>
      <c r="Q6" s="580"/>
      <c r="R6" s="580"/>
      <c r="S6" s="294"/>
      <c r="T6" s="294"/>
      <c r="U6" s="294"/>
      <c r="V6" s="294"/>
      <c r="W6" s="302" t="str">
        <f>'SEGUIMIENTO Y MONITOREO'!E6</f>
        <v>Fecha de Actualización (AAAA/MM/DD)</v>
      </c>
      <c r="X6" s="171">
        <f>'SEGUIMIENTO Y MONITOREO'!H6</f>
        <v>42443</v>
      </c>
    </row>
    <row r="7" spans="1:24" ht="15.75" customHeight="1" x14ac:dyDescent="0.2">
      <c r="A7" s="489"/>
      <c r="B7" s="489"/>
      <c r="C7" s="622" t="s">
        <v>372</v>
      </c>
      <c r="D7" s="623"/>
      <c r="E7" s="623"/>
      <c r="F7" s="623"/>
      <c r="G7" s="623"/>
      <c r="H7" s="623"/>
      <c r="I7" s="623"/>
      <c r="J7" s="623"/>
      <c r="K7" s="623"/>
      <c r="L7" s="623"/>
      <c r="M7" s="623"/>
      <c r="N7" s="623"/>
      <c r="O7" s="623"/>
      <c r="P7" s="623"/>
      <c r="Q7" s="623"/>
      <c r="R7" s="623"/>
      <c r="S7" s="623"/>
      <c r="T7" s="623"/>
      <c r="U7" s="624"/>
      <c r="V7" s="209"/>
      <c r="W7" s="303" t="s">
        <v>185</v>
      </c>
      <c r="X7" s="172">
        <f>'SEGUIMIENTO Y MONITOREO'!$AX$7</f>
        <v>42613</v>
      </c>
    </row>
    <row r="8" spans="1:24" ht="25.5" customHeight="1" x14ac:dyDescent="0.2">
      <c r="A8" s="666" t="s">
        <v>286</v>
      </c>
      <c r="B8" s="668">
        <f>COUNTA(IDENTIFICACIÓN!D38:D71)</f>
        <v>34</v>
      </c>
      <c r="C8" s="670" t="s">
        <v>292</v>
      </c>
      <c r="D8" s="670" t="s">
        <v>293</v>
      </c>
      <c r="E8" s="297"/>
      <c r="F8" s="670" t="s">
        <v>288</v>
      </c>
      <c r="G8" s="297"/>
      <c r="H8" s="674" t="s">
        <v>289</v>
      </c>
      <c r="I8" s="674"/>
      <c r="J8" s="299"/>
      <c r="K8" s="674" t="s">
        <v>343</v>
      </c>
      <c r="L8" s="674"/>
      <c r="M8" s="299"/>
      <c r="N8" s="675" t="s">
        <v>291</v>
      </c>
      <c r="O8" s="676"/>
      <c r="P8" s="205"/>
      <c r="Q8" s="677" t="s">
        <v>290</v>
      </c>
      <c r="R8" s="677"/>
      <c r="S8" s="210"/>
      <c r="T8" s="677" t="s">
        <v>344</v>
      </c>
      <c r="U8" s="677"/>
      <c r="V8" s="210"/>
      <c r="W8" s="673"/>
      <c r="X8" s="673"/>
    </row>
    <row r="9" spans="1:24" ht="12.75" customHeight="1" x14ac:dyDescent="0.2">
      <c r="A9" s="667"/>
      <c r="B9" s="669"/>
      <c r="C9" s="670"/>
      <c r="D9" s="670"/>
      <c r="E9" s="297"/>
      <c r="F9" s="670"/>
      <c r="G9" s="297"/>
      <c r="H9" s="298" t="s">
        <v>11</v>
      </c>
      <c r="I9" s="298" t="s">
        <v>10</v>
      </c>
      <c r="J9" s="298"/>
      <c r="K9" s="298" t="s">
        <v>342</v>
      </c>
      <c r="L9" s="298" t="s">
        <v>341</v>
      </c>
      <c r="M9" s="298"/>
      <c r="N9" s="298" t="s">
        <v>11</v>
      </c>
      <c r="O9" s="298" t="s">
        <v>10</v>
      </c>
      <c r="P9" s="298"/>
      <c r="Q9" s="301" t="s">
        <v>11</v>
      </c>
      <c r="R9" s="301" t="s">
        <v>10</v>
      </c>
      <c r="S9" s="210"/>
      <c r="T9" s="301" t="s">
        <v>11</v>
      </c>
      <c r="U9" s="301" t="s">
        <v>10</v>
      </c>
      <c r="V9" s="210"/>
      <c r="W9" s="296"/>
      <c r="X9" s="296"/>
    </row>
    <row r="10" spans="1:24" ht="18.75" customHeight="1" x14ac:dyDescent="0.2">
      <c r="A10" s="671" t="s">
        <v>284</v>
      </c>
      <c r="B10" s="672"/>
      <c r="C10" s="199">
        <f>COUNTIF(VALORACIÓN!$BH$95:$BH$196,"P")</f>
        <v>51</v>
      </c>
      <c r="D10" s="199">
        <f>COUNTIF(VALORACIÓN!$BH$95:$BH$196,"C")</f>
        <v>2</v>
      </c>
      <c r="E10" s="199">
        <f>C12/F12</f>
        <v>0.96296296296296291</v>
      </c>
      <c r="F10" s="403">
        <f>COUNTIF(VALORACIÓN!$N$95:$N$196,30)</f>
        <v>53</v>
      </c>
      <c r="G10" s="203">
        <f>F10/$F$12</f>
        <v>0.98148148148148151</v>
      </c>
      <c r="H10" s="199">
        <f>COUNTIF(VALORACIÓN!$BB$95:$BB$196,"SI")</f>
        <v>45</v>
      </c>
      <c r="I10" s="199">
        <f>COUNTIF(VALORACIÓN!$BB$95:$BB$196,"NO")</f>
        <v>8</v>
      </c>
      <c r="J10" s="199">
        <f>H12/F12</f>
        <v>0.83333333333333337</v>
      </c>
      <c r="K10" s="199">
        <f>COUNTIF(VALORACIÓN!$BJ$95:$BJ$196,"A")</f>
        <v>5</v>
      </c>
      <c r="L10" s="199">
        <f>COUNTIF(VALORACIÓN!$BJ$95:$BJ$196,"M")</f>
        <v>48</v>
      </c>
      <c r="M10" s="199">
        <f>K12/F12</f>
        <v>9.2592592592592587E-2</v>
      </c>
      <c r="N10" s="199">
        <f>COUNTIF(VALORACIÓN!$BD$95:$BD$196,"SI")</f>
        <v>53</v>
      </c>
      <c r="O10" s="199">
        <f>COUNTIF(VALORACIÓN!$BD$95:$BD$196,"NO")</f>
        <v>0</v>
      </c>
      <c r="P10" s="199">
        <f>N12/F12</f>
        <v>1</v>
      </c>
      <c r="Q10" s="199">
        <f>COUNTIF(VALORACIÓN!$BF$95:$BF$196,"SI")</f>
        <v>50</v>
      </c>
      <c r="R10" s="199">
        <f>COUNTIF(VALORACIÓN!$BF$95:$BF$196,"NO")</f>
        <v>3</v>
      </c>
      <c r="S10" s="211">
        <f>Q12/$F12</f>
        <v>0.92592592592592593</v>
      </c>
      <c r="T10" s="199">
        <f>COUNTIF(VALORACIÓN!$BL$95:$BL$196,"SI")</f>
        <v>49</v>
      </c>
      <c r="U10" s="199">
        <f>COUNTIF(VALORACIÓN!$BL$95:$BL$196,"NO")</f>
        <v>4</v>
      </c>
      <c r="V10" s="211">
        <f>T12/$F12</f>
        <v>0.90740740740740744</v>
      </c>
      <c r="W10" s="184"/>
      <c r="X10" s="184"/>
    </row>
    <row r="11" spans="1:24" ht="18.75" customHeight="1" x14ac:dyDescent="0.2">
      <c r="A11" s="664" t="s">
        <v>285</v>
      </c>
      <c r="B11" s="665"/>
      <c r="C11" s="199">
        <f>COUNTIF(VALORACIÓN!$BI$95:$BI$196,"P")</f>
        <v>1</v>
      </c>
      <c r="D11" s="199">
        <f>COUNTIF(VALORACIÓN!$BI$95:$BI$196,"C")</f>
        <v>0</v>
      </c>
      <c r="E11" s="199">
        <f>D12/F12</f>
        <v>3.7037037037037035E-2</v>
      </c>
      <c r="F11" s="403">
        <f>COUNTIF(VALORACIÓN!$N$95:$N$196,0)</f>
        <v>1</v>
      </c>
      <c r="G11" s="203">
        <f>F11/$F$12</f>
        <v>1.8518518518518517E-2</v>
      </c>
      <c r="H11" s="199">
        <f>COUNTIF(VALORACIÓN!$BC$95:$BC$196,"SI")</f>
        <v>0</v>
      </c>
      <c r="I11" s="199">
        <f>COUNTIF(VALORACIÓN!$BC$95:$BC$196,"NO")</f>
        <v>1</v>
      </c>
      <c r="J11" s="199">
        <f>I12/F12</f>
        <v>0.16666666666666666</v>
      </c>
      <c r="K11" s="199">
        <f>COUNTIF(VALORACIÓN!$BK$95:$BK$196,"A")</f>
        <v>0</v>
      </c>
      <c r="L11" s="199">
        <f>COUNTIF(VALORACIÓN!$BK$95:$BK$196,"M")</f>
        <v>1</v>
      </c>
      <c r="M11" s="199">
        <f>L12/F12</f>
        <v>0.90740740740740744</v>
      </c>
      <c r="N11" s="199">
        <f>COUNTIF(VALORACIÓN!$BE$95:$BE$196,"SI")</f>
        <v>1</v>
      </c>
      <c r="O11" s="199">
        <f>COUNTIF(VALORACIÓN!$BE$95:$BE$196,"NO")</f>
        <v>0</v>
      </c>
      <c r="P11" s="199">
        <f>O12/F12</f>
        <v>0</v>
      </c>
      <c r="Q11" s="199">
        <f>COUNTIF(VALORACIÓN!$BG$95:$BG$196,"SI")</f>
        <v>0</v>
      </c>
      <c r="R11" s="199">
        <f>COUNTIF(VALORACIÓN!$BG$95:$BG$196,"NO")</f>
        <v>1</v>
      </c>
      <c r="S11" s="211">
        <f>R12/$F12</f>
        <v>7.407407407407407E-2</v>
      </c>
      <c r="T11" s="199">
        <f>COUNTIF(VALORACIÓN!$BM$95:$BM$196,"SI")</f>
        <v>0</v>
      </c>
      <c r="U11" s="199">
        <f>COUNTIF(VALORACIÓN!$BM$95:$BM$196,"NO")</f>
        <v>1</v>
      </c>
      <c r="V11" s="211">
        <f>U12/$F12</f>
        <v>9.2592592592592587E-2</v>
      </c>
      <c r="W11" s="184"/>
      <c r="X11" s="184"/>
    </row>
    <row r="12" spans="1:24" ht="15" customHeight="1" x14ac:dyDescent="0.2">
      <c r="A12" s="663" t="s">
        <v>294</v>
      </c>
      <c r="B12" s="663"/>
      <c r="C12" s="403">
        <f>SUM(C10:C11)</f>
        <v>52</v>
      </c>
      <c r="D12" s="403">
        <f t="shared" ref="D12" si="0">SUM(D10:D11)</f>
        <v>2</v>
      </c>
      <c r="E12" s="403"/>
      <c r="F12" s="403">
        <f>SUM(F10:F11)</f>
        <v>54</v>
      </c>
      <c r="G12" s="404"/>
      <c r="H12" s="403">
        <f t="shared" ref="H12:R12" si="1">SUM(H10:H11)</f>
        <v>45</v>
      </c>
      <c r="I12" s="403">
        <f t="shared" si="1"/>
        <v>9</v>
      </c>
      <c r="J12" s="403"/>
      <c r="K12" s="403">
        <f t="shared" ref="K12:L12" si="2">SUM(K10:K11)</f>
        <v>5</v>
      </c>
      <c r="L12" s="403">
        <f t="shared" si="2"/>
        <v>49</v>
      </c>
      <c r="M12" s="403"/>
      <c r="N12" s="403">
        <f t="shared" si="1"/>
        <v>54</v>
      </c>
      <c r="O12" s="403">
        <f t="shared" si="1"/>
        <v>0</v>
      </c>
      <c r="P12" s="403"/>
      <c r="Q12" s="403">
        <f t="shared" si="1"/>
        <v>50</v>
      </c>
      <c r="R12" s="403">
        <f t="shared" si="1"/>
        <v>4</v>
      </c>
      <c r="S12" s="405"/>
      <c r="T12" s="403">
        <f t="shared" ref="T12:U12" si="3">SUM(T10:T11)</f>
        <v>49</v>
      </c>
      <c r="U12" s="403">
        <f t="shared" si="3"/>
        <v>5</v>
      </c>
      <c r="V12" s="211"/>
      <c r="W12" s="184"/>
      <c r="X12" s="184"/>
    </row>
    <row r="13" spans="1:24" x14ac:dyDescent="0.2">
      <c r="A13" s="27"/>
      <c r="B13" s="27"/>
      <c r="C13" s="200"/>
      <c r="D13" s="200"/>
      <c r="E13" s="200"/>
      <c r="F13" s="200"/>
      <c r="G13" s="200"/>
      <c r="H13" s="133"/>
      <c r="I13" s="133"/>
      <c r="J13" s="133"/>
      <c r="K13" s="133"/>
      <c r="L13" s="133"/>
      <c r="M13" s="133"/>
      <c r="N13" s="133"/>
      <c r="O13" s="133"/>
      <c r="P13" s="133"/>
      <c r="Q13" s="27"/>
      <c r="R13" s="27"/>
      <c r="S13" s="27"/>
      <c r="T13" s="27"/>
      <c r="U13" s="27"/>
      <c r="V13" s="27"/>
      <c r="W13" s="27"/>
      <c r="X13" s="27"/>
    </row>
    <row r="14" spans="1:24" x14ac:dyDescent="0.2">
      <c r="A14" s="27"/>
      <c r="B14" s="27"/>
      <c r="C14" s="200"/>
      <c r="D14" s="200"/>
      <c r="E14" s="200"/>
      <c r="F14" s="200"/>
      <c r="G14" s="200"/>
      <c r="H14" s="133"/>
      <c r="I14" s="133"/>
      <c r="J14" s="133"/>
      <c r="K14" s="133"/>
      <c r="L14" s="133"/>
      <c r="M14" s="133"/>
      <c r="N14" s="133"/>
      <c r="O14" s="133"/>
      <c r="P14" s="133"/>
      <c r="Q14" s="27"/>
      <c r="R14" s="27"/>
      <c r="S14" s="27"/>
      <c r="T14" s="27"/>
      <c r="U14" s="27"/>
      <c r="V14" s="27"/>
      <c r="W14" s="27"/>
      <c r="X14" s="27"/>
    </row>
    <row r="15" spans="1:24" x14ac:dyDescent="0.2">
      <c r="A15" s="27"/>
      <c r="B15" s="27"/>
      <c r="C15" s="200"/>
      <c r="D15" s="200"/>
      <c r="E15" s="200"/>
      <c r="F15" s="200"/>
      <c r="G15" s="200"/>
      <c r="H15" s="133"/>
      <c r="I15" s="133"/>
      <c r="J15" s="133"/>
      <c r="K15" s="133"/>
      <c r="L15" s="133"/>
      <c r="M15" s="133"/>
      <c r="N15" s="133"/>
      <c r="O15" s="133"/>
      <c r="P15" s="133"/>
      <c r="Q15" s="27"/>
      <c r="R15" s="27"/>
      <c r="S15" s="27"/>
      <c r="T15" s="27"/>
      <c r="U15" s="27"/>
      <c r="V15" s="27"/>
      <c r="W15" s="27"/>
      <c r="X15" s="27"/>
    </row>
    <row r="16" spans="1:24" x14ac:dyDescent="0.2">
      <c r="A16" s="27"/>
      <c r="B16" s="27"/>
      <c r="C16" s="200"/>
      <c r="D16" s="200"/>
      <c r="E16" s="200"/>
      <c r="F16" s="200"/>
      <c r="G16" s="200"/>
      <c r="H16" s="133"/>
      <c r="I16" s="133"/>
      <c r="J16" s="133"/>
      <c r="K16" s="133"/>
      <c r="L16" s="133"/>
      <c r="M16" s="133"/>
      <c r="N16" s="133"/>
      <c r="O16" s="133"/>
      <c r="P16" s="133"/>
      <c r="Q16" s="27"/>
      <c r="R16" s="27"/>
      <c r="S16" s="27"/>
      <c r="T16" s="27"/>
      <c r="U16" s="27"/>
      <c r="V16" s="27"/>
      <c r="W16" s="27"/>
      <c r="X16" s="27"/>
    </row>
    <row r="17" spans="1:24" x14ac:dyDescent="0.2">
      <c r="A17" s="27"/>
      <c r="B17" s="27"/>
      <c r="C17" s="200"/>
      <c r="D17" s="200"/>
      <c r="E17" s="200"/>
      <c r="F17" s="200"/>
      <c r="G17" s="200"/>
      <c r="H17" s="133"/>
      <c r="I17" s="133"/>
      <c r="J17" s="133"/>
      <c r="K17" s="133"/>
      <c r="L17" s="133"/>
      <c r="M17" s="133"/>
      <c r="N17" s="133"/>
      <c r="O17" s="133"/>
      <c r="P17" s="133"/>
      <c r="Q17" s="27"/>
      <c r="R17" s="27"/>
      <c r="S17" s="27"/>
      <c r="T17" s="27"/>
      <c r="U17" s="27"/>
      <c r="V17" s="27"/>
      <c r="W17" s="27"/>
      <c r="X17" s="27"/>
    </row>
    <row r="18" spans="1:24" x14ac:dyDescent="0.2">
      <c r="A18" s="27"/>
      <c r="B18" s="27"/>
      <c r="C18" s="200"/>
      <c r="D18" s="200"/>
      <c r="E18" s="200"/>
      <c r="F18" s="200"/>
      <c r="G18" s="200"/>
      <c r="H18" s="133"/>
      <c r="I18" s="133"/>
      <c r="J18" s="133"/>
      <c r="K18" s="133"/>
      <c r="L18" s="133"/>
      <c r="M18" s="133"/>
      <c r="N18" s="133"/>
      <c r="O18" s="133"/>
      <c r="P18" s="133"/>
      <c r="Q18" s="27"/>
      <c r="R18" s="27"/>
      <c r="S18" s="27"/>
      <c r="T18" s="27"/>
      <c r="U18" s="27"/>
      <c r="V18" s="27"/>
      <c r="W18" s="27"/>
      <c r="X18" s="27"/>
    </row>
    <row r="19" spans="1:24" x14ac:dyDescent="0.2">
      <c r="A19" s="27"/>
      <c r="B19" s="27"/>
      <c r="C19" s="200"/>
      <c r="D19" s="200"/>
      <c r="E19" s="200"/>
      <c r="F19" s="200"/>
      <c r="G19" s="200"/>
      <c r="H19" s="133"/>
      <c r="I19" s="133"/>
      <c r="J19" s="133"/>
      <c r="K19" s="133"/>
      <c r="L19" s="133"/>
      <c r="M19" s="133"/>
      <c r="N19" s="133"/>
      <c r="O19" s="133"/>
      <c r="P19" s="133"/>
      <c r="Q19" s="27"/>
      <c r="R19" s="27"/>
      <c r="S19" s="27"/>
      <c r="T19" s="27"/>
      <c r="U19" s="27"/>
      <c r="V19" s="27"/>
      <c r="W19" s="27"/>
      <c r="X19" s="27"/>
    </row>
    <row r="20" spans="1:24" x14ac:dyDescent="0.2">
      <c r="A20" s="27"/>
      <c r="B20" s="27"/>
      <c r="C20" s="200"/>
      <c r="D20" s="200"/>
      <c r="E20" s="200"/>
      <c r="F20" s="200"/>
      <c r="G20" s="200"/>
      <c r="H20" s="133"/>
      <c r="I20" s="133"/>
      <c r="J20" s="133"/>
      <c r="K20" s="133"/>
      <c r="L20" s="133"/>
      <c r="M20" s="133"/>
      <c r="N20" s="133"/>
      <c r="O20" s="133"/>
      <c r="P20" s="133"/>
      <c r="Q20" s="27"/>
      <c r="R20" s="27"/>
      <c r="S20" s="27"/>
      <c r="T20" s="27"/>
      <c r="U20" s="27"/>
      <c r="V20" s="27"/>
      <c r="W20" s="27"/>
      <c r="X20" s="27"/>
    </row>
    <row r="21" spans="1:24" x14ac:dyDescent="0.2">
      <c r="A21" s="27"/>
      <c r="B21" s="27"/>
      <c r="C21" s="200"/>
      <c r="D21" s="200"/>
      <c r="E21" s="200"/>
      <c r="F21" s="200"/>
      <c r="G21" s="200"/>
      <c r="H21" s="133"/>
      <c r="I21" s="133"/>
      <c r="J21" s="133"/>
      <c r="K21" s="133"/>
      <c r="L21" s="133"/>
      <c r="M21" s="133"/>
      <c r="N21" s="133"/>
      <c r="O21" s="133"/>
      <c r="P21" s="133"/>
      <c r="Q21" s="27"/>
      <c r="R21" s="27"/>
      <c r="S21" s="27"/>
      <c r="T21" s="27"/>
      <c r="U21" s="27"/>
      <c r="V21" s="27"/>
      <c r="W21" s="27"/>
      <c r="X21" s="27"/>
    </row>
    <row r="22" spans="1:24" x14ac:dyDescent="0.2">
      <c r="A22" s="27"/>
      <c r="B22" s="27"/>
      <c r="C22" s="200"/>
      <c r="D22" s="200"/>
      <c r="E22" s="200"/>
      <c r="F22" s="200"/>
      <c r="G22" s="200"/>
      <c r="H22" s="133"/>
      <c r="I22" s="133"/>
      <c r="J22" s="133"/>
      <c r="K22" s="133"/>
      <c r="L22" s="133"/>
      <c r="M22" s="133"/>
      <c r="N22" s="133"/>
      <c r="O22" s="133"/>
      <c r="P22" s="133"/>
      <c r="Q22" s="27"/>
      <c r="R22" s="27"/>
      <c r="S22" s="27"/>
      <c r="T22" s="27"/>
      <c r="U22" s="27"/>
      <c r="V22" s="27"/>
      <c r="W22" s="27"/>
      <c r="X22" s="27"/>
    </row>
  </sheetData>
  <sheetProtection selectLockedCells="1"/>
  <mergeCells count="21">
    <mergeCell ref="A11:B11"/>
    <mergeCell ref="A12:B12"/>
    <mergeCell ref="K8:L8"/>
    <mergeCell ref="N8:O8"/>
    <mergeCell ref="Q8:R8"/>
    <mergeCell ref="T8:U8"/>
    <mergeCell ref="W8:X8"/>
    <mergeCell ref="A10:B10"/>
    <mergeCell ref="A8:A9"/>
    <mergeCell ref="B8:B9"/>
    <mergeCell ref="C8:C9"/>
    <mergeCell ref="D8:D9"/>
    <mergeCell ref="F8:F9"/>
    <mergeCell ref="H8:I8"/>
    <mergeCell ref="A7:B7"/>
    <mergeCell ref="C7:U7"/>
    <mergeCell ref="A1:B3"/>
    <mergeCell ref="C1:W3"/>
    <mergeCell ref="A5:X5"/>
    <mergeCell ref="A6:B6"/>
    <mergeCell ref="C6:R6"/>
  </mergeCells>
  <conditionalFormatting sqref="X7">
    <cfRule type="containsText" dxfId="65" priority="17" operator="containsText" text="Sin Seguimientos">
      <formula>NOT(ISERROR(SEARCH("Sin Seguimientos",X7)))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DC51F523-E42D-4A60-9F37-B1E2E372CBDC}">
            <xm:f>VALORACIÓN!$D$10</xm:f>
            <x14:dxf>
              <font>
                <color auto="1"/>
              </font>
              <fill>
                <patternFill patternType="lightGrid">
                  <fgColor theme="0" tint="-4.9989318521683403E-2"/>
                  <bgColor theme="0"/>
                </patternFill>
              </fill>
            </x14:dxf>
          </x14:cfRule>
          <x14:cfRule type="cellIs" priority="16" operator="equal" id="{21BB286E-03D9-4E97-B266-742D355BC5ED}">
            <xm:f>VALORACIÓN!$D$10</xm:f>
            <x14:dxf>
              <fill>
                <patternFill patternType="lightGrid">
                  <fgColor theme="0" tint="-4.9989318521683403E-2"/>
                </patternFill>
              </fill>
            </x14:dxf>
          </x14:cfRule>
          <xm:sqref>F12:J12 N12:S12 Q10:S11</xm:sqref>
        </x14:conditionalFormatting>
        <x14:conditionalFormatting xmlns:xm="http://schemas.microsoft.com/office/excel/2006/main">
          <x14:cfRule type="cellIs" priority="13" operator="notEqual" id="{B167BA60-A726-4A67-B385-390C59648995}">
            <xm:f>VALORACIÓN!$D$10</xm:f>
            <x14:dxf>
              <font>
                <color auto="1"/>
              </font>
              <fill>
                <patternFill patternType="lightGrid">
                  <fgColor theme="0" tint="-4.9989318521683403E-2"/>
                  <bgColor theme="0"/>
                </patternFill>
              </fill>
            </x14:dxf>
          </x14:cfRule>
          <x14:cfRule type="cellIs" priority="14" operator="equal" id="{8AFB9EF0-1008-4888-BB0A-4B60348D293E}">
            <xm:f>VALORACIÓN!$D$10</xm:f>
            <x14:dxf>
              <fill>
                <patternFill patternType="lightGrid">
                  <fgColor theme="0" tint="-4.9989318521683403E-2"/>
                </patternFill>
              </fill>
            </x14:dxf>
          </x14:cfRule>
          <xm:sqref>F10:G11</xm:sqref>
        </x14:conditionalFormatting>
        <x14:conditionalFormatting xmlns:xm="http://schemas.microsoft.com/office/excel/2006/main">
          <x14:cfRule type="cellIs" priority="11" operator="notEqual" id="{C4EC988D-DC27-4E1D-9215-B4BEF3D9D252}">
            <xm:f>VALORACIÓN!$D$10</xm:f>
            <x14:dxf>
              <font>
                <color auto="1"/>
              </font>
              <fill>
                <patternFill patternType="lightGrid">
                  <fgColor theme="0" tint="-4.9989318521683403E-2"/>
                  <bgColor theme="0"/>
                </patternFill>
              </fill>
            </x14:dxf>
          </x14:cfRule>
          <x14:cfRule type="cellIs" priority="12" operator="equal" id="{27AB2549-FCF3-4941-859E-25B17981CC29}">
            <xm:f>VALORACIÓN!$D$10</xm:f>
            <x14:dxf>
              <fill>
                <patternFill patternType="lightGrid">
                  <fgColor theme="0" tint="-4.9989318521683403E-2"/>
                </patternFill>
              </fill>
            </x14:dxf>
          </x14:cfRule>
          <xm:sqref>H10:J11</xm:sqref>
        </x14:conditionalFormatting>
        <x14:conditionalFormatting xmlns:xm="http://schemas.microsoft.com/office/excel/2006/main">
          <x14:cfRule type="cellIs" priority="9" operator="notEqual" id="{7ED44C11-207E-4793-9C43-2664A85A9249}">
            <xm:f>VALORACIÓN!$D$10</xm:f>
            <x14:dxf>
              <font>
                <color auto="1"/>
              </font>
              <fill>
                <patternFill patternType="lightGrid">
                  <fgColor theme="0" tint="-4.9989318521683403E-2"/>
                  <bgColor theme="0"/>
                </patternFill>
              </fill>
            </x14:dxf>
          </x14:cfRule>
          <x14:cfRule type="cellIs" priority="10" operator="equal" id="{9FB03F60-2C63-4B01-B58A-23D1F2D130B7}">
            <xm:f>VALORACIÓN!$D$10</xm:f>
            <x14:dxf>
              <fill>
                <patternFill patternType="lightGrid">
                  <fgColor theme="0" tint="-4.9989318521683403E-2"/>
                </patternFill>
              </fill>
            </x14:dxf>
          </x14:cfRule>
          <xm:sqref>N10:P11</xm:sqref>
        </x14:conditionalFormatting>
        <x14:conditionalFormatting xmlns:xm="http://schemas.microsoft.com/office/excel/2006/main">
          <x14:cfRule type="cellIs" priority="7" operator="notEqual" id="{A982530C-0EB4-42C0-96B8-6F5A73A32A42}">
            <xm:f>VALORACIÓN!$D$10</xm:f>
            <x14:dxf>
              <font>
                <color auto="1"/>
              </font>
              <fill>
                <patternFill patternType="lightGrid">
                  <fgColor theme="0" tint="-4.9989318521683403E-2"/>
                  <bgColor theme="0"/>
                </patternFill>
              </fill>
            </x14:dxf>
          </x14:cfRule>
          <x14:cfRule type="cellIs" priority="8" operator="equal" id="{2C48F031-11F9-44F4-93A7-8D96CA00B6FF}">
            <xm:f>VALORACIÓN!$D$10</xm:f>
            <x14:dxf>
              <fill>
                <patternFill patternType="lightGrid">
                  <fgColor theme="0" tint="-4.9989318521683403E-2"/>
                </patternFill>
              </fill>
            </x14:dxf>
          </x14:cfRule>
          <xm:sqref>C10:E12</xm:sqref>
        </x14:conditionalFormatting>
        <x14:conditionalFormatting xmlns:xm="http://schemas.microsoft.com/office/excel/2006/main">
          <x14:cfRule type="cellIs" priority="5" operator="notEqual" id="{2F8BBB1B-3323-4F79-B9B2-2F41D57B5660}">
            <xm:f>VALORACIÓN!$D$10</xm:f>
            <x14:dxf>
              <font>
                <color auto="1"/>
              </font>
              <fill>
                <patternFill patternType="lightGrid">
                  <fgColor theme="0" tint="-4.9989318521683403E-2"/>
                  <bgColor theme="0"/>
                </patternFill>
              </fill>
            </x14:dxf>
          </x14:cfRule>
          <x14:cfRule type="cellIs" priority="6" operator="equal" id="{D3A99D59-AD73-4326-A441-EC33E4B88189}">
            <xm:f>VALORACIÓN!$D$10</xm:f>
            <x14:dxf>
              <fill>
                <patternFill patternType="lightGrid">
                  <fgColor theme="0" tint="-4.9989318521683403E-2"/>
                </patternFill>
              </fill>
            </x14:dxf>
          </x14:cfRule>
          <xm:sqref>K12:M12</xm:sqref>
        </x14:conditionalFormatting>
        <x14:conditionalFormatting xmlns:xm="http://schemas.microsoft.com/office/excel/2006/main">
          <x14:cfRule type="cellIs" priority="3" operator="notEqual" id="{BD5F6F14-1E4A-4934-88F1-AF92BA5D1241}">
            <xm:f>VALORACIÓN!$D$10</xm:f>
            <x14:dxf>
              <font>
                <color auto="1"/>
              </font>
              <fill>
                <patternFill patternType="lightGrid">
                  <fgColor theme="0" tint="-4.9989318521683403E-2"/>
                  <bgColor theme="0"/>
                </patternFill>
              </fill>
            </x14:dxf>
          </x14:cfRule>
          <x14:cfRule type="cellIs" priority="4" operator="equal" id="{79111BB9-F8C2-44A5-9318-A9ABEC6EA49A}">
            <xm:f>VALORACIÓN!$D$10</xm:f>
            <x14:dxf>
              <fill>
                <patternFill patternType="lightGrid">
                  <fgColor theme="0" tint="-4.9989318521683403E-2"/>
                </patternFill>
              </fill>
            </x14:dxf>
          </x14:cfRule>
          <xm:sqref>K10:M11</xm:sqref>
        </x14:conditionalFormatting>
        <x14:conditionalFormatting xmlns:xm="http://schemas.microsoft.com/office/excel/2006/main">
          <x14:cfRule type="cellIs" priority="1" operator="notEqual" id="{EA53D3AB-9AFB-423C-8289-BEB677502DE5}">
            <xm:f>VALORACIÓN!$D$10</xm:f>
            <x14:dxf>
              <font>
                <color auto="1"/>
              </font>
              <fill>
                <patternFill patternType="lightGrid">
                  <fgColor theme="0" tint="-4.9989318521683403E-2"/>
                  <bgColor theme="0"/>
                </patternFill>
              </fill>
            </x14:dxf>
          </x14:cfRule>
          <x14:cfRule type="cellIs" priority="2" operator="equal" id="{71EFD558-F45A-4E36-B9B2-6C7369B992BA}">
            <xm:f>VALORACIÓN!$D$10</xm:f>
            <x14:dxf>
              <fill>
                <patternFill patternType="lightGrid">
                  <fgColor theme="0" tint="-4.9989318521683403E-2"/>
                </patternFill>
              </fill>
            </x14:dxf>
          </x14:cfRule>
          <xm:sqref>T10:V12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7030A0"/>
  </sheetPr>
  <dimension ref="A1:S15"/>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P6" sqref="P6:R6"/>
    </sheetView>
  </sheetViews>
  <sheetFormatPr baseColWidth="10" defaultRowHeight="15" x14ac:dyDescent="0.2"/>
  <cols>
    <col min="1" max="1" width="16.44140625" customWidth="1"/>
    <col min="2" max="2" width="6.109375" customWidth="1"/>
    <col min="3" max="3" width="7.44140625" style="201" customWidth="1"/>
    <col min="4" max="4" width="7.5546875" style="201" customWidth="1"/>
    <col min="5" max="5" width="1.44140625" customWidth="1"/>
    <col min="6" max="6" width="7.5546875" customWidth="1"/>
    <col min="7" max="7" width="3.6640625" customWidth="1"/>
    <col min="8" max="12" width="7.21875" customWidth="1"/>
    <col min="13" max="13" width="1.5546875" customWidth="1"/>
    <col min="14" max="14" width="18.44140625" customWidth="1"/>
    <col min="15" max="15" width="0.21875" customWidth="1"/>
    <col min="16" max="17" width="9.109375" customWidth="1"/>
    <col min="18" max="18" width="6.5546875" customWidth="1"/>
  </cols>
  <sheetData>
    <row r="1" spans="1:19" ht="15" customHeight="1" x14ac:dyDescent="0.2">
      <c r="A1" s="437" t="s">
        <v>145</v>
      </c>
      <c r="B1" s="437"/>
      <c r="C1" s="679" t="s">
        <v>206</v>
      </c>
      <c r="D1" s="679"/>
      <c r="E1" s="679"/>
      <c r="F1" s="679"/>
      <c r="G1" s="679"/>
      <c r="H1" s="679"/>
      <c r="I1" s="679"/>
      <c r="J1" s="679"/>
      <c r="K1" s="679"/>
      <c r="L1" s="679"/>
      <c r="M1" s="679"/>
      <c r="N1" s="679"/>
      <c r="P1" s="678" t="s">
        <v>71</v>
      </c>
      <c r="Q1" s="678"/>
      <c r="R1" s="678"/>
      <c r="S1" s="678"/>
    </row>
    <row r="2" spans="1:19" ht="15" customHeight="1" x14ac:dyDescent="0.2">
      <c r="A2" s="437"/>
      <c r="B2" s="437"/>
      <c r="C2" s="679"/>
      <c r="D2" s="679"/>
      <c r="E2" s="679"/>
      <c r="F2" s="679"/>
      <c r="G2" s="679"/>
      <c r="H2" s="679"/>
      <c r="I2" s="679"/>
      <c r="J2" s="679"/>
      <c r="K2" s="679"/>
      <c r="L2" s="679"/>
      <c r="M2" s="679"/>
      <c r="N2" s="679"/>
      <c r="P2" s="678" t="s">
        <v>107</v>
      </c>
      <c r="Q2" s="678"/>
      <c r="R2" s="678"/>
      <c r="S2" s="678"/>
    </row>
    <row r="3" spans="1:19" ht="15" customHeight="1" x14ac:dyDescent="0.2">
      <c r="A3" s="437"/>
      <c r="B3" s="437"/>
      <c r="C3" s="679"/>
      <c r="D3" s="679"/>
      <c r="E3" s="679"/>
      <c r="F3" s="679"/>
      <c r="G3" s="679"/>
      <c r="H3" s="679"/>
      <c r="I3" s="679"/>
      <c r="J3" s="679"/>
      <c r="K3" s="679"/>
      <c r="L3" s="679"/>
      <c r="M3" s="679"/>
      <c r="N3" s="679"/>
      <c r="P3" s="678" t="s">
        <v>408</v>
      </c>
      <c r="Q3" s="678"/>
      <c r="R3" s="678"/>
      <c r="S3" s="678"/>
    </row>
    <row r="4" spans="1:19" ht="3.75" customHeight="1" x14ac:dyDescent="0.2">
      <c r="A4" s="33"/>
      <c r="B4" s="34"/>
      <c r="C4" s="198"/>
      <c r="D4" s="198"/>
      <c r="E4" s="206"/>
      <c r="F4" s="206"/>
      <c r="G4" s="206"/>
      <c r="H4" s="206"/>
      <c r="I4" s="206"/>
      <c r="J4" s="206"/>
      <c r="K4" s="206"/>
      <c r="L4" s="206"/>
      <c r="M4" s="49"/>
      <c r="N4" s="49"/>
    </row>
    <row r="5" spans="1:19" ht="15.75" customHeight="1" x14ac:dyDescent="0.2">
      <c r="A5" s="680" t="s">
        <v>184</v>
      </c>
      <c r="B5" s="606"/>
      <c r="C5" s="606"/>
      <c r="D5" s="606"/>
      <c r="E5" s="606"/>
      <c r="F5" s="606"/>
      <c r="G5" s="606"/>
      <c r="H5" s="606"/>
      <c r="I5" s="606"/>
      <c r="J5" s="606"/>
      <c r="K5" s="606"/>
      <c r="L5" s="606"/>
      <c r="M5" s="606"/>
      <c r="N5" s="606"/>
      <c r="O5" s="606"/>
      <c r="P5" s="606"/>
      <c r="Q5" s="606"/>
      <c r="R5" s="606"/>
      <c r="S5" s="606"/>
    </row>
    <row r="6" spans="1:19" ht="15.75" customHeight="1" x14ac:dyDescent="0.2">
      <c r="A6" s="489" t="str">
        <f>'CONTEXTO ESTRATEGICO'!A7</f>
        <v>INSTITUCIONAL</v>
      </c>
      <c r="B6" s="489"/>
      <c r="C6" s="579" t="str">
        <f>'SEGUIMIENTO Y MONITOREO'!C6</f>
        <v>Mapa de Riesgo Institucional</v>
      </c>
      <c r="D6" s="580"/>
      <c r="E6" s="580"/>
      <c r="F6" s="580"/>
      <c r="G6" s="580"/>
      <c r="H6" s="580"/>
      <c r="I6" s="580"/>
      <c r="J6" s="580"/>
      <c r="K6" s="580"/>
      <c r="L6" s="580"/>
      <c r="M6" s="580"/>
      <c r="N6" s="581"/>
      <c r="P6" s="683" t="str">
        <f>'SEGUIMIENTO Y MONITOREO'!E6</f>
        <v>Fecha de Actualización (AAAA/MM/DD)</v>
      </c>
      <c r="Q6" s="683"/>
      <c r="R6" s="683"/>
      <c r="S6" s="171">
        <f>'SEGUIMIENTO Y MONITOREO'!H6</f>
        <v>42443</v>
      </c>
    </row>
    <row r="7" spans="1:19" ht="15.75" customHeight="1" x14ac:dyDescent="0.2">
      <c r="A7" s="489"/>
      <c r="B7" s="489"/>
      <c r="C7" s="622" t="s">
        <v>368</v>
      </c>
      <c r="D7" s="623"/>
      <c r="E7" s="623"/>
      <c r="F7" s="623"/>
      <c r="G7" s="623"/>
      <c r="H7" s="623"/>
      <c r="I7" s="623"/>
      <c r="J7" s="623"/>
      <c r="K7" s="623"/>
      <c r="L7" s="623"/>
      <c r="M7" s="623"/>
      <c r="N7" s="624"/>
      <c r="P7" s="684" t="s">
        <v>185</v>
      </c>
      <c r="Q7" s="684"/>
      <c r="R7" s="684"/>
      <c r="S7" s="172">
        <f>'SEGUIMIENTO Y MONITOREO'!$AX$7</f>
        <v>42613</v>
      </c>
    </row>
    <row r="8" spans="1:19" ht="25.5" customHeight="1" x14ac:dyDescent="0.2">
      <c r="A8" s="221" t="s">
        <v>286</v>
      </c>
      <c r="B8" s="222">
        <f>VALORACIÓN!BD3</f>
        <v>28</v>
      </c>
      <c r="C8" s="681" t="s">
        <v>317</v>
      </c>
      <c r="D8" s="682"/>
      <c r="E8" s="207"/>
      <c r="F8" s="207"/>
      <c r="G8" s="207"/>
      <c r="H8" s="216"/>
      <c r="I8" s="216"/>
      <c r="J8" s="218" t="s">
        <v>7</v>
      </c>
      <c r="K8" s="216"/>
      <c r="L8" s="216"/>
      <c r="M8" s="215"/>
      <c r="N8" s="215"/>
      <c r="O8" s="27"/>
      <c r="P8" s="27"/>
      <c r="Q8" s="27"/>
      <c r="R8" s="27"/>
      <c r="S8" s="27"/>
    </row>
    <row r="9" spans="1:19" ht="17.25" customHeight="1" thickBot="1" x14ac:dyDescent="0.25">
      <c r="A9" s="685" t="s">
        <v>379</v>
      </c>
      <c r="B9" s="686"/>
      <c r="C9" s="208" t="s">
        <v>93</v>
      </c>
      <c r="D9" s="208" t="s">
        <v>7</v>
      </c>
      <c r="E9" s="207"/>
      <c r="F9" s="207"/>
      <c r="G9" s="207"/>
      <c r="H9" s="220">
        <v>1</v>
      </c>
      <c r="I9" s="220">
        <v>2</v>
      </c>
      <c r="J9" s="220">
        <v>3</v>
      </c>
      <c r="K9" s="220">
        <v>4</v>
      </c>
      <c r="L9" s="220">
        <v>5</v>
      </c>
      <c r="M9" s="207"/>
      <c r="N9" s="207"/>
      <c r="O9" s="27"/>
      <c r="P9" s="27"/>
      <c r="Q9" s="27"/>
      <c r="R9" s="27"/>
      <c r="S9" s="27"/>
    </row>
    <row r="10" spans="1:19" ht="33" customHeight="1" thickBot="1" x14ac:dyDescent="0.25">
      <c r="A10" s="671" t="s">
        <v>297</v>
      </c>
      <c r="B10" s="672"/>
      <c r="C10" s="199">
        <f>COUNTIF(Datos!$AG$3:$AG$30,1)</f>
        <v>20</v>
      </c>
      <c r="D10" s="199">
        <f>COUNTIF(Datos!$AH$3:$AH$30,1)</f>
        <v>1</v>
      </c>
      <c r="E10" s="207"/>
      <c r="F10" s="215"/>
      <c r="G10" s="219">
        <v>1</v>
      </c>
      <c r="H10" s="223">
        <f>COUNTIF(Datos!$AI$3:$AI$30,11)</f>
        <v>0</v>
      </c>
      <c r="I10" s="223">
        <f>COUNTIF(Datos!$AI$3:$AI$30,21)</f>
        <v>0</v>
      </c>
      <c r="J10" s="224">
        <f>COUNTIF(Datos!$AI$3:$AI$30,31)</f>
        <v>0</v>
      </c>
      <c r="K10" s="225">
        <f>COUNTIF(Datos!$AI$3:$AI$30,41)</f>
        <v>19</v>
      </c>
      <c r="L10" s="225">
        <f>COUNTIF(Datos!$AI$3:$AI$30,51)</f>
        <v>1</v>
      </c>
      <c r="M10" s="184"/>
      <c r="N10" s="241" t="s">
        <v>307</v>
      </c>
      <c r="O10" s="245">
        <f>(H10+I10+H11+I11+H12)/B8</f>
        <v>0</v>
      </c>
      <c r="P10" s="27"/>
      <c r="Q10" s="27"/>
      <c r="R10" s="27"/>
      <c r="S10" s="27"/>
    </row>
    <row r="11" spans="1:19" ht="33" customHeight="1" thickBot="1" x14ac:dyDescent="0.25">
      <c r="A11" s="664" t="s">
        <v>298</v>
      </c>
      <c r="B11" s="665"/>
      <c r="C11" s="199">
        <f>COUNTIF(Datos!$AG$3:$AG$30,2)</f>
        <v>0</v>
      </c>
      <c r="D11" s="199">
        <f>COUNTIF(Datos!$AH$3:$AH$30,2)</f>
        <v>0</v>
      </c>
      <c r="E11" s="207"/>
      <c r="F11" s="215"/>
      <c r="G11" s="219">
        <v>2</v>
      </c>
      <c r="H11" s="223">
        <f>COUNTIF(Datos!$AI$3:$AI$30,12)</f>
        <v>0</v>
      </c>
      <c r="I11" s="223">
        <f>COUNTIF(Datos!$AI$3:$AI$30,22)</f>
        <v>0</v>
      </c>
      <c r="J11" s="224">
        <f>COUNTIF(Datos!$AI$3:$AI$30,32)</f>
        <v>0</v>
      </c>
      <c r="K11" s="225">
        <f>COUNTIF(Datos!$AI$3:$AI$30,42)</f>
        <v>0</v>
      </c>
      <c r="L11" s="226">
        <f>COUNTIF(Datos!$AI$3:$AI$30,52)</f>
        <v>0</v>
      </c>
      <c r="M11" s="184"/>
      <c r="N11" s="242" t="s">
        <v>308</v>
      </c>
      <c r="O11" s="245">
        <f>(J10+J11+I12+H13)/B8</f>
        <v>0</v>
      </c>
      <c r="P11" s="27"/>
      <c r="Q11" s="27"/>
      <c r="R11" s="27"/>
      <c r="S11" s="27"/>
    </row>
    <row r="12" spans="1:19" ht="33" customHeight="1" thickBot="1" x14ac:dyDescent="0.25">
      <c r="A12" s="664" t="s">
        <v>299</v>
      </c>
      <c r="B12" s="665"/>
      <c r="C12" s="199">
        <f>COUNTIF(Datos!$AG$3:$AG$30,3)</f>
        <v>1</v>
      </c>
      <c r="D12" s="199">
        <f>COUNTIF(Datos!$AH$3:$AH$30,3)</f>
        <v>4</v>
      </c>
      <c r="E12" s="207"/>
      <c r="F12" s="217" t="s">
        <v>304</v>
      </c>
      <c r="G12" s="219">
        <v>3</v>
      </c>
      <c r="H12" s="223">
        <f>COUNTIF(Datos!$AI$3:$AI$30,13)</f>
        <v>0</v>
      </c>
      <c r="I12" s="224">
        <f>COUNTIF(Datos!$AI$3:$AI$30,23)</f>
        <v>0</v>
      </c>
      <c r="J12" s="225">
        <f>COUNTIF(Datos!$AI$3:$AI$30,33)</f>
        <v>1</v>
      </c>
      <c r="K12" s="226">
        <f>COUNTIF(Datos!$AI$3:$AI$30,43)</f>
        <v>0</v>
      </c>
      <c r="L12" s="226">
        <f>COUNTIF(Datos!$AI$3:$AI$30,53)</f>
        <v>0</v>
      </c>
      <c r="M12" s="184"/>
      <c r="N12" s="243" t="s">
        <v>309</v>
      </c>
      <c r="O12" s="245">
        <f>(K10+L10+K11+J12+J13+I13+I14+H14)/B8</f>
        <v>0.8214285714285714</v>
      </c>
      <c r="P12" s="27"/>
      <c r="Q12" s="27"/>
      <c r="R12" s="27"/>
      <c r="S12" s="27"/>
    </row>
    <row r="13" spans="1:19" ht="33" customHeight="1" thickBot="1" x14ac:dyDescent="0.25">
      <c r="A13" s="664" t="s">
        <v>300</v>
      </c>
      <c r="B13" s="665"/>
      <c r="C13" s="199">
        <f>COUNTIF(Datos!$AG$3:$AG$30,4)</f>
        <v>4</v>
      </c>
      <c r="D13" s="199">
        <f>COUNTIF(Datos!$AH$3:$AH$30,4)</f>
        <v>21</v>
      </c>
      <c r="E13" s="207"/>
      <c r="F13" s="215"/>
      <c r="G13" s="219">
        <v>4</v>
      </c>
      <c r="H13" s="224">
        <f>COUNTIF(Datos!$AI$3:$AI$30,14)</f>
        <v>0</v>
      </c>
      <c r="I13" s="225">
        <f>COUNTIF(Datos!$AI$3:$AI$30,24)</f>
        <v>0</v>
      </c>
      <c r="J13" s="225">
        <f>COUNTIF(Datos!$AI$3:$AI$30,34)</f>
        <v>1</v>
      </c>
      <c r="K13" s="226">
        <f>COUNTIF(Datos!$AI$3:$AI$30,44)</f>
        <v>2</v>
      </c>
      <c r="L13" s="226">
        <f>COUNTIF(Datos!$AI$3:$AI$30,54)</f>
        <v>1</v>
      </c>
      <c r="M13" s="184"/>
      <c r="N13" s="244" t="s">
        <v>310</v>
      </c>
      <c r="O13" s="245">
        <f>(L11+L12+K12+K13+L13+J14+K14+L14)/B8</f>
        <v>0.17857142857142858</v>
      </c>
      <c r="P13" s="27"/>
      <c r="Q13" s="27"/>
      <c r="R13" s="27"/>
      <c r="S13" s="27"/>
    </row>
    <row r="14" spans="1:19" ht="33" customHeight="1" x14ac:dyDescent="0.2">
      <c r="A14" s="664" t="s">
        <v>301</v>
      </c>
      <c r="B14" s="665"/>
      <c r="C14" s="199">
        <f>COUNTIF(Datos!$AG$3:$AG$30,5)</f>
        <v>3</v>
      </c>
      <c r="D14" s="199">
        <f>COUNTIF(Datos!$AH$3:$AH$30,5)</f>
        <v>2</v>
      </c>
      <c r="E14" s="207"/>
      <c r="F14" s="215"/>
      <c r="G14" s="219">
        <v>5</v>
      </c>
      <c r="H14" s="225">
        <f>COUNTIF(Datos!$AI$3:$AI$30,15)</f>
        <v>1</v>
      </c>
      <c r="I14" s="225">
        <f>COUNTIF(Datos!$AI$3:$AI$30,25)</f>
        <v>0</v>
      </c>
      <c r="J14" s="226">
        <f>COUNTIF(Datos!$AI$3:$AI$30,35)</f>
        <v>2</v>
      </c>
      <c r="K14" s="226">
        <f>COUNTIF(Datos!$AI$3:$AI$30,45)</f>
        <v>0</v>
      </c>
      <c r="L14" s="226">
        <f>COUNTIF(Datos!$AI$3:$AI$30,55)</f>
        <v>0</v>
      </c>
      <c r="M14" s="184"/>
      <c r="N14" s="184"/>
      <c r="O14" s="27"/>
      <c r="P14" s="27"/>
      <c r="Q14" s="27"/>
      <c r="R14" s="27"/>
      <c r="S14" s="27"/>
    </row>
    <row r="15" spans="1:19" x14ac:dyDescent="0.2">
      <c r="A15" s="27"/>
      <c r="B15" s="27"/>
      <c r="C15" s="200"/>
      <c r="D15" s="200"/>
      <c r="E15" s="27"/>
      <c r="F15" s="27"/>
      <c r="G15" s="27"/>
      <c r="H15" s="27"/>
      <c r="I15" s="27"/>
      <c r="J15" s="27"/>
      <c r="K15" s="27"/>
      <c r="L15" s="27"/>
      <c r="M15" s="27"/>
      <c r="N15" s="27"/>
      <c r="O15" s="27"/>
      <c r="P15" s="27"/>
      <c r="Q15" s="27"/>
      <c r="R15" s="27"/>
      <c r="S15" s="27"/>
    </row>
  </sheetData>
  <sheetProtection selectLockedCells="1"/>
  <mergeCells count="19">
    <mergeCell ref="A13:B13"/>
    <mergeCell ref="A14:B14"/>
    <mergeCell ref="A1:B3"/>
    <mergeCell ref="A6:B6"/>
    <mergeCell ref="A7:B7"/>
    <mergeCell ref="A9:B9"/>
    <mergeCell ref="C8:D8"/>
    <mergeCell ref="A10:B10"/>
    <mergeCell ref="A11:B11"/>
    <mergeCell ref="A12:B12"/>
    <mergeCell ref="P6:R6"/>
    <mergeCell ref="P7:R7"/>
    <mergeCell ref="C6:N6"/>
    <mergeCell ref="C7:N7"/>
    <mergeCell ref="P1:S1"/>
    <mergeCell ref="P2:S2"/>
    <mergeCell ref="P3:S3"/>
    <mergeCell ref="C1:N3"/>
    <mergeCell ref="A5:S5"/>
  </mergeCells>
  <conditionalFormatting sqref="S7">
    <cfRule type="containsText" dxfId="48" priority="1" operator="containsText" text="Sin Seguimientos">
      <formula>NOT(ISERROR(SEARCH("Sin Seguimientos",S7)))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2" operator="notEqual" id="{72CA2356-9F23-402F-856F-C89E18E3AF3B}">
            <xm:f>VALORACIÓN!$D$10</xm:f>
            <x14:dxf>
              <font>
                <color auto="1"/>
              </font>
              <fill>
                <patternFill patternType="lightGrid">
                  <fgColor theme="0" tint="-4.9989318521683403E-2"/>
                  <bgColor theme="0"/>
                </patternFill>
              </fill>
            </x14:dxf>
          </x14:cfRule>
          <x14:cfRule type="cellIs" priority="13" operator="equal" id="{3625A34F-205A-4AB4-A6F7-957251ADD8AB}">
            <xm:f>VALORACIÓN!$D$10</xm:f>
            <x14:dxf>
              <fill>
                <patternFill patternType="lightGrid">
                  <fgColor theme="0" tint="-4.9989318521683403E-2"/>
                </patternFill>
              </fill>
            </x14:dxf>
          </x14:cfRule>
          <xm:sqref>C10:D14</xm:sqref>
        </x14:conditionalFormatting>
        <x14:conditionalFormatting xmlns:xm="http://schemas.microsoft.com/office/excel/2006/main">
          <x14:cfRule type="cellIs" priority="2" operator="notEqual" id="{69CE0E8D-4BCA-4476-A578-761B5B6BCF44}">
            <xm:f>VALORACIÓN!$D$10</xm:f>
            <x14:dxf>
              <font>
                <color auto="1"/>
              </font>
              <fill>
                <patternFill patternType="lightGrid">
                  <fgColor theme="0" tint="-4.9989318521683403E-2"/>
                  <bgColor theme="0"/>
                </patternFill>
              </fill>
            </x14:dxf>
          </x14:cfRule>
          <x14:cfRule type="cellIs" priority="3" operator="equal" id="{C9496A79-9189-4A3D-88F3-1CE194654357}">
            <xm:f>VALORACIÓN!$D$10</xm:f>
            <x14:dxf>
              <fill>
                <patternFill patternType="lightGrid">
                  <fgColor theme="0" tint="-4.9989318521683403E-2"/>
                </patternFill>
              </fill>
            </x14:dxf>
          </x14:cfRule>
          <xm:sqref>O10:O13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13"/>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P6" sqref="P6:R6"/>
    </sheetView>
  </sheetViews>
  <sheetFormatPr baseColWidth="10" defaultRowHeight="15" x14ac:dyDescent="0.2"/>
  <cols>
    <col min="1" max="1" width="16.44140625" customWidth="1"/>
    <col min="2" max="2" width="6.109375" customWidth="1"/>
    <col min="3" max="3" width="7.44140625" style="201" customWidth="1"/>
    <col min="4" max="4" width="7.5546875" style="201" customWidth="1"/>
    <col min="5" max="5" width="5.21875" customWidth="1"/>
    <col min="6" max="6" width="7.5546875" customWidth="1"/>
    <col min="7" max="7" width="3.6640625" customWidth="1"/>
    <col min="8" max="8" width="7.21875" customWidth="1"/>
    <col min="9" max="9" width="4.5546875" customWidth="1"/>
    <col min="10" max="10" width="7.21875" customWidth="1"/>
    <col min="11" max="11" width="3.6640625" customWidth="1"/>
    <col min="12" max="12" width="7.21875" customWidth="1"/>
    <col min="13" max="13" width="1.5546875" customWidth="1"/>
    <col min="14" max="14" width="18.44140625" customWidth="1"/>
    <col min="15" max="15" width="0.21875" customWidth="1"/>
    <col min="16" max="17" width="9.109375" customWidth="1"/>
    <col min="18" max="18" width="6.5546875" customWidth="1"/>
  </cols>
  <sheetData>
    <row r="1" spans="1:19" ht="15" customHeight="1" x14ac:dyDescent="0.2">
      <c r="A1" s="437" t="s">
        <v>145</v>
      </c>
      <c r="B1" s="437"/>
      <c r="C1" s="679" t="s">
        <v>206</v>
      </c>
      <c r="D1" s="679"/>
      <c r="E1" s="679"/>
      <c r="F1" s="679"/>
      <c r="G1" s="679"/>
      <c r="H1" s="679"/>
      <c r="I1" s="679"/>
      <c r="J1" s="679"/>
      <c r="K1" s="679"/>
      <c r="L1" s="679"/>
      <c r="M1" s="679"/>
      <c r="N1" s="679"/>
      <c r="P1" s="678" t="s">
        <v>71</v>
      </c>
      <c r="Q1" s="678"/>
      <c r="R1" s="678"/>
      <c r="S1" s="678"/>
    </row>
    <row r="2" spans="1:19" ht="15" customHeight="1" x14ac:dyDescent="0.2">
      <c r="A2" s="437"/>
      <c r="B2" s="437"/>
      <c r="C2" s="679"/>
      <c r="D2" s="679"/>
      <c r="E2" s="679"/>
      <c r="F2" s="679"/>
      <c r="G2" s="679"/>
      <c r="H2" s="679"/>
      <c r="I2" s="679"/>
      <c r="J2" s="679"/>
      <c r="K2" s="679"/>
      <c r="L2" s="679"/>
      <c r="M2" s="679"/>
      <c r="N2" s="679"/>
      <c r="P2" s="678" t="s">
        <v>107</v>
      </c>
      <c r="Q2" s="678"/>
      <c r="R2" s="678"/>
      <c r="S2" s="678"/>
    </row>
    <row r="3" spans="1:19" ht="15" customHeight="1" x14ac:dyDescent="0.2">
      <c r="A3" s="437"/>
      <c r="B3" s="437"/>
      <c r="C3" s="679"/>
      <c r="D3" s="679"/>
      <c r="E3" s="679"/>
      <c r="F3" s="679"/>
      <c r="G3" s="679"/>
      <c r="H3" s="679"/>
      <c r="I3" s="679"/>
      <c r="J3" s="679"/>
      <c r="K3" s="679"/>
      <c r="L3" s="679"/>
      <c r="M3" s="679"/>
      <c r="N3" s="679"/>
      <c r="P3" s="678" t="s">
        <v>408</v>
      </c>
      <c r="Q3" s="678"/>
      <c r="R3" s="678"/>
      <c r="S3" s="678"/>
    </row>
    <row r="4" spans="1:19" ht="3.75" customHeight="1" x14ac:dyDescent="0.2">
      <c r="A4" s="33"/>
      <c r="B4" s="34"/>
      <c r="C4" s="198"/>
      <c r="D4" s="198"/>
      <c r="E4" s="290"/>
      <c r="F4" s="290"/>
      <c r="G4" s="290"/>
      <c r="H4" s="290"/>
      <c r="I4" s="290"/>
      <c r="J4" s="290"/>
      <c r="K4" s="290"/>
      <c r="L4" s="290"/>
      <c r="M4" s="49"/>
      <c r="N4" s="49"/>
    </row>
    <row r="5" spans="1:19" ht="15.75" customHeight="1" x14ac:dyDescent="0.2">
      <c r="A5" s="680" t="s">
        <v>184</v>
      </c>
      <c r="B5" s="606"/>
      <c r="C5" s="606"/>
      <c r="D5" s="606"/>
      <c r="E5" s="606"/>
      <c r="F5" s="606"/>
      <c r="G5" s="606"/>
      <c r="H5" s="606"/>
      <c r="I5" s="606"/>
      <c r="J5" s="606"/>
      <c r="K5" s="606"/>
      <c r="L5" s="606"/>
      <c r="M5" s="606"/>
      <c r="N5" s="606"/>
      <c r="O5" s="606"/>
      <c r="P5" s="606"/>
      <c r="Q5" s="606"/>
      <c r="R5" s="606"/>
      <c r="S5" s="606"/>
    </row>
    <row r="6" spans="1:19" ht="15.75" customHeight="1" x14ac:dyDescent="0.2">
      <c r="A6" s="489" t="str">
        <f>'CONTEXTO ESTRATEGICO'!A7</f>
        <v>INSTITUCIONAL</v>
      </c>
      <c r="B6" s="489"/>
      <c r="C6" s="579" t="str">
        <f>'SEGUIMIENTO Y MONITOREO'!C6</f>
        <v>Mapa de Riesgo Institucional</v>
      </c>
      <c r="D6" s="580"/>
      <c r="E6" s="580"/>
      <c r="F6" s="580"/>
      <c r="G6" s="580"/>
      <c r="H6" s="580"/>
      <c r="I6" s="580"/>
      <c r="J6" s="580"/>
      <c r="K6" s="580"/>
      <c r="L6" s="580"/>
      <c r="M6" s="580"/>
      <c r="N6" s="581"/>
      <c r="P6" s="683" t="str">
        <f>'SEGUIMIENTO Y MONITOREO'!E6</f>
        <v>Fecha de Actualización (AAAA/MM/DD)</v>
      </c>
      <c r="Q6" s="683"/>
      <c r="R6" s="683"/>
      <c r="S6" s="171">
        <f>'SEGUIMIENTO Y MONITOREO'!H6</f>
        <v>42443</v>
      </c>
    </row>
    <row r="7" spans="1:19" ht="15.75" customHeight="1" x14ac:dyDescent="0.2">
      <c r="A7" s="489"/>
      <c r="B7" s="489"/>
      <c r="C7" s="691" t="s">
        <v>376</v>
      </c>
      <c r="D7" s="691"/>
      <c r="E7" s="691"/>
      <c r="F7" s="691"/>
      <c r="G7" s="691"/>
      <c r="H7" s="691"/>
      <c r="I7" s="691"/>
      <c r="J7" s="691"/>
      <c r="K7" s="691"/>
      <c r="L7" s="691"/>
      <c r="M7" s="691"/>
      <c r="N7" s="691"/>
      <c r="P7" s="684" t="s">
        <v>185</v>
      </c>
      <c r="Q7" s="684"/>
      <c r="R7" s="684"/>
      <c r="S7" s="172">
        <f>'SEGUIMIENTO Y MONITOREO'!$AX$7</f>
        <v>42613</v>
      </c>
    </row>
    <row r="8" spans="1:19" ht="25.5" customHeight="1" x14ac:dyDescent="0.2">
      <c r="A8" s="221" t="s">
        <v>286</v>
      </c>
      <c r="B8" s="222">
        <f>COUNTA(IDENTIFICACIÓN!D38:D71)</f>
        <v>34</v>
      </c>
      <c r="C8" s="692" t="s">
        <v>317</v>
      </c>
      <c r="D8" s="693"/>
      <c r="E8" s="296"/>
      <c r="F8" s="296"/>
      <c r="G8" s="307"/>
      <c r="H8" s="215"/>
      <c r="I8" s="215"/>
      <c r="J8" s="317"/>
      <c r="K8" s="215"/>
      <c r="L8" s="215"/>
      <c r="M8" s="215"/>
      <c r="N8" s="215"/>
      <c r="O8" s="27"/>
      <c r="P8" s="27"/>
      <c r="Q8" s="27"/>
      <c r="R8" s="27"/>
      <c r="S8" s="27"/>
    </row>
    <row r="9" spans="1:19" ht="17.25" customHeight="1" thickBot="1" x14ac:dyDescent="0.25">
      <c r="A9" s="685" t="s">
        <v>379</v>
      </c>
      <c r="B9" s="686"/>
      <c r="C9" s="297" t="s">
        <v>93</v>
      </c>
      <c r="D9" s="297" t="s">
        <v>7</v>
      </c>
      <c r="E9" s="296"/>
      <c r="F9" s="296"/>
      <c r="G9" s="307"/>
      <c r="H9" s="318"/>
      <c r="I9" s="318"/>
      <c r="J9" s="318"/>
      <c r="K9" s="318"/>
      <c r="L9" s="318"/>
      <c r="M9" s="296"/>
      <c r="N9" s="296"/>
      <c r="O9" s="27"/>
      <c r="P9" s="27"/>
      <c r="Q9" s="27"/>
      <c r="R9" s="27"/>
      <c r="S9" s="27"/>
    </row>
    <row r="10" spans="1:19" ht="33" customHeight="1" thickBot="1" x14ac:dyDescent="0.25">
      <c r="A10" s="664" t="s">
        <v>373</v>
      </c>
      <c r="B10" s="665"/>
      <c r="C10" s="199">
        <f>COUNTIF(Datos!$AH$32:$AH$65,3)</f>
        <v>33</v>
      </c>
      <c r="D10" s="687" t="s">
        <v>353</v>
      </c>
      <c r="E10" s="296"/>
      <c r="F10" s="689" t="s">
        <v>375</v>
      </c>
      <c r="G10" s="323">
        <v>3</v>
      </c>
      <c r="H10" s="322">
        <f>COUNTIF(Datos!$AG$32:$AG$65,3)</f>
        <v>32</v>
      </c>
      <c r="I10" s="320"/>
      <c r="J10" s="690" t="s">
        <v>304</v>
      </c>
      <c r="K10" s="315">
        <v>3</v>
      </c>
      <c r="L10" s="316">
        <f>COUNTIF(Datos!$AI$32:$AI$65,3)</f>
        <v>33</v>
      </c>
      <c r="M10" s="184"/>
      <c r="N10" s="242" t="s">
        <v>308</v>
      </c>
      <c r="O10" s="245">
        <f>L10/B8</f>
        <v>0.97058823529411764</v>
      </c>
      <c r="P10" s="27"/>
      <c r="Q10" s="27"/>
      <c r="R10" s="27"/>
      <c r="S10" s="27"/>
    </row>
    <row r="11" spans="1:19" ht="33" customHeight="1" thickBot="1" x14ac:dyDescent="0.25">
      <c r="A11" s="664" t="s">
        <v>374</v>
      </c>
      <c r="B11" s="665"/>
      <c r="C11" s="199">
        <f>COUNTIF(Datos!$AH$32:$AH$65,5)</f>
        <v>1</v>
      </c>
      <c r="D11" s="688"/>
      <c r="E11" s="296"/>
      <c r="F11" s="689"/>
      <c r="G11" s="324">
        <v>5</v>
      </c>
      <c r="H11" s="321">
        <f>COUNTIF(Datos!$AG$32:$AG$65,5)</f>
        <v>2</v>
      </c>
      <c r="I11" s="319"/>
      <c r="J11" s="690"/>
      <c r="K11" s="219">
        <v>5</v>
      </c>
      <c r="L11" s="226">
        <f>COUNTIF(Datos!$AI$32:$AI$65,5)</f>
        <v>1</v>
      </c>
      <c r="M11" s="184"/>
      <c r="N11" s="244" t="s">
        <v>310</v>
      </c>
      <c r="O11" s="245">
        <f>L11/B8</f>
        <v>2.9411764705882353E-2</v>
      </c>
      <c r="P11" s="27"/>
      <c r="Q11" s="27"/>
      <c r="R11" s="27"/>
      <c r="S11" s="27"/>
    </row>
    <row r="12" spans="1:19" x14ac:dyDescent="0.2">
      <c r="A12" s="27"/>
      <c r="B12" s="27"/>
      <c r="C12" s="200"/>
      <c r="D12" s="200"/>
      <c r="E12" s="27"/>
      <c r="F12" s="27"/>
      <c r="G12" s="27"/>
      <c r="H12" s="27"/>
      <c r="I12" s="27"/>
      <c r="J12" s="27"/>
      <c r="K12" s="27"/>
      <c r="L12" s="27"/>
      <c r="M12" s="27"/>
      <c r="N12" s="27"/>
      <c r="O12" s="27"/>
      <c r="P12" s="27"/>
      <c r="Q12" s="27"/>
      <c r="R12" s="27"/>
      <c r="S12" s="27"/>
    </row>
    <row r="13" spans="1:19" x14ac:dyDescent="0.2">
      <c r="A13" s="27"/>
      <c r="B13" s="27"/>
      <c r="C13" s="200"/>
      <c r="D13" s="200"/>
      <c r="E13" s="27"/>
      <c r="F13" s="27"/>
      <c r="G13" s="27"/>
      <c r="H13" s="27"/>
      <c r="I13" s="27"/>
      <c r="J13" s="27"/>
      <c r="K13" s="27"/>
      <c r="L13" s="27"/>
      <c r="M13" s="27"/>
      <c r="N13" s="27"/>
      <c r="O13" s="27"/>
      <c r="P13" s="27"/>
      <c r="Q13" s="27"/>
      <c r="R13" s="27"/>
      <c r="S13" s="27"/>
    </row>
  </sheetData>
  <sheetProtection selectLockedCells="1"/>
  <mergeCells count="19">
    <mergeCell ref="A9:B9"/>
    <mergeCell ref="A10:B10"/>
    <mergeCell ref="A11:B11"/>
    <mergeCell ref="A5:S5"/>
    <mergeCell ref="D10:D11"/>
    <mergeCell ref="F10:F11"/>
    <mergeCell ref="J10:J11"/>
    <mergeCell ref="A6:B6"/>
    <mergeCell ref="C6:N6"/>
    <mergeCell ref="P6:R6"/>
    <mergeCell ref="A7:B7"/>
    <mergeCell ref="C7:N7"/>
    <mergeCell ref="P7:R7"/>
    <mergeCell ref="C8:D8"/>
    <mergeCell ref="A1:B3"/>
    <mergeCell ref="C1:N3"/>
    <mergeCell ref="P1:S1"/>
    <mergeCell ref="P2:S2"/>
    <mergeCell ref="P3:S3"/>
  </mergeCells>
  <conditionalFormatting sqref="S7">
    <cfRule type="containsText" dxfId="43" priority="1" operator="containsText" text="Sin Seguimientos">
      <formula>NOT(ISERROR(SEARCH("Sin Seguimientos",S7)))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 operator="notEqual" id="{C0D87053-D282-4A7F-9889-517D3C515E1F}">
            <xm:f>VALORACIÓN!$D$10</xm:f>
            <x14:dxf>
              <font>
                <color auto="1"/>
              </font>
              <fill>
                <patternFill patternType="lightGrid">
                  <fgColor theme="0" tint="-4.9989318521683403E-2"/>
                  <bgColor theme="0"/>
                </patternFill>
              </fill>
            </x14:dxf>
          </x14:cfRule>
          <x14:cfRule type="cellIs" priority="5" operator="equal" id="{3171359A-5CA9-42CD-A1EE-02E9A48AC8DB}">
            <xm:f>VALORACIÓN!$D$10</xm:f>
            <x14:dxf>
              <fill>
                <patternFill patternType="lightGrid">
                  <fgColor theme="0" tint="-4.9989318521683403E-2"/>
                </patternFill>
              </fill>
            </x14:dxf>
          </x14:cfRule>
          <xm:sqref>C10:D10 C10:C11</xm:sqref>
        </x14:conditionalFormatting>
        <x14:conditionalFormatting xmlns:xm="http://schemas.microsoft.com/office/excel/2006/main">
          <x14:cfRule type="cellIs" priority="2" operator="notEqual" id="{ACFF3DDF-6033-4B18-A977-49FA73FB0ABE}">
            <xm:f>VALORACIÓN!$D$10</xm:f>
            <x14:dxf>
              <font>
                <color auto="1"/>
              </font>
              <fill>
                <patternFill patternType="lightGrid">
                  <fgColor theme="0" tint="-4.9989318521683403E-2"/>
                  <bgColor theme="0"/>
                </patternFill>
              </fill>
            </x14:dxf>
          </x14:cfRule>
          <x14:cfRule type="cellIs" priority="3" operator="equal" id="{BE483868-B6EE-4F8D-A667-409614692CBA}">
            <xm:f>VALORACIÓN!$D$10</xm:f>
            <x14:dxf>
              <fill>
                <patternFill patternType="lightGrid">
                  <fgColor theme="0" tint="-4.9989318521683403E-2"/>
                </patternFill>
              </fill>
            </x14:dxf>
          </x14:cfRule>
          <xm:sqref>O10:O11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B3198B"/>
  </sheetPr>
  <dimension ref="A1:J72"/>
  <sheetViews>
    <sheetView zoomScale="90" zoomScaleNormal="90" workbookViewId="0">
      <pane xSplit="1" ySplit="8" topLeftCell="B9" activePane="bottomRight" state="frozen"/>
      <selection pane="topRight" activeCell="B1" sqref="B1"/>
      <selection pane="bottomLeft" activeCell="A9" sqref="A9"/>
      <selection pane="bottomRight" activeCell="E9" sqref="E9"/>
    </sheetView>
  </sheetViews>
  <sheetFormatPr baseColWidth="10" defaultRowHeight="15.75" x14ac:dyDescent="0.25"/>
  <cols>
    <col min="1" max="1" width="42" style="1" customWidth="1"/>
    <col min="2" max="2" width="34" style="1" customWidth="1"/>
    <col min="3" max="3" width="3.88671875" style="1" customWidth="1"/>
    <col min="4" max="4" width="22.6640625" style="1" customWidth="1"/>
    <col min="5" max="5" width="29.44140625" style="1" customWidth="1"/>
    <col min="6" max="6" width="26" style="1" customWidth="1"/>
    <col min="7" max="7" width="16.21875" style="1" customWidth="1"/>
    <col min="8" max="8" width="45.6640625" style="1" customWidth="1"/>
    <col min="9" max="16384" width="11.5546875" style="1"/>
  </cols>
  <sheetData>
    <row r="1" spans="1:10" s="3" customFormat="1" ht="21" customHeight="1" x14ac:dyDescent="0.2">
      <c r="A1" s="437" t="s">
        <v>145</v>
      </c>
      <c r="B1" s="438" t="s">
        <v>142</v>
      </c>
      <c r="C1" s="438"/>
      <c r="D1" s="438"/>
      <c r="E1" s="438"/>
      <c r="F1" s="32" t="s">
        <v>71</v>
      </c>
    </row>
    <row r="2" spans="1:10" s="3" customFormat="1" ht="21" customHeight="1" x14ac:dyDescent="0.2">
      <c r="A2" s="437"/>
      <c r="B2" s="438"/>
      <c r="C2" s="438"/>
      <c r="D2" s="438"/>
      <c r="E2" s="438"/>
      <c r="F2" s="32" t="s">
        <v>107</v>
      </c>
    </row>
    <row r="3" spans="1:10" s="3" customFormat="1" ht="21" customHeight="1" x14ac:dyDescent="0.2">
      <c r="A3" s="437"/>
      <c r="B3" s="438"/>
      <c r="C3" s="438"/>
      <c r="D3" s="438"/>
      <c r="E3" s="438"/>
      <c r="F3" s="32" t="s">
        <v>408</v>
      </c>
    </row>
    <row r="4" spans="1:10" s="3" customFormat="1" ht="4.5" customHeight="1" x14ac:dyDescent="0.2">
      <c r="B4" s="36"/>
      <c r="C4" s="36"/>
      <c r="D4" s="36"/>
      <c r="E4" s="36"/>
      <c r="F4" s="36"/>
    </row>
    <row r="5" spans="1:10" ht="24" customHeight="1" x14ac:dyDescent="0.25">
      <c r="A5" s="456" t="s">
        <v>76</v>
      </c>
      <c r="B5" s="456"/>
      <c r="C5" s="456"/>
      <c r="D5" s="456"/>
      <c r="E5" s="456"/>
      <c r="F5" s="457"/>
    </row>
    <row r="6" spans="1:10" x14ac:dyDescent="0.25">
      <c r="A6" s="193" t="str">
        <f>'CONTEXTO ESTRATEGICO'!A7</f>
        <v>INSTITUCIONAL</v>
      </c>
      <c r="B6" s="458" t="str">
        <f>'CONTEXTO ESTRATEGICO'!B7</f>
        <v>Mapa de Riesgo Institucional</v>
      </c>
      <c r="C6" s="458"/>
      <c r="D6" s="458"/>
      <c r="E6" s="458"/>
      <c r="F6" s="458"/>
    </row>
    <row r="7" spans="1:10" ht="33" customHeight="1" x14ac:dyDescent="0.25">
      <c r="A7" s="193" t="str">
        <f>'CONTEXTO ESTRATEGICO'!A8</f>
        <v>MISION</v>
      </c>
      <c r="B7" s="459"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C7" s="459"/>
      <c r="D7" s="459"/>
      <c r="E7" s="459"/>
      <c r="F7" s="459"/>
    </row>
    <row r="8" spans="1:10" ht="26.25" customHeight="1" x14ac:dyDescent="0.25">
      <c r="A8" s="192" t="s">
        <v>227</v>
      </c>
      <c r="B8" s="191" t="s">
        <v>3</v>
      </c>
      <c r="C8" s="191" t="s">
        <v>22</v>
      </c>
      <c r="D8" s="191" t="s">
        <v>1</v>
      </c>
      <c r="E8" s="191" t="s">
        <v>6</v>
      </c>
      <c r="F8" s="191" t="s">
        <v>4</v>
      </c>
      <c r="J8" s="2"/>
    </row>
    <row r="9" spans="1:10" s="7" customFormat="1" ht="69" customHeight="1" x14ac:dyDescent="0.25">
      <c r="A9" s="449" t="str">
        <f>'CONTEXTO ESTRATEGICO'!D32</f>
        <v xml:space="preserve">Dadas por Factores Internos:
* Financieros: Falta de gestión de recursos para actividades de investigación.
Disponibilidad presupuestal no coherente con las actividades misionales
* Personal: Falta de apropiación de los procedimientos existentes por parte de los diferentes actores responsables de los procesos académico-administrativos.
Alta carga laboral.
Desconocimiento de la normatividad especifica. 
Falta de capacitación sobre el proceso de registro calificado a los nuevos responsablesde programas.
Falta de capacitaciones en el manejo de la plataforma tecnológica.
Falta capacitación del personal para formular y/o desarrollar proyectos de investigación.
Desconocimiento o falta de revisión del perfil requerido.      
Personal insuficiente (docentes, administrativos y de apoyo) para atender  las actividades académicas y administrativas.
Falta de seguimiento a la ejecución del proyecto por parte del investigador.
Desconocimiento de la normatividad de Propiedad Intelectual.
* Procesos: Falta de revisión de los vencimientos del Registro Calificado de los Programas Académicos.
La falta de Cómites de Autoevalción en cada programa.
Inadecuada revisión del contexto de los procesos. 
Ausencia de politicas tendientes a la adquisición y/o desarrollo de herramientas de TIC.
Falta política de vinculación para docentes.
Falta de un Plan de Desarrollo Docente.    
Planeación inadecuada del proceso.   
Inadecuada Implementación  de políticas de seguimiento y control a la ejecución de los procesos.
Insuficientes mecanismos de control y seguimiento para el aseguramiento de la calidad. 
Desarticulación de planes de mejoramientos de los procesos con el plan de acción institucional.
Dependencia en la toma de decisiones. Falta de agilización en los procesos. 
* Tecnología: Falta de herramientas tecnológicas o sistemas de información integrados que permitan la disponibilidad,seguimiento, control e integridad de la información en tiempo real.
Falta de disponibilidad de Computadores en la Oficina de Relaciones Internacionales para establecer contactos, gestionar y trámitar alianzas con el fin de fomentar el desarrollo de acciones conjuntas en los ámbitos de la docencia, la investigación y la extensión (desarrollo social) con Universidades en el Exterior; en Dirección de Comunicaciones y en la emisora cultural para desarrollar las actividades periodisticas y de divulgación.
Falta de Pagina de Internet (portal web) donde se pueda encontrar toda la información actualizada de las funciones, convenios y documentos pertinentes para la movilidad internacional entrante y saliente.
Falta de Dispositivos de Seguridad
* Comunicación Interna: Falta de asertividad en  los canales de comunicación 
Falta de entrega a tiempo de la documentación postcontractual que debe reposar en la carpeta contractual de los contratos de la Rectoría de la Universidad del Magdalena.
* Otros? Cuales: Cambios en la normativas internas
Dadas por Factores Externos:
* Económicos: Falta de asignación presupuestal, debido a que los proyectos de investigación depende en gran parte de cofinanciadores externos.
* Medio Ambientales: Falta de energía para el desarrollo de las actividades
Presencia de emisiones y residuos
* Políticos: Desconocimiento de la legislación, regulación y políticas referentes a movilidad internacional entrante y saliente.
Solicitudes al MEN despues del tiempo estipulado, es decir, con tiempos superiores a los  10 meses previsto para el caso de los registros calificados.
Interpretación de las normas mas allá de lo que la ley no distingue, por parte del MEN en algunos casos
Congestión de trámites en el MEN referente a solicitud de registro calificado.
Falta de sincronización en las diferentes respuestas que deben emitir los entes gubernamentales, mas exactamente en los programas de la salud.
Expedición de nueva normativa que afecte el proceso relacionado con el aseguramiento de la calidad, la acreditación y el mejoramiento continuo de los programas académicos de las Instituciones de Educación Superior.
Reglamentación medio ambiental en algunos casos excesiva (Ejemplo: Licencias Ambientales, Demasiados Requisitos Permisos en Parques Para Investigación)
* Sociales: Ausencia de Información sobre las condiciones sociopoliticas (dinamica social, seguridad, etc) y especificas en la movilidad (alojamiento,costos, entre otros) del personal en movilidad saliente de la Unimagdalena
* Tecnológicos: Deficiencia de los provedores tecnológicos
* Comunicación Externa: Carencia de  canales efectivos para la comunicación 
</v>
      </c>
      <c r="B9" s="375" t="s">
        <v>476</v>
      </c>
      <c r="C9" s="377" t="s">
        <v>388</v>
      </c>
      <c r="D9" s="376" t="s">
        <v>669</v>
      </c>
      <c r="E9" s="376" t="s">
        <v>654</v>
      </c>
      <c r="F9" s="375" t="s">
        <v>504</v>
      </c>
    </row>
    <row r="10" spans="1:10" ht="69" customHeight="1" x14ac:dyDescent="0.25">
      <c r="A10" s="450"/>
      <c r="B10" s="375" t="s">
        <v>477</v>
      </c>
      <c r="C10" s="377" t="s">
        <v>389</v>
      </c>
      <c r="D10" s="378" t="s">
        <v>670</v>
      </c>
      <c r="E10" s="376" t="s">
        <v>655</v>
      </c>
      <c r="F10" s="375" t="s">
        <v>505</v>
      </c>
    </row>
    <row r="11" spans="1:10" ht="69" customHeight="1" x14ac:dyDescent="0.25">
      <c r="A11" s="450"/>
      <c r="B11" s="375" t="s">
        <v>478</v>
      </c>
      <c r="C11" s="377" t="s">
        <v>390</v>
      </c>
      <c r="D11" s="378" t="s">
        <v>671</v>
      </c>
      <c r="E11" s="376" t="s">
        <v>656</v>
      </c>
      <c r="F11" s="375" t="s">
        <v>506</v>
      </c>
    </row>
    <row r="12" spans="1:10" ht="69" customHeight="1" x14ac:dyDescent="0.25">
      <c r="A12" s="450"/>
      <c r="B12" s="375" t="s">
        <v>479</v>
      </c>
      <c r="C12" s="377" t="s">
        <v>391</v>
      </c>
      <c r="D12" s="378" t="s">
        <v>672</v>
      </c>
      <c r="E12" s="376" t="s">
        <v>661</v>
      </c>
      <c r="F12" s="375" t="s">
        <v>507</v>
      </c>
    </row>
    <row r="13" spans="1:10" ht="69" customHeight="1" x14ac:dyDescent="0.25">
      <c r="A13" s="450"/>
      <c r="B13" s="375" t="s">
        <v>480</v>
      </c>
      <c r="C13" s="377" t="s">
        <v>392</v>
      </c>
      <c r="D13" s="378" t="s">
        <v>673</v>
      </c>
      <c r="E13" s="376" t="s">
        <v>662</v>
      </c>
      <c r="F13" s="375" t="s">
        <v>508</v>
      </c>
    </row>
    <row r="14" spans="1:10" ht="69" customHeight="1" x14ac:dyDescent="0.25">
      <c r="A14" s="450"/>
      <c r="B14" s="375" t="s">
        <v>481</v>
      </c>
      <c r="C14" s="377" t="s">
        <v>393</v>
      </c>
      <c r="D14" s="378" t="s">
        <v>674</v>
      </c>
      <c r="E14" s="376" t="s">
        <v>663</v>
      </c>
      <c r="F14" s="375" t="s">
        <v>509</v>
      </c>
    </row>
    <row r="15" spans="1:10" ht="69" customHeight="1" x14ac:dyDescent="0.25">
      <c r="A15" s="450"/>
      <c r="B15" s="375" t="s">
        <v>482</v>
      </c>
      <c r="C15" s="377" t="s">
        <v>394</v>
      </c>
      <c r="D15" s="378" t="s">
        <v>675</v>
      </c>
      <c r="E15" s="376" t="s">
        <v>664</v>
      </c>
      <c r="F15" s="375" t="s">
        <v>510</v>
      </c>
    </row>
    <row r="16" spans="1:10" ht="69" customHeight="1" x14ac:dyDescent="0.25">
      <c r="A16" s="450"/>
      <c r="B16" s="375" t="s">
        <v>483</v>
      </c>
      <c r="C16" s="377" t="s">
        <v>395</v>
      </c>
      <c r="D16" s="378" t="s">
        <v>676</v>
      </c>
      <c r="E16" s="376" t="s">
        <v>665</v>
      </c>
      <c r="F16" s="375" t="s">
        <v>511</v>
      </c>
    </row>
    <row r="17" spans="1:6" ht="69" customHeight="1" x14ac:dyDescent="0.25">
      <c r="A17" s="450"/>
      <c r="B17" s="375" t="s">
        <v>484</v>
      </c>
      <c r="C17" s="377" t="s">
        <v>396</v>
      </c>
      <c r="D17" s="378" t="s">
        <v>677</v>
      </c>
      <c r="E17" s="376" t="s">
        <v>668</v>
      </c>
      <c r="F17" s="375" t="s">
        <v>512</v>
      </c>
    </row>
    <row r="18" spans="1:6" ht="69" customHeight="1" x14ac:dyDescent="0.25">
      <c r="A18" s="450"/>
      <c r="B18" s="375" t="s">
        <v>485</v>
      </c>
      <c r="C18" s="379" t="s">
        <v>397</v>
      </c>
      <c r="D18" s="380" t="s">
        <v>678</v>
      </c>
      <c r="E18" s="376" t="s">
        <v>734</v>
      </c>
      <c r="F18" s="375" t="s">
        <v>513</v>
      </c>
    </row>
    <row r="19" spans="1:6" ht="69" customHeight="1" x14ac:dyDescent="0.25">
      <c r="A19" s="450"/>
      <c r="B19" s="375" t="s">
        <v>486</v>
      </c>
      <c r="C19" s="379" t="s">
        <v>429</v>
      </c>
      <c r="D19" s="380" t="s">
        <v>679</v>
      </c>
      <c r="E19" s="385" t="s">
        <v>736</v>
      </c>
      <c r="F19" s="375" t="s">
        <v>514</v>
      </c>
    </row>
    <row r="20" spans="1:6" ht="69" customHeight="1" x14ac:dyDescent="0.25">
      <c r="A20" s="450"/>
      <c r="B20" s="375" t="s">
        <v>487</v>
      </c>
      <c r="C20" s="379" t="s">
        <v>430</v>
      </c>
      <c r="D20" s="380" t="s">
        <v>680</v>
      </c>
      <c r="E20" s="385" t="s">
        <v>737</v>
      </c>
      <c r="F20" s="375" t="s">
        <v>515</v>
      </c>
    </row>
    <row r="21" spans="1:6" ht="69" customHeight="1" x14ac:dyDescent="0.25">
      <c r="A21" s="450"/>
      <c r="B21" s="375" t="s">
        <v>488</v>
      </c>
      <c r="C21" s="379" t="s">
        <v>431</v>
      </c>
      <c r="D21" s="380" t="s">
        <v>681</v>
      </c>
      <c r="E21" s="385" t="s">
        <v>738</v>
      </c>
      <c r="F21" s="375" t="s">
        <v>516</v>
      </c>
    </row>
    <row r="22" spans="1:6" ht="69" customHeight="1" x14ac:dyDescent="0.25">
      <c r="A22" s="450"/>
      <c r="B22" s="375" t="s">
        <v>489</v>
      </c>
      <c r="C22" s="379" t="s">
        <v>432</v>
      </c>
      <c r="D22" s="380" t="s">
        <v>682</v>
      </c>
      <c r="E22" s="385" t="s">
        <v>739</v>
      </c>
      <c r="F22" s="375" t="s">
        <v>517</v>
      </c>
    </row>
    <row r="23" spans="1:6" ht="69" customHeight="1" x14ac:dyDescent="0.25">
      <c r="A23" s="450"/>
      <c r="B23" s="375" t="s">
        <v>490</v>
      </c>
      <c r="C23" s="379" t="s">
        <v>433</v>
      </c>
      <c r="D23" s="380" t="s">
        <v>683</v>
      </c>
      <c r="E23" s="385" t="s">
        <v>743</v>
      </c>
      <c r="F23" s="375" t="s">
        <v>518</v>
      </c>
    </row>
    <row r="24" spans="1:6" ht="69" customHeight="1" x14ac:dyDescent="0.25">
      <c r="A24" s="450"/>
      <c r="B24" s="375" t="s">
        <v>491</v>
      </c>
      <c r="C24" s="379" t="s">
        <v>434</v>
      </c>
      <c r="D24" s="380" t="s">
        <v>684</v>
      </c>
      <c r="E24" s="385" t="s">
        <v>744</v>
      </c>
      <c r="F24" s="375" t="s">
        <v>519</v>
      </c>
    </row>
    <row r="25" spans="1:6" ht="69" customHeight="1" x14ac:dyDescent="0.25">
      <c r="A25" s="450"/>
      <c r="B25" s="375" t="s">
        <v>492</v>
      </c>
      <c r="C25" s="379" t="s">
        <v>435</v>
      </c>
      <c r="D25" s="380" t="s">
        <v>685</v>
      </c>
      <c r="E25" s="384" t="s">
        <v>752</v>
      </c>
      <c r="F25" s="375" t="s">
        <v>520</v>
      </c>
    </row>
    <row r="26" spans="1:6" ht="69" customHeight="1" x14ac:dyDescent="0.25">
      <c r="A26" s="450"/>
      <c r="B26" s="375" t="s">
        <v>493</v>
      </c>
      <c r="C26" s="379" t="s">
        <v>436</v>
      </c>
      <c r="D26" s="380" t="s">
        <v>686</v>
      </c>
      <c r="E26" s="384" t="s">
        <v>753</v>
      </c>
      <c r="F26" s="375" t="s">
        <v>521</v>
      </c>
    </row>
    <row r="27" spans="1:6" ht="69" customHeight="1" x14ac:dyDescent="0.25">
      <c r="A27" s="450"/>
      <c r="B27" s="375" t="s">
        <v>494</v>
      </c>
      <c r="C27" s="379" t="s">
        <v>437</v>
      </c>
      <c r="D27" s="380" t="s">
        <v>687</v>
      </c>
      <c r="E27" s="384" t="s">
        <v>754</v>
      </c>
      <c r="F27" s="375" t="s">
        <v>522</v>
      </c>
    </row>
    <row r="28" spans="1:6" ht="69" customHeight="1" x14ac:dyDescent="0.25">
      <c r="A28" s="450"/>
      <c r="B28" s="375" t="s">
        <v>495</v>
      </c>
      <c r="C28" s="379" t="s">
        <v>438</v>
      </c>
      <c r="D28" s="380" t="s">
        <v>688</v>
      </c>
      <c r="E28" s="384" t="s">
        <v>755</v>
      </c>
      <c r="F28" s="375" t="s">
        <v>523</v>
      </c>
    </row>
    <row r="29" spans="1:6" ht="69" customHeight="1" x14ac:dyDescent="0.25">
      <c r="A29" s="450"/>
      <c r="B29" s="375" t="s">
        <v>496</v>
      </c>
      <c r="C29" s="379" t="s">
        <v>439</v>
      </c>
      <c r="D29" s="380" t="s">
        <v>689</v>
      </c>
      <c r="E29" s="384" t="s">
        <v>756</v>
      </c>
      <c r="F29" s="375" t="s">
        <v>523</v>
      </c>
    </row>
    <row r="30" spans="1:6" ht="69" customHeight="1" x14ac:dyDescent="0.25">
      <c r="A30" s="450"/>
      <c r="B30" s="375" t="s">
        <v>497</v>
      </c>
      <c r="C30" s="379" t="s">
        <v>440</v>
      </c>
      <c r="D30" s="380" t="s">
        <v>690</v>
      </c>
      <c r="E30" s="384" t="s">
        <v>763</v>
      </c>
      <c r="F30" s="375" t="s">
        <v>524</v>
      </c>
    </row>
    <row r="31" spans="1:6" ht="69" customHeight="1" x14ac:dyDescent="0.25">
      <c r="A31" s="450"/>
      <c r="B31" s="375" t="s">
        <v>498</v>
      </c>
      <c r="C31" s="379" t="s">
        <v>441</v>
      </c>
      <c r="D31" s="380" t="s">
        <v>691</v>
      </c>
      <c r="E31" s="384" t="s">
        <v>764</v>
      </c>
      <c r="F31" s="375" t="s">
        <v>525</v>
      </c>
    </row>
    <row r="32" spans="1:6" ht="69" customHeight="1" x14ac:dyDescent="0.25">
      <c r="A32" s="450"/>
      <c r="B32" s="375" t="s">
        <v>499</v>
      </c>
      <c r="C32" s="379" t="s">
        <v>442</v>
      </c>
      <c r="D32" s="380" t="s">
        <v>692</v>
      </c>
      <c r="E32" s="384" t="s">
        <v>765</v>
      </c>
      <c r="F32" s="375" t="s">
        <v>526</v>
      </c>
    </row>
    <row r="33" spans="1:6" ht="69" customHeight="1" x14ac:dyDescent="0.25">
      <c r="A33" s="450"/>
      <c r="B33" s="375" t="s">
        <v>500</v>
      </c>
      <c r="C33" s="379" t="s">
        <v>443</v>
      </c>
      <c r="D33" s="380" t="s">
        <v>693</v>
      </c>
      <c r="E33" s="384" t="s">
        <v>766</v>
      </c>
      <c r="F33" s="375" t="s">
        <v>527</v>
      </c>
    </row>
    <row r="34" spans="1:6" ht="69" customHeight="1" x14ac:dyDescent="0.25">
      <c r="A34" s="450"/>
      <c r="B34" s="375" t="s">
        <v>501</v>
      </c>
      <c r="C34" s="379" t="s">
        <v>444</v>
      </c>
      <c r="D34" s="380" t="s">
        <v>694</v>
      </c>
      <c r="E34" s="384" t="s">
        <v>767</v>
      </c>
      <c r="F34" s="375" t="s">
        <v>528</v>
      </c>
    </row>
    <row r="35" spans="1:6" ht="69" customHeight="1" x14ac:dyDescent="0.25">
      <c r="A35" s="450"/>
      <c r="B35" s="375" t="s">
        <v>502</v>
      </c>
      <c r="C35" s="379" t="s">
        <v>445</v>
      </c>
      <c r="D35" s="380" t="s">
        <v>695</v>
      </c>
      <c r="E35" s="384" t="s">
        <v>774</v>
      </c>
      <c r="F35" s="375" t="s">
        <v>529</v>
      </c>
    </row>
    <row r="36" spans="1:6" ht="69" customHeight="1" x14ac:dyDescent="0.25">
      <c r="A36" s="451"/>
      <c r="B36" s="375" t="s">
        <v>503</v>
      </c>
      <c r="C36" s="379" t="s">
        <v>446</v>
      </c>
      <c r="D36" s="380" t="s">
        <v>696</v>
      </c>
      <c r="E36" s="384" t="s">
        <v>775</v>
      </c>
      <c r="F36" s="375" t="s">
        <v>530</v>
      </c>
    </row>
    <row r="37" spans="1:6" ht="24" customHeight="1" x14ac:dyDescent="0.25">
      <c r="A37" s="455" t="s">
        <v>345</v>
      </c>
      <c r="B37" s="455"/>
      <c r="C37" s="455"/>
      <c r="D37" s="455"/>
      <c r="E37" s="455"/>
      <c r="F37" s="455"/>
    </row>
    <row r="38" spans="1:6" ht="69" customHeight="1" thickBot="1" x14ac:dyDescent="0.3">
      <c r="A38" s="449" t="s">
        <v>697</v>
      </c>
      <c r="B38" s="374" t="s">
        <v>531</v>
      </c>
      <c r="C38" s="381" t="s">
        <v>346</v>
      </c>
      <c r="D38" s="374" t="s">
        <v>698</v>
      </c>
      <c r="E38" s="385" t="s">
        <v>657</v>
      </c>
      <c r="F38" s="452"/>
    </row>
    <row r="39" spans="1:6" ht="69" customHeight="1" thickTop="1" thickBot="1" x14ac:dyDescent="0.3">
      <c r="A39" s="450"/>
      <c r="B39" s="374" t="s">
        <v>532</v>
      </c>
      <c r="C39" s="382" t="s">
        <v>347</v>
      </c>
      <c r="D39" s="374" t="s">
        <v>699</v>
      </c>
      <c r="E39" s="385" t="s">
        <v>658</v>
      </c>
      <c r="F39" s="453"/>
    </row>
    <row r="40" spans="1:6" ht="69" customHeight="1" thickTop="1" thickBot="1" x14ac:dyDescent="0.3">
      <c r="A40" s="450"/>
      <c r="B40" s="374" t="s">
        <v>533</v>
      </c>
      <c r="C40" s="382" t="s">
        <v>348</v>
      </c>
      <c r="D40" s="374" t="s">
        <v>700</v>
      </c>
      <c r="E40" s="376" t="s">
        <v>659</v>
      </c>
      <c r="F40" s="453"/>
    </row>
    <row r="41" spans="1:6" ht="69" customHeight="1" thickTop="1" thickBot="1" x14ac:dyDescent="0.3">
      <c r="A41" s="450"/>
      <c r="B41" s="374" t="s">
        <v>534</v>
      </c>
      <c r="C41" s="382" t="s">
        <v>349</v>
      </c>
      <c r="D41" s="374" t="s">
        <v>701</v>
      </c>
      <c r="E41" s="376" t="s">
        <v>660</v>
      </c>
      <c r="F41" s="453"/>
    </row>
    <row r="42" spans="1:6" ht="69" customHeight="1" thickTop="1" thickBot="1" x14ac:dyDescent="0.3">
      <c r="A42" s="450"/>
      <c r="B42" s="378" t="s">
        <v>535</v>
      </c>
      <c r="C42" s="382" t="s">
        <v>350</v>
      </c>
      <c r="D42" s="383" t="s">
        <v>702</v>
      </c>
      <c r="E42" s="376" t="s">
        <v>666</v>
      </c>
      <c r="F42" s="453"/>
    </row>
    <row r="43" spans="1:6" ht="69" customHeight="1" thickTop="1" thickBot="1" x14ac:dyDescent="0.3">
      <c r="A43" s="450"/>
      <c r="B43" s="378" t="s">
        <v>536</v>
      </c>
      <c r="C43" s="382" t="s">
        <v>447</v>
      </c>
      <c r="D43" s="383" t="s">
        <v>703</v>
      </c>
      <c r="E43" s="385" t="s">
        <v>667</v>
      </c>
      <c r="F43" s="453"/>
    </row>
    <row r="44" spans="1:6" ht="78" thickTop="1" thickBot="1" x14ac:dyDescent="0.3">
      <c r="A44" s="450"/>
      <c r="B44" s="375" t="s">
        <v>537</v>
      </c>
      <c r="C44" s="381" t="s">
        <v>448</v>
      </c>
      <c r="D44" s="375" t="s">
        <v>704</v>
      </c>
      <c r="E44" s="385" t="s">
        <v>732</v>
      </c>
      <c r="F44" s="453"/>
    </row>
    <row r="45" spans="1:6" ht="39.75" thickTop="1" thickBot="1" x14ac:dyDescent="0.3">
      <c r="A45" s="450"/>
      <c r="B45" s="375" t="s">
        <v>538</v>
      </c>
      <c r="C45" s="381" t="s">
        <v>449</v>
      </c>
      <c r="D45" s="375" t="s">
        <v>705</v>
      </c>
      <c r="E45" s="376" t="s">
        <v>733</v>
      </c>
      <c r="F45" s="453"/>
    </row>
    <row r="46" spans="1:6" ht="52.5" thickTop="1" thickBot="1" x14ac:dyDescent="0.3">
      <c r="A46" s="450"/>
      <c r="B46" s="375" t="s">
        <v>539</v>
      </c>
      <c r="C46" s="381" t="s">
        <v>450</v>
      </c>
      <c r="D46" s="375" t="s">
        <v>706</v>
      </c>
      <c r="E46" s="385" t="s">
        <v>735</v>
      </c>
      <c r="F46" s="453"/>
    </row>
    <row r="47" spans="1:6" ht="65.25" thickTop="1" thickBot="1" x14ac:dyDescent="0.3">
      <c r="A47" s="450"/>
      <c r="B47" s="375" t="s">
        <v>540</v>
      </c>
      <c r="C47" s="381" t="s">
        <v>451</v>
      </c>
      <c r="D47" s="375" t="s">
        <v>707</v>
      </c>
      <c r="E47" s="385" t="s">
        <v>740</v>
      </c>
      <c r="F47" s="453"/>
    </row>
    <row r="48" spans="1:6" ht="103.5" thickTop="1" thickBot="1" x14ac:dyDescent="0.3">
      <c r="A48" s="450"/>
      <c r="B48" s="375" t="s">
        <v>541</v>
      </c>
      <c r="C48" s="381" t="s">
        <v>452</v>
      </c>
      <c r="D48" s="375" t="s">
        <v>708</v>
      </c>
      <c r="E48" s="385" t="s">
        <v>741</v>
      </c>
      <c r="F48" s="453"/>
    </row>
    <row r="49" spans="1:6" ht="78" thickTop="1" thickBot="1" x14ac:dyDescent="0.3">
      <c r="A49" s="450"/>
      <c r="B49" s="375" t="s">
        <v>542</v>
      </c>
      <c r="C49" s="381" t="s">
        <v>453</v>
      </c>
      <c r="D49" s="375" t="s">
        <v>709</v>
      </c>
      <c r="E49" s="385" t="s">
        <v>742</v>
      </c>
      <c r="F49" s="453"/>
    </row>
    <row r="50" spans="1:6" ht="52.5" thickTop="1" thickBot="1" x14ac:dyDescent="0.3">
      <c r="A50" s="450"/>
      <c r="B50" s="375" t="s">
        <v>543</v>
      </c>
      <c r="C50" s="381" t="s">
        <v>454</v>
      </c>
      <c r="D50" s="375" t="s">
        <v>710</v>
      </c>
      <c r="E50" s="385" t="s">
        <v>745</v>
      </c>
      <c r="F50" s="453"/>
    </row>
    <row r="51" spans="1:6" ht="52.5" thickTop="1" thickBot="1" x14ac:dyDescent="0.3">
      <c r="A51" s="450"/>
      <c r="B51" s="375" t="s">
        <v>544</v>
      </c>
      <c r="C51" s="381" t="s">
        <v>455</v>
      </c>
      <c r="D51" s="375" t="s">
        <v>711</v>
      </c>
      <c r="E51" s="385" t="s">
        <v>746</v>
      </c>
      <c r="F51" s="453"/>
    </row>
    <row r="52" spans="1:6" ht="90.75" thickTop="1" thickBot="1" x14ac:dyDescent="0.3">
      <c r="A52" s="450"/>
      <c r="B52" s="375" t="s">
        <v>545</v>
      </c>
      <c r="C52" s="381" t="s">
        <v>456</v>
      </c>
      <c r="D52" s="375" t="s">
        <v>712</v>
      </c>
      <c r="E52" s="385" t="s">
        <v>747</v>
      </c>
      <c r="F52" s="453"/>
    </row>
    <row r="53" spans="1:6" ht="52.5" thickTop="1" thickBot="1" x14ac:dyDescent="0.3">
      <c r="A53" s="450"/>
      <c r="B53" s="375" t="s">
        <v>546</v>
      </c>
      <c r="C53" s="381" t="s">
        <v>457</v>
      </c>
      <c r="D53" s="375" t="s">
        <v>713</v>
      </c>
      <c r="E53" s="385" t="s">
        <v>748</v>
      </c>
      <c r="F53" s="453"/>
    </row>
    <row r="54" spans="1:6" ht="78" thickTop="1" thickBot="1" x14ac:dyDescent="0.3">
      <c r="A54" s="450"/>
      <c r="B54" s="375" t="s">
        <v>547</v>
      </c>
      <c r="C54" s="381" t="s">
        <v>458</v>
      </c>
      <c r="D54" s="375" t="s">
        <v>714</v>
      </c>
      <c r="E54" s="385" t="s">
        <v>749</v>
      </c>
      <c r="F54" s="453"/>
    </row>
    <row r="55" spans="1:6" ht="65.25" thickTop="1" thickBot="1" x14ac:dyDescent="0.3">
      <c r="A55" s="450"/>
      <c r="B55" s="375" t="s">
        <v>548</v>
      </c>
      <c r="C55" s="381" t="s">
        <v>459</v>
      </c>
      <c r="D55" s="375" t="s">
        <v>715</v>
      </c>
      <c r="E55" s="385" t="s">
        <v>750</v>
      </c>
      <c r="F55" s="453"/>
    </row>
    <row r="56" spans="1:6" ht="39.75" thickTop="1" thickBot="1" x14ac:dyDescent="0.3">
      <c r="A56" s="450"/>
      <c r="B56" s="375" t="s">
        <v>549</v>
      </c>
      <c r="C56" s="381" t="s">
        <v>460</v>
      </c>
      <c r="D56" s="375" t="s">
        <v>716</v>
      </c>
      <c r="E56" s="385" t="s">
        <v>751</v>
      </c>
      <c r="F56" s="453"/>
    </row>
    <row r="57" spans="1:6" ht="52.5" thickTop="1" thickBot="1" x14ac:dyDescent="0.3">
      <c r="A57" s="450"/>
      <c r="B57" s="375" t="s">
        <v>550</v>
      </c>
      <c r="C57" s="381" t="s">
        <v>461</v>
      </c>
      <c r="D57" s="375" t="s">
        <v>717</v>
      </c>
      <c r="E57" s="385" t="s">
        <v>757</v>
      </c>
      <c r="F57" s="453"/>
    </row>
    <row r="58" spans="1:6" ht="39.75" thickTop="1" thickBot="1" x14ac:dyDescent="0.3">
      <c r="A58" s="450"/>
      <c r="B58" s="375" t="s">
        <v>551</v>
      </c>
      <c r="C58" s="381" t="s">
        <v>462</v>
      </c>
      <c r="D58" s="375" t="s">
        <v>718</v>
      </c>
      <c r="E58" s="385" t="s">
        <v>758</v>
      </c>
      <c r="F58" s="453"/>
    </row>
    <row r="59" spans="1:6" ht="27" thickTop="1" thickBot="1" x14ac:dyDescent="0.3">
      <c r="A59" s="450"/>
      <c r="B59" s="375" t="s">
        <v>552</v>
      </c>
      <c r="C59" s="381" t="s">
        <v>463</v>
      </c>
      <c r="D59" s="375" t="s">
        <v>719</v>
      </c>
      <c r="E59" s="385" t="s">
        <v>759</v>
      </c>
      <c r="F59" s="453"/>
    </row>
    <row r="60" spans="1:6" ht="52.5" thickTop="1" thickBot="1" x14ac:dyDescent="0.3">
      <c r="A60" s="450"/>
      <c r="B60" s="375" t="s">
        <v>553</v>
      </c>
      <c r="C60" s="381" t="s">
        <v>464</v>
      </c>
      <c r="D60" s="375" t="s">
        <v>720</v>
      </c>
      <c r="E60" s="385" t="s">
        <v>760</v>
      </c>
      <c r="F60" s="453"/>
    </row>
    <row r="61" spans="1:6" ht="65.25" thickTop="1" thickBot="1" x14ac:dyDescent="0.3">
      <c r="A61" s="450"/>
      <c r="B61" s="375" t="s">
        <v>554</v>
      </c>
      <c r="C61" s="381" t="s">
        <v>465</v>
      </c>
      <c r="D61" s="375" t="s">
        <v>721</v>
      </c>
      <c r="E61" s="385" t="s">
        <v>761</v>
      </c>
      <c r="F61" s="453"/>
    </row>
    <row r="62" spans="1:6" ht="39.75" thickTop="1" thickBot="1" x14ac:dyDescent="0.3">
      <c r="A62" s="450"/>
      <c r="B62" s="375" t="s">
        <v>778</v>
      </c>
      <c r="C62" s="381" t="s">
        <v>466</v>
      </c>
      <c r="D62" s="375" t="s">
        <v>722</v>
      </c>
      <c r="E62" s="385" t="s">
        <v>762</v>
      </c>
      <c r="F62" s="453"/>
    </row>
    <row r="63" spans="1:6" ht="39.75" thickTop="1" thickBot="1" x14ac:dyDescent="0.3">
      <c r="A63" s="450"/>
      <c r="B63" s="375" t="s">
        <v>778</v>
      </c>
      <c r="C63" s="381" t="s">
        <v>467</v>
      </c>
      <c r="D63" s="375" t="s">
        <v>723</v>
      </c>
      <c r="E63" s="385" t="s">
        <v>762</v>
      </c>
      <c r="F63" s="453"/>
    </row>
    <row r="64" spans="1:6" ht="65.25" thickTop="1" thickBot="1" x14ac:dyDescent="0.3">
      <c r="A64" s="450"/>
      <c r="B64" s="375" t="s">
        <v>555</v>
      </c>
      <c r="C64" s="381" t="s">
        <v>468</v>
      </c>
      <c r="D64" s="375" t="s">
        <v>724</v>
      </c>
      <c r="E64" s="385" t="s">
        <v>768</v>
      </c>
      <c r="F64" s="453"/>
    </row>
    <row r="65" spans="1:6" ht="52.5" thickTop="1" thickBot="1" x14ac:dyDescent="0.3">
      <c r="A65" s="450"/>
      <c r="B65" s="375" t="s">
        <v>556</v>
      </c>
      <c r="C65" s="381" t="s">
        <v>469</v>
      </c>
      <c r="D65" s="375" t="s">
        <v>725</v>
      </c>
      <c r="E65" s="385" t="s">
        <v>769</v>
      </c>
      <c r="F65" s="453"/>
    </row>
    <row r="66" spans="1:6" ht="52.5" thickTop="1" thickBot="1" x14ac:dyDescent="0.3">
      <c r="A66" s="450"/>
      <c r="B66" s="375" t="s">
        <v>557</v>
      </c>
      <c r="C66" s="381" t="s">
        <v>470</v>
      </c>
      <c r="D66" s="375" t="s">
        <v>726</v>
      </c>
      <c r="E66" s="385" t="s">
        <v>770</v>
      </c>
      <c r="F66" s="453"/>
    </row>
    <row r="67" spans="1:6" ht="78" thickTop="1" thickBot="1" x14ac:dyDescent="0.3">
      <c r="A67" s="450"/>
      <c r="B67" s="375" t="s">
        <v>558</v>
      </c>
      <c r="C67" s="381" t="s">
        <v>471</v>
      </c>
      <c r="D67" s="375" t="s">
        <v>727</v>
      </c>
      <c r="E67" s="385" t="s">
        <v>771</v>
      </c>
      <c r="F67" s="453"/>
    </row>
    <row r="68" spans="1:6" ht="52.5" thickTop="1" thickBot="1" x14ac:dyDescent="0.3">
      <c r="A68" s="450"/>
      <c r="B68" s="375" t="s">
        <v>559</v>
      </c>
      <c r="C68" s="381" t="s">
        <v>472</v>
      </c>
      <c r="D68" s="375" t="s">
        <v>728</v>
      </c>
      <c r="E68" s="385" t="s">
        <v>772</v>
      </c>
      <c r="F68" s="453"/>
    </row>
    <row r="69" spans="1:6" ht="52.5" thickTop="1" thickBot="1" x14ac:dyDescent="0.3">
      <c r="A69" s="450"/>
      <c r="B69" s="375" t="s">
        <v>560</v>
      </c>
      <c r="C69" s="381" t="s">
        <v>473</v>
      </c>
      <c r="D69" s="375" t="s">
        <v>729</v>
      </c>
      <c r="E69" s="385" t="s">
        <v>773</v>
      </c>
      <c r="F69" s="453"/>
    </row>
    <row r="70" spans="1:6" ht="65.25" thickTop="1" thickBot="1" x14ac:dyDescent="0.3">
      <c r="A70" s="450"/>
      <c r="B70" s="375" t="s">
        <v>561</v>
      </c>
      <c r="C70" s="381" t="s">
        <v>474</v>
      </c>
      <c r="D70" s="375" t="s">
        <v>730</v>
      </c>
      <c r="E70" s="385" t="s">
        <v>776</v>
      </c>
      <c r="F70" s="453"/>
    </row>
    <row r="71" spans="1:6" ht="52.5" thickTop="1" thickBot="1" x14ac:dyDescent="0.3">
      <c r="A71" s="451"/>
      <c r="B71" s="375" t="s">
        <v>562</v>
      </c>
      <c r="C71" s="381" t="s">
        <v>475</v>
      </c>
      <c r="D71" s="375" t="s">
        <v>731</v>
      </c>
      <c r="E71" s="385" t="s">
        <v>777</v>
      </c>
      <c r="F71" s="454"/>
    </row>
    <row r="72" spans="1:6" ht="16.5" thickTop="1" x14ac:dyDescent="0.25"/>
  </sheetData>
  <sheetProtection algorithmName="SHA-512" hashValue="Or8U7VGMJYfHZ8syQa0BPUUkvp4z9k12Css/cvWr6/cD5xBMfBnq2TPW+6pWR4s31ZeI8zQuwGIvo7QNIukt3g==" saltValue="PN+RwtDWB+BaPvzBPMTp/g==" spinCount="100000" sheet="1" objects="1" scenarios="1" formatCells="0" formatRows="0" selectLockedCells="1"/>
  <mergeCells count="9">
    <mergeCell ref="A38:A71"/>
    <mergeCell ref="F38:F71"/>
    <mergeCell ref="A37:F37"/>
    <mergeCell ref="A1:A3"/>
    <mergeCell ref="B1:E3"/>
    <mergeCell ref="A5:F5"/>
    <mergeCell ref="B6:F6"/>
    <mergeCell ref="B7:F7"/>
    <mergeCell ref="A9:A36"/>
  </mergeCells>
  <phoneticPr fontId="5" type="noConversion"/>
  <conditionalFormatting sqref="A9">
    <cfRule type="cellIs" dxfId="532" priority="3" operator="notEqual">
      <formula>$D$10</formula>
    </cfRule>
    <cfRule type="cellIs" dxfId="531" priority="4" operator="equal">
      <formula>$D$10</formula>
    </cfRule>
  </conditionalFormatting>
  <conditionalFormatting sqref="A38">
    <cfRule type="cellIs" dxfId="530" priority="1" operator="notEqual">
      <formula>$D$10</formula>
    </cfRule>
    <cfRule type="cellIs" dxfId="529" priority="2" operator="equal">
      <formula>$D$10</formula>
    </cfRule>
  </conditionalFormatting>
  <pageMargins left="1.57" right="0.2" top="0.65" bottom="0.38" header="0.28000000000000003" footer="0"/>
  <pageSetup paperSize="5" scale="55" orientation="landscape" r:id="rId1"/>
  <headerFooter alignWithMargins="0">
    <oddHeader>&amp;C&amp;"Kredit,Normal"&amp;22  IDENTIFICACION DE RIESGOS</oddHeader>
  </headerFooter>
  <cellWatches>
    <cellWatch r="F9"/>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0"/>
  <sheetViews>
    <sheetView view="pageBreakPreview" zoomScaleNormal="100" zoomScaleSheetLayoutView="100" workbookViewId="0">
      <pane xSplit="2" ySplit="8" topLeftCell="C19" activePane="bottomRight" state="frozen"/>
      <selection sqref="A1:B3"/>
      <selection pane="topRight" sqref="A1:B3"/>
      <selection pane="bottomLeft" sqref="A1:B3"/>
      <selection pane="bottomRight" activeCell="G6" sqref="G6"/>
    </sheetView>
  </sheetViews>
  <sheetFormatPr baseColWidth="10" defaultRowHeight="15" x14ac:dyDescent="0.2"/>
  <cols>
    <col min="1" max="2" width="14.6640625" customWidth="1"/>
    <col min="3" max="5" width="6.5546875" style="96" customWidth="1"/>
    <col min="6" max="6" width="17.5546875" customWidth="1"/>
    <col min="7" max="7" width="31" customWidth="1"/>
    <col min="8" max="8" width="25.109375" customWidth="1"/>
  </cols>
  <sheetData>
    <row r="1" spans="1:8" ht="15" customHeight="1" x14ac:dyDescent="0.2">
      <c r="A1" s="437" t="s">
        <v>145</v>
      </c>
      <c r="B1" s="437"/>
      <c r="C1" s="646" t="s">
        <v>206</v>
      </c>
      <c r="D1" s="647"/>
      <c r="E1" s="647"/>
      <c r="F1" s="647"/>
      <c r="G1" s="648"/>
      <c r="H1" s="182" t="s">
        <v>71</v>
      </c>
    </row>
    <row r="2" spans="1:8" ht="15" customHeight="1" x14ac:dyDescent="0.2">
      <c r="A2" s="437"/>
      <c r="B2" s="437"/>
      <c r="C2" s="649"/>
      <c r="D2" s="650"/>
      <c r="E2" s="650"/>
      <c r="F2" s="650"/>
      <c r="G2" s="651"/>
      <c r="H2" s="182" t="s">
        <v>107</v>
      </c>
    </row>
    <row r="3" spans="1:8" ht="15" customHeight="1" x14ac:dyDescent="0.2">
      <c r="A3" s="437"/>
      <c r="B3" s="437"/>
      <c r="C3" s="652"/>
      <c r="D3" s="653"/>
      <c r="E3" s="653"/>
      <c r="F3" s="653"/>
      <c r="G3" s="654"/>
      <c r="H3" s="182" t="s">
        <v>408</v>
      </c>
    </row>
    <row r="4" spans="1:8" ht="3.75" customHeight="1" x14ac:dyDescent="0.2">
      <c r="A4" s="33"/>
      <c r="B4" s="34"/>
      <c r="C4" s="269"/>
      <c r="D4" s="269"/>
      <c r="E4" s="268"/>
      <c r="F4" s="268"/>
      <c r="G4" s="49"/>
      <c r="H4" s="49"/>
    </row>
    <row r="5" spans="1:8" ht="15.75" x14ac:dyDescent="0.2">
      <c r="A5" s="439" t="s">
        <v>184</v>
      </c>
      <c r="B5" s="439"/>
      <c r="C5" s="439"/>
      <c r="D5" s="439"/>
      <c r="E5" s="523"/>
      <c r="F5" s="523"/>
      <c r="G5" s="523"/>
      <c r="H5" s="523"/>
    </row>
    <row r="6" spans="1:8" ht="15.75" customHeight="1" x14ac:dyDescent="0.2">
      <c r="A6" s="489" t="str">
        <f>'CONTEXTO ESTRATEGICO'!A7</f>
        <v>INSTITUCIONAL</v>
      </c>
      <c r="B6" s="489"/>
      <c r="C6" s="579" t="str">
        <f>'SEGUIMIENTO Y MONITOREO'!C6</f>
        <v>Mapa de Riesgo Institucional</v>
      </c>
      <c r="D6" s="580"/>
      <c r="E6" s="580"/>
      <c r="F6" s="580"/>
      <c r="G6" s="277" t="str">
        <f>'SEGUIMIENTO Y MONITOREO'!E6</f>
        <v>Fecha de Actualización (AAAA/MM/DD)</v>
      </c>
      <c r="H6" s="171">
        <f>'SEGUIMIENTO Y MONITOREO'!H6</f>
        <v>42443</v>
      </c>
    </row>
    <row r="7" spans="1:8" ht="15.75" customHeight="1" x14ac:dyDescent="0.2">
      <c r="A7" s="489"/>
      <c r="B7" s="489"/>
      <c r="C7" s="655" t="s">
        <v>161</v>
      </c>
      <c r="D7" s="656"/>
      <c r="E7" s="656"/>
      <c r="F7" s="657"/>
      <c r="G7" s="278" t="s">
        <v>185</v>
      </c>
      <c r="H7" s="172">
        <f>'SEGUIMIENTO Y MONITOREO'!$AX$7</f>
        <v>42613</v>
      </c>
    </row>
    <row r="8" spans="1:8" ht="24" customHeight="1" x14ac:dyDescent="0.2">
      <c r="A8" s="697" t="s">
        <v>286</v>
      </c>
      <c r="B8" s="699">
        <f>VALORACIÓN!BD3</f>
        <v>28</v>
      </c>
      <c r="C8" s="275" t="str">
        <f>TGS!G8</f>
        <v>% 1ER CuaT</v>
      </c>
      <c r="D8" s="275" t="str">
        <f>TGS!I8</f>
        <v>% 2DO CuaT</v>
      </c>
      <c r="E8" s="275" t="str">
        <f>TGS!K8</f>
        <v>% 3ER CuaT</v>
      </c>
      <c r="F8" s="276" t="s">
        <v>369</v>
      </c>
      <c r="G8" s="673"/>
      <c r="H8" s="673"/>
    </row>
    <row r="9" spans="1:8" ht="22.5" hidden="1" customHeight="1" x14ac:dyDescent="0.2">
      <c r="A9" s="698"/>
      <c r="B9" s="700"/>
      <c r="C9" s="274" t="str">
        <f>'SEGUIMIENTO Y MONITOREO'!AR9</f>
        <v>NA</v>
      </c>
      <c r="D9" s="274">
        <f>'SEGUIMIENTO Y MONITOREO'!AS9</f>
        <v>0</v>
      </c>
      <c r="E9" s="274" t="str">
        <f>'SEGUIMIENTO Y MONITOREO'!AU9</f>
        <v/>
      </c>
      <c r="F9" s="274">
        <f>'SEGUIMIENTO Y MONITOREO'!AW9</f>
        <v>0</v>
      </c>
      <c r="G9" s="696"/>
      <c r="H9" s="696"/>
    </row>
    <row r="10" spans="1:8" ht="22.5" hidden="1" customHeight="1" x14ac:dyDescent="0.2">
      <c r="A10" s="272" t="str">
        <f>IDENTIFICACIÓN!C10</f>
        <v>2G</v>
      </c>
      <c r="B10" s="271" t="str">
        <f>IF(IDENTIFICACIÓN!D10="","",IDENTIFICACIÓN!D10)</f>
        <v xml:space="preserve">Relaciones Interinstitucionales. Escaso registro y control de la movilidad internacional entrante y saliente. </v>
      </c>
      <c r="C10" s="274">
        <f>'SEGUIMIENTO Y MONITOREO'!AR12</f>
        <v>1</v>
      </c>
      <c r="D10" s="274">
        <f>'SEGUIMIENTO Y MONITOREO'!AS12</f>
        <v>1</v>
      </c>
      <c r="E10" s="274" t="str">
        <f>'SEGUIMIENTO Y MONITOREO'!AU12</f>
        <v/>
      </c>
      <c r="F10" s="274">
        <f>'SEGUIMIENTO Y MONITOREO'!AW12</f>
        <v>1</v>
      </c>
      <c r="G10" s="696"/>
      <c r="H10" s="696"/>
    </row>
    <row r="11" spans="1:8" ht="22.5" hidden="1" customHeight="1" x14ac:dyDescent="0.2">
      <c r="A11" s="272" t="str">
        <f>IDENTIFICACIÓN!C11</f>
        <v>3G</v>
      </c>
      <c r="B11" s="271" t="str">
        <f>IF(IDENTIFICACIÓN!D11="","",IDENTIFICACIÓN!D11)</f>
        <v>Relaciones Interinstitucionales. Gestionar la movilidad internacional sin requisitos legales</v>
      </c>
      <c r="C11" s="274">
        <f>'SEGUIMIENTO Y MONITOREO'!AR15</f>
        <v>1</v>
      </c>
      <c r="D11" s="274">
        <f>'SEGUIMIENTO Y MONITOREO'!AS15</f>
        <v>1</v>
      </c>
      <c r="E11" s="274" t="str">
        <f>'SEGUIMIENTO Y MONITOREO'!AU15</f>
        <v/>
      </c>
      <c r="F11" s="274">
        <f>'SEGUIMIENTO Y MONITOREO'!AW15</f>
        <v>1</v>
      </c>
      <c r="G11" s="696"/>
      <c r="H11" s="696"/>
    </row>
    <row r="12" spans="1:8" ht="22.5" hidden="1" customHeight="1" x14ac:dyDescent="0.2">
      <c r="A12" s="272" t="str">
        <f>IDENTIFICACIÓN!C12</f>
        <v>4G</v>
      </c>
      <c r="B12" s="271" t="str">
        <f>IF(IDENTIFICACIÓN!D12="","",IDENTIFICACIÓN!D12)</f>
        <v>Acreditación. Insuficiente Implementación de la Política Institucional de Autoevaluación, Acreditación y Aseguramiento de la calidad</v>
      </c>
      <c r="C12" s="274">
        <f>'SEGUIMIENTO Y MONITOREO'!AR18</f>
        <v>0</v>
      </c>
      <c r="D12" s="274">
        <f>'SEGUIMIENTO Y MONITOREO'!AS18</f>
        <v>0.5</v>
      </c>
      <c r="E12" s="274" t="str">
        <f>'SEGUIMIENTO Y MONITOREO'!AU18</f>
        <v/>
      </c>
      <c r="F12" s="274">
        <f>'SEGUIMIENTO Y MONITOREO'!AW18</f>
        <v>0.5</v>
      </c>
      <c r="G12" s="696"/>
      <c r="H12" s="696"/>
    </row>
    <row r="13" spans="1:8" ht="22.5" hidden="1" customHeight="1" x14ac:dyDescent="0.2">
      <c r="A13" s="272" t="str">
        <f>IDENTIFICACIÓN!C13</f>
        <v>5G</v>
      </c>
      <c r="B13" s="271" t="str">
        <f>IF(IDENTIFICACIÓN!D13="","",IDENTIFICACIÓN!D13)</f>
        <v xml:space="preserve">Acreditación. Deficiencia en la calidad técnica de los informes </v>
      </c>
      <c r="C13" s="274">
        <f>'SEGUIMIENTO Y MONITOREO'!AR21</f>
        <v>1</v>
      </c>
      <c r="D13" s="274">
        <f>'SEGUIMIENTO Y MONITOREO'!AS21</f>
        <v>1</v>
      </c>
      <c r="E13" s="274" t="str">
        <f>'SEGUIMIENTO Y MONITOREO'!AU21</f>
        <v/>
      </c>
      <c r="F13" s="274">
        <f>'SEGUIMIENTO Y MONITOREO'!AW21</f>
        <v>1</v>
      </c>
      <c r="G13" s="696"/>
      <c r="H13" s="696"/>
    </row>
    <row r="14" spans="1:8" ht="22.5" hidden="1" customHeight="1" x14ac:dyDescent="0.2">
      <c r="A14" s="272" t="str">
        <f>IDENTIFICACIÓN!C14</f>
        <v>6G</v>
      </c>
      <c r="B14" s="271" t="str">
        <f>IF(IDENTIFICACIÓN!D14="","",IDENTIFICACIÓN!D14)</f>
        <v>Acreditación. Negación de la acreditación o de la renovación de registro calificado</v>
      </c>
      <c r="C14" s="274" t="str">
        <f>'SEGUIMIENTO Y MONITOREO'!AR24</f>
        <v>NA</v>
      </c>
      <c r="D14" s="274" t="str">
        <f>'SEGUIMIENTO Y MONITOREO'!AS24</f>
        <v>NA</v>
      </c>
      <c r="E14" s="274" t="str">
        <f>'SEGUIMIENTO Y MONITOREO'!AU24</f>
        <v/>
      </c>
      <c r="F14" s="274" t="str">
        <f>'SEGUIMIENTO Y MONITOREO'!AW24</f>
        <v>NA</v>
      </c>
      <c r="G14" s="696"/>
      <c r="H14" s="696"/>
    </row>
    <row r="15" spans="1:8" ht="22.5" hidden="1" customHeight="1" x14ac:dyDescent="0.2">
      <c r="A15" s="272" t="str">
        <f>IDENTIFICACIÓN!C15</f>
        <v>7G</v>
      </c>
      <c r="B15" s="271" t="str">
        <f>IF(IDENTIFICACIÓN!D15="","",IDENTIFICACIÓN!D15)</f>
        <v>Acreditación. Incumplimiento en algunas actividades establecidas en el plan de trabajo</v>
      </c>
      <c r="C15" s="274" t="str">
        <f>'SEGUIMIENTO Y MONITOREO'!AR27</f>
        <v>NA</v>
      </c>
      <c r="D15" s="274" t="str">
        <f>'SEGUIMIENTO Y MONITOREO'!AS27</f>
        <v>NA</v>
      </c>
      <c r="E15" s="274" t="str">
        <f>'SEGUIMIENTO Y MONITOREO'!AU27</f>
        <v/>
      </c>
      <c r="F15" s="274" t="str">
        <f>'SEGUIMIENTO Y MONITOREO'!AW27</f>
        <v>NA</v>
      </c>
      <c r="G15" s="696"/>
      <c r="H15" s="696"/>
    </row>
    <row r="16" spans="1:8" ht="22.5" hidden="1" customHeight="1" x14ac:dyDescent="0.2">
      <c r="A16" s="272" t="str">
        <f>IDENTIFICACIÓN!C16</f>
        <v>8G</v>
      </c>
      <c r="B16" s="271" t="str">
        <f>IF(IDENTIFICACIÓN!D16="","",IDENTIFICACIÓN!D16)</f>
        <v>Acreditación. Retraso en el otorgamiento o renovacion del registro calificado</v>
      </c>
      <c r="C16" s="274" t="str">
        <f>'SEGUIMIENTO Y MONITOREO'!AR30</f>
        <v>NA</v>
      </c>
      <c r="D16" s="274" t="str">
        <f>'SEGUIMIENTO Y MONITOREO'!AS30</f>
        <v>NA</v>
      </c>
      <c r="E16" s="274" t="str">
        <f>'SEGUIMIENTO Y MONITOREO'!AU30</f>
        <v/>
      </c>
      <c r="F16" s="274" t="str">
        <f>'SEGUIMIENTO Y MONITOREO'!AW30</f>
        <v>NA</v>
      </c>
      <c r="G16" s="696"/>
      <c r="H16" s="696"/>
    </row>
    <row r="17" spans="1:8" ht="22.5" hidden="1" customHeight="1" x14ac:dyDescent="0.2">
      <c r="A17" s="272" t="str">
        <f>IDENTIFICACIÓN!C17</f>
        <v>9G</v>
      </c>
      <c r="B17" s="271" t="str">
        <f>IF(IDENTIFICACIÓN!D17="","",IDENTIFICACIÓN!D17)</f>
        <v>Gestión de la Calidad. La alta dirección no asegura la disponibilidad de los recursos para el mantenimiento y mejora del sistema.</v>
      </c>
      <c r="C17" s="274">
        <f>'SEGUIMIENTO Y MONITOREO'!AR33</f>
        <v>1</v>
      </c>
      <c r="D17" s="274">
        <f>'SEGUIMIENTO Y MONITOREO'!AS33</f>
        <v>1</v>
      </c>
      <c r="E17" s="274" t="str">
        <f>'SEGUIMIENTO Y MONITOREO'!AU33</f>
        <v/>
      </c>
      <c r="F17" s="274">
        <f>'SEGUIMIENTO Y MONITOREO'!AW33</f>
        <v>1</v>
      </c>
      <c r="G17" s="696"/>
      <c r="H17" s="696"/>
    </row>
    <row r="18" spans="1:8" ht="22.5" hidden="1" customHeight="1" x14ac:dyDescent="0.2">
      <c r="A18" s="272" t="str">
        <f>IDENTIFICACIÓN!C18</f>
        <v>10G</v>
      </c>
      <c r="B18" s="271" t="str">
        <f>IF(IDENTIFICACIÓN!D18="","",IDENTIFICACIÓN!D18)</f>
        <v>Comunicaciones. Inoportuna e ineficaz divulgación de los productos comunicativos y publicitarios ante los usuarios internos y externos.</v>
      </c>
      <c r="C18" s="274">
        <f>'SEGUIMIENTO Y MONITOREO'!AR36</f>
        <v>0.125</v>
      </c>
      <c r="D18" s="274">
        <f>'SEGUIMIENTO Y MONITOREO'!AS36</f>
        <v>0.25</v>
      </c>
      <c r="E18" s="274" t="str">
        <f>'SEGUIMIENTO Y MONITOREO'!AU36</f>
        <v/>
      </c>
      <c r="F18" s="274">
        <f>'SEGUIMIENTO Y MONITOREO'!AW36</f>
        <v>0.25</v>
      </c>
      <c r="G18" s="696"/>
      <c r="H18" s="696"/>
    </row>
    <row r="19" spans="1:8" ht="36.75" customHeight="1" x14ac:dyDescent="0.2">
      <c r="A19" s="694" t="str">
        <f>'SEGUIMIENTO Y MONITOREO'!B200</f>
        <v>Cumplimiento Riesgos de GESTIÓN (Respecto a los plazos establecidos)</v>
      </c>
      <c r="B19" s="694"/>
      <c r="C19" s="164">
        <f>TGS!G90</f>
        <v>0.17424749163879599</v>
      </c>
      <c r="D19" s="164">
        <f>TGS!I90</f>
        <v>0.40058372352285398</v>
      </c>
      <c r="E19" s="164" t="str">
        <f>TGS!K90</f>
        <v/>
      </c>
      <c r="F19" s="164">
        <f>'SEGUIMIENTO Y MONITOREO'!AW200</f>
        <v>0.40058372352285398</v>
      </c>
      <c r="G19" s="289">
        <f>1-F19</f>
        <v>0.59941627647714602</v>
      </c>
      <c r="H19" s="184"/>
    </row>
    <row r="20" spans="1:8" ht="36.75" customHeight="1" x14ac:dyDescent="0.2">
      <c r="A20" s="695" t="str">
        <f>'SEGUIMIENTO Y MONITOREO'!B201</f>
        <v xml:space="preserve">% Avance Riesgos de GESTIÓN </v>
      </c>
      <c r="B20" s="695"/>
      <c r="C20" s="164">
        <f>TGS!G91</f>
        <v>0.17424749163879599</v>
      </c>
      <c r="D20" s="164">
        <f>TGS!I91</f>
        <v>0.40058372352285398</v>
      </c>
      <c r="E20" s="164" t="str">
        <f>TGS!K91</f>
        <v/>
      </c>
      <c r="F20" s="164">
        <f>'SEGUIMIENTO Y MONITOREO'!AW201</f>
        <v>0.40058372352285398</v>
      </c>
      <c r="G20" s="289">
        <f>1-F20</f>
        <v>0.59941627647714602</v>
      </c>
      <c r="H20" s="184"/>
    </row>
    <row r="21" spans="1:8" x14ac:dyDescent="0.2">
      <c r="A21" s="27"/>
      <c r="B21" s="27"/>
      <c r="C21" s="133"/>
      <c r="D21" s="133"/>
      <c r="E21" s="133"/>
      <c r="F21" s="27"/>
      <c r="G21" s="27"/>
      <c r="H21" s="27"/>
    </row>
    <row r="22" spans="1:8" x14ac:dyDescent="0.2">
      <c r="A22" s="27"/>
      <c r="B22" s="27"/>
      <c r="C22" s="133"/>
      <c r="D22" s="133"/>
      <c r="E22" s="133"/>
      <c r="F22" s="27"/>
      <c r="G22" s="27"/>
      <c r="H22" s="27"/>
    </row>
    <row r="23" spans="1:8" x14ac:dyDescent="0.2">
      <c r="A23" s="27"/>
      <c r="B23" s="27"/>
      <c r="C23" s="133"/>
      <c r="D23" s="133"/>
      <c r="E23" s="133"/>
      <c r="F23" s="27"/>
      <c r="G23" s="27"/>
      <c r="H23" s="27"/>
    </row>
    <row r="24" spans="1:8" x14ac:dyDescent="0.2">
      <c r="A24" s="27"/>
      <c r="B24" s="27"/>
      <c r="C24" s="133"/>
      <c r="D24" s="133"/>
      <c r="E24" s="133"/>
      <c r="F24" s="27"/>
      <c r="G24" s="27"/>
      <c r="H24" s="27"/>
    </row>
    <row r="25" spans="1:8" x14ac:dyDescent="0.2">
      <c r="A25" s="27"/>
      <c r="B25" s="27"/>
      <c r="C25" s="133"/>
      <c r="D25" s="133"/>
      <c r="E25" s="133"/>
      <c r="F25" s="27"/>
      <c r="G25" s="27"/>
      <c r="H25" s="27"/>
    </row>
    <row r="26" spans="1:8" x14ac:dyDescent="0.2">
      <c r="A26" s="27"/>
      <c r="B26" s="27"/>
      <c r="C26" s="133"/>
      <c r="D26" s="133"/>
      <c r="E26" s="133"/>
      <c r="F26" s="27"/>
      <c r="G26" s="27"/>
      <c r="H26" s="27"/>
    </row>
    <row r="27" spans="1:8" x14ac:dyDescent="0.2">
      <c r="A27" s="27"/>
      <c r="B27" s="27"/>
      <c r="C27" s="133"/>
      <c r="D27" s="133"/>
      <c r="E27" s="133"/>
      <c r="F27" s="27"/>
      <c r="G27" s="27"/>
      <c r="H27" s="27"/>
    </row>
    <row r="28" spans="1:8" x14ac:dyDescent="0.2">
      <c r="A28" s="27"/>
      <c r="B28" s="27"/>
      <c r="C28" s="133"/>
      <c r="D28" s="133"/>
      <c r="E28" s="133"/>
      <c r="F28" s="27"/>
      <c r="G28" s="27"/>
      <c r="H28" s="27"/>
    </row>
    <row r="29" spans="1:8" x14ac:dyDescent="0.2">
      <c r="A29" s="27"/>
      <c r="B29" s="27"/>
      <c r="C29" s="133"/>
      <c r="D29" s="133"/>
      <c r="E29" s="133"/>
      <c r="F29" s="27"/>
      <c r="G29" s="27"/>
      <c r="H29" s="27"/>
    </row>
    <row r="30" spans="1:8" x14ac:dyDescent="0.2">
      <c r="A30" s="27"/>
      <c r="B30" s="27"/>
      <c r="C30" s="133"/>
      <c r="D30" s="133"/>
      <c r="E30" s="133"/>
      <c r="F30" s="27"/>
      <c r="G30" s="27"/>
      <c r="H30" s="27"/>
    </row>
  </sheetData>
  <mergeCells count="22">
    <mergeCell ref="G13:H13"/>
    <mergeCell ref="A8:A9"/>
    <mergeCell ref="B8:B9"/>
    <mergeCell ref="G8:H8"/>
    <mergeCell ref="G9:H9"/>
    <mergeCell ref="G10:H10"/>
    <mergeCell ref="G11:H11"/>
    <mergeCell ref="G12:H12"/>
    <mergeCell ref="A19:B19"/>
    <mergeCell ref="A20:B20"/>
    <mergeCell ref="G14:H14"/>
    <mergeCell ref="G15:H15"/>
    <mergeCell ref="G16:H16"/>
    <mergeCell ref="G17:H17"/>
    <mergeCell ref="G18:H18"/>
    <mergeCell ref="A7:B7"/>
    <mergeCell ref="C7:F7"/>
    <mergeCell ref="A1:B3"/>
    <mergeCell ref="C1:G3"/>
    <mergeCell ref="A5:H5"/>
    <mergeCell ref="A6:B6"/>
    <mergeCell ref="C6:F6"/>
  </mergeCells>
  <conditionalFormatting sqref="H7">
    <cfRule type="containsText" dxfId="38" priority="5" operator="containsText" text="Sin Seguimientos">
      <formula>NOT(ISERROR(SEARCH("Sin Seguimientos",H7)))</formula>
    </cfRule>
  </conditionalFormatting>
  <dataValidations count="1">
    <dataValidation operator="equal" allowBlank="1" showInputMessage="1" showErrorMessage="1" sqref="C9:C18"/>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0" operator="notEqual" id="{6E10A6CE-3C81-4F52-85B3-C3FD1E43AB2D}">
            <xm:f>VALORACIÓN!$D$10</xm:f>
            <x14:dxf>
              <font>
                <color auto="1"/>
              </font>
              <fill>
                <patternFill patternType="lightGrid">
                  <fgColor theme="0" tint="-4.9989318521683403E-2"/>
                  <bgColor theme="0"/>
                </patternFill>
              </fill>
            </x14:dxf>
          </x14:cfRule>
          <x14:cfRule type="cellIs" priority="11" operator="equal" id="{6EE16EA0-2D93-4C9D-85D0-27EC44E45F45}">
            <xm:f>VALORACIÓN!$D$10</xm:f>
            <x14:dxf>
              <fill>
                <patternFill patternType="lightGrid">
                  <fgColor theme="0" tint="-4.9989318521683403E-2"/>
                </patternFill>
              </fill>
            </x14:dxf>
          </x14:cfRule>
          <xm:sqref>C9:E18</xm:sqref>
        </x14:conditionalFormatting>
        <x14:conditionalFormatting xmlns:xm="http://schemas.microsoft.com/office/excel/2006/main">
          <x14:cfRule type="cellIs" priority="8" operator="notEqual" id="{0BA243C2-11F1-4357-BF3B-A865E36CAC52}">
            <xm:f>VALORACIÓN!$D$10</xm:f>
            <x14:dxf>
              <font>
                <color auto="1"/>
              </font>
              <fill>
                <patternFill patternType="lightGrid">
                  <fgColor theme="0" tint="-4.9989318521683403E-2"/>
                  <bgColor theme="0"/>
                </patternFill>
              </fill>
            </x14:dxf>
          </x14:cfRule>
          <x14:cfRule type="cellIs" priority="9" operator="equal" id="{BBFD6AD7-C3DD-45DC-A6A5-38E6B5654A21}">
            <xm:f>VALORACIÓN!$D$10</xm:f>
            <x14:dxf>
              <fill>
                <patternFill patternType="lightGrid">
                  <fgColor theme="0" tint="-4.9989318521683403E-2"/>
                </patternFill>
              </fill>
            </x14:dxf>
          </x14:cfRule>
          <xm:sqref>F9:F18</xm:sqref>
        </x14:conditionalFormatting>
        <x14:conditionalFormatting xmlns:xm="http://schemas.microsoft.com/office/excel/2006/main">
          <x14:cfRule type="cellIs" priority="6" operator="notEqual" id="{BFF4B44E-3B4E-4728-8150-F7978ED17B5E}">
            <xm:f>VALORACIÓN!$D$10</xm:f>
            <x14:dxf>
              <font>
                <color auto="1"/>
              </font>
              <fill>
                <patternFill patternType="lightGrid">
                  <fgColor theme="0" tint="-4.9989318521683403E-2"/>
                  <bgColor theme="0"/>
                </patternFill>
              </fill>
            </x14:dxf>
          </x14:cfRule>
          <x14:cfRule type="cellIs" priority="7" operator="equal" id="{D17AE4E9-0503-4ADF-92CC-750C203E7148}">
            <xm:f>VALORACIÓN!$D$10</xm:f>
            <x14:dxf>
              <fill>
                <patternFill patternType="lightGrid">
                  <fgColor theme="0" tint="-4.9989318521683403E-2"/>
                </patternFill>
              </fill>
            </x14:dxf>
          </x14:cfRule>
          <xm:sqref>G9:G18</xm:sqref>
        </x14:conditionalFormatting>
        <x14:conditionalFormatting xmlns:xm="http://schemas.microsoft.com/office/excel/2006/main">
          <x14:cfRule type="cellIs" priority="3" operator="notEqual" id="{E15AEAF6-7C14-413E-A885-EA4535C2C9AA}">
            <xm:f>VALORACIÓN!$D$10</xm:f>
            <x14:dxf>
              <font>
                <color auto="1"/>
              </font>
              <fill>
                <patternFill patternType="lightGrid">
                  <fgColor theme="0" tint="-4.9989318521683403E-2"/>
                  <bgColor theme="0"/>
                </patternFill>
              </fill>
            </x14:dxf>
          </x14:cfRule>
          <x14:cfRule type="cellIs" priority="4" operator="equal" id="{6B65A22A-290D-4FF6-9991-044BD813D51D}">
            <xm:f>VALORACIÓN!$D$10</xm:f>
            <x14:dxf>
              <fill>
                <patternFill patternType="lightGrid">
                  <fgColor theme="0" tint="-4.9989318521683403E-2"/>
                </patternFill>
              </fill>
            </x14:dxf>
          </x14:cfRule>
          <xm:sqref>F19:F20</xm:sqref>
        </x14:conditionalFormatting>
        <x14:conditionalFormatting xmlns:xm="http://schemas.microsoft.com/office/excel/2006/main">
          <x14:cfRule type="cellIs" priority="1" operator="notEqual" id="{B498E9A1-B859-4997-8568-A3B9BFFBC0F8}">
            <xm:f>VALORACIÓN!$D$10</xm:f>
            <x14:dxf>
              <font>
                <color auto="1"/>
              </font>
              <fill>
                <patternFill patternType="lightGrid">
                  <fgColor theme="0" tint="-4.9989318521683403E-2"/>
                  <bgColor theme="0"/>
                </patternFill>
              </fill>
            </x14:dxf>
          </x14:cfRule>
          <x14:cfRule type="cellIs" priority="2" operator="equal" id="{8C2DDF85-DC9F-4866-A5B4-9A8441FE3AB4}">
            <xm:f>VALORACIÓN!$D$10</xm:f>
            <x14:dxf>
              <fill>
                <patternFill patternType="lightGrid">
                  <fgColor theme="0" tint="-4.9989318521683403E-2"/>
                </patternFill>
              </fill>
            </x14:dxf>
          </x14:cfRule>
          <xm:sqref>C19:E20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5"/>
  <sheetViews>
    <sheetView view="pageBreakPreview" zoomScaleNormal="100" zoomScaleSheetLayoutView="100" workbookViewId="0">
      <pane xSplit="2" ySplit="8" topLeftCell="C9" activePane="bottomRight" state="frozen"/>
      <selection sqref="A1:B3"/>
      <selection pane="topRight" sqref="A1:B3"/>
      <selection pane="bottomLeft" sqref="A1:B3"/>
      <selection pane="bottomRight" activeCell="G6" sqref="G6"/>
    </sheetView>
  </sheetViews>
  <sheetFormatPr baseColWidth="10" defaultRowHeight="15" x14ac:dyDescent="0.2"/>
  <cols>
    <col min="1" max="2" width="14.6640625" customWidth="1"/>
    <col min="3" max="5" width="6.5546875" style="96" customWidth="1"/>
    <col min="6" max="6" width="17.5546875" customWidth="1"/>
    <col min="7" max="7" width="31" customWidth="1"/>
    <col min="8" max="8" width="25.109375" customWidth="1"/>
  </cols>
  <sheetData>
    <row r="1" spans="1:8" ht="15" customHeight="1" x14ac:dyDescent="0.2">
      <c r="A1" s="437" t="s">
        <v>145</v>
      </c>
      <c r="B1" s="437"/>
      <c r="C1" s="646" t="s">
        <v>206</v>
      </c>
      <c r="D1" s="647"/>
      <c r="E1" s="647"/>
      <c r="F1" s="647"/>
      <c r="G1" s="648"/>
      <c r="H1" s="182" t="s">
        <v>71</v>
      </c>
    </row>
    <row r="2" spans="1:8" ht="15" customHeight="1" x14ac:dyDescent="0.2">
      <c r="A2" s="437"/>
      <c r="B2" s="437"/>
      <c r="C2" s="649"/>
      <c r="D2" s="650"/>
      <c r="E2" s="650"/>
      <c r="F2" s="650"/>
      <c r="G2" s="651"/>
      <c r="H2" s="182" t="s">
        <v>107</v>
      </c>
    </row>
    <row r="3" spans="1:8" ht="15" customHeight="1" x14ac:dyDescent="0.2">
      <c r="A3" s="437"/>
      <c r="B3" s="437"/>
      <c r="C3" s="652"/>
      <c r="D3" s="653"/>
      <c r="E3" s="653"/>
      <c r="F3" s="653"/>
      <c r="G3" s="654"/>
      <c r="H3" s="182" t="s">
        <v>408</v>
      </c>
    </row>
    <row r="4" spans="1:8" ht="3.75" customHeight="1" x14ac:dyDescent="0.2">
      <c r="A4" s="33"/>
      <c r="B4" s="34"/>
      <c r="C4" s="291"/>
      <c r="D4" s="291"/>
      <c r="E4" s="290"/>
      <c r="F4" s="290"/>
      <c r="G4" s="49"/>
      <c r="H4" s="49"/>
    </row>
    <row r="5" spans="1:8" ht="15.75" x14ac:dyDescent="0.2">
      <c r="A5" s="439" t="s">
        <v>184</v>
      </c>
      <c r="B5" s="439"/>
      <c r="C5" s="439"/>
      <c r="D5" s="439"/>
      <c r="E5" s="523"/>
      <c r="F5" s="523"/>
      <c r="G5" s="523"/>
      <c r="H5" s="523"/>
    </row>
    <row r="6" spans="1:8" ht="15.75" customHeight="1" x14ac:dyDescent="0.2">
      <c r="A6" s="489" t="str">
        <f>'CONTEXTO ESTRATEGICO'!A7</f>
        <v>INSTITUCIONAL</v>
      </c>
      <c r="B6" s="489"/>
      <c r="C6" s="579" t="str">
        <f>'SEGUIMIENTO Y MONITOREO'!C6</f>
        <v>Mapa de Riesgo Institucional</v>
      </c>
      <c r="D6" s="580"/>
      <c r="E6" s="580"/>
      <c r="F6" s="580"/>
      <c r="G6" s="302" t="str">
        <f>'SEGUIMIENTO Y MONITOREO'!E6</f>
        <v>Fecha de Actualización (AAAA/MM/DD)</v>
      </c>
      <c r="H6" s="171">
        <f>'SEGUIMIENTO Y MONITOREO'!H6</f>
        <v>42443</v>
      </c>
    </row>
    <row r="7" spans="1:8" ht="15.75" customHeight="1" x14ac:dyDescent="0.2">
      <c r="A7" s="489"/>
      <c r="B7" s="489"/>
      <c r="C7" s="655" t="s">
        <v>161</v>
      </c>
      <c r="D7" s="656"/>
      <c r="E7" s="656"/>
      <c r="F7" s="657"/>
      <c r="G7" s="303" t="s">
        <v>185</v>
      </c>
      <c r="H7" s="172">
        <f>'SEGUIMIENTO Y MONITOREO'!$AX$7</f>
        <v>42613</v>
      </c>
    </row>
    <row r="8" spans="1:8" ht="24" customHeight="1" x14ac:dyDescent="0.2">
      <c r="A8" s="697" t="s">
        <v>286</v>
      </c>
      <c r="B8" s="699">
        <f>COUNTA(IDENTIFICACIÓN!D38:D71)</f>
        <v>34</v>
      </c>
      <c r="C8" s="298" t="str">
        <f>TGS!G8</f>
        <v>% 1ER CuaT</v>
      </c>
      <c r="D8" s="298" t="str">
        <f>TGS!I8</f>
        <v>% 2DO CuaT</v>
      </c>
      <c r="E8" s="298" t="str">
        <f>TGS!K8</f>
        <v>% 3ER CuaT</v>
      </c>
      <c r="F8" s="301" t="s">
        <v>369</v>
      </c>
      <c r="G8" s="673"/>
      <c r="H8" s="673"/>
    </row>
    <row r="9" spans="1:8" ht="22.5" hidden="1" customHeight="1" thickBot="1" x14ac:dyDescent="0.25">
      <c r="A9" s="698"/>
      <c r="B9" s="700"/>
      <c r="C9" s="295">
        <f>'SEGUIMIENTO Y MONITOREO'!AR95</f>
        <v>1</v>
      </c>
      <c r="D9" s="295">
        <f>'SEGUIMIENTO Y MONITOREO'!AS95</f>
        <v>1</v>
      </c>
      <c r="E9" s="295" t="str">
        <f>'SEGUIMIENTO Y MONITOREO'!AU95</f>
        <v/>
      </c>
      <c r="F9" s="295">
        <f>'SEGUIMIENTO Y MONITOREO'!AW95</f>
        <v>1</v>
      </c>
      <c r="G9" s="696"/>
      <c r="H9" s="696"/>
    </row>
    <row r="10" spans="1:8" ht="22.5" hidden="1" customHeight="1" thickTop="1" thickBot="1" x14ac:dyDescent="0.25">
      <c r="A10" s="252" t="str">
        <f>IDENTIFICACIÓN!C39</f>
        <v>2C</v>
      </c>
      <c r="B10" s="293" t="str">
        <f>IF(IDENTIFICACIÓN!D39="","",IDENTIFICACIÓN!D39)</f>
        <v>Dirección y Planeación. Ausencia o debilidad de procesos y procedimientos para la gestión administrativa y misional</v>
      </c>
      <c r="C10" s="295" t="str">
        <f>'SEGUIMIENTO Y MONITOREO'!AR98</f>
        <v>NA</v>
      </c>
      <c r="D10" s="295" t="str">
        <f>'SEGUIMIENTO Y MONITOREO'!AS98</f>
        <v>NA</v>
      </c>
      <c r="E10" s="295" t="str">
        <f>'SEGUIMIENTO Y MONITOREO'!AU98</f>
        <v/>
      </c>
      <c r="F10" s="295" t="str">
        <f>'SEGUIMIENTO Y MONITOREO'!AW98</f>
        <v>NA</v>
      </c>
      <c r="G10" s="696"/>
      <c r="H10" s="696"/>
    </row>
    <row r="11" spans="1:8" ht="22.5" hidden="1" customHeight="1" thickTop="1" thickBot="1" x14ac:dyDescent="0.25">
      <c r="A11" s="252" t="str">
        <f>IDENTIFICACIÓN!C40</f>
        <v>3C</v>
      </c>
      <c r="B11" s="293" t="str">
        <f>IF(IDENTIFICACIÓN!D40="","",IDENTIFICACIÓN!D40)</f>
        <v>Dirección y Planeación. Prevaricato</v>
      </c>
      <c r="C11" s="295" t="str">
        <f>'SEGUIMIENTO Y MONITOREO'!AR101</f>
        <v>NA</v>
      </c>
      <c r="D11" s="295" t="str">
        <f>'SEGUIMIENTO Y MONITOREO'!AS101</f>
        <v>NA</v>
      </c>
      <c r="E11" s="295" t="str">
        <f>'SEGUIMIENTO Y MONITOREO'!AU101</f>
        <v/>
      </c>
      <c r="F11" s="295" t="str">
        <f>'SEGUIMIENTO Y MONITOREO'!AW101</f>
        <v>NA</v>
      </c>
      <c r="G11" s="696"/>
      <c r="H11" s="696"/>
    </row>
    <row r="12" spans="1:8" ht="22.5" hidden="1" customHeight="1" thickTop="1" thickBot="1" x14ac:dyDescent="0.25">
      <c r="A12" s="252" t="str">
        <f>IDENTIFICACIÓN!C41</f>
        <v>4C</v>
      </c>
      <c r="B12" s="293" t="str">
        <f>IF(IDENTIFICACIÓN!D41="","",IDENTIFICACIÓN!D41)</f>
        <v>Dirección y Planeación. Malversación de Recursos</v>
      </c>
      <c r="C12" s="295" t="str">
        <f>'SEGUIMIENTO Y MONITOREO'!AR104</f>
        <v>NA</v>
      </c>
      <c r="D12" s="295" t="str">
        <f>'SEGUIMIENTO Y MONITOREO'!AS104</f>
        <v>NA</v>
      </c>
      <c r="E12" s="295" t="str">
        <f>'SEGUIMIENTO Y MONITOREO'!AU104</f>
        <v/>
      </c>
      <c r="F12" s="295" t="str">
        <f>'SEGUIMIENTO Y MONITOREO'!AW104</f>
        <v>NA</v>
      </c>
      <c r="G12" s="696"/>
      <c r="H12" s="696"/>
    </row>
    <row r="13" spans="1:8" ht="22.5" hidden="1" customHeight="1" thickTop="1" thickBot="1" x14ac:dyDescent="0.25">
      <c r="A13" s="252" t="str">
        <f>IDENTIFICACIÓN!C42</f>
        <v>5C</v>
      </c>
      <c r="B13" s="293" t="str">
        <f>IF(IDENTIFICACIÓN!D42="","",IDENTIFICACIÓN!D42)</f>
        <v>Acreditación. Deficiencias en el manejo documental y de archivo</v>
      </c>
      <c r="C13" s="295">
        <f>'SEGUIMIENTO Y MONITOREO'!AR107</f>
        <v>1</v>
      </c>
      <c r="D13" s="295">
        <f>'SEGUIMIENTO Y MONITOREO'!AS107</f>
        <v>1</v>
      </c>
      <c r="E13" s="295" t="str">
        <f>'SEGUIMIENTO Y MONITOREO'!AU107</f>
        <v/>
      </c>
      <c r="F13" s="295">
        <f>'SEGUIMIENTO Y MONITOREO'!AW107</f>
        <v>1</v>
      </c>
      <c r="G13" s="696"/>
      <c r="H13" s="696"/>
    </row>
    <row r="14" spans="1:8" ht="36.75" customHeight="1" x14ac:dyDescent="0.2">
      <c r="A14" s="694" t="str">
        <f>'SEGUIMIENTO Y MONITOREO'!B202</f>
        <v>Cumplimiento Riesgos de CORRUPCIÓN (Respecto a los plazos establecidos)</v>
      </c>
      <c r="B14" s="694"/>
      <c r="C14" s="164">
        <f>'TGS C'!G111</f>
        <v>0.24291617473435656</v>
      </c>
      <c r="D14" s="164">
        <f>'TGS C'!I111</f>
        <v>0.42483333929614925</v>
      </c>
      <c r="E14" s="164" t="str">
        <f>'TGS C'!K111</f>
        <v/>
      </c>
      <c r="F14" s="164">
        <f>'SEGUIMIENTO Y MONITOREO'!AW202</f>
        <v>0.42483333929614925</v>
      </c>
      <c r="G14" s="289">
        <f>1-F14</f>
        <v>0.57516666070385081</v>
      </c>
      <c r="H14" s="184"/>
    </row>
    <row r="15" spans="1:8" ht="36.75" customHeight="1" x14ac:dyDescent="0.2">
      <c r="A15" s="695" t="str">
        <f>'SEGUIMIENTO Y MONITOREO'!B203</f>
        <v xml:space="preserve">% Avance Riesgo de CORRUPCIÓN </v>
      </c>
      <c r="B15" s="695"/>
      <c r="C15" s="164">
        <f>'TGS C'!G112</f>
        <v>0.24291617473435656</v>
      </c>
      <c r="D15" s="164">
        <f>'TGS C'!I112</f>
        <v>0.43242161878525515</v>
      </c>
      <c r="E15" s="164" t="str">
        <f>'TGS C'!K112</f>
        <v/>
      </c>
      <c r="F15" s="164">
        <f>'SEGUIMIENTO Y MONITOREO'!AW203</f>
        <v>0.43242161878525515</v>
      </c>
      <c r="G15" s="289">
        <f>1-F15</f>
        <v>0.5675783812147448</v>
      </c>
      <c r="H15" s="184"/>
    </row>
    <row r="16" spans="1:8" x14ac:dyDescent="0.2">
      <c r="A16" s="27"/>
      <c r="B16" s="27"/>
      <c r="C16" s="133"/>
      <c r="D16" s="133"/>
      <c r="E16" s="133"/>
      <c r="F16" s="27"/>
      <c r="G16" s="27"/>
      <c r="H16" s="27"/>
    </row>
    <row r="17" spans="1:8" x14ac:dyDescent="0.2">
      <c r="A17" s="27"/>
      <c r="B17" s="27"/>
      <c r="C17" s="133"/>
      <c r="D17" s="133"/>
      <c r="E17" s="133"/>
      <c r="F17" s="27"/>
      <c r="G17" s="27"/>
      <c r="H17" s="27"/>
    </row>
    <row r="18" spans="1:8" x14ac:dyDescent="0.2">
      <c r="A18" s="27"/>
      <c r="B18" s="27"/>
      <c r="C18" s="133"/>
      <c r="D18" s="133"/>
      <c r="E18" s="133"/>
      <c r="F18" s="27"/>
      <c r="G18" s="27"/>
      <c r="H18" s="27"/>
    </row>
    <row r="19" spans="1:8" x14ac:dyDescent="0.2">
      <c r="A19" s="27"/>
      <c r="B19" s="27"/>
      <c r="C19" s="133"/>
      <c r="D19" s="133"/>
      <c r="E19" s="133"/>
      <c r="F19" s="27"/>
      <c r="G19" s="27"/>
      <c r="H19" s="27"/>
    </row>
    <row r="20" spans="1:8" x14ac:dyDescent="0.2">
      <c r="A20" s="27"/>
      <c r="B20" s="27"/>
      <c r="C20" s="133"/>
      <c r="D20" s="133"/>
      <c r="E20" s="133"/>
      <c r="F20" s="27"/>
      <c r="G20" s="27"/>
      <c r="H20" s="27"/>
    </row>
    <row r="21" spans="1:8" x14ac:dyDescent="0.2">
      <c r="A21" s="27"/>
      <c r="B21" s="27"/>
      <c r="C21" s="133"/>
      <c r="D21" s="133"/>
      <c r="E21" s="133"/>
      <c r="F21" s="27"/>
      <c r="G21" s="27"/>
      <c r="H21" s="27"/>
    </row>
    <row r="22" spans="1:8" x14ac:dyDescent="0.2">
      <c r="A22" s="27"/>
      <c r="B22" s="27"/>
      <c r="C22" s="133"/>
      <c r="D22" s="133"/>
      <c r="E22" s="133"/>
      <c r="F22" s="27"/>
      <c r="G22" s="27"/>
      <c r="H22" s="27"/>
    </row>
    <row r="23" spans="1:8" x14ac:dyDescent="0.2">
      <c r="A23" s="27"/>
      <c r="B23" s="27"/>
      <c r="C23" s="133"/>
      <c r="D23" s="133"/>
      <c r="E23" s="133"/>
      <c r="F23" s="27"/>
      <c r="G23" s="27"/>
      <c r="H23" s="27"/>
    </row>
    <row r="24" spans="1:8" x14ac:dyDescent="0.2">
      <c r="A24" s="27"/>
      <c r="B24" s="27"/>
      <c r="C24" s="133"/>
      <c r="D24" s="133"/>
      <c r="E24" s="133"/>
      <c r="F24" s="27"/>
      <c r="G24" s="27"/>
      <c r="H24" s="27"/>
    </row>
    <row r="25" spans="1:8" x14ac:dyDescent="0.2">
      <c r="A25" s="27"/>
      <c r="B25" s="27"/>
      <c r="C25" s="133"/>
      <c r="D25" s="133"/>
      <c r="E25" s="133"/>
      <c r="F25" s="27"/>
      <c r="G25" s="27"/>
      <c r="H25" s="27"/>
    </row>
  </sheetData>
  <mergeCells count="17">
    <mergeCell ref="A14:B14"/>
    <mergeCell ref="A15:B15"/>
    <mergeCell ref="G13:H13"/>
    <mergeCell ref="G8:H8"/>
    <mergeCell ref="G9:H9"/>
    <mergeCell ref="G10:H10"/>
    <mergeCell ref="G11:H11"/>
    <mergeCell ref="G12:H12"/>
    <mergeCell ref="A7:B7"/>
    <mergeCell ref="C7:F7"/>
    <mergeCell ref="A8:A9"/>
    <mergeCell ref="B8:B9"/>
    <mergeCell ref="A1:B3"/>
    <mergeCell ref="C1:G3"/>
    <mergeCell ref="A5:H5"/>
    <mergeCell ref="A6:B6"/>
    <mergeCell ref="C6:F6"/>
  </mergeCells>
  <conditionalFormatting sqref="H7">
    <cfRule type="containsText" dxfId="27" priority="9" operator="containsText" text="Sin Seguimientos">
      <formula>NOT(ISERROR(SEARCH("Sin Seguimientos",H7)))</formula>
    </cfRule>
  </conditionalFormatting>
  <dataValidations count="1">
    <dataValidation operator="equal" allowBlank="1" showInputMessage="1" showErrorMessage="1" sqref="C9:C13"/>
  </dataValidations>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0" operator="notEqual" id="{74858FA0-36DA-4D0A-B8DE-C923C9EC7DF6}">
            <xm:f>VALORACIÓN!$D$10</xm:f>
            <x14:dxf>
              <font>
                <color auto="1"/>
              </font>
              <fill>
                <patternFill patternType="lightGrid">
                  <fgColor theme="0" tint="-4.9989318521683403E-2"/>
                  <bgColor theme="0"/>
                </patternFill>
              </fill>
            </x14:dxf>
          </x14:cfRule>
          <x14:cfRule type="cellIs" priority="11" operator="equal" id="{B45E9D04-8A07-4B06-9761-B7F218BC8DBA}">
            <xm:f>VALORACIÓN!$D$10</xm:f>
            <x14:dxf>
              <fill>
                <patternFill patternType="lightGrid">
                  <fgColor theme="0" tint="-4.9989318521683403E-2"/>
                </patternFill>
              </fill>
            </x14:dxf>
          </x14:cfRule>
          <xm:sqref>G9:G13</xm:sqref>
        </x14:conditionalFormatting>
        <x14:conditionalFormatting xmlns:xm="http://schemas.microsoft.com/office/excel/2006/main">
          <x14:cfRule type="cellIs" priority="7" operator="notEqual" id="{032A083A-9203-4979-A1B5-48748F1546A6}">
            <xm:f>VALORACIÓN!$D$10</xm:f>
            <x14:dxf>
              <font>
                <color auto="1"/>
              </font>
              <fill>
                <patternFill patternType="lightGrid">
                  <fgColor theme="0" tint="-4.9989318521683403E-2"/>
                  <bgColor theme="0"/>
                </patternFill>
              </fill>
            </x14:dxf>
          </x14:cfRule>
          <x14:cfRule type="cellIs" priority="8" operator="equal" id="{65D5F806-71AE-4BC3-B0AB-DD0490A88151}">
            <xm:f>VALORACIÓN!$D$10</xm:f>
            <x14:dxf>
              <fill>
                <patternFill patternType="lightGrid">
                  <fgColor theme="0" tint="-4.9989318521683403E-2"/>
                </patternFill>
              </fill>
            </x14:dxf>
          </x14:cfRule>
          <xm:sqref>F14:F15</xm:sqref>
        </x14:conditionalFormatting>
        <x14:conditionalFormatting xmlns:xm="http://schemas.microsoft.com/office/excel/2006/main">
          <x14:cfRule type="cellIs" priority="5" operator="notEqual" id="{900ABC59-5407-42C0-9BEB-2CEA16F1C0AD}">
            <xm:f>VALORACIÓN!$D$10</xm:f>
            <x14:dxf>
              <font>
                <color auto="1"/>
              </font>
              <fill>
                <patternFill patternType="lightGrid">
                  <fgColor theme="0" tint="-4.9989318521683403E-2"/>
                  <bgColor theme="0"/>
                </patternFill>
              </fill>
            </x14:dxf>
          </x14:cfRule>
          <x14:cfRule type="cellIs" priority="6" operator="equal" id="{1DBE2100-0448-46F8-B5DB-A8662EDBE128}">
            <xm:f>VALORACIÓN!$D$10</xm:f>
            <x14:dxf>
              <fill>
                <patternFill patternType="lightGrid">
                  <fgColor theme="0" tint="-4.9989318521683403E-2"/>
                </patternFill>
              </fill>
            </x14:dxf>
          </x14:cfRule>
          <xm:sqref>C14:E15</xm:sqref>
        </x14:conditionalFormatting>
        <x14:conditionalFormatting xmlns:xm="http://schemas.microsoft.com/office/excel/2006/main">
          <x14:cfRule type="cellIs" priority="3" operator="notEqual" id="{F08CFA9B-99D3-44E6-9A33-287396B880DA}">
            <xm:f>VALORACIÓN!$D$10</xm:f>
            <x14:dxf>
              <font>
                <color auto="1"/>
              </font>
              <fill>
                <patternFill patternType="lightGrid">
                  <fgColor theme="0" tint="-4.9989318521683403E-2"/>
                  <bgColor theme="0"/>
                </patternFill>
              </fill>
            </x14:dxf>
          </x14:cfRule>
          <x14:cfRule type="cellIs" priority="4" operator="equal" id="{4CDBDA53-75F4-4ADE-8582-8D814D5AEB23}">
            <xm:f>VALORACIÓN!$D$10</xm:f>
            <x14:dxf>
              <fill>
                <patternFill patternType="lightGrid">
                  <fgColor theme="0" tint="-4.9989318521683403E-2"/>
                </patternFill>
              </fill>
            </x14:dxf>
          </x14:cfRule>
          <xm:sqref>F9:F13</xm:sqref>
        </x14:conditionalFormatting>
        <x14:conditionalFormatting xmlns:xm="http://schemas.microsoft.com/office/excel/2006/main">
          <x14:cfRule type="cellIs" priority="1" operator="notEqual" id="{D7989489-0A63-4FCD-AE13-DFBC11BF31D6}">
            <xm:f>VALORACIÓN!$D$10</xm:f>
            <x14:dxf>
              <font>
                <color auto="1"/>
              </font>
              <fill>
                <patternFill patternType="lightGrid">
                  <fgColor theme="0" tint="-4.9989318521683403E-2"/>
                  <bgColor theme="0"/>
                </patternFill>
              </fill>
            </x14:dxf>
          </x14:cfRule>
          <x14:cfRule type="cellIs" priority="2" operator="equal" id="{EF454860-E516-4D98-9F2A-66B8DBBAA0B9}">
            <xm:f>VALORACIÓN!$D$10</xm:f>
            <x14:dxf>
              <fill>
                <patternFill patternType="lightGrid">
                  <fgColor theme="0" tint="-4.9989318521683403E-2"/>
                </patternFill>
              </fill>
            </x14:dxf>
          </x14:cfRule>
          <xm:sqref>C9:E13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4"/>
  <sheetViews>
    <sheetView tabSelected="1" view="pageBreakPreview" zoomScaleNormal="100" zoomScaleSheetLayoutView="100" workbookViewId="0">
      <pane xSplit="2" ySplit="8" topLeftCell="C9" activePane="bottomRight" state="frozen"/>
      <selection sqref="A1:B3"/>
      <selection pane="topRight" sqref="A1:B3"/>
      <selection pane="bottomLeft" sqref="A1:B3"/>
      <selection pane="bottomRight" activeCell="G7" sqref="G7"/>
    </sheetView>
  </sheetViews>
  <sheetFormatPr baseColWidth="10" defaultRowHeight="15" x14ac:dyDescent="0.2"/>
  <cols>
    <col min="1" max="1" width="18.5546875" customWidth="1"/>
    <col min="2" max="2" width="9.33203125" customWidth="1"/>
    <col min="3" max="5" width="6.5546875" style="96" customWidth="1"/>
    <col min="6" max="6" width="17.5546875" customWidth="1"/>
    <col min="7" max="7" width="31" customWidth="1"/>
    <col min="8" max="8" width="25.109375" customWidth="1"/>
  </cols>
  <sheetData>
    <row r="1" spans="1:8" ht="15" customHeight="1" x14ac:dyDescent="0.2">
      <c r="A1" s="437" t="s">
        <v>145</v>
      </c>
      <c r="B1" s="437"/>
      <c r="C1" s="646" t="s">
        <v>206</v>
      </c>
      <c r="D1" s="647"/>
      <c r="E1" s="647"/>
      <c r="F1" s="647"/>
      <c r="G1" s="648"/>
      <c r="H1" s="182" t="s">
        <v>71</v>
      </c>
    </row>
    <row r="2" spans="1:8" ht="15" customHeight="1" x14ac:dyDescent="0.2">
      <c r="A2" s="437"/>
      <c r="B2" s="437"/>
      <c r="C2" s="649"/>
      <c r="D2" s="650"/>
      <c r="E2" s="650"/>
      <c r="F2" s="650"/>
      <c r="G2" s="651"/>
      <c r="H2" s="182" t="s">
        <v>107</v>
      </c>
    </row>
    <row r="3" spans="1:8" ht="15" customHeight="1" x14ac:dyDescent="0.2">
      <c r="A3" s="437"/>
      <c r="B3" s="437"/>
      <c r="C3" s="652"/>
      <c r="D3" s="653"/>
      <c r="E3" s="653"/>
      <c r="F3" s="653"/>
      <c r="G3" s="654"/>
      <c r="H3" s="182" t="s">
        <v>408</v>
      </c>
    </row>
    <row r="4" spans="1:8" ht="3.75" customHeight="1" x14ac:dyDescent="0.2">
      <c r="A4" s="33"/>
      <c r="B4" s="34"/>
      <c r="C4" s="305"/>
      <c r="D4" s="305"/>
      <c r="E4" s="304"/>
      <c r="F4" s="304"/>
      <c r="G4" s="49"/>
      <c r="H4" s="49"/>
    </row>
    <row r="5" spans="1:8" ht="15.75" x14ac:dyDescent="0.2">
      <c r="A5" s="439" t="s">
        <v>184</v>
      </c>
      <c r="B5" s="439"/>
      <c r="C5" s="439"/>
      <c r="D5" s="439"/>
      <c r="E5" s="523"/>
      <c r="F5" s="523"/>
      <c r="G5" s="523"/>
      <c r="H5" s="523"/>
    </row>
    <row r="6" spans="1:8" ht="15.75" customHeight="1" x14ac:dyDescent="0.2">
      <c r="A6" s="489" t="str">
        <f>'CONTEXTO ESTRATEGICO'!A7</f>
        <v>INSTITUCIONAL</v>
      </c>
      <c r="B6" s="489"/>
      <c r="C6" s="579" t="str">
        <f>'SEGUIMIENTO Y MONITOREO'!C6</f>
        <v>Mapa de Riesgo Institucional</v>
      </c>
      <c r="D6" s="580"/>
      <c r="E6" s="580"/>
      <c r="F6" s="580"/>
      <c r="G6" s="310" t="str">
        <f>'SEGUIMIENTO Y MONITOREO'!E6</f>
        <v>Fecha de Actualización (AAAA/MM/DD)</v>
      </c>
      <c r="H6" s="171">
        <f>'SEGUIMIENTO Y MONITOREO'!H6</f>
        <v>42443</v>
      </c>
    </row>
    <row r="7" spans="1:8" ht="15.75" customHeight="1" x14ac:dyDescent="0.2">
      <c r="A7" s="489"/>
      <c r="B7" s="489"/>
      <c r="C7" s="708" t="s">
        <v>385</v>
      </c>
      <c r="D7" s="709"/>
      <c r="E7" s="709"/>
      <c r="F7" s="710"/>
      <c r="G7" s="311" t="s">
        <v>185</v>
      </c>
      <c r="H7" s="172">
        <f>'SEGUIMIENTO Y MONITOREO'!$AX$7</f>
        <v>42613</v>
      </c>
    </row>
    <row r="8" spans="1:8" ht="24" customHeight="1" x14ac:dyDescent="0.2">
      <c r="A8" s="325" t="s">
        <v>286</v>
      </c>
      <c r="B8" s="326">
        <f>SUM(VALORACIÓN!BD3,COUNTA(IDENTIFICACIÓN!D38:D71))</f>
        <v>62</v>
      </c>
      <c r="C8" s="308" t="str">
        <f>TGS!G8</f>
        <v>% 1ER CuaT</v>
      </c>
      <c r="D8" s="308" t="str">
        <f>TGS!I8</f>
        <v>% 2DO CuaT</v>
      </c>
      <c r="E8" s="308" t="str">
        <f>TGS!K8</f>
        <v>% 3ER CuaT</v>
      </c>
      <c r="F8" s="309" t="s">
        <v>369</v>
      </c>
      <c r="G8" s="673"/>
      <c r="H8" s="673"/>
    </row>
    <row r="9" spans="1:8" ht="18.75" customHeight="1" x14ac:dyDescent="0.2">
      <c r="A9" s="706" t="s">
        <v>380</v>
      </c>
      <c r="B9" s="327" t="s">
        <v>381</v>
      </c>
      <c r="C9" s="164">
        <f>'SEGUIMIENTO Y MONITOREO'!J200</f>
        <v>0.17424749163879599</v>
      </c>
      <c r="D9" s="164">
        <f>'SEGUIMIENTO Y MONITOREO'!T200</f>
        <v>0.40058372352285398</v>
      </c>
      <c r="E9" s="164" t="str">
        <f>'SEGUIMIENTO Y MONITOREO'!AD200</f>
        <v/>
      </c>
      <c r="F9" s="164">
        <f>'SEGUIMIENTO Y MONITOREO'!AW200</f>
        <v>0.40058372352285398</v>
      </c>
      <c r="G9" s="289"/>
      <c r="H9" s="184"/>
    </row>
    <row r="10" spans="1:8" ht="18.75" customHeight="1" thickBot="1" x14ac:dyDescent="0.25">
      <c r="A10" s="707"/>
      <c r="B10" s="335" t="s">
        <v>382</v>
      </c>
      <c r="C10" s="328">
        <f>'SEGUIMIENTO Y MONITOREO'!J202</f>
        <v>0.24291617473435656</v>
      </c>
      <c r="D10" s="328">
        <f>'SEGUIMIENTO Y MONITOREO'!T202</f>
        <v>0.42483333929614925</v>
      </c>
      <c r="E10" s="328" t="str">
        <f>'SEGUIMIENTO Y MONITOREO'!AD202</f>
        <v/>
      </c>
      <c r="F10" s="328">
        <f>'SEGUIMIENTO Y MONITOREO'!AW202</f>
        <v>0.42483333929614925</v>
      </c>
      <c r="G10" s="289"/>
      <c r="H10" s="184"/>
    </row>
    <row r="11" spans="1:8" ht="18.75" customHeight="1" thickBot="1" x14ac:dyDescent="0.25">
      <c r="A11" s="701" t="s">
        <v>383</v>
      </c>
      <c r="B11" s="702"/>
      <c r="C11" s="331">
        <f>'SEGUIMIENTO Y MONITOREO'!J205</f>
        <v>0.20971661415358461</v>
      </c>
      <c r="D11" s="331">
        <f>'SEGUIMIENTO Y MONITOREO'!T205</f>
        <v>0.41310926725000852</v>
      </c>
      <c r="E11" s="331" t="str">
        <f>'SEGUIMIENTO Y MONITOREO'!AD205</f>
        <v/>
      </c>
      <c r="F11" s="332">
        <f>'SEGUIMIENTO Y MONITOREO'!AW205</f>
        <v>0.41310926725000852</v>
      </c>
      <c r="G11" s="337">
        <f>1-F11</f>
        <v>0.58689073274999148</v>
      </c>
      <c r="H11" s="184"/>
    </row>
    <row r="12" spans="1:8" ht="18.75" customHeight="1" x14ac:dyDescent="0.2">
      <c r="A12" s="703" t="s">
        <v>182</v>
      </c>
      <c r="B12" s="329" t="s">
        <v>381</v>
      </c>
      <c r="C12" s="330">
        <f>'SEGUIMIENTO Y MONITOREO'!J201</f>
        <v>0.17424749163879599</v>
      </c>
      <c r="D12" s="330">
        <f>'SEGUIMIENTO Y MONITOREO'!T201</f>
        <v>0.40058372352285398</v>
      </c>
      <c r="E12" s="330" t="str">
        <f>'SEGUIMIENTO Y MONITOREO'!AD201</f>
        <v/>
      </c>
      <c r="F12" s="330">
        <f>'SEGUIMIENTO Y MONITOREO'!AW201</f>
        <v>0.40058372352285398</v>
      </c>
      <c r="G12" s="337"/>
      <c r="H12" s="184"/>
    </row>
    <row r="13" spans="1:8" ht="18.75" customHeight="1" thickBot="1" x14ac:dyDescent="0.25">
      <c r="A13" s="703"/>
      <c r="B13" s="336" t="s">
        <v>382</v>
      </c>
      <c r="C13" s="328">
        <f>'SEGUIMIENTO Y MONITOREO'!J203</f>
        <v>0.24291617473435656</v>
      </c>
      <c r="D13" s="328">
        <f>'SEGUIMIENTO Y MONITOREO'!T203</f>
        <v>0.43242161878525515</v>
      </c>
      <c r="E13" s="328" t="str">
        <f>'SEGUIMIENTO Y MONITOREO'!AD203</f>
        <v/>
      </c>
      <c r="F13" s="328">
        <f>'SEGUIMIENTO Y MONITOREO'!AW203</f>
        <v>0.43242161878525515</v>
      </c>
      <c r="G13" s="337"/>
      <c r="H13" s="184"/>
    </row>
    <row r="14" spans="1:8" ht="18.75" customHeight="1" thickBot="1" x14ac:dyDescent="0.25">
      <c r="A14" s="704" t="s">
        <v>384</v>
      </c>
      <c r="B14" s="705"/>
      <c r="C14" s="333">
        <f>'SEGUIMIENTO Y MONITOREO'!J206</f>
        <v>0.20971661415358461</v>
      </c>
      <c r="D14" s="333">
        <f>'SEGUIMIENTO Y MONITOREO'!T206</f>
        <v>0.41702880673645831</v>
      </c>
      <c r="E14" s="333" t="str">
        <f>'SEGUIMIENTO Y MONITOREO'!AD206</f>
        <v/>
      </c>
      <c r="F14" s="334">
        <f>'SEGUIMIENTO Y MONITOREO'!AW206</f>
        <v>0.41702880673645831</v>
      </c>
      <c r="G14" s="337">
        <f>1-F14</f>
        <v>0.58297119326354174</v>
      </c>
      <c r="H14" s="184"/>
    </row>
    <row r="15" spans="1:8" x14ac:dyDescent="0.2">
      <c r="A15" s="27"/>
      <c r="B15" s="27"/>
      <c r="C15" s="133"/>
      <c r="D15" s="133"/>
      <c r="E15" s="133"/>
      <c r="F15" s="27"/>
      <c r="G15" s="27"/>
      <c r="H15" s="27"/>
    </row>
    <row r="16" spans="1:8" x14ac:dyDescent="0.2">
      <c r="A16" s="27"/>
      <c r="B16" s="27"/>
      <c r="C16" s="133"/>
      <c r="D16" s="133"/>
      <c r="E16" s="133"/>
      <c r="F16" s="27"/>
      <c r="G16" s="27"/>
      <c r="H16" s="27"/>
    </row>
    <row r="17" spans="1:8" x14ac:dyDescent="0.2">
      <c r="A17" s="27"/>
      <c r="B17" s="27"/>
      <c r="C17" s="133"/>
      <c r="D17" s="133"/>
      <c r="E17" s="133"/>
      <c r="F17" s="27"/>
      <c r="G17" s="27"/>
      <c r="H17" s="27"/>
    </row>
    <row r="18" spans="1:8" x14ac:dyDescent="0.2">
      <c r="A18" s="27"/>
      <c r="B18" s="27"/>
      <c r="C18" s="133"/>
      <c r="D18" s="133"/>
      <c r="E18" s="133"/>
      <c r="F18" s="27"/>
      <c r="G18" s="27"/>
      <c r="H18" s="27"/>
    </row>
    <row r="19" spans="1:8" x14ac:dyDescent="0.2">
      <c r="A19" s="27"/>
      <c r="B19" s="27"/>
      <c r="C19" s="133"/>
      <c r="D19" s="133"/>
      <c r="E19" s="133"/>
      <c r="F19" s="27"/>
      <c r="G19" s="27"/>
      <c r="H19" s="27"/>
    </row>
    <row r="20" spans="1:8" x14ac:dyDescent="0.2">
      <c r="A20" s="27"/>
      <c r="B20" s="27"/>
      <c r="C20" s="133"/>
      <c r="D20" s="133"/>
      <c r="E20" s="133"/>
      <c r="F20" s="27"/>
      <c r="G20" s="27"/>
      <c r="H20" s="27"/>
    </row>
    <row r="21" spans="1:8" x14ac:dyDescent="0.2">
      <c r="A21" s="27"/>
      <c r="B21" s="27"/>
      <c r="C21" s="133"/>
      <c r="D21" s="133"/>
      <c r="E21" s="133"/>
      <c r="F21" s="27"/>
      <c r="G21" s="27"/>
      <c r="H21" s="27"/>
    </row>
    <row r="22" spans="1:8" x14ac:dyDescent="0.2">
      <c r="A22" s="27"/>
      <c r="B22" s="27"/>
      <c r="C22" s="133"/>
      <c r="D22" s="133"/>
      <c r="E22" s="133"/>
      <c r="F22" s="27"/>
      <c r="G22" s="27"/>
      <c r="H22" s="27"/>
    </row>
    <row r="23" spans="1:8" x14ac:dyDescent="0.2">
      <c r="A23" s="27"/>
      <c r="B23" s="27"/>
      <c r="C23" s="133"/>
      <c r="D23" s="133"/>
      <c r="E23" s="133"/>
      <c r="F23" s="27"/>
      <c r="G23" s="27"/>
      <c r="H23" s="27"/>
    </row>
    <row r="24" spans="1:8" x14ac:dyDescent="0.2">
      <c r="A24" s="27"/>
      <c r="B24" s="27"/>
      <c r="C24" s="133"/>
      <c r="D24" s="133"/>
      <c r="E24" s="133"/>
      <c r="F24" s="27"/>
      <c r="G24" s="27"/>
      <c r="H24" s="27"/>
    </row>
  </sheetData>
  <mergeCells count="12">
    <mergeCell ref="A7:B7"/>
    <mergeCell ref="C7:F7"/>
    <mergeCell ref="A1:B3"/>
    <mergeCell ref="C1:G3"/>
    <mergeCell ref="A5:H5"/>
    <mergeCell ref="A6:B6"/>
    <mergeCell ref="C6:F6"/>
    <mergeCell ref="A11:B11"/>
    <mergeCell ref="A12:A13"/>
    <mergeCell ref="A14:B14"/>
    <mergeCell ref="A9:A10"/>
    <mergeCell ref="G8:H8"/>
  </mergeCells>
  <conditionalFormatting sqref="H7">
    <cfRule type="containsText" dxfId="16" priority="17" operator="containsText" text="Sin Seguimientos">
      <formula>NOT(ISERROR(SEARCH("Sin Seguimientos",H7)))</formula>
    </cfRule>
  </conditionalFormatting>
  <pageMargins left="0.7" right="0.7" top="0.75" bottom="0.75" header="0.3" footer="0.3"/>
  <pageSetup scale="41"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5" operator="notEqual" id="{3F0046E7-8580-4AF4-9708-8CB2ABFC9FC1}">
            <xm:f>VALORACIÓN!$D$10</xm:f>
            <x14:dxf>
              <font>
                <color auto="1"/>
              </font>
              <fill>
                <patternFill patternType="lightGrid">
                  <fgColor theme="0" tint="-4.9989318521683403E-2"/>
                  <bgColor theme="0"/>
                </patternFill>
              </fill>
            </x14:dxf>
          </x14:cfRule>
          <x14:cfRule type="cellIs" priority="16" operator="equal" id="{016F67C5-613F-4B9E-BC9A-6C970F55A50F}">
            <xm:f>VALORACIÓN!$D$10</xm:f>
            <x14:dxf>
              <fill>
                <patternFill patternType="lightGrid">
                  <fgColor theme="0" tint="-4.9989318521683403E-2"/>
                </patternFill>
              </fill>
            </x14:dxf>
          </x14:cfRule>
          <xm:sqref>F9:F10</xm:sqref>
        </x14:conditionalFormatting>
        <x14:conditionalFormatting xmlns:xm="http://schemas.microsoft.com/office/excel/2006/main">
          <x14:cfRule type="cellIs" priority="13" operator="notEqual" id="{A94F56BE-BC4C-4CFB-9B5F-20C113B41DA5}">
            <xm:f>VALORACIÓN!$D$10</xm:f>
            <x14:dxf>
              <font>
                <color auto="1"/>
              </font>
              <fill>
                <patternFill patternType="lightGrid">
                  <fgColor theme="0" tint="-4.9989318521683403E-2"/>
                  <bgColor theme="0"/>
                </patternFill>
              </fill>
            </x14:dxf>
          </x14:cfRule>
          <x14:cfRule type="cellIs" priority="14" operator="equal" id="{DE2156DD-2C4D-444A-B9CE-83FA970F1056}">
            <xm:f>VALORACIÓN!$D$10</xm:f>
            <x14:dxf>
              <fill>
                <patternFill patternType="lightGrid">
                  <fgColor theme="0" tint="-4.9989318521683403E-2"/>
                </patternFill>
              </fill>
            </x14:dxf>
          </x14:cfRule>
          <xm:sqref>C9:E10</xm:sqref>
        </x14:conditionalFormatting>
        <x14:conditionalFormatting xmlns:xm="http://schemas.microsoft.com/office/excel/2006/main">
          <x14:cfRule type="cellIs" priority="11" operator="notEqual" id="{12557B69-DCCA-4AD0-98F9-0A050817CC78}">
            <xm:f>VALORACIÓN!$D$10</xm:f>
            <x14:dxf>
              <font>
                <color auto="1"/>
              </font>
              <fill>
                <patternFill patternType="lightGrid">
                  <fgColor theme="0" tint="-4.9989318521683403E-2"/>
                  <bgColor theme="0"/>
                </patternFill>
              </fill>
            </x14:dxf>
          </x14:cfRule>
          <x14:cfRule type="cellIs" priority="12" operator="equal" id="{29A88D8F-5503-418D-A9F0-A4FD238E1908}">
            <xm:f>VALORACIÓN!$D$10</xm:f>
            <x14:dxf>
              <fill>
                <patternFill patternType="lightGrid">
                  <fgColor theme="0" tint="-4.9989318521683403E-2"/>
                </patternFill>
              </fill>
            </x14:dxf>
          </x14:cfRule>
          <xm:sqref>F11:F12</xm:sqref>
        </x14:conditionalFormatting>
        <x14:conditionalFormatting xmlns:xm="http://schemas.microsoft.com/office/excel/2006/main">
          <x14:cfRule type="cellIs" priority="9" operator="notEqual" id="{1CB94392-3BE2-4171-A84D-D204E83E0947}">
            <xm:f>VALORACIÓN!$D$10</xm:f>
            <x14:dxf>
              <font>
                <color auto="1"/>
              </font>
              <fill>
                <patternFill patternType="lightGrid">
                  <fgColor theme="0" tint="-4.9989318521683403E-2"/>
                  <bgColor theme="0"/>
                </patternFill>
              </fill>
            </x14:dxf>
          </x14:cfRule>
          <x14:cfRule type="cellIs" priority="10" operator="equal" id="{633258B9-C0B0-424F-B30A-F74830F8C354}">
            <xm:f>VALORACIÓN!$D$10</xm:f>
            <x14:dxf>
              <fill>
                <patternFill patternType="lightGrid">
                  <fgColor theme="0" tint="-4.9989318521683403E-2"/>
                </patternFill>
              </fill>
            </x14:dxf>
          </x14:cfRule>
          <xm:sqref>C11:E12</xm:sqref>
        </x14:conditionalFormatting>
        <x14:conditionalFormatting xmlns:xm="http://schemas.microsoft.com/office/excel/2006/main">
          <x14:cfRule type="cellIs" priority="7" operator="notEqual" id="{99B76186-F664-4EBE-AD5E-8C108B8556F1}">
            <xm:f>VALORACIÓN!$D$10</xm:f>
            <x14:dxf>
              <font>
                <color auto="1"/>
              </font>
              <fill>
                <patternFill patternType="lightGrid">
                  <fgColor theme="0" tint="-4.9989318521683403E-2"/>
                  <bgColor theme="0"/>
                </patternFill>
              </fill>
            </x14:dxf>
          </x14:cfRule>
          <x14:cfRule type="cellIs" priority="8" operator="equal" id="{35950E7F-EDF8-492C-8078-A6C5D942813C}">
            <xm:f>VALORACIÓN!$D$10</xm:f>
            <x14:dxf>
              <fill>
                <patternFill patternType="lightGrid">
                  <fgColor theme="0" tint="-4.9989318521683403E-2"/>
                </patternFill>
              </fill>
            </x14:dxf>
          </x14:cfRule>
          <xm:sqref>F13</xm:sqref>
        </x14:conditionalFormatting>
        <x14:conditionalFormatting xmlns:xm="http://schemas.microsoft.com/office/excel/2006/main">
          <x14:cfRule type="cellIs" priority="5" operator="notEqual" id="{DB15282B-E695-496A-9D40-5AE7BBAC5CAC}">
            <xm:f>VALORACIÓN!$D$10</xm:f>
            <x14:dxf>
              <font>
                <color auto="1"/>
              </font>
              <fill>
                <patternFill patternType="lightGrid">
                  <fgColor theme="0" tint="-4.9989318521683403E-2"/>
                  <bgColor theme="0"/>
                </patternFill>
              </fill>
            </x14:dxf>
          </x14:cfRule>
          <x14:cfRule type="cellIs" priority="6" operator="equal" id="{AA88243B-EB07-4FBC-8572-BCDF1BD20583}">
            <xm:f>VALORACIÓN!$D$10</xm:f>
            <x14:dxf>
              <fill>
                <patternFill patternType="lightGrid">
                  <fgColor theme="0" tint="-4.9989318521683403E-2"/>
                </patternFill>
              </fill>
            </x14:dxf>
          </x14:cfRule>
          <xm:sqref>C13:E13</xm:sqref>
        </x14:conditionalFormatting>
        <x14:conditionalFormatting xmlns:xm="http://schemas.microsoft.com/office/excel/2006/main">
          <x14:cfRule type="cellIs" priority="3" operator="notEqual" id="{C280DFAA-4EFE-4712-AD5E-93C1B5F48F9F}">
            <xm:f>VALORACIÓN!$D$10</xm:f>
            <x14:dxf>
              <font>
                <color auto="1"/>
              </font>
              <fill>
                <patternFill patternType="lightGrid">
                  <fgColor theme="0" tint="-4.9989318521683403E-2"/>
                  <bgColor theme="0"/>
                </patternFill>
              </fill>
            </x14:dxf>
          </x14:cfRule>
          <x14:cfRule type="cellIs" priority="4" operator="equal" id="{CC40F3CC-DB0D-42AB-9F81-0E17FBCE7263}">
            <xm:f>VALORACIÓN!$D$10</xm:f>
            <x14:dxf>
              <fill>
                <patternFill patternType="lightGrid">
                  <fgColor theme="0" tint="-4.9989318521683403E-2"/>
                </patternFill>
              </fill>
            </x14:dxf>
          </x14:cfRule>
          <xm:sqref>F14</xm:sqref>
        </x14:conditionalFormatting>
        <x14:conditionalFormatting xmlns:xm="http://schemas.microsoft.com/office/excel/2006/main">
          <x14:cfRule type="cellIs" priority="1" operator="notEqual" id="{EF2FD0A6-8F7A-4D36-ADBA-F42179925BEC}">
            <xm:f>VALORACIÓN!$D$10</xm:f>
            <x14:dxf>
              <font>
                <color auto="1"/>
              </font>
              <fill>
                <patternFill patternType="lightGrid">
                  <fgColor theme="0" tint="-4.9989318521683403E-2"/>
                  <bgColor theme="0"/>
                </patternFill>
              </fill>
            </x14:dxf>
          </x14:cfRule>
          <x14:cfRule type="cellIs" priority="2" operator="equal" id="{566FEFAC-7EBD-4F45-9075-D4C1A4F9A996}">
            <xm:f>VALORACIÓN!$D$10</xm:f>
            <x14:dxf>
              <fill>
                <patternFill patternType="lightGrid">
                  <fgColor theme="0" tint="-4.9989318521683403E-2"/>
                </patternFill>
              </fill>
            </x14:dxf>
          </x14:cfRule>
          <xm:sqref>C14:E14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0.14999847407452621"/>
  </sheetPr>
  <dimension ref="A1:I316"/>
  <sheetViews>
    <sheetView zoomScaleNormal="100" workbookViewId="0">
      <pane ySplit="1" topLeftCell="A2" activePane="bottomLeft" state="frozen"/>
      <selection pane="bottomLeft" activeCell="J268" sqref="J268"/>
    </sheetView>
  </sheetViews>
  <sheetFormatPr baseColWidth="10" defaultRowHeight="15" x14ac:dyDescent="0.2"/>
  <cols>
    <col min="1" max="1" width="43.6640625" style="27" customWidth="1"/>
    <col min="2" max="8" width="11.5546875" style="27"/>
    <col min="9" max="9" width="0" style="27" hidden="1" customWidth="1"/>
    <col min="10" max="16384" width="11.5546875" style="27"/>
  </cols>
  <sheetData>
    <row r="1" spans="9:9" ht="122.25" customHeight="1" x14ac:dyDescent="0.2">
      <c r="I1" s="71" t="s">
        <v>144</v>
      </c>
    </row>
    <row r="38" spans="1:1" x14ac:dyDescent="0.2">
      <c r="A38" s="59" t="s">
        <v>64</v>
      </c>
    </row>
    <row r="78" spans="1:1" x14ac:dyDescent="0.2">
      <c r="A78" s="59" t="s">
        <v>65</v>
      </c>
    </row>
    <row r="102" spans="1:1" x14ac:dyDescent="0.2">
      <c r="A102" s="59" t="s">
        <v>65</v>
      </c>
    </row>
    <row r="155" spans="1:6" x14ac:dyDescent="0.2">
      <c r="A155"/>
      <c r="B155"/>
      <c r="C155"/>
      <c r="D155"/>
      <c r="E155"/>
    </row>
    <row r="158" spans="1:6" x14ac:dyDescent="0.2">
      <c r="B158" s="68"/>
      <c r="C158" s="68"/>
      <c r="D158" s="68"/>
      <c r="E158" s="68"/>
      <c r="F158" s="68"/>
    </row>
    <row r="159" spans="1:6" x14ac:dyDescent="0.2">
      <c r="B159" s="68"/>
      <c r="C159" s="68"/>
      <c r="D159" s="68"/>
      <c r="E159" s="68"/>
      <c r="F159" s="68"/>
    </row>
    <row r="160" spans="1:6" x14ac:dyDescent="0.2">
      <c r="B160" s="68"/>
      <c r="C160" s="68"/>
      <c r="D160" s="68"/>
      <c r="E160" s="68"/>
      <c r="F160" s="68"/>
    </row>
    <row r="161" spans="2:6" x14ac:dyDescent="0.2">
      <c r="B161" s="68"/>
      <c r="C161" s="68"/>
      <c r="D161" s="68"/>
      <c r="E161" s="68"/>
      <c r="F161" s="68"/>
    </row>
    <row r="162" spans="2:6" x14ac:dyDescent="0.2">
      <c r="B162" s="68"/>
      <c r="C162" s="68"/>
      <c r="D162" s="68"/>
      <c r="E162" s="68"/>
      <c r="F162" s="68"/>
    </row>
    <row r="163" spans="2:6" x14ac:dyDescent="0.2">
      <c r="B163" s="68"/>
      <c r="C163" s="68"/>
      <c r="D163" s="68"/>
      <c r="E163" s="68"/>
      <c r="F163" s="68"/>
    </row>
    <row r="164" spans="2:6" x14ac:dyDescent="0.2">
      <c r="B164" s="313"/>
      <c r="C164" s="313"/>
      <c r="D164" s="313"/>
      <c r="E164" s="313"/>
      <c r="F164" s="313"/>
    </row>
    <row r="165" spans="2:6" x14ac:dyDescent="0.2">
      <c r="B165" s="313"/>
      <c r="C165" s="313"/>
      <c r="D165" s="313"/>
      <c r="E165" s="313"/>
      <c r="F165" s="313"/>
    </row>
    <row r="166" spans="2:6" x14ac:dyDescent="0.2">
      <c r="B166" s="313"/>
      <c r="C166" s="313"/>
      <c r="D166" s="313"/>
      <c r="E166" s="313"/>
      <c r="F166" s="313"/>
    </row>
    <row r="167" spans="2:6" x14ac:dyDescent="0.2">
      <c r="B167" s="313"/>
      <c r="C167" s="313"/>
      <c r="D167" s="313"/>
      <c r="E167" s="313"/>
      <c r="F167" s="313"/>
    </row>
    <row r="168" spans="2:6" x14ac:dyDescent="0.2">
      <c r="B168" s="313"/>
      <c r="C168" s="313"/>
      <c r="D168" s="313"/>
      <c r="E168" s="313"/>
      <c r="F168" s="313"/>
    </row>
    <row r="169" spans="2:6" x14ac:dyDescent="0.2">
      <c r="B169" s="313"/>
      <c r="C169" s="313"/>
      <c r="D169" s="313"/>
      <c r="E169" s="313"/>
      <c r="F169" s="313"/>
    </row>
    <row r="170" spans="2:6" x14ac:dyDescent="0.2">
      <c r="B170" s="313"/>
      <c r="C170" s="313"/>
      <c r="D170" s="313"/>
      <c r="E170" s="313"/>
      <c r="F170" s="313"/>
    </row>
    <row r="171" spans="2:6" x14ac:dyDescent="0.2">
      <c r="B171" s="313"/>
      <c r="C171" s="313"/>
      <c r="D171" s="313"/>
      <c r="E171" s="313"/>
      <c r="F171" s="313"/>
    </row>
    <row r="172" spans="2:6" x14ac:dyDescent="0.2">
      <c r="B172" s="313"/>
      <c r="C172" s="313"/>
      <c r="D172" s="313"/>
      <c r="E172" s="313"/>
      <c r="F172" s="313"/>
    </row>
    <row r="173" spans="2:6" x14ac:dyDescent="0.2">
      <c r="B173" s="313"/>
      <c r="C173" s="313"/>
      <c r="D173" s="313"/>
      <c r="E173" s="313"/>
      <c r="F173" s="313"/>
    </row>
    <row r="174" spans="2:6" x14ac:dyDescent="0.2">
      <c r="B174" s="313"/>
      <c r="C174" s="313"/>
      <c r="D174" s="313"/>
      <c r="E174" s="313"/>
      <c r="F174" s="313"/>
    </row>
    <row r="175" spans="2:6" x14ac:dyDescent="0.2">
      <c r="B175" s="313"/>
      <c r="C175" s="313"/>
      <c r="D175" s="313"/>
      <c r="E175" s="313"/>
      <c r="F175" s="313"/>
    </row>
    <row r="176" spans="2:6" x14ac:dyDescent="0.2">
      <c r="B176" s="68"/>
      <c r="C176" s="68"/>
      <c r="D176" s="68"/>
      <c r="E176" s="68"/>
      <c r="F176" s="68"/>
    </row>
    <row r="177" spans="1:7" x14ac:dyDescent="0.2">
      <c r="B177" s="68"/>
      <c r="C177" s="68"/>
      <c r="D177" s="68"/>
      <c r="E177" s="68"/>
      <c r="F177" s="68"/>
    </row>
    <row r="178" spans="1:7" x14ac:dyDescent="0.2">
      <c r="B178" s="68"/>
      <c r="C178" s="68"/>
      <c r="D178" s="68"/>
      <c r="E178" s="68"/>
      <c r="F178" s="68"/>
    </row>
    <row r="179" spans="1:7" x14ac:dyDescent="0.2">
      <c r="B179" s="313"/>
      <c r="C179" s="313"/>
      <c r="D179" s="313"/>
      <c r="E179" s="313"/>
      <c r="F179" s="313"/>
    </row>
    <row r="180" spans="1:7" x14ac:dyDescent="0.2">
      <c r="B180" s="313"/>
      <c r="C180" s="313"/>
      <c r="D180" s="313"/>
      <c r="E180" s="313"/>
      <c r="F180" s="313"/>
    </row>
    <row r="181" spans="1:7" x14ac:dyDescent="0.2">
      <c r="B181" s="313"/>
      <c r="C181" s="313"/>
      <c r="D181" s="313"/>
      <c r="E181" s="313"/>
      <c r="F181" s="313"/>
    </row>
    <row r="182" spans="1:7" x14ac:dyDescent="0.2">
      <c r="B182" s="313"/>
      <c r="C182" s="313"/>
      <c r="D182" s="313"/>
      <c r="E182" s="313"/>
      <c r="F182" s="313"/>
    </row>
    <row r="183" spans="1:7" x14ac:dyDescent="0.2">
      <c r="B183" s="313"/>
      <c r="C183" s="313"/>
      <c r="D183" s="313"/>
      <c r="E183" s="313"/>
      <c r="F183" s="313"/>
    </row>
    <row r="184" spans="1:7" x14ac:dyDescent="0.2">
      <c r="B184" s="313"/>
      <c r="C184" s="313"/>
      <c r="D184" s="313"/>
      <c r="E184" s="313"/>
      <c r="F184" s="313"/>
    </row>
    <row r="185" spans="1:7" x14ac:dyDescent="0.2">
      <c r="B185" s="313"/>
      <c r="C185" s="313"/>
      <c r="D185" s="313"/>
      <c r="E185" s="313"/>
      <c r="F185" s="313"/>
    </row>
    <row r="186" spans="1:7" x14ac:dyDescent="0.2">
      <c r="B186" s="68"/>
      <c r="C186" s="68"/>
      <c r="D186" s="68"/>
      <c r="E186" s="68"/>
      <c r="F186" s="68"/>
    </row>
    <row r="187" spans="1:7" x14ac:dyDescent="0.2">
      <c r="A187" s="711" t="s">
        <v>65</v>
      </c>
      <c r="B187" s="711"/>
      <c r="C187" s="60"/>
      <c r="D187" s="60"/>
      <c r="E187" s="60"/>
      <c r="F187" s="68"/>
    </row>
    <row r="188" spans="1:7" x14ac:dyDescent="0.2">
      <c r="A188" s="313"/>
      <c r="B188" s="313"/>
      <c r="C188" s="60"/>
      <c r="D188" s="60"/>
      <c r="E188" s="60"/>
      <c r="F188" s="313"/>
    </row>
    <row r="189" spans="1:7" x14ac:dyDescent="0.2">
      <c r="B189" s="68"/>
      <c r="C189" s="68"/>
      <c r="D189" s="68"/>
      <c r="E189" s="68"/>
      <c r="F189" s="68"/>
    </row>
    <row r="190" spans="1:7" x14ac:dyDescent="0.2">
      <c r="B190" s="68"/>
      <c r="C190" s="711" t="s">
        <v>65</v>
      </c>
      <c r="D190" s="711"/>
      <c r="E190" s="711"/>
      <c r="F190" s="711"/>
      <c r="G190" s="711"/>
    </row>
    <row r="218" spans="4:8" x14ac:dyDescent="0.2">
      <c r="D218" s="711"/>
      <c r="E218" s="711"/>
      <c r="F218" s="711"/>
      <c r="G218" s="711"/>
      <c r="H218" s="711"/>
    </row>
    <row r="237" spans="1:5" x14ac:dyDescent="0.2">
      <c r="E237" s="60" t="s">
        <v>66</v>
      </c>
    </row>
    <row r="238" spans="1:5" x14ac:dyDescent="0.2">
      <c r="A238" s="60" t="s">
        <v>66</v>
      </c>
    </row>
    <row r="241" spans="2:6" x14ac:dyDescent="0.2">
      <c r="B241" s="60"/>
      <c r="C241" s="61"/>
      <c r="D241" s="61"/>
      <c r="E241" s="61"/>
      <c r="F241" s="61"/>
    </row>
    <row r="242" spans="2:6" x14ac:dyDescent="0.2">
      <c r="B242" s="31"/>
      <c r="C242" s="31"/>
      <c r="D242" s="31"/>
      <c r="E242" s="31"/>
      <c r="F242" s="31"/>
    </row>
    <row r="265" spans="1:1" x14ac:dyDescent="0.2">
      <c r="A265" s="28"/>
    </row>
    <row r="316" spans="1:1" x14ac:dyDescent="0.2">
      <c r="A316" s="59" t="s">
        <v>66</v>
      </c>
    </row>
  </sheetData>
  <mergeCells count="3">
    <mergeCell ref="C190:G190"/>
    <mergeCell ref="D218:H218"/>
    <mergeCell ref="A187:B187"/>
  </mergeCells>
  <hyperlinks>
    <hyperlink ref="A38" location="'CONTEXTO ESTRATEGICO'!A1" display="Volver"/>
    <hyperlink ref="A78" location="IDENTIFICACIÓN!A1" display="volver "/>
    <hyperlink ref="C190:G190" location="ANALISIS!A1" display="volver "/>
    <hyperlink ref="A316" location="'CONSOLIDACION DEL MAPA'!A1" display="volver"/>
    <hyperlink ref="A102" location="IDENTIFICACIÓN!A1" display="volver "/>
    <hyperlink ref="E237" location="VALORACIÓN!A1" display="volver"/>
    <hyperlink ref="A238" location="VALORACIÓN!A1" display="volver"/>
    <hyperlink ref="A187:B187" location="ANALISIS!A1" display="volver "/>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8" tint="-0.249977111117893"/>
  </sheetPr>
  <dimension ref="A1:O74"/>
  <sheetViews>
    <sheetView zoomScale="90" zoomScaleNormal="90" workbookViewId="0">
      <pane ySplit="10" topLeftCell="A11" activePane="bottomLeft" state="frozen"/>
      <selection pane="bottomLeft" activeCell="D69" sqref="D69"/>
    </sheetView>
  </sheetViews>
  <sheetFormatPr baseColWidth="10" defaultRowHeight="15.75" x14ac:dyDescent="0.2"/>
  <cols>
    <col min="1" max="1" width="3.6640625" style="3" customWidth="1"/>
    <col min="2" max="2" width="23.88671875" style="3" customWidth="1"/>
    <col min="3" max="3" width="20.44140625" style="3" customWidth="1"/>
    <col min="4" max="4" width="3.88671875" style="3" customWidth="1"/>
    <col min="5" max="5" width="11.33203125" style="3" customWidth="1"/>
    <col min="6" max="6" width="20.44140625" style="3" customWidth="1"/>
    <col min="7" max="7" width="4.21875" style="3" customWidth="1"/>
    <col min="8" max="8" width="14" style="3" customWidth="1"/>
    <col min="9" max="9" width="9.77734375" style="3" hidden="1" customWidth="1"/>
    <col min="10" max="10" width="15.6640625" style="5" customWidth="1"/>
    <col min="11" max="11" width="11.33203125" style="46" hidden="1" customWidth="1"/>
    <col min="12" max="15" width="11.5546875" style="46" hidden="1" customWidth="1"/>
    <col min="16" max="16" width="11.5546875" style="3" customWidth="1"/>
    <col min="17" max="16384" width="11.5546875" style="3"/>
  </cols>
  <sheetData>
    <row r="1" spans="1:15" ht="23.25" customHeight="1" x14ac:dyDescent="0.2">
      <c r="A1" s="478" t="s">
        <v>145</v>
      </c>
      <c r="B1" s="479"/>
      <c r="C1" s="469" t="s">
        <v>142</v>
      </c>
      <c r="D1" s="470"/>
      <c r="E1" s="470"/>
      <c r="F1" s="470"/>
      <c r="G1" s="470"/>
      <c r="H1" s="471"/>
      <c r="I1" s="36"/>
      <c r="J1" s="37" t="s">
        <v>71</v>
      </c>
    </row>
    <row r="2" spans="1:15" ht="23.25" customHeight="1" x14ac:dyDescent="0.2">
      <c r="A2" s="480"/>
      <c r="B2" s="481"/>
      <c r="C2" s="472"/>
      <c r="D2" s="473"/>
      <c r="E2" s="473"/>
      <c r="F2" s="473"/>
      <c r="G2" s="473"/>
      <c r="H2" s="474"/>
      <c r="I2" s="36"/>
      <c r="J2" s="32" t="s">
        <v>107</v>
      </c>
    </row>
    <row r="3" spans="1:15" ht="23.25" customHeight="1" x14ac:dyDescent="0.2">
      <c r="A3" s="482"/>
      <c r="B3" s="483"/>
      <c r="C3" s="475"/>
      <c r="D3" s="476"/>
      <c r="E3" s="476"/>
      <c r="F3" s="476"/>
      <c r="G3" s="476"/>
      <c r="H3" s="477"/>
      <c r="I3" s="36"/>
      <c r="J3" s="32" t="s">
        <v>408</v>
      </c>
    </row>
    <row r="4" spans="1:15" ht="3.75" customHeight="1" x14ac:dyDescent="0.2">
      <c r="A4" s="36"/>
      <c r="B4" s="36"/>
      <c r="C4" s="36"/>
      <c r="D4" s="36"/>
      <c r="E4" s="36"/>
      <c r="F4" s="36"/>
      <c r="G4" s="36"/>
      <c r="H4" s="36"/>
      <c r="I4" s="36"/>
      <c r="J4" s="36"/>
    </row>
    <row r="5" spans="1:15" ht="25.5" customHeight="1" x14ac:dyDescent="0.2">
      <c r="A5" s="439" t="s">
        <v>77</v>
      </c>
      <c r="B5" s="439"/>
      <c r="C5" s="439"/>
      <c r="D5" s="439"/>
      <c r="E5" s="439"/>
      <c r="F5" s="439"/>
      <c r="G5" s="439"/>
      <c r="H5" s="439"/>
      <c r="I5" s="439"/>
      <c r="J5" s="439"/>
    </row>
    <row r="6" spans="1:15" ht="15.75" customHeight="1" x14ac:dyDescent="0.2">
      <c r="A6" s="489" t="str">
        <f>'CONTEXTO ESTRATEGICO'!A7</f>
        <v>INSTITUCIONAL</v>
      </c>
      <c r="B6" s="489"/>
      <c r="C6" s="490" t="str">
        <f>'CONTEXTO ESTRATEGICO'!B7</f>
        <v>Mapa de Riesgo Institucional</v>
      </c>
      <c r="D6" s="491"/>
      <c r="E6" s="491"/>
      <c r="F6" s="491"/>
      <c r="G6" s="491"/>
      <c r="H6" s="491"/>
      <c r="I6" s="491"/>
      <c r="J6" s="492"/>
    </row>
    <row r="7" spans="1:15" ht="27" customHeight="1" x14ac:dyDescent="0.2">
      <c r="A7" s="487" t="str">
        <f>'CONTEXTO ESTRATEGICO'!A8</f>
        <v>MISION</v>
      </c>
      <c r="B7" s="488"/>
      <c r="C7" s="490"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1"/>
      <c r="G7" s="491"/>
      <c r="H7" s="491"/>
      <c r="I7" s="491"/>
      <c r="J7" s="492"/>
    </row>
    <row r="8" spans="1:15" ht="16.5" customHeight="1" x14ac:dyDescent="0.2">
      <c r="A8" s="485" t="s">
        <v>22</v>
      </c>
      <c r="B8" s="485" t="s">
        <v>1</v>
      </c>
      <c r="C8" s="463" t="s">
        <v>5</v>
      </c>
      <c r="D8" s="464"/>
      <c r="E8" s="464"/>
      <c r="F8" s="464"/>
      <c r="G8" s="464"/>
      <c r="H8" s="464"/>
      <c r="I8" s="464"/>
      <c r="J8" s="465"/>
    </row>
    <row r="9" spans="1:15" ht="18" customHeight="1" x14ac:dyDescent="0.2">
      <c r="A9" s="485"/>
      <c r="B9" s="485"/>
      <c r="C9" s="466" t="s">
        <v>2</v>
      </c>
      <c r="D9" s="467"/>
      <c r="E9" s="467"/>
      <c r="F9" s="467"/>
      <c r="G9" s="467"/>
      <c r="H9" s="468"/>
      <c r="I9" s="8"/>
      <c r="J9" s="486" t="s">
        <v>16</v>
      </c>
    </row>
    <row r="10" spans="1:15" ht="23.25" customHeight="1" x14ac:dyDescent="0.2">
      <c r="A10" s="485"/>
      <c r="B10" s="485"/>
      <c r="C10" s="197" t="str">
        <f>IDENTIFICACIÓN!B8</f>
        <v>CAUSAS</v>
      </c>
      <c r="D10" s="484" t="s">
        <v>63</v>
      </c>
      <c r="E10" s="484"/>
      <c r="F10" s="197" t="str">
        <f>IDENTIFICACIÓN!F8</f>
        <v>EFECTOS</v>
      </c>
      <c r="G10" s="484" t="s">
        <v>0</v>
      </c>
      <c r="H10" s="484"/>
      <c r="I10" s="9"/>
      <c r="J10" s="486"/>
      <c r="K10" s="46" t="s">
        <v>88</v>
      </c>
      <c r="L10" s="46" t="s">
        <v>89</v>
      </c>
      <c r="M10" s="46" t="s">
        <v>90</v>
      </c>
      <c r="N10" s="46" t="s">
        <v>91</v>
      </c>
      <c r="O10" s="46" t="s">
        <v>92</v>
      </c>
    </row>
    <row r="11" spans="1:15" ht="47.25" customHeight="1" x14ac:dyDescent="0.2">
      <c r="A11" s="344" t="str">
        <f>IDENTIFICACIÓN!C9</f>
        <v>1G</v>
      </c>
      <c r="B11" s="175" t="str">
        <f>IF(IDENTIFICACIÓN!D9="","",IDENTIFICACIÓN!D9)</f>
        <v>Relaciones Interinstitucionales. Concentrar labores múltiples en poco personal</v>
      </c>
      <c r="C11" s="55" t="str">
        <f>IF(IDENTIFICACIÓN!B9="","",IDENTIFICACIÓN!B9)</f>
        <v>Gestión de nuevos proyectos de movilidad, convenios y cooperación. Falta de vinculación de personal necesario en la Oficina de Relaciones Internacionales.</v>
      </c>
      <c r="D11" s="371">
        <v>3</v>
      </c>
      <c r="E11" s="12" t="str">
        <f>IF(D11=5,"CASI CERTEZA",IF(D11=4,"PROBABLE",IF(D11=3,"POSIBLE",IF(D11=2,"IMPROBABLE","RARO"))))</f>
        <v>POSIBLE</v>
      </c>
      <c r="F11" s="55" t="str">
        <f>IF(IDENTIFICACIÓN!F9="","",IDENTIFICACIÓN!F9)</f>
        <v>Bajo rendimiento en la gestión</v>
      </c>
      <c r="G11" s="371">
        <v>3</v>
      </c>
      <c r="H11" s="19" t="str">
        <f>IF(G11=1,"INSIGNIFICANTE",IF(G11=2,"MENOR",IF(G11=3,"MODERADO",IF(G11=4,"MAYOR","CATASTRÓFICO"))))</f>
        <v>MODERADO</v>
      </c>
      <c r="I11" s="16">
        <f>IF(G11=2,D11+20,IF(G11=3,D11+30,IF(G11=4,D11+40,IF(G11=5,D11+50,D11+10))))</f>
        <v>33</v>
      </c>
      <c r="J11" s="45" t="str">
        <f>IF(G11=1,K11,IF(G11=2,L11,IF(G11=3,M11,IF(G11=4,N11,O11))))</f>
        <v>ALTA 3:3</v>
      </c>
      <c r="K11" s="46" t="str">
        <f>IF($I11=11,"BAJA 1:1",IF($I11=12,"BAJA 2:1",IF($I11=13,"BAJA 3:1",IF($I11=14,"MODERADA 4:1","ALTA 5:1"))))</f>
        <v>ALTA 5:1</v>
      </c>
      <c r="L11" s="46" t="str">
        <f>IF($I11=21,"BAJA 1:2",IF($I11=22,"BAJA 2:2",IF($I11=23,"MODERADA 3:2",IF($I11=24,"ALTA 4:2","ALTA 5:2"))))</f>
        <v>ALTA 5:2</v>
      </c>
      <c r="M11" s="46" t="str">
        <f>IF($I11=31,"MODERADA 1:3",IF($I11=32,"MODERADA 2:3",IF($I11=33,"ALTA 3:3",IF($I11=34,"ALTA 4:3","EXTREMA 5:3"))))</f>
        <v>ALTA 3:3</v>
      </c>
      <c r="N11" s="46" t="str">
        <f>IF($I11=41,"ALTA 1:4",IF($I11=42,"ALTA 2:4",IF($I11=43,"EXTREMA 3:4",IF($I11=44,"EXTREMA 4:4","EXTREMA 5:4"))))</f>
        <v>EXTREMA 5:4</v>
      </c>
      <c r="O11" s="46" t="str">
        <f>IF($I11=51,"ALTA 1:5",IF($I11=52,"EXTREMA 2:5",IF($I11=53,"EXTREMA 3:5",IF($I11=54,"EXTREMA 4:5","EXTREMA 5:5"))))</f>
        <v>EXTREMA 5:5</v>
      </c>
    </row>
    <row r="12" spans="1:15" ht="47.25" customHeight="1" x14ac:dyDescent="0.2">
      <c r="A12" s="344" t="str">
        <f>IDENTIFICACIÓN!C10</f>
        <v>2G</v>
      </c>
      <c r="B12" s="21" t="str">
        <f>IF(IDENTIFICACIÓN!D10="","",IDENTIFICACIÓN!D10)</f>
        <v xml:space="preserve">Relaciones Interinstitucionales. Escaso registro y control de la movilidad internacional entrante y saliente. </v>
      </c>
      <c r="C12" s="55" t="str">
        <f>IF(IDENTIFICACIÓN!B10="","",IDENTIFICACIÓN!B10)</f>
        <v>Desconocimiento de los usuarios en relacion al procedimiendo de registro de la movilidad internacional entrante y saliente</v>
      </c>
      <c r="D12" s="371">
        <v>3</v>
      </c>
      <c r="E12" s="19" t="str">
        <f t="shared" ref="E12:E20" si="0">IF(D12=5,"CASI CERTEZA",IF(D12=4,"PROBABLE",IF(D12=3,"POSIBLE",IF(D12=2,"IMPROBABLE","RARO"))))</f>
        <v>POSIBLE</v>
      </c>
      <c r="F12" s="55" t="str">
        <f>IF(IDENTIFICACIÓN!F10="","",IDENTIFICACIÓN!F10)</f>
        <v>Bajo resultado en los indicadores. Percepciónes poco favorables en distintos escenarios (Visita de PARES, Evaluadores del MEN, SNIES y SUE). Bajo registro de movilidad internacional. Disminución de los recursos aportados por falta de información real.</v>
      </c>
      <c r="G12" s="371">
        <v>4</v>
      </c>
      <c r="H12" s="19" t="str">
        <f t="shared" ref="H12:H20" si="1">IF(G12=1,"INSIGNIFICANTE",IF(G12=2,"MENOR",IF(G12=3,"MODERADO",IF(G12=4,"MAYOR","CATASTRÓFICO"))))</f>
        <v>MAYOR</v>
      </c>
      <c r="I12" s="16">
        <f t="shared" ref="I12:I20" si="2">IF(G12=2,D12+20,IF(G12=3,D12+30,IF(G12=4,D12+40,IF(G12=5,D12+50,D12+10))))</f>
        <v>43</v>
      </c>
      <c r="J12" s="45" t="str">
        <f t="shared" ref="J12:J20" si="3">IF(G12=1,K12,IF(G12=2,L12,IF(G12=3,M12,IF(G12=4,N12,O12))))</f>
        <v>EXTREMA 3:4</v>
      </c>
      <c r="K12" s="46" t="str">
        <f t="shared" ref="K12:K38" si="4">IF($I12=11,"BAJA 1:1",IF($I12=12,"BAJA 2:1",IF($I12=13,"BAJA 3:1",IF($I12=14,"MODERADA 4:1","ALTA 5:1"))))</f>
        <v>ALTA 5:1</v>
      </c>
      <c r="L12" s="46" t="str">
        <f t="shared" ref="L12:L38" si="5">IF($I12=21,"BAJA 1:2",IF($I12=22,"BAJA 2:2",IF($I12=23,"MODERADA 3:2",IF($I12=24,"ALTA 4:2","ALTA 5:2"))))</f>
        <v>ALTA 5:2</v>
      </c>
      <c r="M12" s="46" t="str">
        <f>IF($I12=31,"MODERADA 1:3",IF($I12=32,"MODERADA 2:3",IF($I12=33,"ALTA 3:3",IF($I12=34,"ALTA 4:3","EXTREMA 5:3"))))</f>
        <v>EXTREMA 5:3</v>
      </c>
      <c r="N12" s="46" t="str">
        <f>IF($I12=41,"ALTA 1:4",IF($I12=42,"ALTA 2:4",IF($I12=43,"EXTREMA 3:4",IF($I12=44,"EXTREMA 4:4","EXTREMA 5:4"))))</f>
        <v>EXTREMA 3:4</v>
      </c>
      <c r="O12" s="46" t="str">
        <f>IF($I12=51,"ALTA 1:5",IF($I12=52,"EXTREMA 2:5",IF($I12=53,"EXTREMA 3:5",IF($I12=54,"EXTREMA 4:5","EXTREMA 5:5"))))</f>
        <v>EXTREMA 5:5</v>
      </c>
    </row>
    <row r="13" spans="1:15" ht="47.25" customHeight="1" x14ac:dyDescent="0.2">
      <c r="A13" s="344" t="str">
        <f>IDENTIFICACIÓN!C11</f>
        <v>3G</v>
      </c>
      <c r="B13" s="175" t="str">
        <f>IF(IDENTIFICACIÓN!D11="","",IDENTIFICACIÓN!D11)</f>
        <v>Relaciones Interinstitucionales. Gestionar la movilidad internacional sin requisitos legales</v>
      </c>
      <c r="C13" s="55" t="str">
        <f>IF(IDENTIFICACIÓN!B11="","",IDENTIFICACIÓN!B11)</f>
        <v>Desconocimiento del  personal de la Oficina de Relaciones  internacionales y la comunidad universitaria de los procedimietos y requisitos nacionales e internacionales legales y migratorios</v>
      </c>
      <c r="D13" s="371">
        <v>2</v>
      </c>
      <c r="E13" s="19" t="str">
        <f t="shared" si="0"/>
        <v>IMPROBABLE</v>
      </c>
      <c r="F13" s="55" t="str">
        <f>IF(IDENTIFICACIÓN!F11="","",IDENTIFICACIÓN!F11)</f>
        <v>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v>
      </c>
      <c r="G13" s="371">
        <v>4</v>
      </c>
      <c r="H13" s="19" t="str">
        <f t="shared" si="1"/>
        <v>MAYOR</v>
      </c>
      <c r="I13" s="16">
        <f t="shared" si="2"/>
        <v>42</v>
      </c>
      <c r="J13" s="45" t="str">
        <f t="shared" si="3"/>
        <v>ALTA 2:4</v>
      </c>
      <c r="K13" s="46" t="str">
        <f t="shared" si="4"/>
        <v>ALTA 5:1</v>
      </c>
      <c r="L13" s="46" t="str">
        <f t="shared" si="5"/>
        <v>ALTA 5:2</v>
      </c>
      <c r="M13" s="46" t="str">
        <f t="shared" ref="M13:M38" si="6">IF($I13=31,"MODERADA 1:3",IF($I13=32,"MODERADA 2:3",IF($I13=33,"ALTA 3:3",IF($I13=34,"ALTA 4:3","EXTREMA 5:3"))))</f>
        <v>EXTREMA 5:3</v>
      </c>
      <c r="N13" s="46" t="str">
        <f t="shared" ref="N13:N38" si="7">IF($I13=41,"ALTA 1:4",IF($I13=42,"ALTA 2:4",IF($I13=43,"EXTREMA 3:4",IF($I13=44,"EXTREMA 4:4","EXTREMA 5:4"))))</f>
        <v>ALTA 2:4</v>
      </c>
      <c r="O13" s="46" t="str">
        <f t="shared" ref="O13:O38" si="8">IF($I13=51,"ALTA 1:5",IF($I13=52,"EXTREMA 2:5",IF($I13=53,"EXTREMA 3:5",IF($I13=54,"EXTREMA 4:5","EXTREMA 5:5"))))</f>
        <v>EXTREMA 5:5</v>
      </c>
    </row>
    <row r="14" spans="1:15" ht="47.25" customHeight="1" x14ac:dyDescent="0.2">
      <c r="A14" s="344" t="str">
        <f>IDENTIFICACIÓN!C12</f>
        <v>4G</v>
      </c>
      <c r="B14" s="175" t="str">
        <f>IF(IDENTIFICACIÓN!D12="","",IDENTIFICACIÓN!D12)</f>
        <v>Acreditación. Insuficiente Implementación de la Política Institucional de Autoevaluación, Acreditación y Aseguramiento de la calidad</v>
      </c>
      <c r="C14" s="55" t="str">
        <f>IF(IDENTIFICACIÓN!B12="","",IDENTIFICACIÓN!B12)</f>
        <v>1. Poco conocimiento y difusión de la política de autoevaluación y del funcionamiento de la misma</v>
      </c>
      <c r="D14" s="372">
        <v>3</v>
      </c>
      <c r="E14" s="19" t="str">
        <f t="shared" si="0"/>
        <v>POSIBLE</v>
      </c>
      <c r="F14" s="55" t="str">
        <f>IF(IDENTIFICACIÓN!F12="","",IDENTIFICACIÓN!F12)</f>
        <v xml:space="preserve">1. Atraso en la dinámica de fortalecimiento de la cultura de autoevaluación, acreditación y mejoramiento continuo en los programas académicos.
2. Bajo desarrollo en los procesos académicos
3. Incumplimiento de las metas del plan de gobierno. </v>
      </c>
      <c r="G14" s="372">
        <v>4</v>
      </c>
      <c r="H14" s="19" t="str">
        <f t="shared" si="1"/>
        <v>MAYOR</v>
      </c>
      <c r="I14" s="16">
        <f t="shared" si="2"/>
        <v>43</v>
      </c>
      <c r="J14" s="45" t="str">
        <f t="shared" si="3"/>
        <v>EXTREMA 3:4</v>
      </c>
      <c r="K14" s="46" t="str">
        <f t="shared" si="4"/>
        <v>ALTA 5:1</v>
      </c>
      <c r="L14" s="46" t="str">
        <f t="shared" si="5"/>
        <v>ALTA 5:2</v>
      </c>
      <c r="M14" s="46" t="str">
        <f t="shared" si="6"/>
        <v>EXTREMA 5:3</v>
      </c>
      <c r="N14" s="46" t="str">
        <f t="shared" si="7"/>
        <v>EXTREMA 3:4</v>
      </c>
      <c r="O14" s="46" t="str">
        <f t="shared" si="8"/>
        <v>EXTREMA 5:5</v>
      </c>
    </row>
    <row r="15" spans="1:15" ht="47.25" customHeight="1" x14ac:dyDescent="0.2">
      <c r="A15" s="344" t="str">
        <f>IDENTIFICACIÓN!C13</f>
        <v>5G</v>
      </c>
      <c r="B15" s="175" t="str">
        <f>IF(IDENTIFICACIÓN!D13="","",IDENTIFICACIÓN!D13)</f>
        <v xml:space="preserve">Acreditación. Deficiencia en la calidad técnica de los informes </v>
      </c>
      <c r="C15" s="55" t="str">
        <f>IF(IDENTIFICACIÓN!B13="","",IDENTIFICACIÓN!B13)</f>
        <v xml:space="preserve">1. Poco conocimiento referente al proceso de Acreditación o registro calificado por parte de directivos, así como de la política de autoevaluación y del funcionamiento de la misma. 
2. Inadecuada ejecución de procedimientos, lineamientos y formatos establecidos en el COGUI o por instancias externas de control. </v>
      </c>
      <c r="D15" s="372">
        <v>1</v>
      </c>
      <c r="E15" s="19" t="str">
        <f t="shared" si="0"/>
        <v>RARO</v>
      </c>
      <c r="F15" s="55" t="str">
        <f>IF(IDENTIFICACIÓN!F13="","",IDENTIFICACIÓN!F13)</f>
        <v>1. Informes que no corresponden con las realidades del programa
2. Pérdida de credibilidad en los procesos de autoevaluación y mejora continua
3. Requerimiento de información complentaria (Auto)</v>
      </c>
      <c r="G15" s="372">
        <v>4</v>
      </c>
      <c r="H15" s="19" t="str">
        <f t="shared" si="1"/>
        <v>MAYOR</v>
      </c>
      <c r="I15" s="16">
        <f t="shared" si="2"/>
        <v>41</v>
      </c>
      <c r="J15" s="45" t="str">
        <f t="shared" si="3"/>
        <v>ALTA 1:4</v>
      </c>
      <c r="K15" s="46" t="str">
        <f t="shared" si="4"/>
        <v>ALTA 5:1</v>
      </c>
      <c r="L15" s="46" t="str">
        <f t="shared" si="5"/>
        <v>ALTA 5:2</v>
      </c>
      <c r="M15" s="46" t="str">
        <f t="shared" si="6"/>
        <v>EXTREMA 5:3</v>
      </c>
      <c r="N15" s="46" t="str">
        <f t="shared" si="7"/>
        <v>ALTA 1:4</v>
      </c>
      <c r="O15" s="46" t="str">
        <f t="shared" si="8"/>
        <v>EXTREMA 5:5</v>
      </c>
    </row>
    <row r="16" spans="1:15" ht="47.25" customHeight="1" x14ac:dyDescent="0.2">
      <c r="A16" s="344" t="str">
        <f>IDENTIFICACIÓN!C14</f>
        <v>6G</v>
      </c>
      <c r="B16" s="175" t="str">
        <f>IF(IDENTIFICACIÓN!D14="","",IDENTIFICACIÓN!D14)</f>
        <v>Acreditación. Negación de la acreditación o de la renovación de registro calificado</v>
      </c>
      <c r="C16" s="55" t="str">
        <f>IF(IDENTIFICACIÓN!B14="","",IDENTIFICACIÓN!B14)</f>
        <v>1. Pocas competencias en la administración del trámite de registro calificado o acreditación, de algunos directivos para el cumplimiento de procedimientos y lineamientos 
2. Baja calidad de los programas académicos</v>
      </c>
      <c r="D16" s="372">
        <v>3</v>
      </c>
      <c r="E16" s="19" t="str">
        <f t="shared" si="0"/>
        <v>POSIBLE</v>
      </c>
      <c r="F16" s="55" t="str">
        <f>IF(IDENTIFICACIÓN!F14="","",IDENTIFICACIÓN!F14)</f>
        <v>1. Desprestigio tanto de la Institución como del programa académico
2. Baja posibilidad de continuar con el proceso de Acreditación Institucional</v>
      </c>
      <c r="G16" s="372">
        <v>4</v>
      </c>
      <c r="H16" s="19" t="str">
        <f t="shared" si="1"/>
        <v>MAYOR</v>
      </c>
      <c r="I16" s="16">
        <f t="shared" si="2"/>
        <v>43</v>
      </c>
      <c r="J16" s="45" t="str">
        <f t="shared" si="3"/>
        <v>EXTREMA 3:4</v>
      </c>
      <c r="K16" s="46" t="str">
        <f t="shared" si="4"/>
        <v>ALTA 5:1</v>
      </c>
      <c r="L16" s="46" t="str">
        <f t="shared" si="5"/>
        <v>ALTA 5:2</v>
      </c>
      <c r="M16" s="46" t="str">
        <f t="shared" si="6"/>
        <v>EXTREMA 5:3</v>
      </c>
      <c r="N16" s="46" t="str">
        <f t="shared" si="7"/>
        <v>EXTREMA 3:4</v>
      </c>
      <c r="O16" s="46" t="str">
        <f t="shared" si="8"/>
        <v>EXTREMA 5:5</v>
      </c>
    </row>
    <row r="17" spans="1:15" ht="47.25" customHeight="1" x14ac:dyDescent="0.2">
      <c r="A17" s="344" t="str">
        <f>IDENTIFICACIÓN!C15</f>
        <v>7G</v>
      </c>
      <c r="B17" s="175" t="str">
        <f>IF(IDENTIFICACIÓN!D15="","",IDENTIFICACIÓN!D15)</f>
        <v>Acreditación. Incumplimiento en algunas actividades establecidas en el plan de trabajo</v>
      </c>
      <c r="C17" s="55" t="str">
        <f>IF(IDENTIFICACIÓN!B15="","",IDENTIFICACIÓN!B15)</f>
        <v>* Poco espacio físico adecuado según la naturaleza de la Oficina asignado para la ejecución de las actividades de la OAC, en consideración a la interrelación permanente que desarrollan sus funcionarios con la comunidad académica.
* Falta de un soporte tecnológico que facilite el seguimiento a los procesos y la integración de un acervo documental con información institucional para la elaboración de los documentos</v>
      </c>
      <c r="D17" s="372">
        <v>5</v>
      </c>
      <c r="E17" s="19" t="str">
        <f t="shared" si="0"/>
        <v>CASI CERTEZA</v>
      </c>
      <c r="F17" s="55" t="str">
        <f>IF(IDENTIFICACIÓN!F15="","",IDENTIFICACIÓN!F15)</f>
        <v xml:space="preserve">* Incumplimiento de los indicadores establecidos en el plan de trabajo, SCG, plan de gobierno y plan de desarrollo
* Poca interacción de los funcionarios en la ejecución  de actividades encaminadas a los procesos de autoevaluación, acreditación y aseguramiento de la calidad de los programas.
</v>
      </c>
      <c r="G17" s="372">
        <v>3</v>
      </c>
      <c r="H17" s="19" t="str">
        <f t="shared" si="1"/>
        <v>MODERADO</v>
      </c>
      <c r="I17" s="16">
        <f t="shared" si="2"/>
        <v>35</v>
      </c>
      <c r="J17" s="45" t="str">
        <f t="shared" si="3"/>
        <v>EXTREMA 5:3</v>
      </c>
      <c r="K17" s="46" t="str">
        <f t="shared" si="4"/>
        <v>ALTA 5:1</v>
      </c>
      <c r="L17" s="46" t="str">
        <f t="shared" si="5"/>
        <v>ALTA 5:2</v>
      </c>
      <c r="M17" s="46" t="str">
        <f t="shared" si="6"/>
        <v>EXTREMA 5:3</v>
      </c>
      <c r="N17" s="46" t="str">
        <f t="shared" si="7"/>
        <v>EXTREMA 5:4</v>
      </c>
      <c r="O17" s="46" t="str">
        <f t="shared" si="8"/>
        <v>EXTREMA 5:5</v>
      </c>
    </row>
    <row r="18" spans="1:15" ht="47.25" customHeight="1" x14ac:dyDescent="0.2">
      <c r="A18" s="344" t="str">
        <f>IDENTIFICACIÓN!C16</f>
        <v>8G</v>
      </c>
      <c r="B18" s="175" t="str">
        <f>IF(IDENTIFICACIÓN!D16="","",IDENTIFICACIÓN!D16)</f>
        <v>Acreditación. Retraso en el otorgamiento o renovacion del registro calificado</v>
      </c>
      <c r="C18" s="55" t="str">
        <f>IF(IDENTIFICACIÓN!B16="","",IDENTIFICACIÓN!B16)</f>
        <v>1.  Solicitudes al MEN despues del tiempo estipulado, es decir, con tiempos superiores a los  10 meses previsto para el caso de los registros calificados. 
2. Interpretación de las normas mas allá de lo que la ley no distingue, por parte del MEN en algunos casos
3. Congestión de trámites en el MEN referente a solicitud de registro calificado.
4. Falta de sincronización en las diferentes respuestas que deben emitir los entes gubernamentales, mas exactamente en los programas de la salud.</v>
      </c>
      <c r="D18" s="372">
        <v>4</v>
      </c>
      <c r="E18" s="19" t="str">
        <f t="shared" si="0"/>
        <v>PROBABLE</v>
      </c>
      <c r="F18" s="55" t="str">
        <f>IF(IDENTIFICACIÓN!F16="","",IDENTIFICACIÓN!F16)</f>
        <v>1. Suspensión de la oferta del programa por vencimiento de registro sin que se haya producido la respuesta del MEN.
2. Impacto en los indicadores de la Institución</v>
      </c>
      <c r="G18" s="372">
        <v>4</v>
      </c>
      <c r="H18" s="19" t="str">
        <f t="shared" si="1"/>
        <v>MAYOR</v>
      </c>
      <c r="I18" s="16">
        <f t="shared" si="2"/>
        <v>44</v>
      </c>
      <c r="J18" s="45" t="str">
        <f t="shared" si="3"/>
        <v>EXTREMA 4:4</v>
      </c>
      <c r="K18" s="46" t="str">
        <f t="shared" si="4"/>
        <v>ALTA 5:1</v>
      </c>
      <c r="L18" s="46" t="str">
        <f t="shared" si="5"/>
        <v>ALTA 5:2</v>
      </c>
      <c r="M18" s="46" t="str">
        <f t="shared" si="6"/>
        <v>EXTREMA 5:3</v>
      </c>
      <c r="N18" s="46" t="str">
        <f t="shared" si="7"/>
        <v>EXTREMA 4:4</v>
      </c>
      <c r="O18" s="46" t="str">
        <f t="shared" si="8"/>
        <v>EXTREMA 5:5</v>
      </c>
    </row>
    <row r="19" spans="1:15" ht="47.25" customHeight="1" x14ac:dyDescent="0.2">
      <c r="A19" s="344" t="str">
        <f>IDENTIFICACIÓN!C17</f>
        <v>9G</v>
      </c>
      <c r="B19" s="175" t="str">
        <f>IF(IDENTIFICACIÓN!D17="","",IDENTIFICACIÓN!D17)</f>
        <v>Gestión de la Calidad. La alta dirección no asegura la disponibilidad de los recursos para el mantenimiento y mejora del sistema.</v>
      </c>
      <c r="C19" s="55" t="str">
        <f>IF(IDENTIFICACIÓN!B17="","",IDENTIFICACIÓN!B17)</f>
        <v>Insuficientes mecanismos de control y seguimiento para el aseguramiento de la calidad. 
Desarticulación de planes de mejoramientos de los procesos con el plan de acción institucional.</v>
      </c>
      <c r="D19" s="373">
        <v>1</v>
      </c>
      <c r="E19" s="19" t="str">
        <f t="shared" si="0"/>
        <v>RARO</v>
      </c>
      <c r="F19" s="55" t="str">
        <f>IF(IDENTIFICACIÓN!F17="","",IDENTIFICACIÓN!F17)</f>
        <v>Suspensión o pérdida de los Certificados de la calidad.
Pérdida de la cultura de la gestión de la calidad institucional.</v>
      </c>
      <c r="G19" s="373">
        <v>4</v>
      </c>
      <c r="H19" s="19" t="str">
        <f t="shared" si="1"/>
        <v>MAYOR</v>
      </c>
      <c r="I19" s="16">
        <f t="shared" si="2"/>
        <v>41</v>
      </c>
      <c r="J19" s="45" t="str">
        <f t="shared" si="3"/>
        <v>ALTA 1:4</v>
      </c>
      <c r="K19" s="46" t="str">
        <f t="shared" si="4"/>
        <v>ALTA 5:1</v>
      </c>
      <c r="L19" s="46" t="str">
        <f t="shared" si="5"/>
        <v>ALTA 5:2</v>
      </c>
      <c r="M19" s="46" t="str">
        <f t="shared" si="6"/>
        <v>EXTREMA 5:3</v>
      </c>
      <c r="N19" s="46" t="str">
        <f t="shared" si="7"/>
        <v>ALTA 1:4</v>
      </c>
      <c r="O19" s="46" t="str">
        <f t="shared" si="8"/>
        <v>EXTREMA 5:5</v>
      </c>
    </row>
    <row r="20" spans="1:15" ht="47.25" customHeight="1" x14ac:dyDescent="0.2">
      <c r="A20" s="344" t="str">
        <f>IDENTIFICACIÓN!C18</f>
        <v>10G</v>
      </c>
      <c r="B20" s="175" t="str">
        <f>IF(IDENTIFICACIÓN!D18="","",IDENTIFICACIÓN!D18)</f>
        <v>Comunicaciones. Inoportuna e ineficaz divulgación de los productos comunicativos y publicitarios ante los usuarios internos y externos.</v>
      </c>
      <c r="C20" s="55" t="str">
        <f>IF(IDENTIFICACIÓN!B18="","",IDENTIFICACIÓN!B18)</f>
        <v xml:space="preserve">Dependencia en la toma de decisiones. Demora en la revisión de los productos comunicativos por parte de la Alta Dirección y/o jefes. </v>
      </c>
      <c r="D20" s="371">
        <v>3</v>
      </c>
      <c r="E20" s="19" t="str">
        <f t="shared" si="0"/>
        <v>POSIBLE</v>
      </c>
      <c r="F20" s="55" t="str">
        <f>IF(IDENTIFICACIÓN!F18="","",IDENTIFICACIÓN!F18)</f>
        <v>Disminución de los indicadores de calidad, pérdida de la credibilidad, presentación desactualizada de la información y discontinuidad de publicaciones.</v>
      </c>
      <c r="G20" s="371">
        <v>4</v>
      </c>
      <c r="H20" s="19" t="str">
        <f t="shared" si="1"/>
        <v>MAYOR</v>
      </c>
      <c r="I20" s="16">
        <f t="shared" si="2"/>
        <v>43</v>
      </c>
      <c r="J20" s="45" t="str">
        <f t="shared" si="3"/>
        <v>EXTREMA 3:4</v>
      </c>
      <c r="K20" s="46" t="str">
        <f t="shared" si="4"/>
        <v>ALTA 5:1</v>
      </c>
      <c r="L20" s="46" t="str">
        <f t="shared" si="5"/>
        <v>ALTA 5:2</v>
      </c>
      <c r="M20" s="46" t="str">
        <f t="shared" si="6"/>
        <v>EXTREMA 5:3</v>
      </c>
      <c r="N20" s="46" t="str">
        <f t="shared" si="7"/>
        <v>EXTREMA 3:4</v>
      </c>
      <c r="O20" s="46" t="str">
        <f t="shared" si="8"/>
        <v>EXTREMA 5:5</v>
      </c>
    </row>
    <row r="21" spans="1:15" ht="47.25" customHeight="1" x14ac:dyDescent="0.2">
      <c r="A21" s="354" t="str">
        <f>IDENTIFICACIÓN!C19</f>
        <v>11G</v>
      </c>
      <c r="B21" s="353" t="str">
        <f>IF(IDENTIFICACIÓN!D19="","",IDENTIFICACIÓN!D19)</f>
        <v>Gestión Academica. Pérdida de Registro Calificado de los Programas Académicos.</v>
      </c>
      <c r="C21" s="55" t="str">
        <f>IF(IDENTIFICACIÓN!B19="","",IDENTIFICACIÓN!B19)</f>
        <v>1. Falta de revisión de los vencimientos del Registro Calificado de los Programas Académicos.
2. Descuido por parte de personal responsable del proceso.
3. Alta carga laboral.
4. Desconocimiento de la normatividad especifica de cada programa por parte de éstos. 
5.La falta de Cómites de Autoevalción en cada programa.          
6. Falta de capacitación sobre el proceso de registro calificado  a los responsables que ingresan nuevos en los distintos programas.                    
7.Falta o inadecada infratructura fisica y/o tecnologica</v>
      </c>
      <c r="D21" s="371">
        <v>3</v>
      </c>
      <c r="E21" s="19" t="str">
        <f t="shared" ref="E21" si="9">IF(D21=5,"CASI CERTEZA",IF(D21=4,"PROBABLE",IF(D21=3,"POSIBLE",IF(D21=2,"IMPROBABLE","RARO"))))</f>
        <v>POSIBLE</v>
      </c>
      <c r="F21" s="55" t="str">
        <f>IF(IDENTIFICACIÓN!F19="","",IDENTIFICACIÓN!F19)</f>
        <v>1. Reducción de la oferta académica.
2. Pérdida de la credibilidad institucional.
3.  Impacto económico (Disminución de ingresos).
4. Deserción estudiantil.</v>
      </c>
      <c r="G21" s="371">
        <v>4</v>
      </c>
      <c r="H21" s="19" t="str">
        <f t="shared" ref="H21" si="10">IF(G21=1,"INSIGNIFICANTE",IF(G21=2,"MENOR",IF(G21=3,"MODERADO",IF(G21=4,"MAYOR","CATASTRÓFICO"))))</f>
        <v>MAYOR</v>
      </c>
      <c r="I21" s="16">
        <f t="shared" ref="I21" si="11">IF(G21=2,D21+20,IF(G21=3,D21+30,IF(G21=4,D21+40,IF(G21=5,D21+50,D21+10))))</f>
        <v>43</v>
      </c>
      <c r="J21" s="45" t="str">
        <f t="shared" ref="J21" si="12">IF(G21=1,K21,IF(G21=2,L21,IF(G21=3,M21,IF(G21=4,N21,O21))))</f>
        <v>EXTREMA 3:4</v>
      </c>
      <c r="K21" s="46" t="str">
        <f t="shared" si="4"/>
        <v>ALTA 5:1</v>
      </c>
      <c r="L21" s="46" t="str">
        <f t="shared" si="5"/>
        <v>ALTA 5:2</v>
      </c>
      <c r="M21" s="46" t="str">
        <f t="shared" si="6"/>
        <v>EXTREMA 5:3</v>
      </c>
      <c r="N21" s="46" t="str">
        <f t="shared" si="7"/>
        <v>EXTREMA 3:4</v>
      </c>
      <c r="O21" s="46" t="str">
        <f t="shared" si="8"/>
        <v>EXTREMA 5:5</v>
      </c>
    </row>
    <row r="22" spans="1:15" ht="47.25" customHeight="1" x14ac:dyDescent="0.2">
      <c r="A22" s="354" t="str">
        <f>IDENTIFICACIÓN!C20</f>
        <v>12G</v>
      </c>
      <c r="B22" s="353" t="str">
        <f>IF(IDENTIFICACIÓN!D20="","",IDENTIFICACIÓN!D20)</f>
        <v>Gestión Academica. Formulación inadecuada de políticas.</v>
      </c>
      <c r="C22" s="55" t="str">
        <f>IF(IDENTIFICACIÓN!B20="","",IDENTIFICACIÓN!B20)</f>
        <v>1. Inadecuada revisión del contexto. 
2.  Toma de decisiones basadas en situaciones particulares, sin considerar la generalidad que aplica en cada caso.  
3. Alta carga laboral.</v>
      </c>
      <c r="D22" s="371">
        <v>3</v>
      </c>
      <c r="E22" s="19" t="str">
        <f t="shared" ref="E22:E24" si="13">IF(D22=5,"CASI CERTEZA",IF(D22=4,"PROBABLE",IF(D22=3,"POSIBLE",IF(D22=2,"IMPROBABLE","RARO"))))</f>
        <v>POSIBLE</v>
      </c>
      <c r="F22" s="55" t="str">
        <f>IF(IDENTIFICACIÓN!F20="","",IDENTIFICACIÓN!F20)</f>
        <v>1. Ausencia de unidad de criterio.
2. Posibles toma de decisiones inadecuadas.
3. Retrasa el desarrollo institucional.
4. Exposición a sanciones.
5. Favorecimiento a casos particulares.</v>
      </c>
      <c r="G22" s="371">
        <v>4</v>
      </c>
      <c r="H22" s="19" t="str">
        <f t="shared" ref="H22:H24" si="14">IF(G22=1,"INSIGNIFICANTE",IF(G22=2,"MENOR",IF(G22=3,"MODERADO",IF(G22=4,"MAYOR","CATASTRÓFICO"))))</f>
        <v>MAYOR</v>
      </c>
      <c r="I22" s="16">
        <f t="shared" ref="I22:I24" si="15">IF(G22=2,D22+20,IF(G22=3,D22+30,IF(G22=4,D22+40,IF(G22=5,D22+50,D22+10))))</f>
        <v>43</v>
      </c>
      <c r="J22" s="45" t="str">
        <f t="shared" ref="J22:J24" si="16">IF(G22=1,K22,IF(G22=2,L22,IF(G22=3,M22,IF(G22=4,N22,O22))))</f>
        <v>EXTREMA 3:4</v>
      </c>
      <c r="K22" s="46" t="str">
        <f t="shared" si="4"/>
        <v>ALTA 5:1</v>
      </c>
      <c r="L22" s="46" t="str">
        <f t="shared" si="5"/>
        <v>ALTA 5:2</v>
      </c>
      <c r="M22" s="46" t="str">
        <f t="shared" si="6"/>
        <v>EXTREMA 5:3</v>
      </c>
      <c r="N22" s="46" t="str">
        <f t="shared" si="7"/>
        <v>EXTREMA 3:4</v>
      </c>
      <c r="O22" s="46" t="str">
        <f t="shared" si="8"/>
        <v>EXTREMA 5:5</v>
      </c>
    </row>
    <row r="23" spans="1:15" ht="47.25" customHeight="1" x14ac:dyDescent="0.2">
      <c r="A23" s="354" t="str">
        <f>IDENTIFICACIÓN!C21</f>
        <v>13G</v>
      </c>
      <c r="B23" s="353" t="str">
        <f>IF(IDENTIFICACIÓN!D21="","",IDENTIFICACIÓN!D21)</f>
        <v>Gestión Academica. Aplicación inadecuada de la normatividad en el desarrollo de los diferentes procesos academicos de los programas.</v>
      </c>
      <c r="C23" s="55" t="str">
        <f>IF(IDENTIFICACIÓN!B21="","",IDENTIFICACIÓN!B21)</f>
        <v xml:space="preserve">1. Desconocimiento de la normativa existente o falta de revisión de los responsables del proceso.
2.  Descuido por parte de personal responsable del proceso.
3.  Alta carga laboral.                                   </v>
      </c>
      <c r="D23" s="371">
        <v>2</v>
      </c>
      <c r="E23" s="19" t="str">
        <f t="shared" si="13"/>
        <v>IMPROBABLE</v>
      </c>
      <c r="F23" s="55" t="str">
        <f>IF(IDENTIFICACIÓN!F21="","",IDENTIFICACIÓN!F21)</f>
        <v>1. Incremento de: demandas, derechos de petición, tutelas, PQR.
2. Incumplimiento de la planeación académica.
3. Perdida de credibilidad institucional.
4. Sanciones económicas y/o administrativas.
5. Afectación de la gobernabilidad institucional.</v>
      </c>
      <c r="G23" s="371">
        <v>4</v>
      </c>
      <c r="H23" s="19" t="str">
        <f t="shared" si="14"/>
        <v>MAYOR</v>
      </c>
      <c r="I23" s="16">
        <f t="shared" si="15"/>
        <v>42</v>
      </c>
      <c r="J23" s="45" t="str">
        <f t="shared" si="16"/>
        <v>ALTA 2:4</v>
      </c>
      <c r="K23" s="46" t="str">
        <f t="shared" si="4"/>
        <v>ALTA 5:1</v>
      </c>
      <c r="L23" s="46" t="str">
        <f t="shared" si="5"/>
        <v>ALTA 5:2</v>
      </c>
      <c r="M23" s="46" t="str">
        <f t="shared" si="6"/>
        <v>EXTREMA 5:3</v>
      </c>
      <c r="N23" s="46" t="str">
        <f t="shared" si="7"/>
        <v>ALTA 2:4</v>
      </c>
      <c r="O23" s="46" t="str">
        <f t="shared" si="8"/>
        <v>EXTREMA 5:5</v>
      </c>
    </row>
    <row r="24" spans="1:15" ht="47.25" customHeight="1" x14ac:dyDescent="0.2">
      <c r="A24" s="354" t="str">
        <f>IDENTIFICACIÓN!C22</f>
        <v>14G</v>
      </c>
      <c r="B24" s="353" t="str">
        <f>IF(IDENTIFICACIÓN!D22="","",IDENTIFICACIÓN!D22)</f>
        <v>Gestión Academica. Deterioro en la calidad de los programas académicos por necesidades de recursos no cubiertas.</v>
      </c>
      <c r="C24" s="55" t="str">
        <f>IF(IDENTIFICACIÓN!B22="","",IDENTIFICACIÓN!B22)</f>
        <v>1. Planeación inadecuada.                                         
2. Mala priorización de las necesidades de los programas académicos.</v>
      </c>
      <c r="D24" s="371">
        <v>3</v>
      </c>
      <c r="E24" s="19" t="str">
        <f t="shared" si="13"/>
        <v>POSIBLE</v>
      </c>
      <c r="F24" s="55" t="str">
        <f>IF(IDENTIFICACIÓN!F22="","",IDENTIFICACIÓN!F22)</f>
        <v>1. Mala ejecución de los recursos.
2. Necesidades insatisfechas de los programas académicos.</v>
      </c>
      <c r="G24" s="371">
        <v>4</v>
      </c>
      <c r="H24" s="19" t="str">
        <f t="shared" si="14"/>
        <v>MAYOR</v>
      </c>
      <c r="I24" s="16">
        <f t="shared" si="15"/>
        <v>43</v>
      </c>
      <c r="J24" s="45" t="str">
        <f t="shared" si="16"/>
        <v>EXTREMA 3:4</v>
      </c>
      <c r="K24" s="46" t="str">
        <f t="shared" si="4"/>
        <v>ALTA 5:1</v>
      </c>
      <c r="L24" s="46" t="str">
        <f t="shared" si="5"/>
        <v>ALTA 5:2</v>
      </c>
      <c r="M24" s="46" t="str">
        <f t="shared" si="6"/>
        <v>EXTREMA 5:3</v>
      </c>
      <c r="N24" s="46" t="str">
        <f t="shared" si="7"/>
        <v>EXTREMA 3:4</v>
      </c>
      <c r="O24" s="46" t="str">
        <f t="shared" si="8"/>
        <v>EXTREMA 5:5</v>
      </c>
    </row>
    <row r="25" spans="1:15" ht="47.25" customHeight="1" x14ac:dyDescent="0.2">
      <c r="A25" s="354" t="str">
        <f>IDENTIFICACIÓN!C23</f>
        <v>15G</v>
      </c>
      <c r="B25" s="353" t="str">
        <f>IF(IDENTIFICACIÓN!D23="","",IDENTIFICACIÓN!D23)</f>
        <v xml:space="preserve">Gestión de Investigación. No fomentar la actividad investigativa en la Universidad.  </v>
      </c>
      <c r="C25" s="55" t="str">
        <f>IF(IDENTIFICACIÓN!B23="","",IDENTIFICACIÓN!B23)</f>
        <v xml:space="preserve">Falta de gestión de recursos para actividades de investigación. 
Desconocimiento de necesidades de los grupos de investigación
Desconocimiento de procedimientos </v>
      </c>
      <c r="D25" s="371">
        <v>1</v>
      </c>
      <c r="E25" s="19" t="str">
        <f t="shared" ref="E25:E26" si="17">IF(D25=5,"CASI CERTEZA",IF(D25=4,"PROBABLE",IF(D25=3,"POSIBLE",IF(D25=2,"IMPROBABLE","RARO"))))</f>
        <v>RARO</v>
      </c>
      <c r="F25" s="55" t="str">
        <f>IF(IDENTIFICACIÓN!F23="","",IDENTIFICACIÓN!F23)</f>
        <v>Disminuyen los indicadores de la actividad investigativa
Reducción de presupuesto para la investigación
Disminución de la visibilidad de la Universidad</v>
      </c>
      <c r="G25" s="371">
        <v>5</v>
      </c>
      <c r="H25" s="19" t="str">
        <f t="shared" ref="H25:H26" si="18">IF(G25=1,"INSIGNIFICANTE",IF(G25=2,"MENOR",IF(G25=3,"MODERADO",IF(G25=4,"MAYOR","CATASTRÓFICO"))))</f>
        <v>CATASTRÓFICO</v>
      </c>
      <c r="I25" s="16">
        <f t="shared" ref="I25:I26" si="19">IF(G25=2,D25+20,IF(G25=3,D25+30,IF(G25=4,D25+40,IF(G25=5,D25+50,D25+10))))</f>
        <v>51</v>
      </c>
      <c r="J25" s="45" t="str">
        <f t="shared" ref="J25:J26" si="20">IF(G25=1,K25,IF(G25=2,L25,IF(G25=3,M25,IF(G25=4,N25,O25))))</f>
        <v>ALTA 1:5</v>
      </c>
      <c r="K25" s="46" t="str">
        <f t="shared" si="4"/>
        <v>ALTA 5:1</v>
      </c>
      <c r="L25" s="46" t="str">
        <f t="shared" si="5"/>
        <v>ALTA 5:2</v>
      </c>
      <c r="M25" s="46" t="str">
        <f t="shared" si="6"/>
        <v>EXTREMA 5:3</v>
      </c>
      <c r="N25" s="46" t="str">
        <f t="shared" si="7"/>
        <v>EXTREMA 5:4</v>
      </c>
      <c r="O25" s="46" t="str">
        <f t="shared" si="8"/>
        <v>ALTA 1:5</v>
      </c>
    </row>
    <row r="26" spans="1:15" ht="47.25" customHeight="1" x14ac:dyDescent="0.2">
      <c r="A26" s="354" t="str">
        <f>IDENTIFICACIÓN!C24</f>
        <v>16G</v>
      </c>
      <c r="B26" s="353" t="str">
        <f>IF(IDENTIFICACIÓN!D24="","",IDENTIFICACIÓN!D24)</f>
        <v>Gestión de Investigación. Deficiente cumplimiento del plan de acción de la Vicerrectoría de Investigación</v>
      </c>
      <c r="C26" s="55" t="str">
        <f>IF(IDENTIFICACIÓN!B24="","",IDENTIFICACIÓN!B24)</f>
        <v>Deficiente planificación del plan de acción.
Sobrecarga laboral.
Deficiente seguimiento a la ejecución del plan de acción.
Escaso personal, para el creciente incremento de las actividades de investigación.</v>
      </c>
      <c r="D26" s="371">
        <v>1</v>
      </c>
      <c r="E26" s="19" t="str">
        <f t="shared" si="17"/>
        <v>RARO</v>
      </c>
      <c r="F26" s="55" t="str">
        <f>IF(IDENTIFICACIÓN!F24="","",IDENTIFICACIÓN!F24)</f>
        <v>Disminuyen los indicadores de la actividad investigativa.
Reducción de presupuesto para la investigación.
Disminución de la visibilidad de resultados de la investigación de la Universidad.</v>
      </c>
      <c r="G26" s="371">
        <v>4</v>
      </c>
      <c r="H26" s="19" t="str">
        <f t="shared" si="18"/>
        <v>MAYOR</v>
      </c>
      <c r="I26" s="16">
        <f t="shared" si="19"/>
        <v>41</v>
      </c>
      <c r="J26" s="45" t="str">
        <f t="shared" si="20"/>
        <v>ALTA 1:4</v>
      </c>
      <c r="K26" s="46" t="str">
        <f t="shared" si="4"/>
        <v>ALTA 5:1</v>
      </c>
      <c r="L26" s="46" t="str">
        <f t="shared" si="5"/>
        <v>ALTA 5:2</v>
      </c>
      <c r="M26" s="46" t="str">
        <f t="shared" si="6"/>
        <v>EXTREMA 5:3</v>
      </c>
      <c r="N26" s="46" t="str">
        <f t="shared" si="7"/>
        <v>ALTA 1:4</v>
      </c>
      <c r="O26" s="46" t="str">
        <f t="shared" si="8"/>
        <v>EXTREMA 5:5</v>
      </c>
    </row>
    <row r="27" spans="1:15" ht="47.25" customHeight="1" x14ac:dyDescent="0.2">
      <c r="A27" s="354" t="str">
        <f>IDENTIFICACIÓN!C25</f>
        <v>17G</v>
      </c>
      <c r="B27" s="353" t="str">
        <f>IF(IDENTIFICACIÓN!D25="","",IDENTIFICACIÓN!D25)</f>
        <v>Gestión de Extensión y Proyección Social. Incumplimiento en los compromisos establecidos en la formalización de los proyectos.</v>
      </c>
      <c r="C27" s="55" t="str">
        <f>IF(IDENTIFICACIÓN!B25="","",IDENTIFICACIÓN!B25)</f>
        <v>Aumento en la oferta de servicios y los requerimientos por las partes interesadas.
Deficiencia en la infraestructura de los proveedores tecnológicos.</v>
      </c>
      <c r="D27" s="371">
        <v>3</v>
      </c>
      <c r="E27" s="19" t="str">
        <f t="shared" ref="E27:E38" si="21">IF(D27=5,"CASI CERTEZA",IF(D27=4,"PROBABLE",IF(D27=3,"POSIBLE",IF(D27=2,"IMPROBABLE","RARO"))))</f>
        <v>POSIBLE</v>
      </c>
      <c r="F27" s="55" t="str">
        <f>IF(IDENTIFICACIÓN!F25="","",IDENTIFICACIÓN!F25)</f>
        <v>Baja competitividad.
Disminución de ventas de servicios, e impacto socioeconómicos en las áreas de influencia.</v>
      </c>
      <c r="G27" s="371">
        <v>4</v>
      </c>
      <c r="H27" s="19" t="str">
        <f t="shared" ref="H27:H38" si="22">IF(G27=1,"INSIGNIFICANTE",IF(G27=2,"MENOR",IF(G27=3,"MODERADO",IF(G27=4,"MAYOR","CATASTRÓFICO"))))</f>
        <v>MAYOR</v>
      </c>
      <c r="I27" s="16">
        <f t="shared" ref="I27:I38" si="23">IF(G27=2,D27+20,IF(G27=3,D27+30,IF(G27=4,D27+40,IF(G27=5,D27+50,D27+10))))</f>
        <v>43</v>
      </c>
      <c r="J27" s="45" t="str">
        <f t="shared" ref="J27:J38" si="24">IF(G27=1,K27,IF(G27=2,L27,IF(G27=3,M27,IF(G27=4,N27,O27))))</f>
        <v>EXTREMA 3:4</v>
      </c>
      <c r="K27" s="46" t="str">
        <f t="shared" si="4"/>
        <v>ALTA 5:1</v>
      </c>
      <c r="L27" s="46" t="str">
        <f t="shared" si="5"/>
        <v>ALTA 5:2</v>
      </c>
      <c r="M27" s="46" t="str">
        <f t="shared" si="6"/>
        <v>EXTREMA 5:3</v>
      </c>
      <c r="N27" s="46" t="str">
        <f t="shared" si="7"/>
        <v>EXTREMA 3:4</v>
      </c>
      <c r="O27" s="46" t="str">
        <f t="shared" si="8"/>
        <v>EXTREMA 5:5</v>
      </c>
    </row>
    <row r="28" spans="1:15" ht="47.25" customHeight="1" x14ac:dyDescent="0.2">
      <c r="A28" s="354" t="str">
        <f>IDENTIFICACIÓN!C26</f>
        <v>18G</v>
      </c>
      <c r="B28" s="353"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28" s="55" t="str">
        <f>IF(IDENTIFICACIÓN!B26="","",IDENTIFICACIÓN!B26)</f>
        <v>Canales de comunicación deficientes.</v>
      </c>
      <c r="D28" s="371">
        <v>4</v>
      </c>
      <c r="E28" s="19" t="str">
        <f t="shared" si="21"/>
        <v>PROBABLE</v>
      </c>
      <c r="F28" s="55" t="str">
        <f>IF(IDENTIFICACIÓN!F26="","",IDENTIFICACIÓN!F26)</f>
        <v>Bajo impacto social.</v>
      </c>
      <c r="G28" s="371">
        <v>3</v>
      </c>
      <c r="H28" s="19" t="str">
        <f t="shared" si="22"/>
        <v>MODERADO</v>
      </c>
      <c r="I28" s="16">
        <f t="shared" si="23"/>
        <v>34</v>
      </c>
      <c r="J28" s="45" t="str">
        <f t="shared" si="24"/>
        <v>ALTA 4:3</v>
      </c>
      <c r="K28" s="46" t="str">
        <f t="shared" si="4"/>
        <v>ALTA 5:1</v>
      </c>
      <c r="L28" s="46" t="str">
        <f t="shared" si="5"/>
        <v>ALTA 5:2</v>
      </c>
      <c r="M28" s="46" t="str">
        <f t="shared" si="6"/>
        <v>ALTA 4:3</v>
      </c>
      <c r="N28" s="46" t="str">
        <f t="shared" si="7"/>
        <v>EXTREMA 5:4</v>
      </c>
      <c r="O28" s="46" t="str">
        <f t="shared" si="8"/>
        <v>EXTREMA 5:5</v>
      </c>
    </row>
    <row r="29" spans="1:15" ht="47.25" customHeight="1" x14ac:dyDescent="0.2">
      <c r="A29" s="354" t="str">
        <f>IDENTIFICACIÓN!C27</f>
        <v>19G</v>
      </c>
      <c r="B29" s="353" t="str">
        <f>IF(IDENTIFICACIÓN!D27="","",IDENTIFICACIÓN!D27)</f>
        <v>Gestión de Extensión y Proyección Social. Interrupción en las actividades e incumplimiento de los proyectos de extensión y proyección social, en las zonas de influencia.</v>
      </c>
      <c r="C29" s="55" t="str">
        <f>IF(IDENTIFICACIÓN!B27="","",IDENTIFICACIÓN!B27)</f>
        <v>*Presencia de grupos armados en las zonas de influencia.
*Deficiencia en las vías de acceso a las zonas de influencia.</v>
      </c>
      <c r="D29" s="371">
        <v>3</v>
      </c>
      <c r="E29" s="19" t="str">
        <f t="shared" si="21"/>
        <v>POSIBLE</v>
      </c>
      <c r="F29" s="55" t="str">
        <f>IF(IDENTIFICACIÓN!F27="","",IDENTIFICACIÓN!F27)</f>
        <v>Incumplimiento contractual con los aliados.
Sanciones.
Pérdida de la imagen institucional.</v>
      </c>
      <c r="G29" s="371">
        <v>4</v>
      </c>
      <c r="H29" s="19" t="str">
        <f t="shared" si="22"/>
        <v>MAYOR</v>
      </c>
      <c r="I29" s="16">
        <f t="shared" si="23"/>
        <v>43</v>
      </c>
      <c r="J29" s="45" t="str">
        <f t="shared" si="24"/>
        <v>EXTREMA 3:4</v>
      </c>
      <c r="K29" s="46" t="str">
        <f t="shared" si="4"/>
        <v>ALTA 5:1</v>
      </c>
      <c r="L29" s="46" t="str">
        <f t="shared" si="5"/>
        <v>ALTA 5:2</v>
      </c>
      <c r="M29" s="46" t="str">
        <f t="shared" si="6"/>
        <v>EXTREMA 5:3</v>
      </c>
      <c r="N29" s="46" t="str">
        <f t="shared" si="7"/>
        <v>EXTREMA 3:4</v>
      </c>
      <c r="O29" s="46" t="str">
        <f t="shared" si="8"/>
        <v>EXTREMA 5:5</v>
      </c>
    </row>
    <row r="30" spans="1:15" ht="47.25" customHeight="1" x14ac:dyDescent="0.2">
      <c r="A30" s="354" t="str">
        <f>IDENTIFICACIÓN!C28</f>
        <v>20G</v>
      </c>
      <c r="B30" s="353" t="str">
        <f>IF(IDENTIFICACIÓN!D28="","",IDENTIFICACIÓN!D28)</f>
        <v>Gestión de Contratación. Celebración de contratos sin el cumplimiento de los requisitos internos y externos de carácter contractual</v>
      </c>
      <c r="C30" s="55" t="str">
        <f>IF(IDENTIFICACIÓN!B28="","",IDENTIFICACIÓN!B28)</f>
        <v>Desconocimiento de las normas internas, externas y jurisprudenciales que rigen la celebración de contratos.</v>
      </c>
      <c r="D30" s="371">
        <v>1</v>
      </c>
      <c r="E30" s="19" t="str">
        <f t="shared" si="21"/>
        <v>RARO</v>
      </c>
      <c r="F30" s="55" t="str">
        <f>IF(IDENTIFICACIÓN!F28="","",IDENTIFICACIÓN!F28)</f>
        <v>Sanciones administrativas, disciplinarias, fiscales y penales, demandas.</v>
      </c>
      <c r="G30" s="371">
        <v>4</v>
      </c>
      <c r="H30" s="19" t="str">
        <f t="shared" si="22"/>
        <v>MAYOR</v>
      </c>
      <c r="I30" s="16">
        <f t="shared" si="23"/>
        <v>41</v>
      </c>
      <c r="J30" s="45" t="str">
        <f t="shared" si="24"/>
        <v>ALTA 1:4</v>
      </c>
      <c r="K30" s="46" t="str">
        <f t="shared" si="4"/>
        <v>ALTA 5:1</v>
      </c>
      <c r="L30" s="46" t="str">
        <f t="shared" si="5"/>
        <v>ALTA 5:2</v>
      </c>
      <c r="M30" s="46" t="str">
        <f t="shared" si="6"/>
        <v>EXTREMA 5:3</v>
      </c>
      <c r="N30" s="46" t="str">
        <f t="shared" si="7"/>
        <v>ALTA 1:4</v>
      </c>
      <c r="O30" s="46" t="str">
        <f t="shared" si="8"/>
        <v>EXTREMA 5:5</v>
      </c>
    </row>
    <row r="31" spans="1:15" ht="47.25" customHeight="1" x14ac:dyDescent="0.2">
      <c r="A31" s="354" t="str">
        <f>IDENTIFICACIÓN!C29</f>
        <v>21G</v>
      </c>
      <c r="B31" s="353" t="str">
        <f>IF(IDENTIFICACIÓN!D29="","",IDENTIFICACIÓN!D29)</f>
        <v>Gestión de Contratación. Documentación incompleta en la carpeta contractual</v>
      </c>
      <c r="C31" s="55" t="str">
        <f>IF(IDENTIFICACIÓN!B29="","",IDENTIFICACIÓN!B29)</f>
        <v>Falta de entrega oportuna de la documentación relacionada con un contrato</v>
      </c>
      <c r="D31" s="371">
        <v>3</v>
      </c>
      <c r="E31" s="19" t="str">
        <f t="shared" si="21"/>
        <v>POSIBLE</v>
      </c>
      <c r="F31" s="55" t="str">
        <f>IF(IDENTIFICACIÓN!F29="","",IDENTIFICACIÓN!F29)</f>
        <v>Sanciones administrativas, disciplinarias, fiscales y penales, demandas.</v>
      </c>
      <c r="G31" s="371">
        <v>4</v>
      </c>
      <c r="H31" s="19" t="str">
        <f t="shared" si="22"/>
        <v>MAYOR</v>
      </c>
      <c r="I31" s="16">
        <f t="shared" si="23"/>
        <v>43</v>
      </c>
      <c r="J31" s="45" t="str">
        <f t="shared" si="24"/>
        <v>EXTREMA 3:4</v>
      </c>
      <c r="K31" s="46" t="str">
        <f t="shared" si="4"/>
        <v>ALTA 5:1</v>
      </c>
      <c r="L31" s="46" t="str">
        <f t="shared" si="5"/>
        <v>ALTA 5:2</v>
      </c>
      <c r="M31" s="46" t="str">
        <f t="shared" si="6"/>
        <v>EXTREMA 5:3</v>
      </c>
      <c r="N31" s="46" t="str">
        <f t="shared" si="7"/>
        <v>EXTREMA 3:4</v>
      </c>
      <c r="O31" s="46" t="str">
        <f t="shared" si="8"/>
        <v>EXTREMA 5:5</v>
      </c>
    </row>
    <row r="32" spans="1:15" ht="47.25" customHeight="1" x14ac:dyDescent="0.2">
      <c r="A32" s="354" t="str">
        <f>IDENTIFICACIÓN!C30</f>
        <v>22G</v>
      </c>
      <c r="B32" s="353" t="str">
        <f>IF(IDENTIFICACIÓN!D30="","",IDENTIFICACIÓN!D30)</f>
        <v>Gestión Administrativa. Inseguridad en el campus</v>
      </c>
      <c r="C32" s="55" t="str">
        <f>IF(IDENTIFICACIÓN!B30="","",IDENTIFICACIÓN!B30)</f>
        <v>Falta de personal de seguridad.
Falta de dispositivos de seguridad.
poco sistema de iluminación.</v>
      </c>
      <c r="D32" s="371">
        <v>4</v>
      </c>
      <c r="E32" s="19" t="str">
        <f t="shared" si="21"/>
        <v>PROBABLE</v>
      </c>
      <c r="F32" s="55" t="str">
        <f>IF(IDENTIFICACIÓN!F30="","",IDENTIFICACIÓN!F30)</f>
        <v>Demandas
Detrimento del patrimonio
Incremento de la prima de poliza de seguros
Perdida de imagen</v>
      </c>
      <c r="G32" s="371">
        <v>5</v>
      </c>
      <c r="H32" s="19" t="str">
        <f t="shared" si="22"/>
        <v>CATASTRÓFICO</v>
      </c>
      <c r="I32" s="16">
        <f t="shared" si="23"/>
        <v>54</v>
      </c>
      <c r="J32" s="45" t="str">
        <f t="shared" si="24"/>
        <v>EXTREMA 4:5</v>
      </c>
      <c r="K32" s="46" t="str">
        <f t="shared" si="4"/>
        <v>ALTA 5:1</v>
      </c>
      <c r="L32" s="46" t="str">
        <f t="shared" si="5"/>
        <v>ALTA 5:2</v>
      </c>
      <c r="M32" s="46" t="str">
        <f t="shared" si="6"/>
        <v>EXTREMA 5:3</v>
      </c>
      <c r="N32" s="46" t="str">
        <f t="shared" si="7"/>
        <v>EXTREMA 5:4</v>
      </c>
      <c r="O32" s="46" t="str">
        <f t="shared" si="8"/>
        <v>EXTREMA 4:5</v>
      </c>
    </row>
    <row r="33" spans="1:15" ht="47.25" customHeight="1" x14ac:dyDescent="0.2">
      <c r="A33" s="354" t="str">
        <f>IDENTIFICACIÓN!C31</f>
        <v>23G</v>
      </c>
      <c r="B33" s="353" t="str">
        <f>IF(IDENTIFICACIÓN!D31="","",IDENTIFICACIÓN!D31)</f>
        <v>Gestión Administrativa. Inadecuado gestión de los residuos</v>
      </c>
      <c r="C33" s="55" t="str">
        <f>IF(IDENTIFICACIÓN!B31="","",IDENTIFICACIÓN!B31)</f>
        <v>Incumplimiento de los Programas formulados para el manejo adecuado de los residuos generados en las actividades desarrolladas.
Falta de asignación presupuestal para la implementación del PGIR.</v>
      </c>
      <c r="D33" s="371">
        <v>4</v>
      </c>
      <c r="E33" s="19" t="str">
        <f t="shared" si="21"/>
        <v>PROBABLE</v>
      </c>
      <c r="F33" s="55" t="str">
        <f>IF(IDENTIFICACIÓN!F31="","",IDENTIFICACIÓN!F31)</f>
        <v>Afectación y riesgos a la salud
Contaminación ambiental
Sanciones ambientales</v>
      </c>
      <c r="G33" s="371">
        <v>4</v>
      </c>
      <c r="H33" s="19" t="str">
        <f t="shared" si="22"/>
        <v>MAYOR</v>
      </c>
      <c r="I33" s="16">
        <f t="shared" si="23"/>
        <v>44</v>
      </c>
      <c r="J33" s="45" t="str">
        <f t="shared" si="24"/>
        <v>EXTREMA 4:4</v>
      </c>
      <c r="K33" s="46" t="str">
        <f t="shared" si="4"/>
        <v>ALTA 5:1</v>
      </c>
      <c r="L33" s="46" t="str">
        <f t="shared" si="5"/>
        <v>ALTA 5:2</v>
      </c>
      <c r="M33" s="46" t="str">
        <f t="shared" si="6"/>
        <v>EXTREMA 5:3</v>
      </c>
      <c r="N33" s="46" t="str">
        <f t="shared" si="7"/>
        <v>EXTREMA 4:4</v>
      </c>
      <c r="O33" s="46" t="str">
        <f t="shared" si="8"/>
        <v>EXTREMA 5:5</v>
      </c>
    </row>
    <row r="34" spans="1:15" ht="47.25" customHeight="1" x14ac:dyDescent="0.2">
      <c r="A34" s="354" t="str">
        <f>IDENTIFICACIÓN!C32</f>
        <v>24G</v>
      </c>
      <c r="B34" s="353" t="str">
        <f>IF(IDENTIFICACIÓN!D32="","",IDENTIFICACIÓN!D32)</f>
        <v>Gestión del Talento Humano. Deficiente desempeño laboral de los funcionarios de la Universidad.</v>
      </c>
      <c r="C34" s="55" t="str">
        <f>IF(IDENTIFICACIÓN!B32="","",IDENTIFICACIÓN!B32)</f>
        <v>1. Falta de mecanismos o herramientas para evaluar las competencias laborales de los servidores públicos.
2. Falta de seguimiento y de exigencia de competencias por parte de los jefes o responsables de área.
3. Deficientes procesos de inducción y reinducción a los empleados.
4. Poco compromiso de los jefes en desarrollar el proceso de inducción y reinducción al personal vinculado a su depedencia.</v>
      </c>
      <c r="D34" s="371">
        <v>5</v>
      </c>
      <c r="E34" s="19" t="str">
        <f t="shared" si="21"/>
        <v>CASI CERTEZA</v>
      </c>
      <c r="F34" s="55" t="str">
        <f>IF(IDENTIFICACIÓN!F32="","",IDENTIFICACIÓN!F32)</f>
        <v>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v>
      </c>
      <c r="G34" s="371">
        <v>4</v>
      </c>
      <c r="H34" s="19" t="str">
        <f t="shared" si="22"/>
        <v>MAYOR</v>
      </c>
      <c r="I34" s="16">
        <f t="shared" si="23"/>
        <v>45</v>
      </c>
      <c r="J34" s="45" t="str">
        <f t="shared" si="24"/>
        <v>EXTREMA 5:4</v>
      </c>
      <c r="K34" s="46" t="str">
        <f t="shared" si="4"/>
        <v>ALTA 5:1</v>
      </c>
      <c r="L34" s="46" t="str">
        <f t="shared" si="5"/>
        <v>ALTA 5:2</v>
      </c>
      <c r="M34" s="46" t="str">
        <f t="shared" si="6"/>
        <v>EXTREMA 5:3</v>
      </c>
      <c r="N34" s="46" t="str">
        <f t="shared" si="7"/>
        <v>EXTREMA 5:4</v>
      </c>
      <c r="O34" s="46" t="str">
        <f t="shared" si="8"/>
        <v>EXTREMA 5:5</v>
      </c>
    </row>
    <row r="35" spans="1:15" ht="47.25" customHeight="1" x14ac:dyDescent="0.2">
      <c r="A35" s="354" t="str">
        <f>IDENTIFICACIÓN!C33</f>
        <v>25G</v>
      </c>
      <c r="B35" s="353" t="str">
        <f>IF(IDENTIFICACIÓN!D33="","",IDENTIFICACIÓN!D33)</f>
        <v>Gestión del Talento Humano. Falta de plan de incentivos y/o estímulos.</v>
      </c>
      <c r="C35" s="55" t="str">
        <f>IF(IDENTIFICACIÓN!B33="","",IDENTIFICACIÓN!B33)</f>
        <v>1. Falta de Formulación del plan de incentivos para los empleados.
2.Falta de diagnostico integral de las 
necesidades reales de los 
funcionarios frente al programas de 
Bienestar Social Laboral.</v>
      </c>
      <c r="D35" s="371">
        <v>5</v>
      </c>
      <c r="E35" s="19" t="str">
        <f t="shared" si="21"/>
        <v>CASI CERTEZA</v>
      </c>
      <c r="F35" s="55" t="str">
        <f>IF(IDENTIFICACIÓN!F33="","",IDENTIFICACIÓN!F33)</f>
        <v>1. Inconformidad de los empleados.
2. Desestimulación del desempeño laboral.
3. Inadecuado ambiente laboral.</v>
      </c>
      <c r="G35" s="371">
        <v>3</v>
      </c>
      <c r="H35" s="19" t="str">
        <f t="shared" si="22"/>
        <v>MODERADO</v>
      </c>
      <c r="I35" s="16">
        <f t="shared" si="23"/>
        <v>35</v>
      </c>
      <c r="J35" s="45" t="str">
        <f t="shared" si="24"/>
        <v>EXTREMA 5:3</v>
      </c>
      <c r="K35" s="46" t="str">
        <f t="shared" si="4"/>
        <v>ALTA 5:1</v>
      </c>
      <c r="L35" s="46" t="str">
        <f t="shared" si="5"/>
        <v>ALTA 5:2</v>
      </c>
      <c r="M35" s="46" t="str">
        <f t="shared" si="6"/>
        <v>EXTREMA 5:3</v>
      </c>
      <c r="N35" s="46" t="str">
        <f t="shared" si="7"/>
        <v>EXTREMA 5:4</v>
      </c>
      <c r="O35" s="46" t="str">
        <f t="shared" si="8"/>
        <v>EXTREMA 5:5</v>
      </c>
    </row>
    <row r="36" spans="1:15" ht="47.25" customHeight="1" x14ac:dyDescent="0.2">
      <c r="A36" s="354" t="str">
        <f>IDENTIFICACIÓN!C34</f>
        <v>26G</v>
      </c>
      <c r="B36" s="353" t="str">
        <f>IF(IDENTIFICACIÓN!D34="","",IDENTIFICACIÓN!D34)</f>
        <v>Gestión del Talento Humano. Demoras en la afilicación de catedráticos y ocasionales al Sistema de Seguridad Social Integral, y de los contratistas y estudiantes de Práctica a la Administradora de Riesgos Laborales.</v>
      </c>
      <c r="C36" s="55" t="str">
        <f>IF(IDENTIFICACIÓN!B34="","",IDENTIFICACIÓN!B34)</f>
        <v>1. Reporte tardío de la información de personal vinculado y/o contratado y de estudiantes de prácticas.
2. Omisión de información del personal vinculado y/o contratado y de estudiantes en prácticas.</v>
      </c>
      <c r="D36" s="371">
        <v>5</v>
      </c>
      <c r="E36" s="19" t="str">
        <f t="shared" si="21"/>
        <v>CASI CERTEZA</v>
      </c>
      <c r="F36" s="55" t="str">
        <f>IF(IDENTIFICACIÓN!F34="","",IDENTIFICACIÓN!F34)</f>
        <v>1. Incumplimiento de obligaciones del empleador y/o contratante.
2. Sanciones y/o multas.
3. Demandas con repercusiones económicas.</v>
      </c>
      <c r="G36" s="371">
        <v>5</v>
      </c>
      <c r="H36" s="19" t="str">
        <f t="shared" si="22"/>
        <v>CATASTRÓFICO</v>
      </c>
      <c r="I36" s="16">
        <f t="shared" si="23"/>
        <v>55</v>
      </c>
      <c r="J36" s="45" t="str">
        <f t="shared" si="24"/>
        <v>EXTREMA 5:5</v>
      </c>
      <c r="K36" s="46" t="str">
        <f t="shared" si="4"/>
        <v>ALTA 5:1</v>
      </c>
      <c r="L36" s="46" t="str">
        <f t="shared" si="5"/>
        <v>ALTA 5:2</v>
      </c>
      <c r="M36" s="46" t="str">
        <f t="shared" si="6"/>
        <v>EXTREMA 5:3</v>
      </c>
      <c r="N36" s="46" t="str">
        <f t="shared" si="7"/>
        <v>EXTREMA 5:4</v>
      </c>
      <c r="O36" s="46" t="str">
        <f t="shared" si="8"/>
        <v>EXTREMA 5:5</v>
      </c>
    </row>
    <row r="37" spans="1:15" ht="47.25" customHeight="1" x14ac:dyDescent="0.2">
      <c r="A37" s="354" t="str">
        <f>IDENTIFICACIÓN!C35</f>
        <v>27G</v>
      </c>
      <c r="B37" s="353" t="str">
        <f>IF(IDENTIFICACIÓN!D35="","",IDENTIFICACIÓN!D35)</f>
        <v>Evaluación Independiente. Deficiente evaluación y verificacion de la existencia, nivel de desarrollo y grado de efectividad del Sistema de Control Interno</v>
      </c>
      <c r="C37" s="55" t="str">
        <f>IF(IDENTIFICACIÓN!B35="","",IDENTIFICACIÓN!B35)</f>
        <v>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informacion</v>
      </c>
      <c r="D37" s="371">
        <v>1</v>
      </c>
      <c r="E37" s="19" t="str">
        <f t="shared" si="21"/>
        <v>RARO</v>
      </c>
      <c r="F37" s="55" t="str">
        <f>IF(IDENTIFICACIÓN!F35="","",IDENTIFICACIÓN!F35)</f>
        <v xml:space="preserve">No consecución de metas misionales.
Sanciones por los diferentes organos de control.
Deterioro o perdida de los bienes o recursos publicos.
</v>
      </c>
      <c r="G37" s="371">
        <v>4</v>
      </c>
      <c r="H37" s="19" t="str">
        <f t="shared" si="22"/>
        <v>MAYOR</v>
      </c>
      <c r="I37" s="16">
        <f t="shared" si="23"/>
        <v>41</v>
      </c>
      <c r="J37" s="45" t="str">
        <f t="shared" si="24"/>
        <v>ALTA 1:4</v>
      </c>
      <c r="K37" s="46" t="str">
        <f t="shared" si="4"/>
        <v>ALTA 5:1</v>
      </c>
      <c r="L37" s="46" t="str">
        <f t="shared" si="5"/>
        <v>ALTA 5:2</v>
      </c>
      <c r="M37" s="46" t="str">
        <f t="shared" si="6"/>
        <v>EXTREMA 5:3</v>
      </c>
      <c r="N37" s="46" t="str">
        <f t="shared" si="7"/>
        <v>ALTA 1:4</v>
      </c>
      <c r="O37" s="46" t="str">
        <f t="shared" si="8"/>
        <v>EXTREMA 5:5</v>
      </c>
    </row>
    <row r="38" spans="1:15" ht="47.25" customHeight="1" thickBot="1" x14ac:dyDescent="0.25">
      <c r="A38" s="354" t="str">
        <f>IDENTIFICACIÓN!C36</f>
        <v>28G</v>
      </c>
      <c r="B38" s="353" t="str">
        <f>IF(IDENTIFICACIÓN!D36="","",IDENTIFICACIÓN!D36)</f>
        <v>Evaluación Independiente. Deficiente evaluación del nivel de avance de las acciones pactadas en los planes de mejoramiento</v>
      </c>
      <c r="C38" s="55" t="str">
        <f>IF(IDENTIFICACIÓN!B36="","",IDENTIFICACIÓN!B36)</f>
        <v>Baja disponibilidad en el equipo de trabajo en el seguimiento del sistema.
Personal sin las competencias y conocimientos adecuadas
Poca disponibilidad de la informacion de entrada
Falta de cultura del autocontrol, autogestion y autorregulación</v>
      </c>
      <c r="D38" s="371">
        <v>2</v>
      </c>
      <c r="E38" s="19" t="str">
        <f t="shared" si="21"/>
        <v>IMPROBABLE</v>
      </c>
      <c r="F38" s="55" t="str">
        <f>IF(IDENTIFICACIÓN!F36="","",IDENTIFICACIÓN!F36)</f>
        <v>Incumplimiento en el logro de metas y objetivos.
Sanciones de organismos de control
Deterioro o perdida de los bienes o recursos publicos.</v>
      </c>
      <c r="G38" s="371">
        <v>4</v>
      </c>
      <c r="H38" s="19" t="str">
        <f t="shared" si="22"/>
        <v>MAYOR</v>
      </c>
      <c r="I38" s="16">
        <f t="shared" si="23"/>
        <v>42</v>
      </c>
      <c r="J38" s="45" t="str">
        <f t="shared" si="24"/>
        <v>ALTA 2:4</v>
      </c>
      <c r="K38" s="46" t="str">
        <f t="shared" si="4"/>
        <v>ALTA 5:1</v>
      </c>
      <c r="L38" s="46" t="str">
        <f t="shared" si="5"/>
        <v>ALTA 5:2</v>
      </c>
      <c r="M38" s="46" t="str">
        <f t="shared" si="6"/>
        <v>EXTREMA 5:3</v>
      </c>
      <c r="N38" s="46" t="str">
        <f t="shared" si="7"/>
        <v>ALTA 2:4</v>
      </c>
      <c r="O38" s="46" t="str">
        <f t="shared" si="8"/>
        <v>EXTREMA 5:5</v>
      </c>
    </row>
    <row r="39" spans="1:15" ht="25.5" customHeight="1" thickTop="1" thickBot="1" x14ac:dyDescent="0.25">
      <c r="A39" s="460" t="str">
        <f>IDENTIFICACIÓN!A37</f>
        <v>RIESGOS DE CORRUPCIÓN</v>
      </c>
      <c r="B39" s="461"/>
      <c r="C39" s="461"/>
      <c r="D39" s="461"/>
      <c r="E39" s="461"/>
      <c r="F39" s="461"/>
      <c r="G39" s="461"/>
      <c r="H39" s="461"/>
      <c r="I39" s="461"/>
      <c r="J39" s="462"/>
    </row>
    <row r="40" spans="1:15" ht="47.25" customHeight="1" thickTop="1" thickBot="1" x14ac:dyDescent="0.25">
      <c r="A40" s="352" t="str">
        <f>IDENTIFICACIÓN!C38</f>
        <v>1C</v>
      </c>
      <c r="B40" s="246" t="str">
        <f>IF(IDENTIFICACIÓN!D38="","",IDENTIFICACIÓN!D38)</f>
        <v>Relaciones Interinstitucionales. Tráfico de Influencias</v>
      </c>
      <c r="C40" s="55" t="str">
        <f>IF(IDENTIFICACIÓN!B38="","",IDENTIFICACIÓN!B38)</f>
        <v>Concentración de autoridad o exceso de poder. Extralimitación de funciones. Ausencia Cultura de Ética y Buen Gobierno.</v>
      </c>
      <c r="D40" s="373">
        <v>3</v>
      </c>
      <c r="E40" s="19" t="str">
        <f>IF(D40=5,"CASI CERTEZA",IF(D40=3,"POSIBLE",""))</f>
        <v>POSIBLE</v>
      </c>
      <c r="F40" s="363"/>
      <c r="G40" s="364"/>
      <c r="H40" s="364"/>
      <c r="I40" s="16"/>
      <c r="J40" s="45" t="str">
        <f>IF(D40=3,"MODERADA",IF(D40=5,"EXTREMA",""))</f>
        <v>MODERADA</v>
      </c>
    </row>
    <row r="41" spans="1:15" ht="47.25" customHeight="1" thickTop="1" thickBot="1" x14ac:dyDescent="0.25">
      <c r="A41" s="352" t="str">
        <f>IDENTIFICACIÓN!C39</f>
        <v>2C</v>
      </c>
      <c r="B41" s="246" t="str">
        <f>IF(IDENTIFICACIÓN!D39="","",IDENTIFICACIÓN!D39)</f>
        <v>Dirección y Planeación. Ausencia o debilidad de procesos y procedimientos para la gestión administrativa y misional</v>
      </c>
      <c r="C41" s="55" t="str">
        <f>IF(IDENTIFICACIÓN!B39="","",IDENTIFICACIÓN!B39)</f>
        <v>Ausencia de cultura de información</v>
      </c>
      <c r="D41" s="373">
        <v>3</v>
      </c>
      <c r="E41" s="19" t="str">
        <f t="shared" ref="E41:E45" si="25">IF(D41=5,"CASI CERTEZA",IF(D41=3,"POSIBLE",""))</f>
        <v>POSIBLE</v>
      </c>
      <c r="F41" s="365"/>
      <c r="G41" s="366"/>
      <c r="H41" s="367"/>
      <c r="I41" s="16"/>
      <c r="J41" s="45" t="str">
        <f t="shared" ref="J41:J44" si="26">IF(D41=3,"MODERADA",IF(D41=5,"EXTREMA",""))</f>
        <v>MODERADA</v>
      </c>
    </row>
    <row r="42" spans="1:15" ht="47.25" customHeight="1" thickTop="1" thickBot="1" x14ac:dyDescent="0.25">
      <c r="A42" s="352" t="str">
        <f>IDENTIFICACIÓN!C40</f>
        <v>3C</v>
      </c>
      <c r="B42" s="246" t="str">
        <f>IF(IDENTIFICACIÓN!D40="","",IDENTIFICACIÓN!D40)</f>
        <v>Dirección y Planeación. Prevaricato</v>
      </c>
      <c r="C42" s="55" t="str">
        <f>IF(IDENTIFICACIÓN!B40="","",IDENTIFICACIÓN!B40)</f>
        <v>Desconocimiento de la ley</v>
      </c>
      <c r="D42" s="373">
        <v>3</v>
      </c>
      <c r="E42" s="19" t="str">
        <f t="shared" si="25"/>
        <v>POSIBLE</v>
      </c>
      <c r="F42" s="365"/>
      <c r="G42" s="366"/>
      <c r="H42" s="367"/>
      <c r="I42" s="16"/>
      <c r="J42" s="45" t="str">
        <f t="shared" si="26"/>
        <v>MODERADA</v>
      </c>
    </row>
    <row r="43" spans="1:15" ht="47.25" customHeight="1" thickTop="1" thickBot="1" x14ac:dyDescent="0.25">
      <c r="A43" s="352" t="str">
        <f>IDENTIFICACIÓN!C41</f>
        <v>4C</v>
      </c>
      <c r="B43" s="246" t="str">
        <f>IF(IDENTIFICACIÓN!D41="","",IDENTIFICACIÓN!D41)</f>
        <v>Dirección y Planeación. Malversación de Recursos</v>
      </c>
      <c r="C43" s="55" t="str">
        <f>IF(IDENTIFICACIÓN!B41="","",IDENTIFICACIÓN!B41)</f>
        <v>Omisión de procedimientos legales</v>
      </c>
      <c r="D43" s="373">
        <v>3</v>
      </c>
      <c r="E43" s="19" t="str">
        <f t="shared" si="25"/>
        <v>POSIBLE</v>
      </c>
      <c r="F43" s="365"/>
      <c r="G43" s="366"/>
      <c r="H43" s="367"/>
      <c r="I43" s="16"/>
      <c r="J43" s="45" t="str">
        <f t="shared" si="26"/>
        <v>MODERADA</v>
      </c>
    </row>
    <row r="44" spans="1:15" ht="47.25" customHeight="1" thickTop="1" thickBot="1" x14ac:dyDescent="0.25">
      <c r="A44" s="352" t="str">
        <f>IDENTIFICACIÓN!C42</f>
        <v>5C</v>
      </c>
      <c r="B44" s="246" t="str">
        <f>IF(IDENTIFICACIÓN!D42="","",IDENTIFICACIÓN!D42)</f>
        <v>Acreditación. Deficiencias en el manejo documental y de archivo</v>
      </c>
      <c r="C44" s="55" t="str">
        <f>IF(IDENTIFICACIÓN!B42="","",IDENTIFICACIÓN!B42)</f>
        <v>Deficiente o débil organización en el acervo documental</v>
      </c>
      <c r="D44" s="373">
        <v>3</v>
      </c>
      <c r="E44" s="19" t="str">
        <f t="shared" si="25"/>
        <v>POSIBLE</v>
      </c>
      <c r="F44" s="365"/>
      <c r="G44" s="366"/>
      <c r="H44" s="367"/>
      <c r="I44" s="16"/>
      <c r="J44" s="45" t="str">
        <f t="shared" si="26"/>
        <v>MODERADA</v>
      </c>
    </row>
    <row r="45" spans="1:15" ht="47.25" customHeight="1" thickTop="1" thickBot="1" x14ac:dyDescent="0.25">
      <c r="A45" s="352" t="str">
        <f>IDENTIFICACIÓN!C43</f>
        <v>6C</v>
      </c>
      <c r="B45" s="353" t="str">
        <f>IF(IDENTIFICACIÓN!D43="","",IDENTIFICACIÓN!D43)</f>
        <v>Acreditación. Concentración de información de determinadas actividades o procesos en una persona</v>
      </c>
      <c r="C45" s="55" t="str">
        <f>IF(IDENTIFICACIÓN!B43="","",IDENTIFICACIÓN!B43)</f>
        <v>Bajo numero de personal adscrito a la Oficina</v>
      </c>
      <c r="D45" s="373">
        <v>3</v>
      </c>
      <c r="E45" s="19" t="str">
        <f t="shared" si="25"/>
        <v>POSIBLE</v>
      </c>
      <c r="F45" s="365"/>
      <c r="G45" s="366"/>
      <c r="H45" s="367"/>
      <c r="I45" s="16"/>
      <c r="J45" s="45" t="str">
        <f t="shared" ref="J45" si="27">IF(D45=3,"MODERADA",IF(D45=5,"EXTREMA",""))</f>
        <v>MODERADA</v>
      </c>
    </row>
    <row r="46" spans="1:15" ht="96" thickTop="1" thickBot="1" x14ac:dyDescent="0.25">
      <c r="A46" s="352" t="str">
        <f>IDENTIFICACIÓN!C44</f>
        <v>7C</v>
      </c>
      <c r="B46" s="353" t="str">
        <f>IF(IDENTIFICACIÓN!D44="","",IDENTIFICACIÓN!D44)</f>
        <v>Gestión de la Calidad. Concentración de información de determinadas actividades o procesos en una persona</v>
      </c>
      <c r="C46" s="55" t="str">
        <f>IF(IDENTIFICACIÓN!B44="","",IDENTIFICACIÓN!B44)</f>
        <v xml:space="preserve">Falta de cualificación del personal
Alta rotación de personal
Concentración de conocimiento
</v>
      </c>
      <c r="D46" s="373">
        <v>3</v>
      </c>
      <c r="E46" s="19" t="str">
        <f t="shared" ref="E46:E66" si="28">IF(D46=5,"CASI CERTEZA",IF(D46=3,"POSIBLE",""))</f>
        <v>POSIBLE</v>
      </c>
      <c r="F46" s="365"/>
      <c r="G46" s="366"/>
      <c r="H46" s="367"/>
      <c r="I46" s="16"/>
      <c r="J46" s="45" t="str">
        <f t="shared" ref="J46:J66" si="29">IF(D46=3,"MODERADA",IF(D46=5,"EXTREMA",""))</f>
        <v>MODERADA</v>
      </c>
    </row>
    <row r="47" spans="1:15" ht="48.75" thickTop="1" thickBot="1" x14ac:dyDescent="0.25">
      <c r="A47" s="352" t="str">
        <f>IDENTIFICACIÓN!C45</f>
        <v>8C</v>
      </c>
      <c r="B47" s="353" t="str">
        <f>IF(IDENTIFICACIÓN!D45="","",IDENTIFICACIÓN!D45)</f>
        <v>Gestión de la Calidad. Deficiencias en el  manejo documental y de archivo</v>
      </c>
      <c r="C47" s="55" t="str">
        <f>IF(IDENTIFICACIÓN!B45="","",IDENTIFICACIÓN!B45)</f>
        <v>Gestión documental deficiente</v>
      </c>
      <c r="D47" s="373">
        <v>3</v>
      </c>
      <c r="E47" s="19" t="str">
        <f t="shared" si="28"/>
        <v>POSIBLE</v>
      </c>
      <c r="F47" s="365"/>
      <c r="G47" s="366"/>
      <c r="H47" s="367"/>
      <c r="I47" s="16"/>
      <c r="J47" s="45" t="str">
        <f t="shared" si="29"/>
        <v>MODERADA</v>
      </c>
    </row>
    <row r="48" spans="1:15" ht="64.5" thickTop="1" thickBot="1" x14ac:dyDescent="0.25">
      <c r="A48" s="352" t="str">
        <f>IDENTIFICACIÓN!C46</f>
        <v>9C</v>
      </c>
      <c r="B48" s="353" t="str">
        <f>IF(IDENTIFICACIÓN!D46="","",IDENTIFICACIÓN!D46)</f>
        <v>Comunicaciones Concentración de información de determinadas actividades o procesos en una persona</v>
      </c>
      <c r="C48" s="55" t="str">
        <f>IF(IDENTIFICACIÓN!B46="","",IDENTIFICACIÓN!B46)</f>
        <v xml:space="preserve">Concentración de conocimiento
</v>
      </c>
      <c r="D48" s="373">
        <v>3</v>
      </c>
      <c r="E48" s="19" t="str">
        <f t="shared" si="28"/>
        <v>POSIBLE</v>
      </c>
      <c r="F48" s="365"/>
      <c r="G48" s="366"/>
      <c r="H48" s="367"/>
      <c r="I48" s="16"/>
      <c r="J48" s="45" t="str">
        <f t="shared" si="29"/>
        <v>MODERADA</v>
      </c>
    </row>
    <row r="49" spans="1:10" ht="48.75" thickTop="1" thickBot="1" x14ac:dyDescent="0.25">
      <c r="A49" s="352" t="str">
        <f>IDENTIFICACIÓN!C47</f>
        <v>10C</v>
      </c>
      <c r="B49" s="353" t="str">
        <f>IF(IDENTIFICACIÓN!D47="","",IDENTIFICACIÓN!D47)</f>
        <v xml:space="preserve">Gestión Academica. Ausencia de canales de comunicación
</v>
      </c>
      <c r="C49" s="55" t="str">
        <f>IF(IDENTIFICACIÓN!B47="","",IDENTIFICACIÓN!B47)</f>
        <v>1. Cambios en la alta dirección</v>
      </c>
      <c r="D49" s="373">
        <v>3</v>
      </c>
      <c r="E49" s="19" t="str">
        <f t="shared" si="28"/>
        <v>POSIBLE</v>
      </c>
      <c r="F49" s="365"/>
      <c r="G49" s="366"/>
      <c r="H49" s="367"/>
      <c r="I49" s="16"/>
      <c r="J49" s="45" t="str">
        <f t="shared" si="29"/>
        <v>MODERADA</v>
      </c>
    </row>
    <row r="50" spans="1:10" ht="64.5" thickTop="1" thickBot="1" x14ac:dyDescent="0.25">
      <c r="A50" s="352" t="str">
        <f>IDENTIFICACIÓN!C48</f>
        <v>11C</v>
      </c>
      <c r="B50" s="353" t="str">
        <f>IF(IDENTIFICACIÓN!D48="","",IDENTIFICACIÓN!D48)</f>
        <v>Gestión Academica. Concentración de información de determinadas actividades o procesos en una persona</v>
      </c>
      <c r="C50" s="55" t="str">
        <f>IF(IDENTIFICACIÓN!B48="","",IDENTIFICACIÓN!B48)</f>
        <v>1. No distribución de acuerdo a competencias</v>
      </c>
      <c r="D50" s="373">
        <v>3</v>
      </c>
      <c r="E50" s="19" t="str">
        <f t="shared" si="28"/>
        <v>POSIBLE</v>
      </c>
      <c r="F50" s="365"/>
      <c r="G50" s="366"/>
      <c r="H50" s="367"/>
      <c r="I50" s="16"/>
      <c r="J50" s="45" t="str">
        <f t="shared" si="29"/>
        <v>MODERADA</v>
      </c>
    </row>
    <row r="51" spans="1:10" ht="48.75" thickTop="1" thickBot="1" x14ac:dyDescent="0.25">
      <c r="A51" s="352" t="str">
        <f>IDENTIFICACIÓN!C49</f>
        <v>12C</v>
      </c>
      <c r="B51" s="353" t="str">
        <f>IF(IDENTIFICACIÓN!D49="","",IDENTIFICACIÓN!D49)</f>
        <v>Gestión Academica. Deficiencias en el manejo documental y de archivo</v>
      </c>
      <c r="C51" s="55" t="str">
        <f>IF(IDENTIFICACIÓN!B49="","",IDENTIFICACIÓN!B49)</f>
        <v>1. Gestión Documental deficiente</v>
      </c>
      <c r="D51" s="373">
        <v>3</v>
      </c>
      <c r="E51" s="19" t="str">
        <f t="shared" si="28"/>
        <v>POSIBLE</v>
      </c>
      <c r="F51" s="365"/>
      <c r="G51" s="366"/>
      <c r="H51" s="367"/>
      <c r="I51" s="16"/>
      <c r="J51" s="45" t="str">
        <f t="shared" si="29"/>
        <v>MODERADA</v>
      </c>
    </row>
    <row r="52" spans="1:10" ht="127.5" thickTop="1" thickBot="1" x14ac:dyDescent="0.25">
      <c r="A52" s="352" t="str">
        <f>IDENTIFICACIÓN!C50</f>
        <v>13C</v>
      </c>
      <c r="B52" s="353" t="str">
        <f>IF(IDENTIFICACIÓN!D50="","",IDENTIFICACIÓN!D50)</f>
        <v>Gestión de Investigación. Vulnerabilidad en el manejo de la información de la actividad investigativa</v>
      </c>
      <c r="C52" s="55" t="str">
        <f>IF(IDENTIFICACIÓN!B50="","",IDENTIFICACIÓN!B50)</f>
        <v xml:space="preserve">Se carece de un sistema de información que permita tener información unificada, actualizada y facilite el seguimiento y control de la actividad investigativa.
</v>
      </c>
      <c r="D52" s="373">
        <v>5</v>
      </c>
      <c r="E52" s="19" t="str">
        <f t="shared" si="28"/>
        <v>CASI CERTEZA</v>
      </c>
      <c r="F52" s="365"/>
      <c r="G52" s="366"/>
      <c r="H52" s="367"/>
      <c r="I52" s="16"/>
      <c r="J52" s="45" t="str">
        <f t="shared" si="29"/>
        <v>EXTREMA</v>
      </c>
    </row>
    <row r="53" spans="1:10" ht="48.75" thickTop="1" thickBot="1" x14ac:dyDescent="0.25">
      <c r="A53" s="352" t="str">
        <f>IDENTIFICACIÓN!C51</f>
        <v>14C</v>
      </c>
      <c r="B53" s="353" t="str">
        <f>IF(IDENTIFICACIÓN!D51="","",IDENTIFICACIÓN!D51)</f>
        <v>Gestión de Investigación. Violación de la propiedad Intelectual.</v>
      </c>
      <c r="C53" s="55" t="str">
        <f>IF(IDENTIFICACIÓN!B51="","",IDENTIFICACIÓN!B51)</f>
        <v>Desconocimiento de la normatividad de Propiedad Intelectual.</v>
      </c>
      <c r="D53" s="373">
        <v>5</v>
      </c>
      <c r="E53" s="19" t="str">
        <f t="shared" si="28"/>
        <v>CASI CERTEZA</v>
      </c>
      <c r="F53" s="365"/>
      <c r="G53" s="366"/>
      <c r="H53" s="367"/>
      <c r="I53" s="16"/>
      <c r="J53" s="45" t="str">
        <f t="shared" si="29"/>
        <v>EXTREMA</v>
      </c>
    </row>
    <row r="54" spans="1:10" ht="127.5" thickTop="1" thickBot="1" x14ac:dyDescent="0.25">
      <c r="A54" s="352" t="str">
        <f>IDENTIFICACIÓN!C52</f>
        <v>15C</v>
      </c>
      <c r="B54" s="353" t="str">
        <f>IF(IDENTIFICACIÓN!D52="","",IDENTIFICACIÓN!D52)</f>
        <v>Gestión de Extensión y Proyección Social. Desviación o uso indebido de recursos, que impidan la ejecución de los proyectos y actividades misionales de la vicerrectoria de extensión y proyección social</v>
      </c>
      <c r="C54" s="55" t="str">
        <f>IF(IDENTIFICACIÓN!B52="","",IDENTIFICACIÓN!B52)</f>
        <v>Falta de cultura y aplicación de valores éticos.
Designación de personal con bajas competencias.</v>
      </c>
      <c r="D54" s="373">
        <v>3</v>
      </c>
      <c r="E54" s="19" t="str">
        <f t="shared" si="28"/>
        <v>POSIBLE</v>
      </c>
      <c r="F54" s="365"/>
      <c r="G54" s="366"/>
      <c r="H54" s="367"/>
      <c r="I54" s="16"/>
      <c r="J54" s="45" t="str">
        <f t="shared" si="29"/>
        <v>MODERADA</v>
      </c>
    </row>
    <row r="55" spans="1:10" ht="80.25" thickTop="1" thickBot="1" x14ac:dyDescent="0.25">
      <c r="A55" s="352" t="str">
        <f>IDENTIFICACIÓN!C53</f>
        <v>16C</v>
      </c>
      <c r="B55" s="353" t="str">
        <f>IF(IDENTIFICACIÓN!D53="","",IDENTIFICACIÓN!D53)</f>
        <v xml:space="preserve">Gestión de Extensión y Proyección Social. Concentración de la información en una persona. </v>
      </c>
      <c r="C55" s="55" t="str">
        <f>IF(IDENTIFICACIÓN!B53="","",IDENTIFICACIÓN!B53)</f>
        <v>No cumplimiento de las funciones establecidas según el cargo.
Mal manejo de los procesos.</v>
      </c>
      <c r="D55" s="373">
        <v>3</v>
      </c>
      <c r="E55" s="19" t="str">
        <f t="shared" si="28"/>
        <v>POSIBLE</v>
      </c>
      <c r="F55" s="365"/>
      <c r="G55" s="366"/>
      <c r="H55" s="367"/>
      <c r="I55" s="16"/>
      <c r="J55" s="45" t="str">
        <f t="shared" si="29"/>
        <v>MODERADA</v>
      </c>
    </row>
    <row r="56" spans="1:10" ht="143.25" thickTop="1" thickBot="1" x14ac:dyDescent="0.25">
      <c r="A56" s="352" t="str">
        <f>IDENTIFICACIÓN!C54</f>
        <v>17C</v>
      </c>
      <c r="B56" s="353" t="str">
        <f>IF(IDENTIFICACIÓN!D54="","",IDENTIFICACIÓN!D54)</f>
        <v xml:space="preserve">Gestión de Extensión y Proyección Social. Inadecuada ejecución de los recursos asignados </v>
      </c>
      <c r="C56" s="55" t="str">
        <f>IF(IDENTIFICACIÓN!B54="","",IDENTIFICACIÓN!B54)</f>
        <v xml:space="preserve">*Falta de herramientas técnicas y tecnológicas en gestión de la información.
*Incertidumbre en el uso preciso de los recursos.
*Desconocimiento en el impacto logrado por los proyectos.
</v>
      </c>
      <c r="D56" s="373">
        <v>3</v>
      </c>
      <c r="E56" s="19" t="str">
        <f t="shared" si="28"/>
        <v>POSIBLE</v>
      </c>
      <c r="F56" s="365"/>
      <c r="G56" s="366"/>
      <c r="H56" s="367"/>
      <c r="I56" s="16"/>
      <c r="J56" s="45" t="str">
        <f t="shared" si="29"/>
        <v>MODERADA</v>
      </c>
    </row>
    <row r="57" spans="1:10" ht="174.75" thickTop="1" thickBot="1" x14ac:dyDescent="0.25">
      <c r="A57" s="352" t="str">
        <f>IDENTIFICACIÓN!C55</f>
        <v>18C</v>
      </c>
      <c r="B57" s="353" t="str">
        <f>IF(IDENTIFICACIÓN!D55="","",IDENTIFICACIÓN!D55)</f>
        <v>Gestión de Extensión y Proyección Social. Extralimitación de funciones.</v>
      </c>
      <c r="C57" s="55" t="str">
        <f>IF(IDENTIFICACIÓN!B55="","",IDENTIFICACIÓN!B55)</f>
        <v>*Falta de información para la planificación del desarrollo de los proyectos.
*Escasos recursos asignados para el desarrollo de las actividades programadas en el proceso misional de vicerrectoria de extensión y proyección social.</v>
      </c>
      <c r="D57" s="373">
        <v>3</v>
      </c>
      <c r="E57" s="19" t="str">
        <f t="shared" si="28"/>
        <v>POSIBLE</v>
      </c>
      <c r="F57" s="365"/>
      <c r="G57" s="366"/>
      <c r="H57" s="367"/>
      <c r="I57" s="16"/>
      <c r="J57" s="45" t="str">
        <f t="shared" si="29"/>
        <v>MODERADA</v>
      </c>
    </row>
    <row r="58" spans="1:10" ht="64.5" thickTop="1" thickBot="1" x14ac:dyDescent="0.25">
      <c r="A58" s="352" t="str">
        <f>IDENTIFICACIÓN!C56</f>
        <v>19C</v>
      </c>
      <c r="B58" s="353" t="str">
        <f>IF(IDENTIFICACIÓN!D56="","",IDENTIFICACIÓN!D56)</f>
        <v>Gestión de Extensión y Proyección Social. Omisión de la ley para beneficio propio.</v>
      </c>
      <c r="C58" s="55" t="str">
        <f>IF(IDENTIFICACIÓN!B56="","",IDENTIFICACIÓN!B56)</f>
        <v>Dificultad en la identificación y acceso a los cambios en la normativa y regulaciones.</v>
      </c>
      <c r="D58" s="373">
        <v>3</v>
      </c>
      <c r="E58" s="19" t="str">
        <f t="shared" si="28"/>
        <v>POSIBLE</v>
      </c>
      <c r="F58" s="365"/>
      <c r="G58" s="366"/>
      <c r="H58" s="367"/>
      <c r="I58" s="16"/>
      <c r="J58" s="45" t="str">
        <f t="shared" si="29"/>
        <v>MODERADA</v>
      </c>
    </row>
    <row r="59" spans="1:10" ht="80.25" thickTop="1" thickBot="1" x14ac:dyDescent="0.25">
      <c r="A59" s="352" t="str">
        <f>IDENTIFICACIÓN!C57</f>
        <v>20C</v>
      </c>
      <c r="B59" s="353" t="str">
        <f>IF(IDENTIFICACIÓN!D57="","",IDENTIFICACIÓN!D57)</f>
        <v>Gestión de Contratación. Pliegos de condiciones hechos a la medida de una firma en particular.</v>
      </c>
      <c r="C59" s="55" t="str">
        <f>IF(IDENTIFICACIÓN!B57="","",IDENTIFICACIÓN!B57)</f>
        <v xml:space="preserve">Presiones por parte de personas, gremios o entidades externas
</v>
      </c>
      <c r="D59" s="373">
        <v>3</v>
      </c>
      <c r="E59" s="19" t="str">
        <f t="shared" si="28"/>
        <v>POSIBLE</v>
      </c>
      <c r="F59" s="365"/>
      <c r="G59" s="366"/>
      <c r="H59" s="367"/>
      <c r="I59" s="16"/>
      <c r="J59" s="45" t="str">
        <f t="shared" si="29"/>
        <v>MODERADA</v>
      </c>
    </row>
    <row r="60" spans="1:10" ht="48.75" thickTop="1" thickBot="1" x14ac:dyDescent="0.25">
      <c r="A60" s="352" t="str">
        <f>IDENTIFICACIÓN!C58</f>
        <v>21C</v>
      </c>
      <c r="B60" s="353" t="str">
        <f>IF(IDENTIFICACIÓN!D58="","",IDENTIFICACIÓN!D58)</f>
        <v xml:space="preserve">Gestión Financiera. Pago de obligaciones sin el lleno de requisitos. </v>
      </c>
      <c r="C60" s="55" t="str">
        <f>IF(IDENTIFICACIÓN!B58="","",IDENTIFICACIÓN!B58)</f>
        <v>Desconocimiento de la Normatividad aplicada a los procesos de pago.</v>
      </c>
      <c r="D60" s="373">
        <v>3</v>
      </c>
      <c r="E60" s="19" t="str">
        <f t="shared" si="28"/>
        <v>POSIBLE</v>
      </c>
      <c r="F60" s="365"/>
      <c r="G60" s="366"/>
      <c r="H60" s="367"/>
      <c r="I60" s="16"/>
      <c r="J60" s="45" t="str">
        <f t="shared" si="29"/>
        <v>MODERADA</v>
      </c>
    </row>
    <row r="61" spans="1:10" ht="64.5" thickTop="1" thickBot="1" x14ac:dyDescent="0.25">
      <c r="A61" s="352" t="str">
        <f>IDENTIFICACIÓN!C59</f>
        <v>22C</v>
      </c>
      <c r="B61" s="353" t="str">
        <f>IF(IDENTIFICACIÓN!D59="","",IDENTIFICACIÓN!D59)</f>
        <v>Gestión Financiera. Perdida de titulos valores</v>
      </c>
      <c r="C61" s="55" t="str">
        <f>IF(IDENTIFICACIÓN!B59="","",IDENTIFICACIÓN!B59)</f>
        <v xml:space="preserve">Error humano, deficiencia en la custodia, protección y entrega de titulos valores </v>
      </c>
      <c r="D61" s="373">
        <v>3</v>
      </c>
      <c r="E61" s="19" t="str">
        <f t="shared" si="28"/>
        <v>POSIBLE</v>
      </c>
      <c r="F61" s="365"/>
      <c r="G61" s="366"/>
      <c r="H61" s="367"/>
      <c r="I61" s="16"/>
      <c r="J61" s="45" t="str">
        <f t="shared" si="29"/>
        <v>MODERADA</v>
      </c>
    </row>
    <row r="62" spans="1:10" ht="80.25" thickTop="1" thickBot="1" x14ac:dyDescent="0.25">
      <c r="A62" s="352" t="str">
        <f>IDENTIFICACIÓN!C60</f>
        <v>23C</v>
      </c>
      <c r="B62" s="353" t="str">
        <f>IF(IDENTIFICACIÓN!D60="","",IDENTIFICACIÓN!D60)</f>
        <v>Gestión Financiera. Omisión en la aplicación  de la normatividad vigente en los procesos de la Gestión Financiera</v>
      </c>
      <c r="C62" s="55" t="str">
        <f>IF(IDENTIFICACIÓN!B60="","",IDENTIFICACIÓN!B60)</f>
        <v xml:space="preserve">Desconocimiento ó desactualización de la normatividad externa aplicable a los procesos. </v>
      </c>
      <c r="D62" s="373">
        <v>3</v>
      </c>
      <c r="E62" s="19" t="str">
        <f t="shared" si="28"/>
        <v>POSIBLE</v>
      </c>
      <c r="F62" s="365"/>
      <c r="G62" s="366"/>
      <c r="H62" s="367"/>
      <c r="I62" s="16"/>
      <c r="J62" s="45" t="str">
        <f t="shared" si="29"/>
        <v>MODERADA</v>
      </c>
    </row>
    <row r="63" spans="1:10" ht="64.5" thickTop="1" thickBot="1" x14ac:dyDescent="0.25">
      <c r="A63" s="352" t="str">
        <f>IDENTIFICACIÓN!C61</f>
        <v>24C</v>
      </c>
      <c r="B63" s="353" t="str">
        <f>IF(IDENTIFICACIÓN!D61="","",IDENTIFICACIÓN!D61)</f>
        <v xml:space="preserve">Apoyo Tecnológico TIC. Vulnerabilidad de la Información </v>
      </c>
      <c r="C63" s="55" t="str">
        <f>IF(IDENTIFICACIÓN!B61="","",IDENTIFICACIÓN!B61)</f>
        <v>Ausenca de controles para la implementacion, administracion y soportes de SI</v>
      </c>
      <c r="D63" s="373">
        <v>3</v>
      </c>
      <c r="E63" s="19" t="str">
        <f t="shared" si="28"/>
        <v>POSIBLE</v>
      </c>
      <c r="F63" s="365"/>
      <c r="G63" s="366"/>
      <c r="H63" s="367"/>
      <c r="I63" s="16"/>
      <c r="J63" s="45" t="str">
        <f t="shared" si="29"/>
        <v>MODERADA</v>
      </c>
    </row>
    <row r="64" spans="1:10" ht="96" thickTop="1" thickBot="1" x14ac:dyDescent="0.25">
      <c r="A64" s="352" t="str">
        <f>IDENTIFICACIÓN!C62</f>
        <v>25C</v>
      </c>
      <c r="B64" s="353" t="str">
        <f>IF(IDENTIFICACIÓN!D62="","",IDENTIFICACIÓN!D62)</f>
        <v xml:space="preserve">Gestión Documental. Entregar un título o certificado sin los requisitos para ello </v>
      </c>
      <c r="C64" s="55" t="str">
        <f>IF(IDENTIFICACIÓN!B62="","",IDENTIFICACIÓN!B62)</f>
        <v>Omisión de procedimientos legal 
Falta de cualificación del personal
Ausencia de cultura ética y buen gobierno</v>
      </c>
      <c r="D64" s="373">
        <v>3</v>
      </c>
      <c r="E64" s="19" t="str">
        <f t="shared" si="28"/>
        <v>POSIBLE</v>
      </c>
      <c r="F64" s="365"/>
      <c r="G64" s="366"/>
      <c r="H64" s="367"/>
      <c r="I64" s="16"/>
      <c r="J64" s="45" t="str">
        <f t="shared" si="29"/>
        <v>MODERADA</v>
      </c>
    </row>
    <row r="65" spans="1:10" ht="96" thickTop="1" thickBot="1" x14ac:dyDescent="0.25">
      <c r="A65" s="352" t="str">
        <f>IDENTIFICACIÓN!C63</f>
        <v>26C</v>
      </c>
      <c r="B65" s="353" t="str">
        <f>IF(IDENTIFICACIÓN!D63="","",IDENTIFICACIÓN!D63)</f>
        <v>Gestión Documental. Expedición de un certificado de título falso</v>
      </c>
      <c r="C65" s="55" t="str">
        <f>IF(IDENTIFICACIÓN!B63="","",IDENTIFICACIÓN!B63)</f>
        <v>Omisión de procedimientos legal 
Falta de cualificación del personal
Ausencia de cultura ética y buen gobierno</v>
      </c>
      <c r="D65" s="373">
        <v>3</v>
      </c>
      <c r="E65" s="19" t="str">
        <f t="shared" si="28"/>
        <v>POSIBLE</v>
      </c>
      <c r="F65" s="365"/>
      <c r="G65" s="366"/>
      <c r="H65" s="367"/>
      <c r="I65" s="16"/>
      <c r="J65" s="45" t="str">
        <f t="shared" si="29"/>
        <v>MODERADA</v>
      </c>
    </row>
    <row r="66" spans="1:10" ht="143.25" thickTop="1" thickBot="1" x14ac:dyDescent="0.25">
      <c r="A66" s="352" t="str">
        <f>IDENTIFICACIÓN!C64</f>
        <v>27C</v>
      </c>
      <c r="B66" s="353" t="str">
        <f>IF(IDENTIFICACIÓN!D64="","",IDENTIFICACIÓN!D64)</f>
        <v>Gestión del Talento Humano. Concentración de información de determinadas actividades o procesos en una persona.</v>
      </c>
      <c r="C66" s="55" t="str">
        <f>IF(IDENTIFICACIÓN!B64="","",IDENTIFICACIÓN!B64)</f>
        <v>1. Inadecuada distribución de personal, de acuerdo a competencias.
2. Falta de definición de puntos de control
3. Bajo nivel de automatización en el seguimiento de los procesos.</v>
      </c>
      <c r="D66" s="373">
        <v>3</v>
      </c>
      <c r="E66" s="19" t="str">
        <f t="shared" si="28"/>
        <v>POSIBLE</v>
      </c>
      <c r="F66" s="365"/>
      <c r="G66" s="366"/>
      <c r="H66" s="367"/>
      <c r="I66" s="16"/>
      <c r="J66" s="45" t="str">
        <f t="shared" si="29"/>
        <v>MODERADA</v>
      </c>
    </row>
    <row r="67" spans="1:10" ht="127.5" thickTop="1" thickBot="1" x14ac:dyDescent="0.25">
      <c r="A67" s="352" t="str">
        <f>IDENTIFICACIÓN!C65</f>
        <v>28C</v>
      </c>
      <c r="B67" s="353" t="str">
        <f>IF(IDENTIFICACIÓN!D65="","",IDENTIFICACIÓN!D65)</f>
        <v>Gestión del Talento Humano. Decisiones no ajustadas a la normatividad legal.</v>
      </c>
      <c r="C67" s="55" t="str">
        <f>IF(IDENTIFICACIÓN!B65="","",IDENTIFICACIÓN!B65)</f>
        <v>1. Omisión de procedimientos legales
2. Falta de definición de puntos de control
3. Bajo nivel de automatización en el seguimiento de los procesos.</v>
      </c>
      <c r="D67" s="373">
        <v>3</v>
      </c>
      <c r="E67" s="19" t="str">
        <f t="shared" ref="E67:E73" si="30">IF(D67=5,"CASI CERTEZA",IF(D67=3,"POSIBLE",""))</f>
        <v>POSIBLE</v>
      </c>
      <c r="F67" s="365"/>
      <c r="G67" s="366"/>
      <c r="H67" s="367"/>
      <c r="I67" s="16"/>
      <c r="J67" s="45" t="str">
        <f t="shared" ref="J67:J74" si="31">IF(D67=3,"MODERADA",IF(D67=5,"EXTREMA",""))</f>
        <v>MODERADA</v>
      </c>
    </row>
    <row r="68" spans="1:10" ht="143.25" thickTop="1" thickBot="1" x14ac:dyDescent="0.25">
      <c r="A68" s="352" t="str">
        <f>IDENTIFICACIÓN!C66</f>
        <v>29C</v>
      </c>
      <c r="B68" s="353" t="str">
        <f>IF(IDENTIFICACIÓN!D66="","",IDENTIFICACIÓN!D66)</f>
        <v>Gestión de Admisiones y Registro. Manipulación de resultados del examen  de admisión.</v>
      </c>
      <c r="C68" s="55" t="str">
        <f>IF(IDENTIFICACIÓN!B66="","",IDENTIFICACIÓN!B66)</f>
        <v>Ausencia Cultura de Buen Gobierno, Falta de control al poder, Baja visibilidad de las acciones, Asimetrías de la información, bajo nivel de automatización en el seguimiento de los procesos.</v>
      </c>
      <c r="D68" s="373">
        <v>3</v>
      </c>
      <c r="E68" s="19" t="str">
        <f t="shared" si="30"/>
        <v>POSIBLE</v>
      </c>
      <c r="F68" s="365"/>
      <c r="G68" s="366"/>
      <c r="H68" s="367"/>
      <c r="I68" s="16"/>
      <c r="J68" s="45" t="str">
        <f t="shared" si="31"/>
        <v>MODERADA</v>
      </c>
    </row>
    <row r="69" spans="1:10" ht="222" thickTop="1" thickBot="1" x14ac:dyDescent="0.25">
      <c r="A69" s="352" t="str">
        <f>IDENTIFICACIÓN!C67</f>
        <v>30C</v>
      </c>
      <c r="B69" s="353" t="str">
        <f>IF(IDENTIFICACIÓN!D67="","",IDENTIFICACIÓN!D67)</f>
        <v>Gestión de Admisiones y Registro. Alteración de notas de estudiantes.</v>
      </c>
      <c r="C69" s="55" t="str">
        <f>IF(IDENTIFICACIÓN!B67="","",IDENTIFICACIÓN!B67)</f>
        <v>Ausencia Cultura de Buen Gobierno, Falta de control al poder, Baja visibilidad de las acciones, Asimetrías de la información, Discrecionalidad. Falta de Planeación y de coherencia en la ejecución de los planes que realiza la entidad, bajo nivel de automatización en el seguimiento de los procesos.</v>
      </c>
      <c r="D69" s="373">
        <v>3</v>
      </c>
      <c r="E69" s="19" t="str">
        <f t="shared" si="30"/>
        <v>POSIBLE</v>
      </c>
      <c r="F69" s="365"/>
      <c r="G69" s="366"/>
      <c r="H69" s="367"/>
      <c r="I69" s="16"/>
      <c r="J69" s="45" t="str">
        <f t="shared" si="31"/>
        <v>MODERADA</v>
      </c>
    </row>
    <row r="70" spans="1:10" ht="96" thickTop="1" thickBot="1" x14ac:dyDescent="0.25">
      <c r="A70" s="352" t="str">
        <f>IDENTIFICACIÓN!C68</f>
        <v>31C</v>
      </c>
      <c r="B70" s="353" t="str">
        <f>IF(IDENTIFICACIÓN!D68="","",IDENTIFICACIÓN!D68)</f>
        <v>Gestión y Rendición de Cuentas. Rendición de cuentas a la ciudadanía inadecuada, incompleta e inoportuna</v>
      </c>
      <c r="C70" s="55" t="str">
        <f>IF(IDENTIFICACIÓN!B68="","",IDENTIFICACIÓN!B68)</f>
        <v>* Desconocimiento de las funciones.
* Baja integridad de la información.
* Falta de cualificación del personal.</v>
      </c>
      <c r="D70" s="373">
        <v>3</v>
      </c>
      <c r="E70" s="19" t="str">
        <f t="shared" si="30"/>
        <v>POSIBLE</v>
      </c>
      <c r="F70" s="365"/>
      <c r="G70" s="366"/>
      <c r="H70" s="367"/>
      <c r="I70" s="16"/>
      <c r="J70" s="45" t="str">
        <f t="shared" si="31"/>
        <v>MODERADA</v>
      </c>
    </row>
    <row r="71" spans="1:10" ht="143.25" thickTop="1" thickBot="1" x14ac:dyDescent="0.25">
      <c r="A71" s="352" t="str">
        <f>IDENTIFICACIÓN!C69</f>
        <v>32C</v>
      </c>
      <c r="B71" s="353" t="str">
        <f>IF(IDENTIFICACIÓN!D69="","",IDENTIFICACIÓN!D69)</f>
        <v>Gestión y Rendición de Cuentas. Alteración de la información</v>
      </c>
      <c r="C71" s="55" t="str">
        <f>IF(IDENTIFICACIÓN!B69="","",IDENTIFICACIÓN!B69)</f>
        <v>* Falta de controles en el manejo de la información.
* Inadecuada infraestructura tecnológica.
* Presiones internas o externas.
* Ausencia de cultura de ética.</v>
      </c>
      <c r="D71" s="373">
        <v>3</v>
      </c>
      <c r="E71" s="19" t="str">
        <f t="shared" si="30"/>
        <v>POSIBLE</v>
      </c>
      <c r="F71" s="365"/>
      <c r="G71" s="366"/>
      <c r="H71" s="367"/>
      <c r="I71" s="16"/>
      <c r="J71" s="45" t="str">
        <f t="shared" si="31"/>
        <v>MODERADA</v>
      </c>
    </row>
    <row r="72" spans="1:10" ht="111.75" thickTop="1" thickBot="1" x14ac:dyDescent="0.25">
      <c r="A72" s="352" t="str">
        <f>IDENTIFICACIÓN!C70</f>
        <v>33C</v>
      </c>
      <c r="B72" s="353" t="str">
        <f>IF(IDENTIFICACIÓN!D70="","",IDENTIFICACIÓN!D70)</f>
        <v>Evaluación Independiente. Falta de Objetividad e Independencia en el proceso auditor, de evaluación y seguimiento</v>
      </c>
      <c r="C72" s="55" t="str">
        <f>IF(IDENTIFICACIÓN!B70="","",IDENTIFICACIÓN!B70)</f>
        <v>Inobservancia de Principios Eticos
No distribución de funciones o actividades de acuerdo a competencias
Deficientes puntos de control</v>
      </c>
      <c r="D72" s="373">
        <v>3</v>
      </c>
      <c r="E72" s="19" t="str">
        <f t="shared" si="30"/>
        <v>POSIBLE</v>
      </c>
      <c r="F72" s="365"/>
      <c r="G72" s="366"/>
      <c r="H72" s="367"/>
      <c r="I72" s="16"/>
      <c r="J72" s="45" t="str">
        <f t="shared" si="31"/>
        <v>MODERADA</v>
      </c>
    </row>
    <row r="73" spans="1:10" ht="96" thickTop="1" thickBot="1" x14ac:dyDescent="0.25">
      <c r="A73" s="352" t="str">
        <f>IDENTIFICACIÓN!C71</f>
        <v>34C</v>
      </c>
      <c r="B73" s="353" t="str">
        <f>IF(IDENTIFICACIÓN!D71="","",IDENTIFICACIÓN!D71)</f>
        <v>Evaluación Independiente. No reportar posibles actos de corrupción e irregularidades</v>
      </c>
      <c r="C73" s="55" t="str">
        <f>IF(IDENTIFICACIÓN!B71="","",IDENTIFICACIÓN!B71)</f>
        <v xml:space="preserve">Inobservancia de Principios Eticos
Desconocimiento u omisión de las funciones o normativa
</v>
      </c>
      <c r="D73" s="373">
        <v>3</v>
      </c>
      <c r="E73" s="19" t="str">
        <f t="shared" si="30"/>
        <v>POSIBLE</v>
      </c>
      <c r="F73" s="368"/>
      <c r="G73" s="369"/>
      <c r="H73" s="370"/>
      <c r="I73" s="16"/>
      <c r="J73" s="45" t="str">
        <f t="shared" si="31"/>
        <v>MODERADA</v>
      </c>
    </row>
    <row r="74" spans="1:10" ht="16.5" thickTop="1" x14ac:dyDescent="0.2">
      <c r="J74" s="5" t="str">
        <f t="shared" si="31"/>
        <v/>
      </c>
    </row>
  </sheetData>
  <sheetProtection algorithmName="SHA-512" hashValue="WYK1TVTFvqEV0sjAtlP8Rp2GaUQERx1M7/FkXco/U6N1oytMR5Ypiwc06sDy8igboT7ZEkvbqvZMZmJku6s8Cg==" saltValue="qbydA0uGpyLs0ePPAV+PYg==" spinCount="100000" sheet="1" objects="1" scenarios="1" formatCells="0" formatRows="0" selectLockedCells="1"/>
  <mergeCells count="15">
    <mergeCell ref="A39:J39"/>
    <mergeCell ref="C8:J8"/>
    <mergeCell ref="C9:H9"/>
    <mergeCell ref="C1:H3"/>
    <mergeCell ref="A1:B3"/>
    <mergeCell ref="G10:H10"/>
    <mergeCell ref="A5:J5"/>
    <mergeCell ref="A8:A10"/>
    <mergeCell ref="J9:J10"/>
    <mergeCell ref="A7:B7"/>
    <mergeCell ref="A6:B6"/>
    <mergeCell ref="B8:B10"/>
    <mergeCell ref="D10:E10"/>
    <mergeCell ref="C6:J6"/>
    <mergeCell ref="C7:J7"/>
  </mergeCells>
  <phoneticPr fontId="5" type="noConversion"/>
  <conditionalFormatting sqref="E12:E38 H11:H38">
    <cfRule type="containsText" dxfId="528" priority="151" stopIfTrue="1" operator="containsText" text="ALTA">
      <formula>NOT(ISERROR(SEARCH("ALTA",E11)))</formula>
    </cfRule>
    <cfRule type="containsText" dxfId="527" priority="152" stopIfTrue="1" operator="containsText" text="MEDIA">
      <formula>NOT(ISERROR(SEARCH("MEDIA",E11)))</formula>
    </cfRule>
    <cfRule type="containsText" dxfId="526" priority="153" stopIfTrue="1" operator="containsText" text="BAJA">
      <formula>NOT(ISERROR(SEARCH("BAJA",E11)))</formula>
    </cfRule>
  </conditionalFormatting>
  <conditionalFormatting sqref="H11:H38">
    <cfRule type="containsText" dxfId="525" priority="143" stopIfTrue="1" operator="containsText" text="ALTO">
      <formula>NOT(ISERROR(SEARCH("ALTO",H11)))</formula>
    </cfRule>
    <cfRule type="containsText" dxfId="524" priority="144" stopIfTrue="1" operator="containsText" text="ALTO">
      <formula>NOT(ISERROR(SEARCH("ALTO",H11)))</formula>
    </cfRule>
    <cfRule type="containsText" dxfId="523" priority="145" stopIfTrue="1" operator="containsText" text="MEDIO">
      <formula>NOT(ISERROR(SEARCH("MEDIO",H11)))</formula>
    </cfRule>
    <cfRule type="containsText" dxfId="522" priority="146" stopIfTrue="1" operator="containsText" text="MEDIO">
      <formula>NOT(ISERROR(SEARCH("MEDIO",H11)))</formula>
    </cfRule>
    <cfRule type="containsText" dxfId="521" priority="147" stopIfTrue="1" operator="containsText" text="BAJO">
      <formula>NOT(ISERROR(SEARCH("BAJO",H11)))</formula>
    </cfRule>
  </conditionalFormatting>
  <conditionalFormatting sqref="E11:E38">
    <cfRule type="cellIs" dxfId="520" priority="127" operator="equal">
      <formula>"RARO"</formula>
    </cfRule>
    <cfRule type="cellIs" dxfId="519" priority="128" operator="equal">
      <formula>"IMPROBABLE"</formula>
    </cfRule>
    <cfRule type="cellIs" dxfId="518" priority="129" operator="equal">
      <formula>"POSIBLE"</formula>
    </cfRule>
    <cfRule type="cellIs" dxfId="517" priority="130" operator="equal">
      <formula>"PROBABLE"</formula>
    </cfRule>
    <cfRule type="cellIs" dxfId="516" priority="131" operator="equal">
      <formula>"CASI CERTEZA"</formula>
    </cfRule>
  </conditionalFormatting>
  <conditionalFormatting sqref="E12:E38">
    <cfRule type="cellIs" dxfId="515" priority="122" operator="equal">
      <formula>"RARO"</formula>
    </cfRule>
    <cfRule type="cellIs" dxfId="514" priority="123" operator="equal">
      <formula>"IMPROBABLE"</formula>
    </cfRule>
    <cfRule type="cellIs" dxfId="513" priority="124" operator="equal">
      <formula>"POSIBLE"</formula>
    </cfRule>
    <cfRule type="cellIs" dxfId="512" priority="125" operator="equal">
      <formula>"PROBABLE"</formula>
    </cfRule>
    <cfRule type="cellIs" dxfId="511" priority="126" operator="equal">
      <formula>"CASI CERTEZA"</formula>
    </cfRule>
  </conditionalFormatting>
  <conditionalFormatting sqref="H11:H38">
    <cfRule type="cellIs" dxfId="510" priority="112" operator="equal">
      <formula>"INSIGNIFICANTE"</formula>
    </cfRule>
    <cfRule type="cellIs" dxfId="509" priority="113" operator="equal">
      <formula>"MENOR"</formula>
    </cfRule>
    <cfRule type="cellIs" dxfId="508" priority="114" operator="equal">
      <formula>"MODERADO"</formula>
    </cfRule>
    <cfRule type="cellIs" dxfId="507" priority="115" operator="equal">
      <formula>"MAYOR"</formula>
    </cfRule>
    <cfRule type="cellIs" dxfId="506" priority="116" operator="equal">
      <formula>"CATASTRÓFICO"</formula>
    </cfRule>
  </conditionalFormatting>
  <conditionalFormatting sqref="J11">
    <cfRule type="cellIs" dxfId="505" priority="82" operator="equal">
      <formula>"EXTREMA 5:5"</formula>
    </cfRule>
    <cfRule type="cellIs" dxfId="504" priority="83" operator="equal">
      <formula>"EXTREMA 4:5"</formula>
    </cfRule>
    <cfRule type="cellIs" dxfId="503" priority="84" operator="equal">
      <formula>"EXTREMA 3:5"</formula>
    </cfRule>
    <cfRule type="cellIs" dxfId="502" priority="85" operator="equal">
      <formula>"EXTREMA 2:5"</formula>
    </cfRule>
    <cfRule type="cellIs" dxfId="501" priority="86" operator="equal">
      <formula>"EXTREMA 5:4"</formula>
    </cfRule>
    <cfRule type="cellIs" dxfId="500" priority="87" operator="equal">
      <formula>"EXTREMA 4:4"</formula>
    </cfRule>
    <cfRule type="cellIs" dxfId="499" priority="88" operator="equal">
      <formula>"EXTREMA 3:4"</formula>
    </cfRule>
    <cfRule type="cellIs" dxfId="498" priority="89" operator="equal">
      <formula>"EXTREMA 5:3"</formula>
    </cfRule>
    <cfRule type="cellIs" dxfId="497" priority="90" operator="equal">
      <formula>"ALTA 1:5"</formula>
    </cfRule>
    <cfRule type="cellIs" dxfId="496" priority="91" operator="equal">
      <formula>"ALTA 2:4"</formula>
    </cfRule>
    <cfRule type="cellIs" dxfId="495" priority="92" operator="equal">
      <formula>"ALTA 1:4"</formula>
    </cfRule>
    <cfRule type="cellIs" dxfId="494" priority="93" operator="equal">
      <formula>"ALTA 4:3"</formula>
    </cfRule>
    <cfRule type="cellIs" dxfId="493" priority="94" operator="equal">
      <formula>"ALTA 3:3"</formula>
    </cfRule>
    <cfRule type="cellIs" dxfId="492" priority="95" operator="equal">
      <formula>"ALTA 5:2"</formula>
    </cfRule>
    <cfRule type="cellIs" dxfId="491" priority="96" operator="equal">
      <formula>"ALTA 4:2"</formula>
    </cfRule>
    <cfRule type="cellIs" dxfId="490" priority="97" operator="equal">
      <formula>"ALTA 5:1"</formula>
    </cfRule>
    <cfRule type="cellIs" dxfId="489" priority="98" operator="equal">
      <formula>"MODERADA 2:3"</formula>
    </cfRule>
    <cfRule type="cellIs" dxfId="488" priority="99" operator="equal">
      <formula>"MODERADA 1:3"</formula>
    </cfRule>
    <cfRule type="cellIs" dxfId="487" priority="100" operator="equal">
      <formula>"MODERADA 3:2"</formula>
    </cfRule>
    <cfRule type="cellIs" dxfId="486" priority="101" operator="equal">
      <formula>"MODERADA 4:1"</formula>
    </cfRule>
    <cfRule type="cellIs" dxfId="485" priority="102" operator="equal">
      <formula>"BAJA 2:2"</formula>
    </cfRule>
    <cfRule type="cellIs" dxfId="484" priority="103" operator="equal">
      <formula>"BAJA 1:2"</formula>
    </cfRule>
    <cfRule type="cellIs" dxfId="483" priority="104" operator="equal">
      <formula>"BAJA 3:1"</formula>
    </cfRule>
    <cfRule type="cellIs" dxfId="482" priority="105" operator="equal">
      <formula>"BAJA 2:1"</formula>
    </cfRule>
    <cfRule type="cellIs" dxfId="481" priority="106" operator="equal">
      <formula>"BAJA 1:1"</formula>
    </cfRule>
  </conditionalFormatting>
  <conditionalFormatting sqref="J12:J38">
    <cfRule type="cellIs" dxfId="480" priority="57" operator="equal">
      <formula>"EXTREMA 5:5"</formula>
    </cfRule>
    <cfRule type="cellIs" dxfId="479" priority="58" operator="equal">
      <formula>"EXTREMA 4:5"</formula>
    </cfRule>
    <cfRule type="cellIs" dxfId="478" priority="59" operator="equal">
      <formula>"EXTREMA 3:5"</formula>
    </cfRule>
    <cfRule type="cellIs" dxfId="477" priority="60" operator="equal">
      <formula>"EXTREMA 2:5"</formula>
    </cfRule>
    <cfRule type="cellIs" dxfId="476" priority="61" operator="equal">
      <formula>"EXTREMA 5:4"</formula>
    </cfRule>
    <cfRule type="cellIs" dxfId="475" priority="62" operator="equal">
      <formula>"EXTREMA 4:4"</formula>
    </cfRule>
    <cfRule type="cellIs" dxfId="474" priority="63" operator="equal">
      <formula>"EXTREMA 3:4"</formula>
    </cfRule>
    <cfRule type="cellIs" dxfId="473" priority="64" operator="equal">
      <formula>"EXTREMA 5:3"</formula>
    </cfRule>
    <cfRule type="cellIs" dxfId="472" priority="65" operator="equal">
      <formula>"ALTA 1:5"</formula>
    </cfRule>
    <cfRule type="cellIs" dxfId="471" priority="66" operator="equal">
      <formula>"ALTA 2:4"</formula>
    </cfRule>
    <cfRule type="cellIs" dxfId="470" priority="67" operator="equal">
      <formula>"ALTA 1:4"</formula>
    </cfRule>
    <cfRule type="cellIs" dxfId="469" priority="68" operator="equal">
      <formula>"ALTA 4:3"</formula>
    </cfRule>
    <cfRule type="cellIs" dxfId="468" priority="69" operator="equal">
      <formula>"ALTA 3:3"</formula>
    </cfRule>
    <cfRule type="cellIs" dxfId="467" priority="70" operator="equal">
      <formula>"ALTA 5:2"</formula>
    </cfRule>
    <cfRule type="cellIs" dxfId="466" priority="71" operator="equal">
      <formula>"ALTA 4:2"</formula>
    </cfRule>
    <cfRule type="cellIs" dxfId="465" priority="72" operator="equal">
      <formula>"ALTA 5:1"</formula>
    </cfRule>
    <cfRule type="cellIs" dxfId="464" priority="73" operator="equal">
      <formula>"MODERADA 2:3"</formula>
    </cfRule>
    <cfRule type="cellIs" dxfId="463" priority="74" operator="equal">
      <formula>"MODERADA 1:3"</formula>
    </cfRule>
    <cfRule type="cellIs" dxfId="462" priority="75" operator="equal">
      <formula>"MODERADA 3:2"</formula>
    </cfRule>
    <cfRule type="cellIs" dxfId="461" priority="76" operator="equal">
      <formula>"MODERADA 4:1"</formula>
    </cfRule>
    <cfRule type="cellIs" dxfId="460" priority="77" operator="equal">
      <formula>"BAJA 2:2"</formula>
    </cfRule>
    <cfRule type="cellIs" dxfId="459" priority="78" operator="equal">
      <formula>"BAJA 1:2"</formula>
    </cfRule>
    <cfRule type="cellIs" dxfId="458" priority="79" operator="equal">
      <formula>"BAJA 3:1"</formula>
    </cfRule>
    <cfRule type="cellIs" dxfId="457" priority="80" operator="equal">
      <formula>"BAJA 2:1"</formula>
    </cfRule>
    <cfRule type="cellIs" dxfId="456" priority="81" operator="equal">
      <formula>"BAJA 1:1"</formula>
    </cfRule>
  </conditionalFormatting>
  <conditionalFormatting sqref="J12">
    <cfRule type="cellIs" dxfId="455" priority="32" operator="equal">
      <formula>"EXTREMA 5:5"</formula>
    </cfRule>
    <cfRule type="cellIs" dxfId="454" priority="33" operator="equal">
      <formula>"EXTREMA 4:5"</formula>
    </cfRule>
    <cfRule type="cellIs" dxfId="453" priority="34" operator="equal">
      <formula>"EXTREMA 3:5"</formula>
    </cfRule>
    <cfRule type="cellIs" dxfId="452" priority="35" operator="equal">
      <formula>"EXTREMA 2:5"</formula>
    </cfRule>
    <cfRule type="cellIs" dxfId="451" priority="36" operator="equal">
      <formula>"EXTREMA 5:4"</formula>
    </cfRule>
    <cfRule type="cellIs" dxfId="450" priority="37" operator="equal">
      <formula>"EXTREMA 4:4"</formula>
    </cfRule>
    <cfRule type="cellIs" dxfId="449" priority="38" operator="equal">
      <formula>"EXTREMA 3:4"</formula>
    </cfRule>
    <cfRule type="cellIs" dxfId="448" priority="39" operator="equal">
      <formula>"EXTREMA 5:3"</formula>
    </cfRule>
    <cfRule type="cellIs" dxfId="447" priority="40" operator="equal">
      <formula>"ALTA 1:5"</formula>
    </cfRule>
    <cfRule type="cellIs" dxfId="446" priority="41" operator="equal">
      <formula>"ALTA 2:4"</formula>
    </cfRule>
    <cfRule type="cellIs" dxfId="445" priority="42" operator="equal">
      <formula>"ALTA 1:4"</formula>
    </cfRule>
    <cfRule type="cellIs" dxfId="444" priority="43" operator="equal">
      <formula>"ALTA 4:3"</formula>
    </cfRule>
    <cfRule type="cellIs" dxfId="443" priority="44" operator="equal">
      <formula>"ALTA 3:3"</formula>
    </cfRule>
    <cfRule type="cellIs" dxfId="442" priority="45" operator="equal">
      <formula>"ALTA 5:2"</formula>
    </cfRule>
    <cfRule type="cellIs" dxfId="441" priority="46" operator="equal">
      <formula>"ALTA 4:2"</formula>
    </cfRule>
    <cfRule type="cellIs" dxfId="440" priority="47" operator="equal">
      <formula>"ALTA 5:1"</formula>
    </cfRule>
    <cfRule type="cellIs" dxfId="439" priority="48" operator="equal">
      <formula>"MODERADA 2:3"</formula>
    </cfRule>
    <cfRule type="cellIs" dxfId="438" priority="49" operator="equal">
      <formula>"MODERADA 1:3"</formula>
    </cfRule>
    <cfRule type="cellIs" dxfId="437" priority="50" operator="equal">
      <formula>"MODERADA 3:2"</formula>
    </cfRule>
    <cfRule type="cellIs" dxfId="436" priority="51" operator="equal">
      <formula>"MODERADA 4:1"</formula>
    </cfRule>
    <cfRule type="cellIs" dxfId="435" priority="52" operator="equal">
      <formula>"BAJA 2:2"</formula>
    </cfRule>
    <cfRule type="cellIs" dxfId="434" priority="53" operator="equal">
      <formula>"BAJA 1:2"</formula>
    </cfRule>
    <cfRule type="cellIs" dxfId="433" priority="54" operator="equal">
      <formula>"BAJA 3:1"</formula>
    </cfRule>
    <cfRule type="cellIs" dxfId="432" priority="55" operator="equal">
      <formula>"BAJA 2:1"</formula>
    </cfRule>
    <cfRule type="cellIs" dxfId="431" priority="56" operator="equal">
      <formula>"BAJA 1:1"</formula>
    </cfRule>
  </conditionalFormatting>
  <conditionalFormatting sqref="C11:C38 C40:C73">
    <cfRule type="cellIs" dxfId="430" priority="30" operator="notEqual">
      <formula>$D$10</formula>
    </cfRule>
    <cfRule type="cellIs" dxfId="429" priority="31" operator="equal">
      <formula>$D$10</formula>
    </cfRule>
  </conditionalFormatting>
  <conditionalFormatting sqref="F40 F11:F38">
    <cfRule type="cellIs" dxfId="428" priority="28" operator="notEqual">
      <formula>$D$10</formula>
    </cfRule>
    <cfRule type="cellIs" dxfId="427" priority="29" operator="equal">
      <formula>$D$10</formula>
    </cfRule>
  </conditionalFormatting>
  <conditionalFormatting sqref="E40:E73">
    <cfRule type="containsText" dxfId="426" priority="26" operator="containsText" text="POSIBLE">
      <formula>NOT(ISERROR(SEARCH("POSIBLE",E40)))</formula>
    </cfRule>
    <cfRule type="containsText" dxfId="425" priority="27" operator="containsText" text="CASI CERTEZA">
      <formula>NOT(ISERROR(SEARCH("CASI CERTEZA",E40)))</formula>
    </cfRule>
  </conditionalFormatting>
  <conditionalFormatting sqref="J40:J73">
    <cfRule type="containsText" dxfId="424" priority="24" operator="containsText" text="EXTREMA">
      <formula>NOT(ISERROR(SEARCH("EXTREMA",J40)))</formula>
    </cfRule>
  </conditionalFormatting>
  <conditionalFormatting sqref="J40:J73">
    <cfRule type="containsText" dxfId="423" priority="23" operator="containsText" text="MODERADA">
      <formula>NOT(ISERROR(SEARCH("MODERADA",J40)))</formula>
    </cfRule>
  </conditionalFormatting>
  <conditionalFormatting sqref="G71:H73">
    <cfRule type="cellIs" dxfId="422" priority="1" operator="notEqual">
      <formula>$D$10</formula>
    </cfRule>
    <cfRule type="cellIs" dxfId="421" priority="2" operator="equal">
      <formula>$D$10</formula>
    </cfRule>
  </conditionalFormatting>
  <conditionalFormatting sqref="G40:H40">
    <cfRule type="cellIs" dxfId="420" priority="21" operator="notEqual">
      <formula>$D$10</formula>
    </cfRule>
    <cfRule type="cellIs" dxfId="419" priority="22" operator="equal">
      <formula>$D$10</formula>
    </cfRule>
  </conditionalFormatting>
  <conditionalFormatting sqref="F41">
    <cfRule type="cellIs" dxfId="418" priority="19" operator="notEqual">
      <formula>$D$10</formula>
    </cfRule>
    <cfRule type="cellIs" dxfId="417" priority="20" operator="equal">
      <formula>$D$10</formula>
    </cfRule>
  </conditionalFormatting>
  <conditionalFormatting sqref="G41:H41">
    <cfRule type="cellIs" dxfId="416" priority="17" operator="notEqual">
      <formula>$D$10</formula>
    </cfRule>
    <cfRule type="cellIs" dxfId="415" priority="18" operator="equal">
      <formula>$D$10</formula>
    </cfRule>
  </conditionalFormatting>
  <conditionalFormatting sqref="F42:F69">
    <cfRule type="cellIs" dxfId="414" priority="11" operator="notEqual">
      <formula>$D$10</formula>
    </cfRule>
    <cfRule type="cellIs" dxfId="413" priority="12" operator="equal">
      <formula>$D$10</formula>
    </cfRule>
  </conditionalFormatting>
  <conditionalFormatting sqref="G42:H69">
    <cfRule type="cellIs" dxfId="412" priority="9" operator="notEqual">
      <formula>$D$10</formula>
    </cfRule>
    <cfRule type="cellIs" dxfId="411" priority="10" operator="equal">
      <formula>$D$10</formula>
    </cfRule>
  </conditionalFormatting>
  <conditionalFormatting sqref="F70">
    <cfRule type="cellIs" dxfId="410" priority="7" operator="notEqual">
      <formula>$D$10</formula>
    </cfRule>
    <cfRule type="cellIs" dxfId="409" priority="8" operator="equal">
      <formula>$D$10</formula>
    </cfRule>
  </conditionalFormatting>
  <conditionalFormatting sqref="G70:H70">
    <cfRule type="cellIs" dxfId="408" priority="5" operator="notEqual">
      <formula>$D$10</formula>
    </cfRule>
    <cfRule type="cellIs" dxfId="407" priority="6" operator="equal">
      <formula>$D$10</formula>
    </cfRule>
  </conditionalFormatting>
  <conditionalFormatting sqref="F71:F73">
    <cfRule type="cellIs" dxfId="406" priority="3" operator="notEqual">
      <formula>$D$10</formula>
    </cfRule>
    <cfRule type="cellIs" dxfId="405" priority="4" operator="equal">
      <formula>$D$10</formula>
    </cfRule>
  </conditionalFormatting>
  <dataValidations xWindow="433" yWindow="656" count="5">
    <dataValidation allowBlank="1" promptTitle="CALIFIQUE" prompt="5 - LEVE_x000a_10 - MODERADO_x000a_20 - CATASTROFICO" sqref="I11:I38 I40:I73"/>
    <dataValidation errorStyle="warning" allowBlank="1" errorTitle="ERROR DE CALIFICACION" error="Califique:_x000a_1 para BAJO_x000a_2 para MEDIO_x000a_3 para ALTO" promptTitle="CALIFIQUE" prompt="1 - BAJO_x000a_2 - MEDIO_x000a_3 - ALTO" sqref="H11:H38 E11:E38 E40:E73"/>
    <dataValidation type="list" errorStyle="warning" allowBlank="1" showInputMessage="1" errorTitle="ERROR DE CALIFICACION" error="Califique:_x000a_1 para BAJO_x000a_2 para MEDIO_x000a_3 para ALTO" promptTitle="CALIFIQUE" prompt="1 - Raro_x000a_2 - Improbable_x000a_3 - Posible_x000a_4 - Probable_x000a_5 - Casi Certeza_x000a_" sqref="D11:D38">
      <formula1>IF($B11="",1,prob)</formula1>
    </dataValidation>
    <dataValidation type="list" allowBlank="1" showInputMessage="1" promptTitle="CALIFIQUE" prompt="1 - Insignificante_x000a_2 - Menor_x000a_3 - Moderado_x000a_4 - Mayor_x000a_5 - Catastrófico" sqref="G11:G38">
      <formula1>IF($B11="","",imp)</formula1>
    </dataValidation>
    <dataValidation type="list" errorStyle="warning" allowBlank="1" showInputMessage="1" errorTitle="ERROR DE CALIFICACION" error="Califique:_x000a_1 para BAJO_x000a_2 para MEDIO_x000a_3 para ALTO" promptTitle="CALIFIQUE" prompt="3 -Posible_x000a_5 -Casi Certeza_x000a_" sqref="D40:D73">
      <formula1>IF($B40="",1,poscorrup)</formula1>
    </dataValidation>
  </dataValidations>
  <pageMargins left="0.31" right="0.2" top="0.91" bottom="0.98425196850393704" header="0.6" footer="0"/>
  <pageSetup paperSize="9" scale="38" orientation="landscape" r:id="rId1"/>
  <headerFooter alignWithMargins="0">
    <oddHeader>&amp;C&amp;"Kredit,Normal"&amp;22M A P A   D E   R I E S G O S</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9" tint="-0.249977111117893"/>
  </sheetPr>
  <dimension ref="A1:BN197"/>
  <sheetViews>
    <sheetView zoomScale="80" zoomScaleNormal="80" workbookViewId="0">
      <pane xSplit="3" ySplit="9" topLeftCell="D10" activePane="bottomRight" state="frozen"/>
      <selection pane="topRight" activeCell="D1" sqref="D1"/>
      <selection pane="bottomLeft" activeCell="A9" sqref="A9"/>
      <selection pane="bottomRight" activeCell="D10" sqref="D10"/>
    </sheetView>
  </sheetViews>
  <sheetFormatPr baseColWidth="10" defaultRowHeight="15.75" x14ac:dyDescent="0.2"/>
  <cols>
    <col min="1" max="1" width="3.88671875" style="3" customWidth="1"/>
    <col min="2" max="2" width="21.44140625" style="3" customWidth="1"/>
    <col min="3" max="3" width="7.77734375" style="5" customWidth="1"/>
    <col min="4" max="4" width="6.33203125" style="39" customWidth="1"/>
    <col min="5" max="5" width="4.88671875" style="234" hidden="1" customWidth="1"/>
    <col min="6" max="6" width="25.109375" style="39" customWidth="1"/>
    <col min="7" max="7" width="2.5546875" style="52" hidden="1" customWidth="1"/>
    <col min="8" max="8" width="9" style="39" customWidth="1"/>
    <col min="9" max="9" width="3.33203125" style="52" hidden="1" customWidth="1"/>
    <col min="10" max="10" width="9.5546875" style="39" customWidth="1"/>
    <col min="11" max="11" width="13.109375" style="5" customWidth="1"/>
    <col min="12" max="12" width="3.21875" style="5" hidden="1" customWidth="1"/>
    <col min="13" max="13" width="13" style="5" customWidth="1"/>
    <col min="14" max="14" width="4" style="5" hidden="1" customWidth="1"/>
    <col min="15" max="15" width="13.109375" style="234" customWidth="1"/>
    <col min="16" max="16" width="4" style="234" hidden="1" customWidth="1"/>
    <col min="17" max="17" width="13" style="62" customWidth="1"/>
    <col min="18" max="18" width="3.21875" style="62" hidden="1" customWidth="1"/>
    <col min="19" max="19" width="13" style="62" customWidth="1"/>
    <col min="20" max="20" width="2.88671875" style="62" hidden="1" customWidth="1"/>
    <col min="21" max="21" width="13" style="234" customWidth="1"/>
    <col min="22" max="22" width="2.88671875" style="234" hidden="1" customWidth="1"/>
    <col min="23" max="23" width="4" style="67" hidden="1" customWidth="1"/>
    <col min="24" max="24" width="12.21875" style="5" customWidth="1"/>
    <col min="25" max="25" width="8.77734375" style="67" hidden="1" customWidth="1"/>
    <col min="26" max="26" width="10" style="5" hidden="1" customWidth="1"/>
    <col min="27" max="27" width="12.6640625" style="5" customWidth="1"/>
    <col min="28" max="28" width="12.6640625" style="39" hidden="1" customWidth="1"/>
    <col min="29" max="29" width="13.109375" style="3" hidden="1" customWidth="1"/>
    <col min="30" max="30" width="8.21875" style="3" hidden="1" customWidth="1"/>
    <col min="31" max="31" width="11.6640625" style="3" hidden="1" customWidth="1"/>
    <col min="32" max="32" width="8.21875" style="3" hidden="1" customWidth="1"/>
    <col min="33" max="33" width="26.6640625" style="3" hidden="1" customWidth="1"/>
    <col min="34" max="52" width="11.5546875" style="3" hidden="1" customWidth="1"/>
    <col min="53" max="53" width="14.33203125" style="3" hidden="1" customWidth="1"/>
    <col min="54" max="66" width="11.5546875" style="3" hidden="1" customWidth="1"/>
    <col min="67" max="77" width="11.5546875" style="3" customWidth="1"/>
    <col min="78" max="16384" width="11.5546875" style="3"/>
  </cols>
  <sheetData>
    <row r="1" spans="1:65" ht="23.25" customHeight="1" x14ac:dyDescent="0.2">
      <c r="A1" s="437" t="s">
        <v>145</v>
      </c>
      <c r="B1" s="437"/>
      <c r="C1" s="506" t="s">
        <v>142</v>
      </c>
      <c r="D1" s="507"/>
      <c r="E1" s="507"/>
      <c r="F1" s="507"/>
      <c r="G1" s="507"/>
      <c r="H1" s="507"/>
      <c r="I1" s="507"/>
      <c r="J1" s="507"/>
      <c r="K1" s="507"/>
      <c r="L1" s="507"/>
      <c r="M1" s="507"/>
      <c r="N1" s="507"/>
      <c r="O1" s="507"/>
      <c r="P1" s="507"/>
      <c r="Q1" s="507"/>
      <c r="R1" s="507"/>
      <c r="S1" s="507"/>
      <c r="T1" s="508"/>
      <c r="U1" s="521" t="s">
        <v>71</v>
      </c>
      <c r="V1" s="521"/>
      <c r="W1" s="521"/>
      <c r="X1" s="521"/>
      <c r="Y1" s="521"/>
      <c r="Z1" s="521"/>
      <c r="AA1" s="521"/>
      <c r="AB1" s="48"/>
    </row>
    <row r="2" spans="1:65" ht="23.25" customHeight="1" x14ac:dyDescent="0.2">
      <c r="A2" s="437"/>
      <c r="B2" s="437"/>
      <c r="C2" s="509"/>
      <c r="D2" s="510"/>
      <c r="E2" s="510"/>
      <c r="F2" s="510"/>
      <c r="G2" s="510"/>
      <c r="H2" s="510"/>
      <c r="I2" s="510"/>
      <c r="J2" s="510"/>
      <c r="K2" s="510"/>
      <c r="L2" s="510"/>
      <c r="M2" s="510"/>
      <c r="N2" s="510"/>
      <c r="O2" s="510"/>
      <c r="P2" s="510"/>
      <c r="Q2" s="510"/>
      <c r="R2" s="510"/>
      <c r="S2" s="510"/>
      <c r="T2" s="511"/>
      <c r="U2" s="521" t="s">
        <v>107</v>
      </c>
      <c r="V2" s="521"/>
      <c r="W2" s="521"/>
      <c r="X2" s="521"/>
      <c r="Y2" s="521"/>
      <c r="Z2" s="521"/>
      <c r="AA2" s="521"/>
      <c r="AB2" s="48"/>
      <c r="BB2" s="3" t="s">
        <v>258</v>
      </c>
      <c r="BC2" s="3" t="s">
        <v>259</v>
      </c>
      <c r="BD2" s="3" t="s">
        <v>287</v>
      </c>
    </row>
    <row r="3" spans="1:65" ht="23.25" customHeight="1" x14ac:dyDescent="0.2">
      <c r="A3" s="437"/>
      <c r="B3" s="437"/>
      <c r="C3" s="512"/>
      <c r="D3" s="513"/>
      <c r="E3" s="513"/>
      <c r="F3" s="513"/>
      <c r="G3" s="513"/>
      <c r="H3" s="513"/>
      <c r="I3" s="513"/>
      <c r="J3" s="513"/>
      <c r="K3" s="513"/>
      <c r="L3" s="513"/>
      <c r="M3" s="513"/>
      <c r="N3" s="513"/>
      <c r="O3" s="513"/>
      <c r="P3" s="513"/>
      <c r="Q3" s="513"/>
      <c r="R3" s="513"/>
      <c r="S3" s="513"/>
      <c r="T3" s="514"/>
      <c r="U3" s="521" t="s">
        <v>408</v>
      </c>
      <c r="V3" s="521"/>
      <c r="W3" s="521"/>
      <c r="X3" s="521"/>
      <c r="Y3" s="521"/>
      <c r="Z3" s="521"/>
      <c r="AA3" s="521"/>
      <c r="AB3" s="48"/>
      <c r="BB3" s="3">
        <f>COUNTIF($N$10:$N$93,30)</f>
        <v>50</v>
      </c>
      <c r="BC3" s="3">
        <f>COUNTIF($N$10:$N$93,0)</f>
        <v>6</v>
      </c>
      <c r="BD3" s="3">
        <f>COUNTA(IDENTIFICACIÓN!D9:D36)</f>
        <v>28</v>
      </c>
    </row>
    <row r="4" spans="1:65" ht="4.5" customHeight="1" x14ac:dyDescent="0.2">
      <c r="A4" s="33"/>
      <c r="B4" s="34"/>
      <c r="C4" s="35"/>
      <c r="D4" s="35"/>
      <c r="E4" s="233"/>
      <c r="F4" s="35"/>
      <c r="G4" s="35"/>
      <c r="H4" s="35"/>
      <c r="I4" s="35"/>
      <c r="J4" s="35"/>
      <c r="K4" s="35"/>
      <c r="L4" s="35"/>
      <c r="M4" s="38"/>
      <c r="N4" s="58"/>
      <c r="O4" s="232"/>
      <c r="P4" s="58"/>
      <c r="Q4" s="35"/>
      <c r="R4" s="35"/>
      <c r="S4" s="35"/>
      <c r="T4" s="35"/>
      <c r="U4" s="233"/>
      <c r="V4" s="233"/>
      <c r="W4" s="38"/>
      <c r="X4" s="49"/>
      <c r="Y4" s="49"/>
      <c r="Z4" s="49"/>
      <c r="AA4" s="49"/>
      <c r="AB4" s="49"/>
    </row>
    <row r="5" spans="1:65" ht="28.5" customHeight="1" x14ac:dyDescent="0.2">
      <c r="A5" s="439" t="s">
        <v>78</v>
      </c>
      <c r="B5" s="439"/>
      <c r="C5" s="439"/>
      <c r="D5" s="439"/>
      <c r="E5" s="439"/>
      <c r="F5" s="439"/>
      <c r="G5" s="439"/>
      <c r="H5" s="439"/>
      <c r="I5" s="439"/>
      <c r="J5" s="439"/>
      <c r="K5" s="439"/>
      <c r="L5" s="439"/>
      <c r="M5" s="523"/>
      <c r="N5" s="523"/>
      <c r="O5" s="523"/>
      <c r="P5" s="523"/>
      <c r="Q5" s="523"/>
      <c r="R5" s="523"/>
      <c r="S5" s="523"/>
      <c r="T5" s="523"/>
      <c r="U5" s="523"/>
      <c r="V5" s="523"/>
      <c r="W5" s="523"/>
      <c r="X5" s="523"/>
      <c r="Y5" s="523"/>
      <c r="Z5" s="523"/>
      <c r="AA5" s="523"/>
      <c r="AB5" s="50"/>
      <c r="AH5" s="3" t="s">
        <v>103</v>
      </c>
      <c r="AI5" s="3" t="s">
        <v>104</v>
      </c>
      <c r="AJ5" s="3" t="s">
        <v>128</v>
      </c>
      <c r="AK5" s="3" t="s">
        <v>105</v>
      </c>
      <c r="AL5" s="3" t="s">
        <v>106</v>
      </c>
      <c r="BB5" s="3" t="s">
        <v>262</v>
      </c>
      <c r="BC5" s="3" t="s">
        <v>263</v>
      </c>
      <c r="BD5" s="3" t="s">
        <v>266</v>
      </c>
      <c r="BE5" s="3" t="s">
        <v>267</v>
      </c>
      <c r="BF5" s="3" t="s">
        <v>272</v>
      </c>
      <c r="BG5" s="3" t="s">
        <v>273</v>
      </c>
      <c r="BH5" s="3" t="s">
        <v>278</v>
      </c>
      <c r="BI5" s="3" t="s">
        <v>281</v>
      </c>
      <c r="BJ5" s="3" t="s">
        <v>335</v>
      </c>
      <c r="BK5" s="3" t="s">
        <v>337</v>
      </c>
      <c r="BL5" s="3" t="s">
        <v>272</v>
      </c>
      <c r="BM5" s="3" t="s">
        <v>273</v>
      </c>
    </row>
    <row r="6" spans="1:65" x14ac:dyDescent="0.2">
      <c r="A6" s="489" t="str">
        <f>'CONTEXTO ESTRATEGICO'!A7</f>
        <v>INSTITUCIONAL</v>
      </c>
      <c r="B6" s="489"/>
      <c r="C6" s="496" t="str">
        <f>'CONTEXTO ESTRATEGICO'!B7</f>
        <v>Mapa de Riesgo Institucional</v>
      </c>
      <c r="D6" s="496"/>
      <c r="E6" s="496"/>
      <c r="F6" s="496"/>
      <c r="G6" s="496"/>
      <c r="H6" s="496"/>
      <c r="I6" s="496"/>
      <c r="J6" s="496"/>
      <c r="K6" s="496"/>
      <c r="L6" s="496"/>
      <c r="M6" s="496"/>
      <c r="N6" s="496"/>
      <c r="O6" s="496"/>
      <c r="P6" s="496"/>
      <c r="Q6" s="496"/>
      <c r="R6" s="496"/>
      <c r="S6" s="496"/>
      <c r="T6" s="496"/>
      <c r="U6" s="496"/>
      <c r="V6" s="496"/>
      <c r="W6" s="496"/>
      <c r="X6" s="496"/>
      <c r="Y6" s="496"/>
      <c r="Z6" s="496"/>
      <c r="AA6" s="496"/>
      <c r="AB6" s="51"/>
      <c r="BB6" s="3">
        <f>COUNTIF($BB$10:$BB$93,"SI")</f>
        <v>48</v>
      </c>
      <c r="BC6" s="3">
        <f>COUNTIF($BC$10:$BC$93,"SI")</f>
        <v>3</v>
      </c>
      <c r="BD6" s="3">
        <f>COUNTIF($BD$10:$BD$93,"SI")</f>
        <v>50</v>
      </c>
      <c r="BE6" s="3">
        <f>COUNTIF($BE$10:$BE$93,"SI")</f>
        <v>5</v>
      </c>
      <c r="BF6" s="3">
        <f>COUNTIF($BF$10:$BF$93,"SI")</f>
        <v>45</v>
      </c>
      <c r="BG6" s="3">
        <f>COUNTIF($BG$10:$BG$93,"SI")</f>
        <v>1</v>
      </c>
      <c r="BH6" s="3">
        <f>COUNTIF($BH$10:$BH$93,"P")</f>
        <v>48</v>
      </c>
      <c r="BI6" s="3">
        <f>COUNTIF($BI$10:$BI$93,"P")</f>
        <v>6</v>
      </c>
      <c r="BJ6" s="3">
        <f>COUNTIF($BJ$10:$BJ$93,"A")</f>
        <v>2</v>
      </c>
      <c r="BK6" s="3">
        <f>COUNTIF($BK$10:$BK$93,"A")</f>
        <v>1</v>
      </c>
      <c r="BL6" s="3">
        <f>COUNTIF($BL$10:$BL$93,"SI")</f>
        <v>50</v>
      </c>
      <c r="BM6" s="3">
        <f>COUNTIF($BM$10:$BM$93,"SI")</f>
        <v>4</v>
      </c>
    </row>
    <row r="7" spans="1:65" ht="30.75" customHeight="1" x14ac:dyDescent="0.2">
      <c r="A7" s="489" t="str">
        <f>'CONTEXTO ESTRATEGICO'!A8</f>
        <v>MISION</v>
      </c>
      <c r="B7" s="489"/>
      <c r="C7" s="496"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6"/>
      <c r="E7" s="496"/>
      <c r="F7" s="496"/>
      <c r="G7" s="496"/>
      <c r="H7" s="496"/>
      <c r="I7" s="496"/>
      <c r="J7" s="496"/>
      <c r="K7" s="496"/>
      <c r="L7" s="496"/>
      <c r="M7" s="496"/>
      <c r="N7" s="496"/>
      <c r="O7" s="496"/>
      <c r="P7" s="496"/>
      <c r="Q7" s="496"/>
      <c r="R7" s="496"/>
      <c r="S7" s="496"/>
      <c r="T7" s="496"/>
      <c r="U7" s="496"/>
      <c r="V7" s="496"/>
      <c r="W7" s="496"/>
      <c r="X7" s="496"/>
      <c r="Y7" s="496"/>
      <c r="Z7" s="496"/>
      <c r="AA7" s="496"/>
      <c r="AB7" s="51"/>
      <c r="BB7" s="3" t="s">
        <v>264</v>
      </c>
      <c r="BC7" s="3" t="s">
        <v>265</v>
      </c>
      <c r="BD7" s="3" t="s">
        <v>268</v>
      </c>
      <c r="BE7" s="3" t="s">
        <v>269</v>
      </c>
      <c r="BF7" s="3" t="s">
        <v>274</v>
      </c>
      <c r="BG7" s="3" t="s">
        <v>275</v>
      </c>
      <c r="BH7" s="3" t="s">
        <v>279</v>
      </c>
      <c r="BI7" s="3" t="s">
        <v>282</v>
      </c>
      <c r="BJ7" s="3" t="s">
        <v>336</v>
      </c>
      <c r="BK7" s="3" t="s">
        <v>338</v>
      </c>
      <c r="BL7" s="3" t="s">
        <v>274</v>
      </c>
      <c r="BM7" s="3" t="s">
        <v>275</v>
      </c>
    </row>
    <row r="8" spans="1:65" ht="25.5" customHeight="1" x14ac:dyDescent="0.2">
      <c r="A8" s="485" t="s">
        <v>22</v>
      </c>
      <c r="B8" s="485" t="s">
        <v>28</v>
      </c>
      <c r="C8" s="516" t="s">
        <v>29</v>
      </c>
      <c r="D8" s="517" t="s">
        <v>94</v>
      </c>
      <c r="E8" s="518"/>
      <c r="F8" s="518"/>
      <c r="G8" s="518"/>
      <c r="H8" s="518"/>
      <c r="I8" s="518"/>
      <c r="J8" s="519"/>
      <c r="K8" s="504" t="s">
        <v>111</v>
      </c>
      <c r="L8" s="505"/>
      <c r="M8" s="505"/>
      <c r="N8" s="505"/>
      <c r="O8" s="505"/>
      <c r="P8" s="522"/>
      <c r="Q8" s="504" t="s">
        <v>324</v>
      </c>
      <c r="R8" s="505"/>
      <c r="S8" s="505"/>
      <c r="T8" s="505"/>
      <c r="U8" s="505"/>
      <c r="V8" s="235"/>
      <c r="W8" s="66"/>
      <c r="X8" s="520" t="s">
        <v>23</v>
      </c>
      <c r="Y8" s="64"/>
      <c r="Z8" s="30"/>
      <c r="AA8" s="520" t="s">
        <v>30</v>
      </c>
      <c r="AB8" s="515" t="s">
        <v>98</v>
      </c>
      <c r="AC8" s="501" t="s">
        <v>127</v>
      </c>
      <c r="AD8" s="501" t="s">
        <v>99</v>
      </c>
      <c r="AE8" s="501" t="s">
        <v>101</v>
      </c>
      <c r="AF8" s="501" t="s">
        <v>100</v>
      </c>
      <c r="AG8" s="501" t="s">
        <v>102</v>
      </c>
      <c r="AM8" s="3" t="s">
        <v>224</v>
      </c>
      <c r="AN8" s="3" t="s">
        <v>225</v>
      </c>
      <c r="AO8" s="3" t="s">
        <v>226</v>
      </c>
      <c r="AP8" s="3" t="s">
        <v>328</v>
      </c>
      <c r="BA8" s="3" t="s">
        <v>205</v>
      </c>
      <c r="BB8" s="3">
        <f>COUNTIF($BB$10:$BB$93,"NO")</f>
        <v>2</v>
      </c>
      <c r="BC8" s="3">
        <f>COUNTIF($BC$10:$BC$93,"NO")</f>
        <v>3</v>
      </c>
      <c r="BD8" s="3">
        <f>COUNTIF($BD$10:$BD$93,"NO")</f>
        <v>0</v>
      </c>
      <c r="BE8" s="3">
        <f>COUNTIF($BE$10:$BE$93,"NO")</f>
        <v>1</v>
      </c>
      <c r="BF8" s="3">
        <f>COUNTIF($BF$10:$BF$93,"NO")</f>
        <v>5</v>
      </c>
      <c r="BG8" s="3">
        <f>COUNTIF($BG$10:$BG$93,"NO")</f>
        <v>5</v>
      </c>
      <c r="BH8" s="3">
        <f>COUNTIF($BH$10:$BH$93,"C")</f>
        <v>2</v>
      </c>
      <c r="BI8" s="3">
        <f>COUNTIF($BI$10:$BI$93,"C")</f>
        <v>0</v>
      </c>
      <c r="BJ8" s="3">
        <f>COUNTIF($BJ$10:$BJ$93,"M")</f>
        <v>48</v>
      </c>
      <c r="BK8" s="3">
        <f>COUNTIF($BK$10:$BK$93,"M")</f>
        <v>5</v>
      </c>
      <c r="BL8" s="3">
        <f>COUNTIF($BL$10:$BL$93,"NO")</f>
        <v>0</v>
      </c>
      <c r="BM8" s="3">
        <f>COUNTIF($BM$10:$BM$93,"NO")</f>
        <v>2</v>
      </c>
    </row>
    <row r="9" spans="1:65" ht="39" customHeight="1" x14ac:dyDescent="0.2">
      <c r="A9" s="485"/>
      <c r="B9" s="485"/>
      <c r="C9" s="516"/>
      <c r="D9" s="47" t="s">
        <v>95</v>
      </c>
      <c r="E9" s="47"/>
      <c r="F9" s="47" t="s">
        <v>12</v>
      </c>
      <c r="G9" s="10" t="s">
        <v>15</v>
      </c>
      <c r="H9" s="47" t="s">
        <v>8</v>
      </c>
      <c r="I9" s="10" t="s">
        <v>15</v>
      </c>
      <c r="J9" s="47" t="s">
        <v>72</v>
      </c>
      <c r="K9" s="504" t="s">
        <v>13</v>
      </c>
      <c r="L9" s="505"/>
      <c r="M9" s="504" t="s">
        <v>14</v>
      </c>
      <c r="N9" s="505"/>
      <c r="O9" s="504" t="s">
        <v>327</v>
      </c>
      <c r="P9" s="505"/>
      <c r="Q9" s="504" t="s">
        <v>325</v>
      </c>
      <c r="R9" s="505"/>
      <c r="S9" s="504" t="s">
        <v>112</v>
      </c>
      <c r="T9" s="505"/>
      <c r="U9" s="504" t="s">
        <v>326</v>
      </c>
      <c r="V9" s="505"/>
      <c r="W9" s="26"/>
      <c r="X9" s="520"/>
      <c r="Y9" s="64" t="s">
        <v>125</v>
      </c>
      <c r="Z9" s="64" t="s">
        <v>126</v>
      </c>
      <c r="AA9" s="520"/>
      <c r="AB9" s="515"/>
      <c r="AC9" s="501"/>
      <c r="AD9" s="501"/>
      <c r="AE9" s="501"/>
      <c r="AF9" s="501"/>
      <c r="AG9" s="501"/>
      <c r="AH9" s="46" t="s">
        <v>88</v>
      </c>
      <c r="AI9" s="46" t="s">
        <v>89</v>
      </c>
      <c r="AJ9" s="46" t="s">
        <v>90</v>
      </c>
      <c r="AK9" s="46" t="s">
        <v>91</v>
      </c>
      <c r="AL9" s="46" t="s">
        <v>92</v>
      </c>
      <c r="AM9" s="3" t="s">
        <v>213</v>
      </c>
      <c r="AN9" s="3" t="s">
        <v>214</v>
      </c>
      <c r="AO9" s="3" t="s">
        <v>215</v>
      </c>
      <c r="AP9" s="3" t="s">
        <v>329</v>
      </c>
      <c r="AQ9" s="3" t="s">
        <v>217</v>
      </c>
      <c r="AR9" s="3" t="s">
        <v>218</v>
      </c>
      <c r="AS9" s="3" t="s">
        <v>223</v>
      </c>
      <c r="AT9" s="3" t="s">
        <v>219</v>
      </c>
      <c r="AU9" s="3" t="s">
        <v>331</v>
      </c>
      <c r="AV9" s="3" t="s">
        <v>330</v>
      </c>
      <c r="AW9" s="3" t="s">
        <v>332</v>
      </c>
      <c r="AX9" s="3" t="s">
        <v>221</v>
      </c>
      <c r="AY9" s="3" t="s">
        <v>220</v>
      </c>
      <c r="AZ9" s="3" t="s">
        <v>222</v>
      </c>
      <c r="BA9" s="3" t="s">
        <v>216</v>
      </c>
      <c r="BB9" s="3" t="s">
        <v>260</v>
      </c>
      <c r="BC9" s="3" t="s">
        <v>261</v>
      </c>
      <c r="BD9" s="3" t="s">
        <v>270</v>
      </c>
      <c r="BE9" s="3" t="s">
        <v>271</v>
      </c>
      <c r="BF9" s="3" t="s">
        <v>276</v>
      </c>
      <c r="BG9" s="3" t="s">
        <v>277</v>
      </c>
      <c r="BH9" s="3" t="s">
        <v>280</v>
      </c>
      <c r="BI9" s="3" t="s">
        <v>283</v>
      </c>
      <c r="BJ9" s="3" t="s">
        <v>333</v>
      </c>
      <c r="BK9" s="3" t="s">
        <v>334</v>
      </c>
      <c r="BL9" s="3" t="s">
        <v>339</v>
      </c>
      <c r="BM9" s="3" t="s">
        <v>340</v>
      </c>
    </row>
    <row r="10" spans="1:65" ht="36" customHeight="1" x14ac:dyDescent="0.2">
      <c r="A10" s="503" t="str">
        <f>IDENTIFICACIÓN!C9</f>
        <v>1G</v>
      </c>
      <c r="B10" s="496" t="str">
        <f>IF(IDENTIFICACIÓN!D9="","",IDENTIFICACIÓN!D9)</f>
        <v>Relaciones Interinstitucionales. Concentrar labores múltiples en poco personal</v>
      </c>
      <c r="C10" s="20">
        <v>1</v>
      </c>
      <c r="D10" s="56" t="s">
        <v>10</v>
      </c>
      <c r="E10" s="240">
        <f>IF($D10="","",IF($D10="SI",10,0))</f>
        <v>0</v>
      </c>
      <c r="F10" s="44"/>
      <c r="G10" s="18" t="str">
        <f t="shared" ref="G10:G39" si="0">IF($D10="SI",IF(ISBLANK(F10),"Decripcion",""),"")</f>
        <v/>
      </c>
      <c r="H10" s="44"/>
      <c r="I10" s="18" t="str">
        <f>IF($D10="SI",IF(ISBLANK(H10),"Tipo",""),"")</f>
        <v/>
      </c>
      <c r="J10" s="55" t="str">
        <f>IF(H10="Preventivo","Posibilidad",IF(H10="Correctivo","Impacto",""))</f>
        <v/>
      </c>
      <c r="K10" s="29"/>
      <c r="L10" s="18" t="str">
        <f>IF($D10="SI",IF(K10="SI",15,IF(K10="NO",0,"P1")),"")</f>
        <v/>
      </c>
      <c r="M10" s="41"/>
      <c r="N10" s="18" t="str">
        <f>IF($D10="SI",IF(M10="SI",30,IF(M10="NO",0,"P2")),"")</f>
        <v/>
      </c>
      <c r="O10" s="43"/>
      <c r="P10" s="18" t="str">
        <f>IF($D10="SI",IF(O10="Automático",15,IF(O10="Manual",10,"P3")),"")</f>
        <v/>
      </c>
      <c r="Q10" s="43"/>
      <c r="R10" s="18" t="str">
        <f>IF($D10="SI",IF(Q10="SI",5,IF(Q10="NO",0,"P4")),"")</f>
        <v/>
      </c>
      <c r="S10" s="43"/>
      <c r="T10" s="18" t="str">
        <f>IF($D10="SI",IF(S10="SI",15,IF(S10="NO",0,"P5")),"")</f>
        <v/>
      </c>
      <c r="U10" s="43"/>
      <c r="V10" s="18" t="str">
        <f>IF($D10="SI",IF(U10="SI",10,IF(U10="NO",0,"P6")),"")</f>
        <v/>
      </c>
      <c r="W10" s="18">
        <f>IF(D10="SI",E10+L10+N10+P10+R10+T10+V10,0)</f>
        <v>0</v>
      </c>
      <c r="X10" s="57">
        <f t="shared" ref="X10:X39" si="1">IF(ISBLANK(D10),"",IF(D10="NO",0,IF(D10="SI",IF(OR(G10="Decripcion",I10="Tipo",L10="P1",N10="P2",P10="P3",R10="P4",T10="P5",V10="P6"),CONCATENATE("Falta diligenciar: ",G10," ",I10,IF(L10="P1"," Preg 1",),IF(N10="P2"," Preg 2",),IF(P10="P3"," Preg 3",),IF(R10="P4"," Preg 4",),IF(T10="P5"," Preg 5",),IF(V10="P6"," Preg 6",)),IF(W10&gt;76,CONCATENATE(W10,"                           Disminuye max 2 en ",J10),IF(AND(W10&gt;50,W10&lt;76),CONCATENATE(W10,"                           Disminuye max 1 en ", J10),W10))))))</f>
        <v>0</v>
      </c>
      <c r="Y10" s="57">
        <f>IF(AND(W10&gt;50,W10&lt;76,J10="Posibilidad"),1,IF(AND(W10&gt;75,W10&lt;101,J10="Posibilidad"),2,0))</f>
        <v>0</v>
      </c>
      <c r="Z10" s="65">
        <f>IF(AND(W10&gt;50,W10&lt;76,J10="Impacto"),1,IF(AND(W10&gt;75,W10&lt;101,J10="Impacto"),2,0))</f>
        <v>0</v>
      </c>
      <c r="AA10" s="497" t="str">
        <f>IF(AB10=0,"",(ROUND((SUM(W10:W12)/AB10),0)))</f>
        <v/>
      </c>
      <c r="AB10" s="500">
        <f>COUNT(T10:T12)</f>
        <v>0</v>
      </c>
      <c r="AC10" s="3">
        <f>SUM(Y10:Y12)</f>
        <v>0</v>
      </c>
      <c r="AD10" s="3">
        <f>ANALISIS!D11</f>
        <v>3</v>
      </c>
      <c r="AE10" s="3">
        <f>IF((AD10-AC10)&gt;=1,(AD10-AC10),1)</f>
        <v>3</v>
      </c>
      <c r="AF10" s="501">
        <f>(AE11*10)+AE10</f>
        <v>33</v>
      </c>
      <c r="AG10" s="42" t="str">
        <f>IF(AE11=1,AH10,IF(AE11=2,AI10,IF(AE11=3,AJ10,IF(AE11=4,AK10,AL10))))</f>
        <v>ALTA 3:3</v>
      </c>
      <c r="AH10" s="46" t="str">
        <f>IF($AF10=11,"BAJA 1:1",IF($AF10=12,"BAJA 2:1",IF($AF10=13,"BAJA 3:1",IF($AF10=14,"MODERADA 4:1","ALTA 5:1"))))</f>
        <v>ALTA 5:1</v>
      </c>
      <c r="AI10" s="46" t="str">
        <f>IF($AF10=21,"BAJA 1:2",IF($AF10=22,"BAJA 2:2",IF($AF10=23,"MODERADA 3:2",IF($AF10=24,"ALTA 4:2","ALTA 5:2"))))</f>
        <v>ALTA 5:2</v>
      </c>
      <c r="AJ10" s="46" t="str">
        <f>IF($AF10=31,"MODERADA 1:3",IF($AF10=32,"MODERADA 2:3",IF($AF10=33,"ALTA 3:3",IF($AF10=34,"ALTA 4:3","EXTREMA 5:3"))))</f>
        <v>ALTA 3:3</v>
      </c>
      <c r="AK10" s="46" t="str">
        <f>IF($AF10=41,"ALTA 1:4",IF($AF10=42,"ALTA 2:4",IF($AF10=43,"EXTREMA 3:4",IF($AF10=44,"EXTREMA 4:4","EXTREMA 5:4"))))</f>
        <v>EXTREMA 5:4</v>
      </c>
      <c r="AL10" s="46" t="str">
        <f>IF($AF10=51,"ALTA 1:5",IF($AF10=52,"EXTREMA 2:5",IF($AF10=53,"EXTREMA 3:5",IF($AF10=54,"EXTREMA 4:5","EXTREMA 5:5"))))</f>
        <v>EXTREMA 5:5</v>
      </c>
      <c r="AM10" s="3" t="str">
        <f>IF(AND(N10=30,L10=0),$AM$8,"")</f>
        <v/>
      </c>
      <c r="AN10" s="3" t="str">
        <f t="shared" ref="AN10:AN39" si="2">IF(AND(N10=30,R10=0),$AN$8,"")</f>
        <v/>
      </c>
      <c r="AO10" s="3" t="str">
        <f t="shared" ref="AO10:AO39" si="3">IF(AND(N10=30,T10=0),$AO$8,"")</f>
        <v/>
      </c>
      <c r="AP10" s="3" t="str">
        <f>IF(AND(N10=30,V10=0),$AP$8,"")</f>
        <v/>
      </c>
      <c r="AQ10" s="3" t="str">
        <f>AM10</f>
        <v/>
      </c>
      <c r="AR10" s="3" t="str">
        <f>AN10</f>
        <v/>
      </c>
      <c r="AT10" s="3" t="str">
        <f>AO10</f>
        <v/>
      </c>
      <c r="AV10" s="3" t="str">
        <f>AP10</f>
        <v/>
      </c>
      <c r="AX10" s="502" t="str">
        <f>IF(AW12="","",CONCATENATE(AW12," (de) el(los) control(es) Efectivo(s) "))</f>
        <v/>
      </c>
      <c r="AY10" s="502" t="str">
        <f>IF(CONCATENATE(N10:N12)="","",IF(AND(SUM(E10:E12)=10,SUM(N10:N12)&lt;30),"- Replantear control(es) NO efectivo(s) ",IF(AND(SUM(E10:E12)=20,SUM(N10:N12)&lt;60),"- Replantear control(es) NO efectivo(s) ",IF(AND(SUM(E10:E12)=30,SUM(N10:N12)&lt;90),"- Replantear control(es) NO efectivo(s) ",""))))</f>
        <v/>
      </c>
      <c r="AZ10" s="502" t="str">
        <f>IF(AND(AE10&gt;1,AE11&gt;1),"- Tomar Acciones Preventivas y Correctivas",IF(AE10&gt;1,"- Tomar Acciones Preventivas",IF(AE11&gt;1,"- Tomar Acciones Correctivas","")))</f>
        <v>- Tomar Acciones Preventivas y Correctivas</v>
      </c>
      <c r="BA10" s="502" t="str">
        <f>CONCATENATE(AX10,AY10,AZ10)</f>
        <v>- Tomar Acciones Preventivas y Correctivas</v>
      </c>
      <c r="BB10" s="3" t="str">
        <f>IF(AND($N10=30,L10=15),"SI",IF(AND($N10=30,L10=0),"NO",""))</f>
        <v/>
      </c>
      <c r="BC10" s="3" t="str">
        <f>IF(AND($N10=0,L10=15),"SI",IF(AND($N10=0,L10=0),"NO",""))</f>
        <v/>
      </c>
      <c r="BD10" s="3" t="str">
        <f>IF(AND($N10=30,R10=5),"SI",IF(AND($N10=30,R10=0),"NO",""))</f>
        <v/>
      </c>
      <c r="BE10" s="3" t="str">
        <f>IF(AND($N10=0,R10=5),"SI",IF(AND($N10=0,R10=0),"NO",""))</f>
        <v/>
      </c>
      <c r="BF10" s="3" t="str">
        <f>IF(AND($N10=30,T10=15),"SI",IF(AND($N10=30,T10=0),"NO",""))</f>
        <v/>
      </c>
      <c r="BG10" s="3" t="str">
        <f>IF(AND($N10=0,T10=15),"SI",IF(AND($N10=0,T10=0),"NO",""))</f>
        <v/>
      </c>
      <c r="BH10" s="3" t="str">
        <f>IF(AND($N10=30,$H10="Preventivo"),"P",IF(AND($N10=30,$H10="Correctivo"),"C",""))</f>
        <v/>
      </c>
      <c r="BI10" s="3" t="str">
        <f>IF(AND($N10=0,$H10="Preventivo"),"P",IF(AND($N10=0,$H10="Correctivo"),"C",""))</f>
        <v/>
      </c>
      <c r="BJ10" s="3" t="str">
        <f>IF(AND($N10=30,$O10="Automático"),"A",IF(AND($N10=30,$O10="Manual"),"M",""))</f>
        <v/>
      </c>
      <c r="BK10" s="3" t="str">
        <f>IF(AND($N10=0,$O10="Automático"),"A",IF(AND($N10=0,$O10="Manual"),"M",""))</f>
        <v/>
      </c>
      <c r="BL10" s="3" t="str">
        <f>IF(AND($N10=30,V10=10),"SI",IF(AND($N10=30,V10=0),"NO",""))</f>
        <v/>
      </c>
      <c r="BM10" s="3" t="str">
        <f>IF(AND($N10=0,V10=10),"SI",IF(AND($N10=0,V10=0),"NO",""))</f>
        <v/>
      </c>
    </row>
    <row r="11" spans="1:65" ht="35.25" customHeight="1" x14ac:dyDescent="0.2">
      <c r="A11" s="503"/>
      <c r="B11" s="496"/>
      <c r="C11" s="20">
        <v>2</v>
      </c>
      <c r="D11" s="56"/>
      <c r="E11" s="240" t="str">
        <f t="shared" ref="E11:E110" si="4">IF($D11="","",IF($D11="SI",10,0))</f>
        <v/>
      </c>
      <c r="F11" s="98"/>
      <c r="G11" s="18" t="str">
        <f t="shared" si="0"/>
        <v/>
      </c>
      <c r="H11" s="40"/>
      <c r="I11" s="18" t="str">
        <f t="shared" ref="I11:I39" si="5">IF($D11="SI",IF(ISBLANK(H11),"Tipo",""),"")</f>
        <v/>
      </c>
      <c r="J11" s="55" t="str">
        <f t="shared" ref="J11:J39" si="6">IF(H11="Preventivo","Posibilidad",IF(H11="Correctivo","Impacto",""))</f>
        <v/>
      </c>
      <c r="K11" s="43"/>
      <c r="L11" s="18" t="str">
        <f t="shared" ref="L11:L39" si="7">IF($D11="SI",IF(K11="SI",15,IF(K11="NO",0,"P1")),"")</f>
        <v/>
      </c>
      <c r="M11" s="43"/>
      <c r="N11" s="18" t="str">
        <f t="shared" ref="N11:N39" si="8">IF($D11="SI",IF(M11="SI",30,IF(M11="NO",0,"P2")),"")</f>
        <v/>
      </c>
      <c r="O11" s="43"/>
      <c r="P11" s="18" t="str">
        <f t="shared" ref="P11:P39" si="9">IF($D11="SI",IF(O11="Automático",15,IF(O11="Manual",10,"P3")),"")</f>
        <v/>
      </c>
      <c r="Q11" s="43"/>
      <c r="R11" s="18" t="str">
        <f t="shared" ref="R11:R39" si="10">IF($D11="SI",IF(Q11="SI",5,IF(Q11="NO",0,"P4")),"")</f>
        <v/>
      </c>
      <c r="S11" s="43"/>
      <c r="T11" s="18" t="str">
        <f t="shared" ref="T11:T39" si="11">IF($D11="SI",IF(S11="SI",15,IF(S11="NO",0,"P5")),"")</f>
        <v/>
      </c>
      <c r="U11" s="43"/>
      <c r="V11" s="18" t="str">
        <f t="shared" ref="V11:V39" si="12">IF($D11="SI",IF(U11="SI",10,IF(U11="NO",0,"P6")),"")</f>
        <v/>
      </c>
      <c r="W11" s="18">
        <f t="shared" ref="W11:W39" si="13">IF(D11="SI",E11+L11+N11+P11+R11+T11+V11,0)</f>
        <v>0</v>
      </c>
      <c r="X11" s="57" t="str">
        <f t="shared" si="1"/>
        <v/>
      </c>
      <c r="Y11" s="57">
        <f t="shared" ref="Y11:Y39" si="14">IF(AND(W11&gt;50,W11&lt;76,J11="Posibilidad"),1,IF(AND(W11&gt;75,W11&lt;101,J11="Posibilidad"),2,0))</f>
        <v>0</v>
      </c>
      <c r="Z11" s="65">
        <f t="shared" ref="Z11:Z39" si="15">IF(AND(W11&gt;50,W11&lt;76,J11="Impacto"),1,IF(AND(W11&gt;75,W11&lt;101,J11="Impacto"),2,0))</f>
        <v>0</v>
      </c>
      <c r="AA11" s="498"/>
      <c r="AB11" s="500"/>
      <c r="AC11" s="3">
        <f>SUM(Z10:Z12)</f>
        <v>0</v>
      </c>
      <c r="AD11" s="3">
        <f>ANALISIS!G11</f>
        <v>3</v>
      </c>
      <c r="AE11" s="3">
        <f>IF((AD11-AC11)&gt;=1,(AD11-AC11),1)</f>
        <v>3</v>
      </c>
      <c r="AF11" s="501"/>
      <c r="AG11" s="42" t="str">
        <f>IF(AE11=1,AH11,IF(AE11=2,AI11,IF(AE11=3,AJ11,IF(AE11=4,AK11,AL11))))</f>
        <v>- Evitar Posibilidad de Ocurrencia- Reducir el Riesgo- Compartir o Transferir el Riesgo</v>
      </c>
      <c r="AH11" s="46" t="str">
        <f>IF($AF10=11,"- Asumir el Riesgo",IF($AF10=12,"- Asumir el Riesgo- Evitar Posibilidad de Ocurrencia- Reducir el Riesgo",IF($AF10=13,"- Asumir el Riesgo- Evitar Posibilidad de Ocurrencia- Reducir el Riesgo",IF($AF10=14,"-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11" s="46" t="str">
        <f>IF($AF10=21,"- Asumir el Riesgo- Reducir el Riesgo",IF($AF10=22,"- Asumir el Riesgo- Evitar Posibilidad de Ocurrencia- Reducir el Riesgo",IF($AF10=23,"- Asumir el Riesgo- Evitar Posibilidad de Ocurrencia- Reducir el Riesgo- Compartir o Transferir el Riesgo",IF($AF10=24,"- Evitar Posibilidad de Ocurrencia- Reducir el Riesgo- Compartir o Transferir el Riesgo","- Evitar Posibilidad de Ocurrencia- Reducir el Riesgo- Compartir o Transferir el Riesgo"))))</f>
        <v>- Evitar Posibilidad de Ocurrencia- Reducir el Riesgo- Compartir o Transferir el Riesgo</v>
      </c>
      <c r="AJ11" s="46" t="str">
        <f>IF($AF10=31,"- Asumir el Riesgo- Reducir el Riesgo- Compartir o Transferir el Riesgo",IF($AF10=32,"- Asumir el Riesgo- Evitar Posibilidad de Ocurrencia- Reducir el Reducir- Compartir o Transferir el Riesgo",IF($AF10=33,"- Evitar Posibilidad de Ocurrencia- Reducir el Riesgo- Compartir o Transferir el Riesgo",IF($AF10=34,"- Evitar Posibilidad de Ocurrencia- Reducir el Riesgo- Compartir o Transferir el Riesgo","- Eliminar Causa(s)- Evitar Posibilidad de Ocurrencia- Reducir el Riesgo- Compartir o Transferir el Riesgo"))))</f>
        <v>- Evitar Posibilidad de Ocurrencia- Reducir el Riesgo- Compartir o Transferir el Riesgo</v>
      </c>
      <c r="AK11" s="46" t="str">
        <f>IF($AF10=41,"- Reducir el Riesgo- Compartir o Transferir el Riesgo",IF($AF10=42,"- Evitar Posibilidad de Ocurrencia- Reducir el Riesgo- Compartir o Transferir el Riesgo",IF($AF10=43,"- Eliminar Causa(s)- Evitar Posibilidad de Ocurrencia- Reducir el Riesgo- Compartir o Transferir el Riesgo",IF($AF10=44,"-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11" s="46" t="str">
        <f>IF($AF10=51,"- Reducir el Riesgo- Compartir o Transferir el Riesgo",IF($AF10=52,"- Eliminar Causa(s)- Evitar Posibilidad de Ocurrencia- Reducir el Riesgo- Compartir o Transferir el Riesgo",IF($AF10=53,"- Eliminar Causa(s)- Evitar Posibilidad de Ocurrencia- Reducir el Riesgo- Compartir o Transferir el Riesgo",IF($AF10=54,"-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11" s="3" t="str">
        <f t="shared" ref="AM11:AM39" si="16">IF(AND(N11=30,L11=0),$AM$8,"")</f>
        <v/>
      </c>
      <c r="AN11" s="3" t="str">
        <f t="shared" si="2"/>
        <v/>
      </c>
      <c r="AO11" s="3" t="str">
        <f t="shared" si="3"/>
        <v/>
      </c>
      <c r="AP11" s="3" t="str">
        <f t="shared" ref="AP11:AP39" si="17">IF(AND(N11=30,V11=0),$AP$8,"")</f>
        <v/>
      </c>
      <c r="AQ11" s="3" t="str">
        <f>IF(AQ10="Documentar",AQ10,AM11)</f>
        <v/>
      </c>
      <c r="AR11" s="3" t="str">
        <f>IF(AR10="Asignar responsable",AR10,AN11)</f>
        <v/>
      </c>
      <c r="AT11" s="3" t="str">
        <f>IF(AT10="Establecer periodos de seguimiento adecuados",AT10,AO11)</f>
        <v/>
      </c>
      <c r="AV11" s="3" t="str">
        <f>IF(AV10="Guardar Evidencias",AV10,AP11)</f>
        <v/>
      </c>
      <c r="AX11" s="502"/>
      <c r="AY11" s="502"/>
      <c r="AZ11" s="502"/>
      <c r="BA11" s="502"/>
      <c r="BB11" s="3" t="str">
        <f t="shared" ref="BB11:BB39" si="18">IF(AND($N11=30,L11=15),"SI",IF(AND($N11=30,L11=0),"NO",""))</f>
        <v/>
      </c>
      <c r="BC11" s="3" t="str">
        <f t="shared" ref="BC11:BC39" si="19">IF(AND($N11=0,L11=15),"SI",IF(AND($N11=0,L11=0),"NO",""))</f>
        <v/>
      </c>
      <c r="BD11" s="3" t="str">
        <f t="shared" ref="BD11:BD39" si="20">IF(AND($N11=30,R11=5),"SI",IF(AND($N11=30,R11=0),"NO",""))</f>
        <v/>
      </c>
      <c r="BE11" s="3" t="str">
        <f t="shared" ref="BE11:BE39" si="21">IF(AND($N11=0,R11=5),"SI",IF(AND($N11=0,R11=0),"NO",""))</f>
        <v/>
      </c>
      <c r="BF11" s="3" t="str">
        <f t="shared" ref="BF11:BF39" si="22">IF(AND($N11=30,T11=15),"SI",IF(AND($N11=30,T11=0),"NO",""))</f>
        <v/>
      </c>
      <c r="BG11" s="3" t="str">
        <f t="shared" ref="BG11:BG39" si="23">IF(AND($N11=0,T11=15),"SI",IF(AND($N11=0,T11=0),"NO",""))</f>
        <v/>
      </c>
      <c r="BH11" s="3" t="str">
        <f t="shared" ref="BH11:BH39" si="24">IF(AND($N11=30,H11="Preventivo"),"P",IF(AND($N11=30,H11="Correctivo"),"C",""))</f>
        <v/>
      </c>
      <c r="BI11" s="3" t="str">
        <f t="shared" ref="BI11:BI110" si="25">IF(AND($N11=0,$H11="Preventivo"),"P",IF(AND($N11=0,$H11="Correctivo"),"C",""))</f>
        <v/>
      </c>
      <c r="BJ11" s="3" t="str">
        <f t="shared" ref="BJ11:BJ110" si="26">IF(AND($N11=30,$O11="Automático"),"A",IF(AND($N11=30,$O11="Manual"),"M",""))</f>
        <v/>
      </c>
      <c r="BK11" s="3" t="str">
        <f t="shared" ref="BK11:BK110" si="27">IF(AND($N11=0,$O11="Automático"),"A",IF(AND($N11=0,$O11="Manual"),"M",""))</f>
        <v/>
      </c>
      <c r="BL11" s="3" t="str">
        <f t="shared" ref="BL11:BL39" si="28">IF(AND($N11=30,V11=10),"SI",IF(AND($N11=30,V11=0),"NO",""))</f>
        <v/>
      </c>
      <c r="BM11" s="3" t="str">
        <f t="shared" ref="BM11:BM39" si="29">IF(AND($N11=0,V11=10),"SI",IF(AND($N11=0,V11=0),"NO",""))</f>
        <v/>
      </c>
    </row>
    <row r="12" spans="1:65" ht="36" customHeight="1" x14ac:dyDescent="0.2">
      <c r="A12" s="503"/>
      <c r="B12" s="496"/>
      <c r="C12" s="20">
        <v>3</v>
      </c>
      <c r="D12" s="56"/>
      <c r="E12" s="240" t="str">
        <f t="shared" si="4"/>
        <v/>
      </c>
      <c r="F12" s="44"/>
      <c r="G12" s="18" t="str">
        <f t="shared" si="0"/>
        <v/>
      </c>
      <c r="H12" s="40"/>
      <c r="I12" s="18" t="str">
        <f t="shared" si="5"/>
        <v/>
      </c>
      <c r="J12" s="55" t="str">
        <f t="shared" si="6"/>
        <v/>
      </c>
      <c r="K12" s="43"/>
      <c r="L12" s="18" t="str">
        <f t="shared" si="7"/>
        <v/>
      </c>
      <c r="M12" s="43"/>
      <c r="N12" s="18" t="str">
        <f t="shared" si="8"/>
        <v/>
      </c>
      <c r="O12" s="43"/>
      <c r="P12" s="18" t="str">
        <f t="shared" si="9"/>
        <v/>
      </c>
      <c r="Q12" s="43"/>
      <c r="R12" s="18" t="str">
        <f t="shared" si="10"/>
        <v/>
      </c>
      <c r="S12" s="43"/>
      <c r="T12" s="18" t="str">
        <f t="shared" si="11"/>
        <v/>
      </c>
      <c r="U12" s="43"/>
      <c r="V12" s="18" t="str">
        <f t="shared" si="12"/>
        <v/>
      </c>
      <c r="W12" s="18">
        <f t="shared" si="13"/>
        <v>0</v>
      </c>
      <c r="X12" s="57" t="str">
        <f t="shared" si="1"/>
        <v/>
      </c>
      <c r="Y12" s="57">
        <f t="shared" si="14"/>
        <v>0</v>
      </c>
      <c r="Z12" s="65">
        <f t="shared" si="15"/>
        <v>0</v>
      </c>
      <c r="AA12" s="499"/>
      <c r="AB12" s="500"/>
      <c r="AM12" s="3" t="str">
        <f t="shared" si="16"/>
        <v/>
      </c>
      <c r="AN12" s="3" t="str">
        <f t="shared" si="2"/>
        <v/>
      </c>
      <c r="AO12" s="3" t="str">
        <f t="shared" si="3"/>
        <v/>
      </c>
      <c r="AP12" s="3" t="str">
        <f t="shared" si="17"/>
        <v/>
      </c>
      <c r="AQ12" s="3" t="str">
        <f>IF(AQ11="Documentar",AQ11,AM12)</f>
        <v/>
      </c>
      <c r="AR12" s="3" t="str">
        <f>IF(AR11="Asignar responsable",AR11,AN12)</f>
        <v/>
      </c>
      <c r="AS12" s="3" t="str">
        <f>IF(AND(AQ12="Documentar",AR12="Asignar responsable"),CONCATENATE("- ",AQ12,", ",AR12),IF(AQ12="Documentar",CONCATENATE("- ",AQ12),IF(AR12="Asignar responsable",CONCATENATE("- ",AR12),"")))</f>
        <v/>
      </c>
      <c r="AT12" s="3" t="str">
        <f>IF(AT11="Establecer periodos de seguimiento adecuados",AT11,AO12)</f>
        <v/>
      </c>
      <c r="AU12" s="3" t="str">
        <f>IF(AT12="",AS12,IF(AS12="",CONCATENATE("- ",AT12),CONCATENATE(AS12,", ",AT12)))</f>
        <v/>
      </c>
      <c r="AV12" s="3" t="str">
        <f>IF(AV11="Guardar Evidencias",AV11,AP12)</f>
        <v/>
      </c>
      <c r="AW12" s="3" t="str">
        <f>IF(AV12="",AU12,IF(AU12="",CONCATENATE("- ",AV12),CONCATENATE(AU12,", ",AV12)))</f>
        <v/>
      </c>
      <c r="AX12" s="502"/>
      <c r="AY12" s="502"/>
      <c r="AZ12" s="502"/>
      <c r="BA12" s="502"/>
      <c r="BB12" s="3" t="str">
        <f t="shared" si="18"/>
        <v/>
      </c>
      <c r="BC12" s="3" t="str">
        <f t="shared" si="19"/>
        <v/>
      </c>
      <c r="BD12" s="3" t="str">
        <f t="shared" si="20"/>
        <v/>
      </c>
      <c r="BE12" s="3" t="str">
        <f t="shared" si="21"/>
        <v/>
      </c>
      <c r="BF12" s="3" t="str">
        <f t="shared" si="22"/>
        <v/>
      </c>
      <c r="BG12" s="3" t="str">
        <f t="shared" si="23"/>
        <v/>
      </c>
      <c r="BH12" s="3" t="str">
        <f t="shared" si="24"/>
        <v/>
      </c>
      <c r="BI12" s="3" t="str">
        <f t="shared" si="25"/>
        <v/>
      </c>
      <c r="BJ12" s="3" t="str">
        <f t="shared" si="26"/>
        <v/>
      </c>
      <c r="BK12" s="3" t="str">
        <f t="shared" si="27"/>
        <v/>
      </c>
      <c r="BL12" s="3" t="str">
        <f t="shared" si="28"/>
        <v/>
      </c>
      <c r="BM12" s="3" t="str">
        <f t="shared" si="29"/>
        <v/>
      </c>
    </row>
    <row r="13" spans="1:65" ht="36" customHeight="1" x14ac:dyDescent="0.2">
      <c r="A13" s="503" t="str">
        <f>IDENTIFICACIÓN!C10</f>
        <v>2G</v>
      </c>
      <c r="B13" s="496" t="str">
        <f>IF(IDENTIFICACIÓN!D10="","",IDENTIFICACIÓN!D10)</f>
        <v xml:space="preserve">Relaciones Interinstitucionales. Escaso registro y control de la movilidad internacional entrante y saliente. </v>
      </c>
      <c r="C13" s="20">
        <v>1</v>
      </c>
      <c r="D13" s="56" t="s">
        <v>11</v>
      </c>
      <c r="E13" s="240">
        <f t="shared" si="4"/>
        <v>10</v>
      </c>
      <c r="F13" s="44" t="s">
        <v>563</v>
      </c>
      <c r="G13" s="18" t="str">
        <f t="shared" si="0"/>
        <v/>
      </c>
      <c r="H13" s="44" t="s">
        <v>20</v>
      </c>
      <c r="I13" s="18" t="str">
        <f t="shared" si="5"/>
        <v/>
      </c>
      <c r="J13" s="55" t="str">
        <f t="shared" si="6"/>
        <v>Posibilidad</v>
      </c>
      <c r="K13" s="43" t="s">
        <v>11</v>
      </c>
      <c r="L13" s="18">
        <f t="shared" si="7"/>
        <v>15</v>
      </c>
      <c r="M13" s="43" t="s">
        <v>11</v>
      </c>
      <c r="N13" s="18">
        <f t="shared" si="8"/>
        <v>30</v>
      </c>
      <c r="O13" s="43" t="s">
        <v>323</v>
      </c>
      <c r="P13" s="18">
        <f t="shared" si="9"/>
        <v>10</v>
      </c>
      <c r="Q13" s="43" t="s">
        <v>11</v>
      </c>
      <c r="R13" s="18">
        <f t="shared" si="10"/>
        <v>5</v>
      </c>
      <c r="S13" s="43" t="s">
        <v>11</v>
      </c>
      <c r="T13" s="18">
        <f t="shared" si="11"/>
        <v>15</v>
      </c>
      <c r="U13" s="43" t="s">
        <v>11</v>
      </c>
      <c r="V13" s="18">
        <f t="shared" si="12"/>
        <v>10</v>
      </c>
      <c r="W13" s="18">
        <f t="shared" si="13"/>
        <v>95</v>
      </c>
      <c r="X13" s="57" t="str">
        <f t="shared" si="1"/>
        <v>95                           Disminuye max 2 en Posibilidad</v>
      </c>
      <c r="Y13" s="57">
        <f t="shared" si="14"/>
        <v>2</v>
      </c>
      <c r="Z13" s="65">
        <f t="shared" si="15"/>
        <v>0</v>
      </c>
      <c r="AA13" s="497">
        <f>IF(AB13=0,"",(ROUND((SUM(W13:W15)/AB13),0)))</f>
        <v>95</v>
      </c>
      <c r="AB13" s="500">
        <f>COUNT(T13:T15)</f>
        <v>3</v>
      </c>
      <c r="AC13" s="3">
        <f>SUM(Y13:Y15)</f>
        <v>6</v>
      </c>
      <c r="AD13" s="3">
        <f>ANALISIS!D12</f>
        <v>3</v>
      </c>
      <c r="AE13" s="3">
        <f>IF((AD13-AC13)&gt;=1,(AD13-AC13),1)</f>
        <v>1</v>
      </c>
      <c r="AF13" s="501">
        <f>(AE14*10)+AE13</f>
        <v>41</v>
      </c>
      <c r="AG13" s="42" t="str">
        <f>IF(AE14=1,AH13,IF(AE14=2,AI13,IF(AE14=3,AJ13,IF(AE14=4,AK13,AL13))))</f>
        <v>ALTA 1:4</v>
      </c>
      <c r="AH13" s="46" t="str">
        <f>IF($AF13=11,"BAJA 1:1",IF($AF13=12,"BAJA 2:1",IF($AF13=13,"BAJA 3:1",IF($AF13=14,"MODERADA 4:1","ALTA 5:1"))))</f>
        <v>ALTA 5:1</v>
      </c>
      <c r="AI13" s="46" t="str">
        <f>IF($AF13=21,"BAJA 1:2",IF($AF13=22,"BAJA 2:2",IF($AF13=23,"MODERADA 3:2",IF($AF13=24,"ALTA 4:2","ALTA 5:2"))))</f>
        <v>ALTA 5:2</v>
      </c>
      <c r="AJ13" s="46" t="str">
        <f>IF($AF13=31,"MODERADA 1:3",IF($AF13=32,"MODERADA 2:3",IF($AF13=33,"ALTA 3:3",IF($AF13=34,"ALTA 4:3","EXTREMA 5:3"))))</f>
        <v>EXTREMA 5:3</v>
      </c>
      <c r="AK13" s="46" t="str">
        <f>IF($AF13=41,"ALTA 1:4",IF($AF13=42,"ALTA 2:4",IF($AF13=43,"EXTREMA 3:4",IF($AF13=44,"EXTREMA 4:4","EXTREMA 5:4"))))</f>
        <v>ALTA 1:4</v>
      </c>
      <c r="AL13" s="46" t="str">
        <f>IF($AF13=51,"ALTA 1:5",IF($AF13=52,"EXTREMA 2:5",IF($AF13=53,"EXTREMA 3:5",IF($AF13=54,"EXTREMA 4:5","EXTREMA 5:5"))))</f>
        <v>EXTREMA 5:5</v>
      </c>
      <c r="AM13" s="3" t="str">
        <f t="shared" si="16"/>
        <v/>
      </c>
      <c r="AN13" s="3" t="str">
        <f t="shared" si="2"/>
        <v/>
      </c>
      <c r="AO13" s="3" t="str">
        <f t="shared" si="3"/>
        <v/>
      </c>
      <c r="AP13" s="3" t="str">
        <f t="shared" si="17"/>
        <v/>
      </c>
      <c r="AQ13" s="3" t="str">
        <f>AM13</f>
        <v/>
      </c>
      <c r="AR13" s="3" t="str">
        <f t="shared" ref="AR13" si="30">AN13</f>
        <v/>
      </c>
      <c r="AT13" s="3" t="str">
        <f t="shared" ref="AT13" si="31">AO13</f>
        <v/>
      </c>
      <c r="AV13" s="3" t="str">
        <f t="shared" ref="AV13" si="32">AP13</f>
        <v/>
      </c>
      <c r="AX13" s="502" t="str">
        <f>IF(AW15="","",CONCATENATE(AW15," (de) el(los) control(es) Efectivo(s) "))</f>
        <v/>
      </c>
      <c r="AY13" s="502" t="str">
        <f t="shared" ref="AY13" si="33">IF(CONCATENATE(N13:N15)="","",IF(AND(SUM(E13:E15)=10,SUM(N13:N15)&lt;30),"- Replantear control(es) NO efectivo(s) ",IF(AND(SUM(E13:E15)=20,SUM(N13:N15)&lt;60),"- Replantear control(es) NO efectivo(s) ",IF(AND(SUM(E13:E15)=30,SUM(N13:N15)&lt;90),"- Replantear control(es) NO efectivo(s) ",""))))</f>
        <v/>
      </c>
      <c r="AZ13" s="502" t="str">
        <f>IF(AND(AE13&gt;1,AE14&gt;1),"- Tomar Acciones Preventivas y Correctivas",IF(AE13&gt;1,"- Tomar Acciones Preventivas",IF(AE14&gt;1,"- Tomar Acciones Correctivas","")))</f>
        <v>- Tomar Acciones Correctivas</v>
      </c>
      <c r="BA13" s="502" t="str">
        <f t="shared" ref="BA13" si="34">CONCATENATE(AX13,AY13,AZ13)</f>
        <v>- Tomar Acciones Correctivas</v>
      </c>
      <c r="BB13" s="3" t="str">
        <f t="shared" si="18"/>
        <v>SI</v>
      </c>
      <c r="BC13" s="3" t="str">
        <f t="shared" si="19"/>
        <v/>
      </c>
      <c r="BD13" s="3" t="str">
        <f t="shared" si="20"/>
        <v>SI</v>
      </c>
      <c r="BE13" s="3" t="str">
        <f t="shared" si="21"/>
        <v/>
      </c>
      <c r="BF13" s="3" t="str">
        <f t="shared" si="22"/>
        <v>SI</v>
      </c>
      <c r="BG13" s="3" t="str">
        <f t="shared" si="23"/>
        <v/>
      </c>
      <c r="BH13" s="3" t="str">
        <f t="shared" si="24"/>
        <v>P</v>
      </c>
      <c r="BI13" s="3" t="str">
        <f t="shared" si="25"/>
        <v/>
      </c>
      <c r="BJ13" s="3" t="str">
        <f t="shared" si="26"/>
        <v>M</v>
      </c>
      <c r="BK13" s="3" t="str">
        <f t="shared" si="27"/>
        <v/>
      </c>
      <c r="BL13" s="3" t="str">
        <f t="shared" si="28"/>
        <v>SI</v>
      </c>
      <c r="BM13" s="3" t="str">
        <f t="shared" si="29"/>
        <v/>
      </c>
    </row>
    <row r="14" spans="1:65" ht="36" customHeight="1" x14ac:dyDescent="0.2">
      <c r="A14" s="503"/>
      <c r="B14" s="496"/>
      <c r="C14" s="20">
        <v>2</v>
      </c>
      <c r="D14" s="56" t="s">
        <v>11</v>
      </c>
      <c r="E14" s="240">
        <f t="shared" si="4"/>
        <v>10</v>
      </c>
      <c r="F14" s="44" t="s">
        <v>564</v>
      </c>
      <c r="G14" s="18" t="str">
        <f t="shared" si="0"/>
        <v/>
      </c>
      <c r="H14" s="44" t="s">
        <v>20</v>
      </c>
      <c r="I14" s="18" t="str">
        <f t="shared" si="5"/>
        <v/>
      </c>
      <c r="J14" s="55" t="str">
        <f t="shared" si="6"/>
        <v>Posibilidad</v>
      </c>
      <c r="K14" s="43" t="s">
        <v>11</v>
      </c>
      <c r="L14" s="18">
        <f t="shared" si="7"/>
        <v>15</v>
      </c>
      <c r="M14" s="43" t="s">
        <v>11</v>
      </c>
      <c r="N14" s="18">
        <f t="shared" si="8"/>
        <v>30</v>
      </c>
      <c r="O14" s="43" t="s">
        <v>323</v>
      </c>
      <c r="P14" s="18">
        <f t="shared" si="9"/>
        <v>10</v>
      </c>
      <c r="Q14" s="43" t="s">
        <v>11</v>
      </c>
      <c r="R14" s="18">
        <f t="shared" si="10"/>
        <v>5</v>
      </c>
      <c r="S14" s="43" t="s">
        <v>11</v>
      </c>
      <c r="T14" s="18">
        <f t="shared" si="11"/>
        <v>15</v>
      </c>
      <c r="U14" s="43" t="s">
        <v>11</v>
      </c>
      <c r="V14" s="18">
        <f t="shared" si="12"/>
        <v>10</v>
      </c>
      <c r="W14" s="18">
        <f t="shared" si="13"/>
        <v>95</v>
      </c>
      <c r="X14" s="57" t="str">
        <f t="shared" si="1"/>
        <v>95                           Disminuye max 2 en Posibilidad</v>
      </c>
      <c r="Y14" s="57">
        <f t="shared" si="14"/>
        <v>2</v>
      </c>
      <c r="Z14" s="65">
        <f t="shared" si="15"/>
        <v>0</v>
      </c>
      <c r="AA14" s="498"/>
      <c r="AB14" s="500"/>
      <c r="AC14" s="3">
        <f>SUM(Z13:Z15)</f>
        <v>0</v>
      </c>
      <c r="AD14" s="3">
        <f>ANALISIS!G12</f>
        <v>4</v>
      </c>
      <c r="AE14" s="3">
        <f>IF((AD14-AC14)&gt;=1,(AD14-AC14),1)</f>
        <v>4</v>
      </c>
      <c r="AF14" s="501"/>
      <c r="AG14" s="42" t="str">
        <f>IF(AE14=1,AH14,IF(AE14=2,AI14,IF(AE14=3,AJ14,IF(AE14=4,AK14,AL14))))</f>
        <v>- Reducir el Riesgo- Compartir o Transferir el Riesgo</v>
      </c>
      <c r="AH14" s="46" t="str">
        <f>IF($AF13=11,"- Asumir el Riesgo",IF($AF13=12,"- Asumir el Riesgo- Evitar Posibilidad de Ocurrencia- Reducir el Riesgo",IF($AF13=13,"- Asumir el Riesgo- Evitar Posibilidad de Ocurrencia- Reducir el Riesgo",IF($AF13=14,"-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14" s="46" t="str">
        <f>IF($AF13=21,"- Asumir el Riesgo- Reducir el Riesgo",IF($AF13=22,"- Asumir el Riesgo- Evitar Posibilidad de Ocurrencia- Reducir el Riesgo",IF($AF13=23,"- Asumir el Riesgo- Evitar Posibilidad de Ocurrencia- Reducir el Riesgo- Compartir o Transferir el Riesgo",IF($AF13=24,"- Evitar Posibilidad de Ocurrencia- Reducir el Riesgo- Compartir o Transferir el Riesgo","- Evitar Posibilidad de Ocurrencia- Reducir el Riesgo- Compartir o Transferir el Riesgo"))))</f>
        <v>- Evitar Posibilidad de Ocurrencia- Reducir el Riesgo- Compartir o Transferir el Riesgo</v>
      </c>
      <c r="AJ14" s="46" t="str">
        <f>IF($AF13=31,"- Asumir el Riesgo- Reducir el Riesgo- Compartir o Transferir el Riesgo",IF($AF13=32,"- Asumir el Riesgo- Evitar Posibilidad de Ocurrencia- Reducir el Reducir- Compartir o Transferir el Riesgo",IF($AF13=33,"- Evitar Posibilidad de Ocurrencia- Reducir el Riesgo- Compartir o Transferir el Riesgo",IF($AF13=34,"-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14" s="46" t="str">
        <f>IF($AF13=41,"- Reducir el Riesgo- Compartir o Transferir el Riesgo",IF($AF13=42,"- Evitar Posibilidad de Ocurrencia- Reducir el Riesgo- Compartir o Transferir el Riesgo",IF($AF13=43,"- Eliminar Causa(s)- Evitar Posibilidad de Ocurrencia- Reducir el Riesgo- Compartir o Transferir el Riesgo",IF($AF13=44,"- Eliminar Causa(s)- Evitar Posibilidad de Ocurrencia- Reducir el Riesgo- Compartir o Transferir el Riesgo","- Eliminar Causa(s)- Evitar Posibilidad de Ocurrencia- Reducir el Riesgo- Compartir o Transferir el Riesgo"))))</f>
        <v>- Reducir el Riesgo- Compartir o Transferir el Riesgo</v>
      </c>
      <c r="AL14" s="46" t="str">
        <f>IF($AF13=51,"- Reducir el Riesgo- Compartir o Transferir el Riesgo",IF($AF13=52,"- Eliminar Causa(s)- Evitar Posibilidad de Ocurrencia- Reducir el Riesgo- Compartir o Transferir el Riesgo",IF($AF13=53,"- Eliminar Causa(s)- Evitar Posibilidad de Ocurrencia- Reducir el Riesgo- Compartir o Transferir el Riesgo",IF($AF13=54,"-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14" s="3" t="str">
        <f t="shared" si="16"/>
        <v/>
      </c>
      <c r="AN14" s="3" t="str">
        <f t="shared" si="2"/>
        <v/>
      </c>
      <c r="AO14" s="3" t="str">
        <f t="shared" si="3"/>
        <v/>
      </c>
      <c r="AP14" s="3" t="str">
        <f t="shared" si="17"/>
        <v/>
      </c>
      <c r="AQ14" s="3" t="str">
        <f>IF(AQ13="Documentar",AQ13,AM14)</f>
        <v/>
      </c>
      <c r="AR14" s="3" t="str">
        <f t="shared" ref="AR14:AR15" si="35">IF(AR13="Asignar responsable",AR13,AN14)</f>
        <v/>
      </c>
      <c r="AT14" s="3" t="str">
        <f t="shared" ref="AT14:AT15" si="36">IF(AT13="Establecer periodos de seguimiento adecuados",AT13,AO14)</f>
        <v/>
      </c>
      <c r="AV14" s="3" t="str">
        <f t="shared" ref="AV14:AV15" si="37">IF(AV13="Guardar Evidencias",AV13,AP14)</f>
        <v/>
      </c>
      <c r="AX14" s="502"/>
      <c r="AY14" s="502"/>
      <c r="AZ14" s="502"/>
      <c r="BA14" s="502"/>
      <c r="BB14" s="3" t="str">
        <f t="shared" si="18"/>
        <v>SI</v>
      </c>
      <c r="BC14" s="3" t="str">
        <f t="shared" si="19"/>
        <v/>
      </c>
      <c r="BD14" s="3" t="str">
        <f t="shared" si="20"/>
        <v>SI</v>
      </c>
      <c r="BE14" s="3" t="str">
        <f t="shared" si="21"/>
        <v/>
      </c>
      <c r="BF14" s="3" t="str">
        <f t="shared" si="22"/>
        <v>SI</v>
      </c>
      <c r="BG14" s="3" t="str">
        <f t="shared" si="23"/>
        <v/>
      </c>
      <c r="BH14" s="3" t="str">
        <f t="shared" si="24"/>
        <v>P</v>
      </c>
      <c r="BI14" s="3" t="str">
        <f t="shared" si="25"/>
        <v/>
      </c>
      <c r="BJ14" s="3" t="str">
        <f t="shared" si="26"/>
        <v>M</v>
      </c>
      <c r="BK14" s="3" t="str">
        <f t="shared" si="27"/>
        <v/>
      </c>
      <c r="BL14" s="3" t="str">
        <f t="shared" si="28"/>
        <v>SI</v>
      </c>
      <c r="BM14" s="3" t="str">
        <f t="shared" si="29"/>
        <v/>
      </c>
    </row>
    <row r="15" spans="1:65" ht="36" customHeight="1" x14ac:dyDescent="0.2">
      <c r="A15" s="503"/>
      <c r="B15" s="496"/>
      <c r="C15" s="20">
        <v>3</v>
      </c>
      <c r="D15" s="56" t="s">
        <v>11</v>
      </c>
      <c r="E15" s="240">
        <f t="shared" si="4"/>
        <v>10</v>
      </c>
      <c r="F15" s="44" t="s">
        <v>565</v>
      </c>
      <c r="G15" s="18" t="str">
        <f t="shared" si="0"/>
        <v/>
      </c>
      <c r="H15" s="44" t="s">
        <v>20</v>
      </c>
      <c r="I15" s="18" t="str">
        <f t="shared" si="5"/>
        <v/>
      </c>
      <c r="J15" s="55" t="str">
        <f t="shared" si="6"/>
        <v>Posibilidad</v>
      </c>
      <c r="K15" s="43" t="s">
        <v>11</v>
      </c>
      <c r="L15" s="18">
        <f t="shared" si="7"/>
        <v>15</v>
      </c>
      <c r="M15" s="43" t="s">
        <v>11</v>
      </c>
      <c r="N15" s="18">
        <f t="shared" si="8"/>
        <v>30</v>
      </c>
      <c r="O15" s="43" t="s">
        <v>323</v>
      </c>
      <c r="P15" s="18">
        <f t="shared" si="9"/>
        <v>10</v>
      </c>
      <c r="Q15" s="43" t="s">
        <v>11</v>
      </c>
      <c r="R15" s="18">
        <f t="shared" si="10"/>
        <v>5</v>
      </c>
      <c r="S15" s="43" t="s">
        <v>11</v>
      </c>
      <c r="T15" s="18">
        <f t="shared" si="11"/>
        <v>15</v>
      </c>
      <c r="U15" s="43" t="s">
        <v>11</v>
      </c>
      <c r="V15" s="18">
        <f t="shared" si="12"/>
        <v>10</v>
      </c>
      <c r="W15" s="18">
        <f t="shared" si="13"/>
        <v>95</v>
      </c>
      <c r="X15" s="57" t="str">
        <f t="shared" si="1"/>
        <v>95                           Disminuye max 2 en Posibilidad</v>
      </c>
      <c r="Y15" s="57">
        <f t="shared" si="14"/>
        <v>2</v>
      </c>
      <c r="Z15" s="65">
        <f t="shared" si="15"/>
        <v>0</v>
      </c>
      <c r="AA15" s="499"/>
      <c r="AB15" s="500"/>
      <c r="AM15" s="3" t="str">
        <f t="shared" si="16"/>
        <v/>
      </c>
      <c r="AN15" s="3" t="str">
        <f t="shared" si="2"/>
        <v/>
      </c>
      <c r="AO15" s="3" t="str">
        <f t="shared" si="3"/>
        <v/>
      </c>
      <c r="AP15" s="3" t="str">
        <f t="shared" si="17"/>
        <v/>
      </c>
      <c r="AQ15" s="3" t="str">
        <f>IF(AQ14="Documentar",AQ14,AM15)</f>
        <v/>
      </c>
      <c r="AR15" s="3" t="str">
        <f t="shared" si="35"/>
        <v/>
      </c>
      <c r="AS15" s="3" t="str">
        <f>IF(AND(AQ15="Documentar",AR15="Asignar responsable"),CONCATENATE("- ",AQ15,", ",AR15),IF(AQ15="Documentar",CONCATENATE("- ",AQ15),IF(AR15="Asignar responsable",CONCATENATE("- ",AR15),"")))</f>
        <v/>
      </c>
      <c r="AT15" s="3" t="str">
        <f t="shared" si="36"/>
        <v/>
      </c>
      <c r="AU15" s="3" t="str">
        <f t="shared" ref="AU15" si="38">IF(AT15="",AS15,IF(AS15="",CONCATENATE("- ",AT15),CONCATENATE(AS15,", ",AT15)))</f>
        <v/>
      </c>
      <c r="AV15" s="3" t="str">
        <f t="shared" si="37"/>
        <v/>
      </c>
      <c r="AW15" s="3" t="str">
        <f t="shared" ref="AW15" si="39">IF(AV15="",AU15,IF(AU15="",CONCATENATE("- ",AV15),CONCATENATE(AU15,", ",AV15)))</f>
        <v/>
      </c>
      <c r="AX15" s="502"/>
      <c r="AY15" s="502"/>
      <c r="AZ15" s="502"/>
      <c r="BA15" s="502"/>
      <c r="BB15" s="3" t="str">
        <f t="shared" si="18"/>
        <v>SI</v>
      </c>
      <c r="BC15" s="3" t="str">
        <f t="shared" si="19"/>
        <v/>
      </c>
      <c r="BD15" s="3" t="str">
        <f t="shared" si="20"/>
        <v>SI</v>
      </c>
      <c r="BE15" s="3" t="str">
        <f t="shared" si="21"/>
        <v/>
      </c>
      <c r="BF15" s="3" t="str">
        <f t="shared" si="22"/>
        <v>SI</v>
      </c>
      <c r="BG15" s="3" t="str">
        <f t="shared" si="23"/>
        <v/>
      </c>
      <c r="BH15" s="3" t="str">
        <f t="shared" si="24"/>
        <v>P</v>
      </c>
      <c r="BI15" s="3" t="str">
        <f t="shared" si="25"/>
        <v/>
      </c>
      <c r="BJ15" s="3" t="str">
        <f t="shared" si="26"/>
        <v>M</v>
      </c>
      <c r="BK15" s="3" t="str">
        <f t="shared" si="27"/>
        <v/>
      </c>
      <c r="BL15" s="3" t="str">
        <f t="shared" si="28"/>
        <v>SI</v>
      </c>
      <c r="BM15" s="3" t="str">
        <f t="shared" si="29"/>
        <v/>
      </c>
    </row>
    <row r="16" spans="1:65" ht="36" customHeight="1" x14ac:dyDescent="0.2">
      <c r="A16" s="503" t="str">
        <f>IDENTIFICACIÓN!C11</f>
        <v>3G</v>
      </c>
      <c r="B16" s="496" t="str">
        <f>IF(IDENTIFICACIÓN!D11="","",IDENTIFICACIÓN!D11)</f>
        <v>Relaciones Interinstitucionales. Gestionar la movilidad internacional sin requisitos legales</v>
      </c>
      <c r="C16" s="20">
        <v>1</v>
      </c>
      <c r="D16" s="56" t="s">
        <v>11</v>
      </c>
      <c r="E16" s="240">
        <f t="shared" si="4"/>
        <v>10</v>
      </c>
      <c r="F16" s="44" t="s">
        <v>563</v>
      </c>
      <c r="G16" s="18" t="str">
        <f t="shared" si="0"/>
        <v/>
      </c>
      <c r="H16" s="44" t="s">
        <v>20</v>
      </c>
      <c r="I16" s="18" t="str">
        <f t="shared" si="5"/>
        <v/>
      </c>
      <c r="J16" s="55" t="str">
        <f t="shared" si="6"/>
        <v>Posibilidad</v>
      </c>
      <c r="K16" s="43" t="s">
        <v>11</v>
      </c>
      <c r="L16" s="18">
        <f t="shared" si="7"/>
        <v>15</v>
      </c>
      <c r="M16" s="43" t="s">
        <v>11</v>
      </c>
      <c r="N16" s="18">
        <f t="shared" si="8"/>
        <v>30</v>
      </c>
      <c r="O16" s="43" t="s">
        <v>323</v>
      </c>
      <c r="P16" s="18">
        <f t="shared" si="9"/>
        <v>10</v>
      </c>
      <c r="Q16" s="43" t="s">
        <v>11</v>
      </c>
      <c r="R16" s="18">
        <f t="shared" si="10"/>
        <v>5</v>
      </c>
      <c r="S16" s="43" t="s">
        <v>11</v>
      </c>
      <c r="T16" s="18">
        <f t="shared" si="11"/>
        <v>15</v>
      </c>
      <c r="U16" s="43" t="s">
        <v>11</v>
      </c>
      <c r="V16" s="18">
        <f t="shared" si="12"/>
        <v>10</v>
      </c>
      <c r="W16" s="18">
        <f t="shared" si="13"/>
        <v>95</v>
      </c>
      <c r="X16" s="57" t="str">
        <f t="shared" si="1"/>
        <v>95                           Disminuye max 2 en Posibilidad</v>
      </c>
      <c r="Y16" s="57">
        <f t="shared" si="14"/>
        <v>2</v>
      </c>
      <c r="Z16" s="65">
        <f t="shared" si="15"/>
        <v>0</v>
      </c>
      <c r="AA16" s="497">
        <f>IF(AB16=0,"",(ROUND((SUM(W16:W18)/AB16),0)))</f>
        <v>95</v>
      </c>
      <c r="AB16" s="500">
        <f>COUNT(T16:T18)</f>
        <v>1</v>
      </c>
      <c r="AC16" s="3">
        <f>SUM(Y16:Y18)</f>
        <v>2</v>
      </c>
      <c r="AD16" s="3">
        <f>ANALISIS!D13</f>
        <v>2</v>
      </c>
      <c r="AE16" s="3">
        <f>IF((AD16-AC16)&gt;=1,(AD16-AC16),1)</f>
        <v>1</v>
      </c>
      <c r="AF16" s="501">
        <f>(AE17*10)+AE16</f>
        <v>41</v>
      </c>
      <c r="AG16" s="42" t="str">
        <f>IF(AE17=1,AH16,IF(AE17=2,AI16,IF(AE17=3,AJ16,IF(AE17=4,AK16,AL16))))</f>
        <v>ALTA 1:4</v>
      </c>
      <c r="AH16" s="46" t="str">
        <f>IF($AF16=11,"BAJA 1:1",IF($AF16=12,"BAJA 2:1",IF($AF16=13,"BAJA 3:1",IF($AF16=14,"MODERADA 4:1","ALTA 5:1"))))</f>
        <v>ALTA 5:1</v>
      </c>
      <c r="AI16" s="46" t="str">
        <f>IF($AF16=21,"BAJA 1:2",IF($AF16=22,"BAJA 2:2",IF($AF16=23,"MODERADA 3:2",IF($AF16=24,"ALTA 4:2","ALTA 5:2"))))</f>
        <v>ALTA 5:2</v>
      </c>
      <c r="AJ16" s="46" t="str">
        <f>IF($AF16=31,"MODERADA 1:3",IF($AF16=32,"MODERADA 2:3",IF($AF16=33,"ALTA 3:3",IF($AF16=34,"ALTA 4:3","EXTREMA 5:3"))))</f>
        <v>EXTREMA 5:3</v>
      </c>
      <c r="AK16" s="46" t="str">
        <f>IF($AF16=41,"ALTA 1:4",IF($AF16=42,"ALTA 2:4",IF($AF16=43,"EXTREMA 3:4",IF($AF16=44,"EXTREMA 4:4","EXTREMA 5:4"))))</f>
        <v>ALTA 1:4</v>
      </c>
      <c r="AL16" s="46" t="str">
        <f>IF($AF16=51,"ALTA 1:5",IF($AF16=52,"EXTREMA 2:5",IF($AF16=53,"EXTREMA 3:5",IF($AF16=54,"EXTREMA 4:5","EXTREMA 5:5"))))</f>
        <v>EXTREMA 5:5</v>
      </c>
      <c r="AM16" s="3" t="str">
        <f t="shared" si="16"/>
        <v/>
      </c>
      <c r="AN16" s="3" t="str">
        <f t="shared" si="2"/>
        <v/>
      </c>
      <c r="AO16" s="3" t="str">
        <f t="shared" si="3"/>
        <v/>
      </c>
      <c r="AP16" s="3" t="str">
        <f t="shared" si="17"/>
        <v/>
      </c>
      <c r="AQ16" s="3" t="str">
        <f>AM16</f>
        <v/>
      </c>
      <c r="AR16" s="3" t="str">
        <f t="shared" ref="AR16" si="40">AN16</f>
        <v/>
      </c>
      <c r="AT16" s="3" t="str">
        <f t="shared" ref="AT16" si="41">AO16</f>
        <v/>
      </c>
      <c r="AV16" s="3" t="str">
        <f t="shared" ref="AV16" si="42">AP16</f>
        <v/>
      </c>
      <c r="AX16" s="502" t="str">
        <f t="shared" ref="AX16" si="43">IF(AW18="","",CONCATENATE(AW18," (de) el(los) control(es) Efectivo(s) "))</f>
        <v/>
      </c>
      <c r="AY16" s="502" t="str">
        <f t="shared" ref="AY16" si="44">IF(CONCATENATE(N16:N18)="","",IF(AND(SUM(E16:E18)=10,SUM(N16:N18)&lt;30),"- Replantear control(es) NO efectivo(s) ",IF(AND(SUM(E16:E18)=20,SUM(N16:N18)&lt;60),"- Replantear control(es) NO efectivo(s) ",IF(AND(SUM(E16:E18)=30,SUM(N16:N18)&lt;90),"- Replantear control(es) NO efectivo(s) ",""))))</f>
        <v/>
      </c>
      <c r="AZ16" s="502" t="str">
        <f>IF(AND(AE16&gt;1,AE17&gt;1),"- Tomar Acciones Preventivas y Correctivas",IF(AE16&gt;1,"- Tomar Acciones Preventivas",IF(AE17&gt;1,"- Tomar Acciones Correctivas","")))</f>
        <v>- Tomar Acciones Correctivas</v>
      </c>
      <c r="BA16" s="502" t="str">
        <f t="shared" ref="BA16" si="45">CONCATENATE(AX16,AY16,AZ16)</f>
        <v>- Tomar Acciones Correctivas</v>
      </c>
      <c r="BB16" s="3" t="str">
        <f t="shared" si="18"/>
        <v>SI</v>
      </c>
      <c r="BC16" s="3" t="str">
        <f t="shared" si="19"/>
        <v/>
      </c>
      <c r="BD16" s="3" t="str">
        <f t="shared" si="20"/>
        <v>SI</v>
      </c>
      <c r="BE16" s="3" t="str">
        <f t="shared" si="21"/>
        <v/>
      </c>
      <c r="BF16" s="3" t="str">
        <f t="shared" si="22"/>
        <v>SI</v>
      </c>
      <c r="BG16" s="3" t="str">
        <f t="shared" si="23"/>
        <v/>
      </c>
      <c r="BH16" s="3" t="str">
        <f t="shared" si="24"/>
        <v>P</v>
      </c>
      <c r="BI16" s="3" t="str">
        <f t="shared" si="25"/>
        <v/>
      </c>
      <c r="BJ16" s="3" t="str">
        <f t="shared" si="26"/>
        <v>M</v>
      </c>
      <c r="BK16" s="3" t="str">
        <f t="shared" si="27"/>
        <v/>
      </c>
      <c r="BL16" s="3" t="str">
        <f t="shared" si="28"/>
        <v>SI</v>
      </c>
      <c r="BM16" s="3" t="str">
        <f t="shared" si="29"/>
        <v/>
      </c>
    </row>
    <row r="17" spans="1:65" ht="36" customHeight="1" x14ac:dyDescent="0.2">
      <c r="A17" s="503"/>
      <c r="B17" s="496"/>
      <c r="C17" s="20">
        <v>2</v>
      </c>
      <c r="D17" s="56"/>
      <c r="E17" s="240" t="str">
        <f t="shared" si="4"/>
        <v/>
      </c>
      <c r="F17" s="44"/>
      <c r="G17" s="18" t="str">
        <f t="shared" si="0"/>
        <v/>
      </c>
      <c r="H17" s="44"/>
      <c r="I17" s="18" t="str">
        <f t="shared" si="5"/>
        <v/>
      </c>
      <c r="J17" s="55" t="str">
        <f t="shared" si="6"/>
        <v/>
      </c>
      <c r="K17" s="43"/>
      <c r="L17" s="18" t="str">
        <f t="shared" si="7"/>
        <v/>
      </c>
      <c r="M17" s="43"/>
      <c r="N17" s="18" t="str">
        <f t="shared" si="8"/>
        <v/>
      </c>
      <c r="O17" s="43"/>
      <c r="P17" s="18" t="str">
        <f t="shared" si="9"/>
        <v/>
      </c>
      <c r="Q17" s="43"/>
      <c r="R17" s="18" t="str">
        <f t="shared" si="10"/>
        <v/>
      </c>
      <c r="S17" s="43"/>
      <c r="T17" s="18" t="str">
        <f t="shared" si="11"/>
        <v/>
      </c>
      <c r="U17" s="43"/>
      <c r="V17" s="18" t="str">
        <f t="shared" si="12"/>
        <v/>
      </c>
      <c r="W17" s="18">
        <f t="shared" si="13"/>
        <v>0</v>
      </c>
      <c r="X17" s="57" t="str">
        <f t="shared" si="1"/>
        <v/>
      </c>
      <c r="Y17" s="57">
        <f t="shared" si="14"/>
        <v>0</v>
      </c>
      <c r="Z17" s="65">
        <f t="shared" si="15"/>
        <v>0</v>
      </c>
      <c r="AA17" s="498"/>
      <c r="AB17" s="500"/>
      <c r="AC17" s="3">
        <f>SUM(Z16:Z18)</f>
        <v>0</v>
      </c>
      <c r="AD17" s="3">
        <f>ANALISIS!G13</f>
        <v>4</v>
      </c>
      <c r="AE17" s="3">
        <f>IF((AD17-AC17)&gt;=1,(AD17-AC17),1)</f>
        <v>4</v>
      </c>
      <c r="AF17" s="501"/>
      <c r="AG17" s="42" t="str">
        <f>IF(AE17=1,AH17,IF(AE17=2,AI17,IF(AE17=3,AJ17,IF(AE17=4,AK17,AL17))))</f>
        <v>- Reducir el Riesgo- Compartir o Transferir el Riesgo</v>
      </c>
      <c r="AH17" s="46" t="str">
        <f>IF($AF16=11,"- Asumir el Riesgo",IF($AF16=12,"- Asumir el Riesgo- Evitar Posibilidad de Ocurrencia- Reducir el Riesgo",IF($AF16=13,"- Asumir el Riesgo- Evitar Posibilidad de Ocurrencia- Reducir el Riesgo",IF($AF16=14,"-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17" s="46" t="str">
        <f>IF($AF16=21,"- Asumir el Riesgo- Reducir el Riesgo",IF($AF16=22,"- Asumir el Riesgo- Evitar Posibilidad de Ocurrencia- Reducir el Riesgo",IF($AF16=23,"- Asumir el Riesgo- Evitar Posibilidad de Ocurrencia- Reducir el Riesgo- Compartir o Transferir el Riesgo",IF($AF16=24,"- Evitar Posibilidad de Ocurrencia- Reducir el Riesgo- Compartir o Transferir el Riesgo","- Evitar Posibilidad de Ocurrencia- Reducir el Riesgo- Compartir o Transferir el Riesgo"))))</f>
        <v>- Evitar Posibilidad de Ocurrencia- Reducir el Riesgo- Compartir o Transferir el Riesgo</v>
      </c>
      <c r="AJ17" s="46" t="str">
        <f>IF($AF16=31,"- Asumir el Riesgo- Reducir el Riesgo- Compartir o Transferir el Riesgo",IF($AF16=32,"- Asumir el Riesgo- Evitar Posibilidad de Ocurrencia- Reducir el Reducir- Compartir o Transferir el Riesgo",IF($AF16=33,"- Evitar Posibilidad de Ocurrencia- Reducir el Riesgo- Compartir o Transferir el Riesgo",IF($AF16=34,"-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17" s="46" t="str">
        <f>IF($AF16=41,"- Reducir el Riesgo- Compartir o Transferir el Riesgo",IF($AF16=42,"- Evitar Posibilidad de Ocurrencia- Reducir el Riesgo- Compartir o Transferir el Riesgo",IF($AF16=43,"- Eliminar Causa(s)- Evitar Posibilidad de Ocurrencia- Reducir el Riesgo- Compartir o Transferir el Riesgo",IF($AF16=44,"- Eliminar Causa(s)- Evitar Posibilidad de Ocurrencia- Reducir el Riesgo- Compartir o Transferir el Riesgo","- Eliminar Causa(s)- Evitar Posibilidad de Ocurrencia- Reducir el Riesgo- Compartir o Transferir el Riesgo"))))</f>
        <v>- Reducir el Riesgo- Compartir o Transferir el Riesgo</v>
      </c>
      <c r="AL17" s="46" t="str">
        <f>IF($AF16=51,"- Reducir el Riesgo- Compartir o Transferir el Riesgo",IF($AF16=52,"- Eliminar Causa(s)- Evitar Posibilidad de Ocurrencia- Reducir el Riesgo- Compartir o Transferir el Riesgo",IF($AF16=53,"- Eliminar Causa(s)- Evitar Posibilidad de Ocurrencia- Reducir el Riesgo- Compartir o Transferir el Riesgo",IF($AF16=54,"-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17" s="3" t="str">
        <f t="shared" si="16"/>
        <v/>
      </c>
      <c r="AN17" s="3" t="str">
        <f t="shared" si="2"/>
        <v/>
      </c>
      <c r="AO17" s="3" t="str">
        <f t="shared" si="3"/>
        <v/>
      </c>
      <c r="AP17" s="3" t="str">
        <f t="shared" si="17"/>
        <v/>
      </c>
      <c r="AQ17" s="3" t="str">
        <f>IF(AQ16="Documentar",AQ16,AM17)</f>
        <v/>
      </c>
      <c r="AR17" s="3" t="str">
        <f t="shared" ref="AR17:AR18" si="46">IF(AR16="Asignar responsable",AR16,AN17)</f>
        <v/>
      </c>
      <c r="AT17" s="3" t="str">
        <f t="shared" ref="AT17:AT18" si="47">IF(AT16="Establecer periodos de seguimiento adecuados",AT16,AO17)</f>
        <v/>
      </c>
      <c r="AV17" s="3" t="str">
        <f t="shared" ref="AV17:AV18" si="48">IF(AV16="Guardar Evidencias",AV16,AP17)</f>
        <v/>
      </c>
      <c r="AX17" s="502"/>
      <c r="AY17" s="502"/>
      <c r="AZ17" s="502"/>
      <c r="BA17" s="502"/>
      <c r="BB17" s="3" t="str">
        <f t="shared" si="18"/>
        <v/>
      </c>
      <c r="BC17" s="3" t="str">
        <f t="shared" si="19"/>
        <v/>
      </c>
      <c r="BD17" s="3" t="str">
        <f t="shared" si="20"/>
        <v/>
      </c>
      <c r="BE17" s="3" t="str">
        <f t="shared" si="21"/>
        <v/>
      </c>
      <c r="BF17" s="3" t="str">
        <f t="shared" si="22"/>
        <v/>
      </c>
      <c r="BG17" s="3" t="str">
        <f t="shared" si="23"/>
        <v/>
      </c>
      <c r="BH17" s="3" t="str">
        <f t="shared" si="24"/>
        <v/>
      </c>
      <c r="BI17" s="3" t="str">
        <f t="shared" si="25"/>
        <v/>
      </c>
      <c r="BJ17" s="3" t="str">
        <f t="shared" si="26"/>
        <v/>
      </c>
      <c r="BK17" s="3" t="str">
        <f t="shared" si="27"/>
        <v/>
      </c>
      <c r="BL17" s="3" t="str">
        <f t="shared" si="28"/>
        <v/>
      </c>
      <c r="BM17" s="3" t="str">
        <f t="shared" si="29"/>
        <v/>
      </c>
    </row>
    <row r="18" spans="1:65" ht="36" customHeight="1" x14ac:dyDescent="0.2">
      <c r="A18" s="503"/>
      <c r="B18" s="496"/>
      <c r="C18" s="20">
        <v>3</v>
      </c>
      <c r="D18" s="56"/>
      <c r="E18" s="240" t="str">
        <f t="shared" si="4"/>
        <v/>
      </c>
      <c r="F18" s="44"/>
      <c r="G18" s="18" t="str">
        <f t="shared" si="0"/>
        <v/>
      </c>
      <c r="H18" s="44"/>
      <c r="I18" s="18" t="str">
        <f t="shared" si="5"/>
        <v/>
      </c>
      <c r="J18" s="55" t="str">
        <f t="shared" si="6"/>
        <v/>
      </c>
      <c r="K18" s="43"/>
      <c r="L18" s="18" t="str">
        <f t="shared" si="7"/>
        <v/>
      </c>
      <c r="M18" s="43"/>
      <c r="N18" s="18" t="str">
        <f t="shared" si="8"/>
        <v/>
      </c>
      <c r="O18" s="43"/>
      <c r="P18" s="18" t="str">
        <f t="shared" si="9"/>
        <v/>
      </c>
      <c r="Q18" s="43"/>
      <c r="R18" s="18" t="str">
        <f t="shared" si="10"/>
        <v/>
      </c>
      <c r="S18" s="43"/>
      <c r="T18" s="18" t="str">
        <f t="shared" si="11"/>
        <v/>
      </c>
      <c r="U18" s="43"/>
      <c r="V18" s="18" t="str">
        <f t="shared" si="12"/>
        <v/>
      </c>
      <c r="W18" s="18">
        <f t="shared" si="13"/>
        <v>0</v>
      </c>
      <c r="X18" s="57" t="str">
        <f t="shared" si="1"/>
        <v/>
      </c>
      <c r="Y18" s="57">
        <f t="shared" si="14"/>
        <v>0</v>
      </c>
      <c r="Z18" s="65">
        <f t="shared" si="15"/>
        <v>0</v>
      </c>
      <c r="AA18" s="499"/>
      <c r="AB18" s="500"/>
      <c r="AM18" s="3" t="str">
        <f t="shared" si="16"/>
        <v/>
      </c>
      <c r="AN18" s="3" t="str">
        <f t="shared" si="2"/>
        <v/>
      </c>
      <c r="AO18" s="3" t="str">
        <f t="shared" si="3"/>
        <v/>
      </c>
      <c r="AP18" s="3" t="str">
        <f t="shared" si="17"/>
        <v/>
      </c>
      <c r="AQ18" s="3" t="str">
        <f>IF(AQ17="Documentar",AQ17,AM18)</f>
        <v/>
      </c>
      <c r="AR18" s="3" t="str">
        <f t="shared" si="46"/>
        <v/>
      </c>
      <c r="AS18" s="3" t="str">
        <f>IF(AND(AQ18="Documentar",AR18="Asignar responsable"),CONCATENATE("- ",AQ18,", ",AR18),IF(AQ18="Documentar",CONCATENATE("- ",AQ18),IF(AR18="Asignar responsable",CONCATENATE("- ",AR18),"")))</f>
        <v/>
      </c>
      <c r="AT18" s="3" t="str">
        <f t="shared" si="47"/>
        <v/>
      </c>
      <c r="AU18" s="3" t="str">
        <f t="shared" ref="AU18" si="49">IF(AT18="",AS18,IF(AS18="",CONCATENATE("- ",AT18),CONCATENATE(AS18,", ",AT18)))</f>
        <v/>
      </c>
      <c r="AV18" s="3" t="str">
        <f t="shared" si="48"/>
        <v/>
      </c>
      <c r="AW18" s="3" t="str">
        <f t="shared" ref="AW18" si="50">IF(AV18="",AU18,IF(AU18="",CONCATENATE("- ",AV18),CONCATENATE(AU18,", ",AV18)))</f>
        <v/>
      </c>
      <c r="AX18" s="502"/>
      <c r="AY18" s="502"/>
      <c r="AZ18" s="502"/>
      <c r="BA18" s="502"/>
      <c r="BB18" s="3" t="str">
        <f t="shared" si="18"/>
        <v/>
      </c>
      <c r="BC18" s="3" t="str">
        <f t="shared" si="19"/>
        <v/>
      </c>
      <c r="BD18" s="3" t="str">
        <f t="shared" si="20"/>
        <v/>
      </c>
      <c r="BE18" s="3" t="str">
        <f t="shared" si="21"/>
        <v/>
      </c>
      <c r="BF18" s="3" t="str">
        <f t="shared" si="22"/>
        <v/>
      </c>
      <c r="BG18" s="3" t="str">
        <f t="shared" si="23"/>
        <v/>
      </c>
      <c r="BH18" s="3" t="str">
        <f t="shared" si="24"/>
        <v/>
      </c>
      <c r="BI18" s="3" t="str">
        <f t="shared" si="25"/>
        <v/>
      </c>
      <c r="BJ18" s="3" t="str">
        <f t="shared" si="26"/>
        <v/>
      </c>
      <c r="BK18" s="3" t="str">
        <f t="shared" si="27"/>
        <v/>
      </c>
      <c r="BL18" s="3" t="str">
        <f t="shared" si="28"/>
        <v/>
      </c>
      <c r="BM18" s="3" t="str">
        <f t="shared" si="29"/>
        <v/>
      </c>
    </row>
    <row r="19" spans="1:65" ht="36" customHeight="1" x14ac:dyDescent="0.2">
      <c r="A19" s="503" t="str">
        <f>IDENTIFICACIÓN!C12</f>
        <v>4G</v>
      </c>
      <c r="B19" s="496" t="str">
        <f>IF(IDENTIFICACIÓN!D12="","",IDENTIFICACIÓN!D12)</f>
        <v>Acreditación. Insuficiente Implementación de la Política Institucional de Autoevaluación, Acreditación y Aseguramiento de la calidad</v>
      </c>
      <c r="C19" s="20">
        <v>1</v>
      </c>
      <c r="D19" s="56" t="s">
        <v>11</v>
      </c>
      <c r="E19" s="240">
        <f t="shared" si="4"/>
        <v>10</v>
      </c>
      <c r="F19" s="44" t="s">
        <v>566</v>
      </c>
      <c r="G19" s="18" t="str">
        <f t="shared" si="0"/>
        <v/>
      </c>
      <c r="H19" s="44" t="s">
        <v>20</v>
      </c>
      <c r="I19" s="18" t="str">
        <f t="shared" si="5"/>
        <v/>
      </c>
      <c r="J19" s="55" t="str">
        <f t="shared" si="6"/>
        <v>Posibilidad</v>
      </c>
      <c r="K19" s="43" t="s">
        <v>11</v>
      </c>
      <c r="L19" s="18">
        <f t="shared" si="7"/>
        <v>15</v>
      </c>
      <c r="M19" s="43" t="s">
        <v>11</v>
      </c>
      <c r="N19" s="18">
        <f t="shared" si="8"/>
        <v>30</v>
      </c>
      <c r="O19" s="43" t="s">
        <v>323</v>
      </c>
      <c r="P19" s="18">
        <f t="shared" si="9"/>
        <v>10</v>
      </c>
      <c r="Q19" s="43" t="s">
        <v>11</v>
      </c>
      <c r="R19" s="18">
        <f t="shared" si="10"/>
        <v>5</v>
      </c>
      <c r="S19" s="43" t="s">
        <v>11</v>
      </c>
      <c r="T19" s="18">
        <f t="shared" si="11"/>
        <v>15</v>
      </c>
      <c r="U19" s="43" t="s">
        <v>11</v>
      </c>
      <c r="V19" s="18">
        <f t="shared" si="12"/>
        <v>10</v>
      </c>
      <c r="W19" s="18">
        <f t="shared" si="13"/>
        <v>95</v>
      </c>
      <c r="X19" s="57" t="str">
        <f t="shared" si="1"/>
        <v>95                           Disminuye max 2 en Posibilidad</v>
      </c>
      <c r="Y19" s="57">
        <f t="shared" si="14"/>
        <v>2</v>
      </c>
      <c r="Z19" s="65">
        <f t="shared" si="15"/>
        <v>0</v>
      </c>
      <c r="AA19" s="497">
        <f>IF(AB19=0,"",(ROUND((SUM(W19:W21)/AB19),0)))</f>
        <v>95</v>
      </c>
      <c r="AB19" s="500">
        <f>COUNT(T19:T21)</f>
        <v>3</v>
      </c>
      <c r="AC19" s="3">
        <f>SUM(Y19:Y21)</f>
        <v>6</v>
      </c>
      <c r="AD19" s="3">
        <f>ANALISIS!D14</f>
        <v>3</v>
      </c>
      <c r="AE19" s="3">
        <f>IF((AD19-AC19)&gt;=1,(AD19-AC19),1)</f>
        <v>1</v>
      </c>
      <c r="AF19" s="501">
        <f>(AE20*10)+AE19</f>
        <v>41</v>
      </c>
      <c r="AG19" s="42" t="str">
        <f>IF(AE20=1,AH19,IF(AE20=2,AI19,IF(AE20=3,AJ19,IF(AE20=4,AK19,AL19))))</f>
        <v>ALTA 1:4</v>
      </c>
      <c r="AH19" s="46" t="str">
        <f>IF($AF19=11,"BAJA 1:1",IF($AF19=12,"BAJA 2:1",IF($AF19=13,"BAJA 3:1",IF($AF19=14,"MODERADA 4:1","ALTA 5:1"))))</f>
        <v>ALTA 5:1</v>
      </c>
      <c r="AI19" s="46" t="str">
        <f>IF($AF19=21,"BAJA 1:2",IF($AF19=22,"BAJA 2:2",IF($AF19=23,"MODERADA 3:2",IF($AF19=24,"ALTA 4:2","ALTA 5:2"))))</f>
        <v>ALTA 5:2</v>
      </c>
      <c r="AJ19" s="46" t="str">
        <f>IF($AF19=31,"MODERADA 1:3",IF($AF19=32,"MODERADA 2:3",IF($AF19=33,"ALTA 3:3",IF($AF19=34,"ALTA 4:3","EXTREMA 5:3"))))</f>
        <v>EXTREMA 5:3</v>
      </c>
      <c r="AK19" s="46" t="str">
        <f>IF($AF19=41,"ALTA 1:4",IF($AF19=42,"ALTA 2:4",IF($AF19=43,"EXTREMA 3:4",IF($AF19=44,"EXTREMA 4:4","EXTREMA 5:4"))))</f>
        <v>ALTA 1:4</v>
      </c>
      <c r="AL19" s="46" t="str">
        <f>IF($AF19=51,"ALTA 1:5",IF($AF19=52,"EXTREMA 2:5",IF($AF19=53,"EXTREMA 3:5",IF($AF19=54,"EXTREMA 4:5","EXTREMA 5:5"))))</f>
        <v>EXTREMA 5:5</v>
      </c>
      <c r="AM19" s="3" t="str">
        <f t="shared" si="16"/>
        <v/>
      </c>
      <c r="AN19" s="3" t="str">
        <f t="shared" si="2"/>
        <v/>
      </c>
      <c r="AO19" s="3" t="str">
        <f t="shared" si="3"/>
        <v/>
      </c>
      <c r="AP19" s="3" t="str">
        <f t="shared" si="17"/>
        <v/>
      </c>
      <c r="AQ19" s="3" t="str">
        <f>AM19</f>
        <v/>
      </c>
      <c r="AR19" s="3" t="str">
        <f t="shared" ref="AR19" si="51">AN19</f>
        <v/>
      </c>
      <c r="AT19" s="3" t="str">
        <f t="shared" ref="AT19" si="52">AO19</f>
        <v/>
      </c>
      <c r="AV19" s="3" t="str">
        <f t="shared" ref="AV19" si="53">AP19</f>
        <v/>
      </c>
      <c r="AX19" s="502" t="str">
        <f t="shared" ref="AX19" si="54">IF(AW21="","",CONCATENATE(AW21," (de) el(los) control(es) Efectivo(s) "))</f>
        <v/>
      </c>
      <c r="AY19" s="502" t="str">
        <f t="shared" ref="AY19" si="55">IF(CONCATENATE(N19:N21)="","",IF(AND(SUM(E19:E21)=10,SUM(N19:N21)&lt;30),"- Replantear control(es) NO efectivo(s) ",IF(AND(SUM(E19:E21)=20,SUM(N19:N21)&lt;60),"- Replantear control(es) NO efectivo(s) ",IF(AND(SUM(E19:E21)=30,SUM(N19:N21)&lt;90),"- Replantear control(es) NO efectivo(s) ",""))))</f>
        <v/>
      </c>
      <c r="AZ19" s="502" t="str">
        <f>IF(AND(AE19&gt;1,AE20&gt;1),"- Tomar Acciones Preventivas y Correctivas",IF(AE19&gt;1,"- Tomar Acciones Preventivas",IF(AE20&gt;1,"- Tomar Acciones Correctivas","")))</f>
        <v>- Tomar Acciones Correctivas</v>
      </c>
      <c r="BA19" s="502" t="str">
        <f t="shared" ref="BA19" si="56">CONCATENATE(AX19,AY19,AZ19)</f>
        <v>- Tomar Acciones Correctivas</v>
      </c>
      <c r="BB19" s="3" t="str">
        <f t="shared" si="18"/>
        <v>SI</v>
      </c>
      <c r="BC19" s="3" t="str">
        <f t="shared" si="19"/>
        <v/>
      </c>
      <c r="BD19" s="3" t="str">
        <f t="shared" si="20"/>
        <v>SI</v>
      </c>
      <c r="BE19" s="3" t="str">
        <f t="shared" si="21"/>
        <v/>
      </c>
      <c r="BF19" s="3" t="str">
        <f t="shared" si="22"/>
        <v>SI</v>
      </c>
      <c r="BG19" s="3" t="str">
        <f t="shared" si="23"/>
        <v/>
      </c>
      <c r="BH19" s="3" t="str">
        <f t="shared" si="24"/>
        <v>P</v>
      </c>
      <c r="BI19" s="3" t="str">
        <f t="shared" si="25"/>
        <v/>
      </c>
      <c r="BJ19" s="3" t="str">
        <f t="shared" si="26"/>
        <v>M</v>
      </c>
      <c r="BK19" s="3" t="str">
        <f t="shared" si="27"/>
        <v/>
      </c>
      <c r="BL19" s="3" t="str">
        <f t="shared" si="28"/>
        <v>SI</v>
      </c>
      <c r="BM19" s="3" t="str">
        <f t="shared" si="29"/>
        <v/>
      </c>
    </row>
    <row r="20" spans="1:65" ht="36" customHeight="1" x14ac:dyDescent="0.2">
      <c r="A20" s="503"/>
      <c r="B20" s="496"/>
      <c r="C20" s="20">
        <v>2</v>
      </c>
      <c r="D20" s="56" t="s">
        <v>11</v>
      </c>
      <c r="E20" s="240">
        <f t="shared" si="4"/>
        <v>10</v>
      </c>
      <c r="F20" s="44" t="s">
        <v>567</v>
      </c>
      <c r="G20" s="18" t="str">
        <f t="shared" si="0"/>
        <v/>
      </c>
      <c r="H20" s="44" t="s">
        <v>20</v>
      </c>
      <c r="I20" s="18" t="str">
        <f t="shared" si="5"/>
        <v/>
      </c>
      <c r="J20" s="55" t="str">
        <f t="shared" si="6"/>
        <v>Posibilidad</v>
      </c>
      <c r="K20" s="43" t="s">
        <v>11</v>
      </c>
      <c r="L20" s="18">
        <f t="shared" si="7"/>
        <v>15</v>
      </c>
      <c r="M20" s="43" t="s">
        <v>11</v>
      </c>
      <c r="N20" s="18">
        <f t="shared" si="8"/>
        <v>30</v>
      </c>
      <c r="O20" s="43" t="s">
        <v>323</v>
      </c>
      <c r="P20" s="18">
        <f t="shared" si="9"/>
        <v>10</v>
      </c>
      <c r="Q20" s="43" t="s">
        <v>11</v>
      </c>
      <c r="R20" s="18">
        <f t="shared" si="10"/>
        <v>5</v>
      </c>
      <c r="S20" s="43" t="s">
        <v>11</v>
      </c>
      <c r="T20" s="18">
        <f t="shared" si="11"/>
        <v>15</v>
      </c>
      <c r="U20" s="43" t="s">
        <v>11</v>
      </c>
      <c r="V20" s="18">
        <f t="shared" si="12"/>
        <v>10</v>
      </c>
      <c r="W20" s="18">
        <f t="shared" si="13"/>
        <v>95</v>
      </c>
      <c r="X20" s="57" t="str">
        <f t="shared" si="1"/>
        <v>95                           Disminuye max 2 en Posibilidad</v>
      </c>
      <c r="Y20" s="57">
        <f t="shared" si="14"/>
        <v>2</v>
      </c>
      <c r="Z20" s="65">
        <f t="shared" si="15"/>
        <v>0</v>
      </c>
      <c r="AA20" s="498"/>
      <c r="AB20" s="500"/>
      <c r="AC20" s="3">
        <f>SUM(Z19:Z21)</f>
        <v>0</v>
      </c>
      <c r="AD20" s="3">
        <f>ANALISIS!G14</f>
        <v>4</v>
      </c>
      <c r="AE20" s="3">
        <f>IF((AD20-AC20)&gt;=1,(AD20-AC20),1)</f>
        <v>4</v>
      </c>
      <c r="AF20" s="501"/>
      <c r="AG20" s="42" t="str">
        <f>IF(AE20=1,AH20,IF(AE20=2,AI20,IF(AE20=3,AJ20,IF(AE20=4,AK20,AL20))))</f>
        <v>- Reducir el Riesgo- Compartir o Transferir el Riesgo</v>
      </c>
      <c r="AH20" s="46" t="str">
        <f>IF($AF19=11,"- Asumir el Riesgo",IF($AF19=12,"- Asumir el Riesgo- Evitar Posibilidad de Ocurrencia- Reducir el Riesgo",IF($AF19=13,"- Asumir el Riesgo- Evitar Posibilidad de Ocurrencia- Reducir el Riesgo",IF($AF19=14,"-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0" s="46" t="str">
        <f>IF($AF19=21,"- Asumir el Riesgo- Reducir el Riesgo",IF($AF19=22,"- Asumir el Riesgo- Evitar Posibilidad de Ocurrencia- Reducir el Riesgo",IF($AF19=23,"- Asumir el Riesgo- Evitar Posibilidad de Ocurrencia- Reducir el Riesgo- Compartir o Transferir el Riesgo",IF($AF19=24,"- Evitar Posibilidad de Ocurrencia- Reducir el Riesgo- Compartir o Transferir el Riesgo","- Evitar Posibilidad de Ocurrencia- Reducir el Riesgo- Compartir o Transferir el Riesgo"))))</f>
        <v>- Evitar Posibilidad de Ocurrencia- Reducir el Riesgo- Compartir o Transferir el Riesgo</v>
      </c>
      <c r="AJ20" s="46" t="str">
        <f>IF($AF19=31,"- Asumir el Riesgo- Reducir el Riesgo- Compartir o Transferir el Riesgo",IF($AF19=32,"- Asumir el Riesgo- Evitar Posibilidad de Ocurrencia- Reducir el Reducir- Compartir o Transferir el Riesgo",IF($AF19=33,"- Evitar Posibilidad de Ocurrencia- Reducir el Riesgo- Compartir o Transferir el Riesgo",IF($AF19=34,"-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0" s="46" t="str">
        <f>IF($AF19=41,"- Reducir el Riesgo- Compartir o Transferir el Riesgo",IF($AF19=42,"- Evitar Posibilidad de Ocurrencia- Reducir el Riesgo- Compartir o Transferir el Riesgo",IF($AF19=43,"- Eliminar Causa(s)- Evitar Posibilidad de Ocurrencia- Reducir el Riesgo- Compartir o Transferir el Riesgo",IF($AF19=44,"- Eliminar Causa(s)- Evitar Posibilidad de Ocurrencia- Reducir el Riesgo- Compartir o Transferir el Riesgo","- Eliminar Causa(s)- Evitar Posibilidad de Ocurrencia- Reducir el Riesgo- Compartir o Transferir el Riesgo"))))</f>
        <v>- Reducir el Riesgo- Compartir o Transferir el Riesgo</v>
      </c>
      <c r="AL20" s="46" t="str">
        <f>IF($AF19=51,"- Reducir el Riesgo- Compartir o Transferir el Riesgo",IF($AF19=52,"- Eliminar Causa(s)- Evitar Posibilidad de Ocurrencia- Reducir el Riesgo- Compartir o Transferir el Riesgo",IF($AF19=53,"- Eliminar Causa(s)- Evitar Posibilidad de Ocurrencia- Reducir el Riesgo- Compartir o Transferir el Riesgo",IF($AF19=54,"-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0" s="3" t="str">
        <f t="shared" si="16"/>
        <v/>
      </c>
      <c r="AN20" s="3" t="str">
        <f t="shared" si="2"/>
        <v/>
      </c>
      <c r="AO20" s="3" t="str">
        <f t="shared" si="3"/>
        <v/>
      </c>
      <c r="AP20" s="3" t="str">
        <f t="shared" si="17"/>
        <v/>
      </c>
      <c r="AQ20" s="3" t="str">
        <f>IF(AQ19="Documentar",AQ19,AM20)</f>
        <v/>
      </c>
      <c r="AR20" s="3" t="str">
        <f t="shared" ref="AR20:AR21" si="57">IF(AR19="Asignar responsable",AR19,AN20)</f>
        <v/>
      </c>
      <c r="AT20" s="3" t="str">
        <f t="shared" ref="AT20:AT21" si="58">IF(AT19="Establecer periodos de seguimiento adecuados",AT19,AO20)</f>
        <v/>
      </c>
      <c r="AV20" s="3" t="str">
        <f t="shared" ref="AV20:AV21" si="59">IF(AV19="Guardar Evidencias",AV19,AP20)</f>
        <v/>
      </c>
      <c r="AX20" s="502"/>
      <c r="AY20" s="502"/>
      <c r="AZ20" s="502"/>
      <c r="BA20" s="502"/>
      <c r="BB20" s="3" t="str">
        <f t="shared" si="18"/>
        <v>SI</v>
      </c>
      <c r="BC20" s="3" t="str">
        <f t="shared" si="19"/>
        <v/>
      </c>
      <c r="BD20" s="3" t="str">
        <f t="shared" si="20"/>
        <v>SI</v>
      </c>
      <c r="BE20" s="3" t="str">
        <f t="shared" si="21"/>
        <v/>
      </c>
      <c r="BF20" s="3" t="str">
        <f t="shared" si="22"/>
        <v>SI</v>
      </c>
      <c r="BG20" s="3" t="str">
        <f t="shared" si="23"/>
        <v/>
      </c>
      <c r="BH20" s="3" t="str">
        <f t="shared" si="24"/>
        <v>P</v>
      </c>
      <c r="BI20" s="3" t="str">
        <f t="shared" si="25"/>
        <v/>
      </c>
      <c r="BJ20" s="3" t="str">
        <f t="shared" si="26"/>
        <v>M</v>
      </c>
      <c r="BK20" s="3" t="str">
        <f t="shared" si="27"/>
        <v/>
      </c>
      <c r="BL20" s="3" t="str">
        <f t="shared" si="28"/>
        <v>SI</v>
      </c>
      <c r="BM20" s="3" t="str">
        <f t="shared" si="29"/>
        <v/>
      </c>
    </row>
    <row r="21" spans="1:65" ht="36" customHeight="1" x14ac:dyDescent="0.2">
      <c r="A21" s="503"/>
      <c r="B21" s="496"/>
      <c r="C21" s="20">
        <v>3</v>
      </c>
      <c r="D21" s="56" t="s">
        <v>11</v>
      </c>
      <c r="E21" s="240">
        <f t="shared" si="4"/>
        <v>10</v>
      </c>
      <c r="F21" s="44" t="s">
        <v>568</v>
      </c>
      <c r="G21" s="18" t="str">
        <f t="shared" si="0"/>
        <v/>
      </c>
      <c r="H21" s="44" t="s">
        <v>20</v>
      </c>
      <c r="I21" s="18" t="str">
        <f t="shared" si="5"/>
        <v/>
      </c>
      <c r="J21" s="55" t="str">
        <f t="shared" si="6"/>
        <v>Posibilidad</v>
      </c>
      <c r="K21" s="43" t="s">
        <v>11</v>
      </c>
      <c r="L21" s="18">
        <f t="shared" si="7"/>
        <v>15</v>
      </c>
      <c r="M21" s="43" t="s">
        <v>11</v>
      </c>
      <c r="N21" s="18">
        <f t="shared" si="8"/>
        <v>30</v>
      </c>
      <c r="O21" s="43" t="s">
        <v>323</v>
      </c>
      <c r="P21" s="18">
        <f t="shared" si="9"/>
        <v>10</v>
      </c>
      <c r="Q21" s="43" t="s">
        <v>11</v>
      </c>
      <c r="R21" s="18">
        <f t="shared" si="10"/>
        <v>5</v>
      </c>
      <c r="S21" s="43" t="s">
        <v>11</v>
      </c>
      <c r="T21" s="18">
        <f t="shared" si="11"/>
        <v>15</v>
      </c>
      <c r="U21" s="43" t="s">
        <v>11</v>
      </c>
      <c r="V21" s="18">
        <f t="shared" si="12"/>
        <v>10</v>
      </c>
      <c r="W21" s="18">
        <f t="shared" si="13"/>
        <v>95</v>
      </c>
      <c r="X21" s="57" t="str">
        <f t="shared" si="1"/>
        <v>95                           Disminuye max 2 en Posibilidad</v>
      </c>
      <c r="Y21" s="57">
        <f t="shared" si="14"/>
        <v>2</v>
      </c>
      <c r="Z21" s="65">
        <f t="shared" si="15"/>
        <v>0</v>
      </c>
      <c r="AA21" s="499"/>
      <c r="AB21" s="500"/>
      <c r="AM21" s="3" t="str">
        <f t="shared" si="16"/>
        <v/>
      </c>
      <c r="AN21" s="3" t="str">
        <f t="shared" si="2"/>
        <v/>
      </c>
      <c r="AO21" s="3" t="str">
        <f t="shared" si="3"/>
        <v/>
      </c>
      <c r="AP21" s="3" t="str">
        <f t="shared" si="17"/>
        <v/>
      </c>
      <c r="AQ21" s="3" t="str">
        <f>IF(AQ20="Documentar",AQ20,AM21)</f>
        <v/>
      </c>
      <c r="AR21" s="3" t="str">
        <f t="shared" si="57"/>
        <v/>
      </c>
      <c r="AS21" s="3" t="str">
        <f>IF(AND(AQ21="Documentar",AR21="Asignar responsable"),CONCATENATE("- ",AQ21,", ",AR21),IF(AQ21="Documentar",CONCATENATE("- ",AQ21),IF(AR21="Asignar responsable",CONCATENATE("- ",AR21),"")))</f>
        <v/>
      </c>
      <c r="AT21" s="3" t="str">
        <f t="shared" si="58"/>
        <v/>
      </c>
      <c r="AU21" s="3" t="str">
        <f t="shared" ref="AU21" si="60">IF(AT21="",AS21,IF(AS21="",CONCATENATE("- ",AT21),CONCATENATE(AS21,", ",AT21)))</f>
        <v/>
      </c>
      <c r="AV21" s="3" t="str">
        <f t="shared" si="59"/>
        <v/>
      </c>
      <c r="AW21" s="3" t="str">
        <f t="shared" ref="AW21" si="61">IF(AV21="",AU21,IF(AU21="",CONCATENATE("- ",AV21),CONCATENATE(AU21,", ",AV21)))</f>
        <v/>
      </c>
      <c r="AX21" s="502"/>
      <c r="AY21" s="502"/>
      <c r="AZ21" s="502"/>
      <c r="BA21" s="502"/>
      <c r="BB21" s="3" t="str">
        <f t="shared" si="18"/>
        <v>SI</v>
      </c>
      <c r="BC21" s="3" t="str">
        <f t="shared" si="19"/>
        <v/>
      </c>
      <c r="BD21" s="3" t="str">
        <f t="shared" si="20"/>
        <v>SI</v>
      </c>
      <c r="BE21" s="3" t="str">
        <f t="shared" si="21"/>
        <v/>
      </c>
      <c r="BF21" s="3" t="str">
        <f t="shared" si="22"/>
        <v>SI</v>
      </c>
      <c r="BG21" s="3" t="str">
        <f t="shared" si="23"/>
        <v/>
      </c>
      <c r="BH21" s="3" t="str">
        <f t="shared" si="24"/>
        <v>P</v>
      </c>
      <c r="BI21" s="3" t="str">
        <f t="shared" si="25"/>
        <v/>
      </c>
      <c r="BJ21" s="3" t="str">
        <f t="shared" si="26"/>
        <v>M</v>
      </c>
      <c r="BK21" s="3" t="str">
        <f t="shared" si="27"/>
        <v/>
      </c>
      <c r="BL21" s="3" t="str">
        <f t="shared" si="28"/>
        <v>SI</v>
      </c>
      <c r="BM21" s="3" t="str">
        <f t="shared" si="29"/>
        <v/>
      </c>
    </row>
    <row r="22" spans="1:65" ht="36" customHeight="1" x14ac:dyDescent="0.2">
      <c r="A22" s="503" t="str">
        <f>IDENTIFICACIÓN!C13</f>
        <v>5G</v>
      </c>
      <c r="B22" s="496" t="str">
        <f>IF(IDENTIFICACIÓN!D13="","",IDENTIFICACIÓN!D13)</f>
        <v xml:space="preserve">Acreditación. Deficiencia en la calidad técnica de los informes </v>
      </c>
      <c r="C22" s="20">
        <v>1</v>
      </c>
      <c r="D22" s="56" t="s">
        <v>11</v>
      </c>
      <c r="E22" s="240">
        <f t="shared" si="4"/>
        <v>10</v>
      </c>
      <c r="F22" s="44" t="s">
        <v>568</v>
      </c>
      <c r="G22" s="18" t="str">
        <f t="shared" si="0"/>
        <v/>
      </c>
      <c r="H22" s="44" t="s">
        <v>20</v>
      </c>
      <c r="I22" s="18" t="str">
        <f t="shared" si="5"/>
        <v/>
      </c>
      <c r="J22" s="55" t="str">
        <f t="shared" si="6"/>
        <v>Posibilidad</v>
      </c>
      <c r="K22" s="43" t="s">
        <v>11</v>
      </c>
      <c r="L22" s="18">
        <f t="shared" si="7"/>
        <v>15</v>
      </c>
      <c r="M22" s="43" t="s">
        <v>11</v>
      </c>
      <c r="N22" s="18">
        <f t="shared" si="8"/>
        <v>30</v>
      </c>
      <c r="O22" s="43" t="s">
        <v>323</v>
      </c>
      <c r="P22" s="18">
        <f t="shared" si="9"/>
        <v>10</v>
      </c>
      <c r="Q22" s="43" t="s">
        <v>11</v>
      </c>
      <c r="R22" s="18">
        <f t="shared" si="10"/>
        <v>5</v>
      </c>
      <c r="S22" s="43" t="s">
        <v>11</v>
      </c>
      <c r="T22" s="18">
        <f t="shared" si="11"/>
        <v>15</v>
      </c>
      <c r="U22" s="43" t="s">
        <v>11</v>
      </c>
      <c r="V22" s="18">
        <f t="shared" si="12"/>
        <v>10</v>
      </c>
      <c r="W22" s="18">
        <f t="shared" si="13"/>
        <v>95</v>
      </c>
      <c r="X22" s="57" t="str">
        <f t="shared" si="1"/>
        <v>95                           Disminuye max 2 en Posibilidad</v>
      </c>
      <c r="Y22" s="57">
        <f t="shared" si="14"/>
        <v>2</v>
      </c>
      <c r="Z22" s="65">
        <f t="shared" si="15"/>
        <v>0</v>
      </c>
      <c r="AA22" s="497">
        <f>IF(AB22=0,"",(ROUND((SUM(W22:W24)/AB22),0)))</f>
        <v>95</v>
      </c>
      <c r="AB22" s="500">
        <f>COUNT(T22:T24)</f>
        <v>3</v>
      </c>
      <c r="AC22" s="3">
        <f>SUM(Y22:Y24)</f>
        <v>6</v>
      </c>
      <c r="AD22" s="3">
        <f>ANALISIS!D15</f>
        <v>1</v>
      </c>
      <c r="AE22" s="3">
        <f>IF((AD22-AC22)&gt;=1,(AD22-AC22),1)</f>
        <v>1</v>
      </c>
      <c r="AF22" s="501">
        <f>(AE23*10)+AE22</f>
        <v>41</v>
      </c>
      <c r="AG22" s="42" t="str">
        <f>IF(AE23=1,AH22,IF(AE23=2,AI22,IF(AE23=3,AJ22,IF(AE23=4,AK22,AL22))))</f>
        <v>ALTA 1:4</v>
      </c>
      <c r="AH22" s="46" t="str">
        <f>IF($AF22=11,"BAJA 1:1",IF($AF22=12,"BAJA 2:1",IF($AF22=13,"BAJA 3:1",IF($AF22=14,"MODERADA 4:1","ALTA 5:1"))))</f>
        <v>ALTA 5:1</v>
      </c>
      <c r="AI22" s="46" t="str">
        <f>IF($AF22=21,"BAJA 1:2",IF($AF22=22,"BAJA 2:2",IF($AF22=23,"MODERADA 3:2",IF($AF22=24,"ALTA 4:2","ALTA 5:2"))))</f>
        <v>ALTA 5:2</v>
      </c>
      <c r="AJ22" s="46" t="str">
        <f>IF($AF22=31,"MODERADA 1:3",IF($AF22=32,"MODERADA 2:3",IF($AF22=33,"ALTA 3:3",IF($AF22=34,"ALTA 4:3","EXTREMA 5:3"))))</f>
        <v>EXTREMA 5:3</v>
      </c>
      <c r="AK22" s="46" t="str">
        <f>IF($AF22=41,"ALTA 1:4",IF($AF22=42,"ALTA 2:4",IF($AF22=43,"EXTREMA 3:4",IF($AF22=44,"EXTREMA 4:4","EXTREMA 5:4"))))</f>
        <v>ALTA 1:4</v>
      </c>
      <c r="AL22" s="46" t="str">
        <f>IF($AF22=51,"ALTA 1:5",IF($AF22=52,"EXTREMA 2:5",IF($AF22=53,"EXTREMA 3:5",IF($AF22=54,"EXTREMA 4:5","EXTREMA 5:5"))))</f>
        <v>EXTREMA 5:5</v>
      </c>
      <c r="AM22" s="3" t="str">
        <f t="shared" si="16"/>
        <v/>
      </c>
      <c r="AN22" s="3" t="str">
        <f t="shared" si="2"/>
        <v/>
      </c>
      <c r="AO22" s="3" t="str">
        <f t="shared" si="3"/>
        <v/>
      </c>
      <c r="AP22" s="3" t="str">
        <f t="shared" si="17"/>
        <v/>
      </c>
      <c r="AQ22" s="3" t="str">
        <f>AM22</f>
        <v/>
      </c>
      <c r="AR22" s="3" t="str">
        <f t="shared" ref="AR22" si="62">AN22</f>
        <v/>
      </c>
      <c r="AT22" s="3" t="str">
        <f t="shared" ref="AT22" si="63">AO22</f>
        <v/>
      </c>
      <c r="AV22" s="3" t="str">
        <f t="shared" ref="AV22" si="64">AP22</f>
        <v/>
      </c>
      <c r="AX22" s="502" t="str">
        <f t="shared" ref="AX22" si="65">IF(AW24="","",CONCATENATE(AW24," (de) el(los) control(es) Efectivo(s) "))</f>
        <v/>
      </c>
      <c r="AY22" s="502" t="str">
        <f t="shared" ref="AY22" si="66">IF(CONCATENATE(N22:N24)="","",IF(AND(SUM(E22:E24)=10,SUM(N22:N24)&lt;30),"- Replantear control(es) NO efectivo(s) ",IF(AND(SUM(E22:E24)=20,SUM(N22:N24)&lt;60),"- Replantear control(es) NO efectivo(s) ",IF(AND(SUM(E22:E24)=30,SUM(N22:N24)&lt;90),"- Replantear control(es) NO efectivo(s) ",""))))</f>
        <v/>
      </c>
      <c r="AZ22" s="502" t="str">
        <f>IF(AND(AE22&gt;1,AE23&gt;1),"- Tomar Acciones Preventivas y Correctivas",IF(AE22&gt;1,"- Tomar Acciones Preventivas",IF(AE23&gt;1,"- Tomar Acciones Correctivas","")))</f>
        <v>- Tomar Acciones Correctivas</v>
      </c>
      <c r="BA22" s="502" t="str">
        <f t="shared" ref="BA22" si="67">CONCATENATE(AX22,AY22,AZ22)</f>
        <v>- Tomar Acciones Correctivas</v>
      </c>
      <c r="BB22" s="3" t="str">
        <f t="shared" si="18"/>
        <v>SI</v>
      </c>
      <c r="BC22" s="3" t="str">
        <f t="shared" si="19"/>
        <v/>
      </c>
      <c r="BD22" s="3" t="str">
        <f t="shared" si="20"/>
        <v>SI</v>
      </c>
      <c r="BE22" s="3" t="str">
        <f t="shared" si="21"/>
        <v/>
      </c>
      <c r="BF22" s="3" t="str">
        <f t="shared" si="22"/>
        <v>SI</v>
      </c>
      <c r="BG22" s="3" t="str">
        <f t="shared" si="23"/>
        <v/>
      </c>
      <c r="BH22" s="3" t="str">
        <f t="shared" si="24"/>
        <v>P</v>
      </c>
      <c r="BI22" s="3" t="str">
        <f t="shared" si="25"/>
        <v/>
      </c>
      <c r="BJ22" s="3" t="str">
        <f t="shared" si="26"/>
        <v>M</v>
      </c>
      <c r="BK22" s="3" t="str">
        <f t="shared" si="27"/>
        <v/>
      </c>
      <c r="BL22" s="3" t="str">
        <f t="shared" si="28"/>
        <v>SI</v>
      </c>
      <c r="BM22" s="3" t="str">
        <f t="shared" si="29"/>
        <v/>
      </c>
    </row>
    <row r="23" spans="1:65" ht="36" customHeight="1" x14ac:dyDescent="0.2">
      <c r="A23" s="503"/>
      <c r="B23" s="496"/>
      <c r="C23" s="20">
        <v>2</v>
      </c>
      <c r="D23" s="56" t="s">
        <v>11</v>
      </c>
      <c r="E23" s="240">
        <f t="shared" si="4"/>
        <v>10</v>
      </c>
      <c r="F23" s="44" t="s">
        <v>567</v>
      </c>
      <c r="G23" s="18" t="str">
        <f t="shared" si="0"/>
        <v/>
      </c>
      <c r="H23" s="44" t="s">
        <v>20</v>
      </c>
      <c r="I23" s="18" t="str">
        <f t="shared" si="5"/>
        <v/>
      </c>
      <c r="J23" s="55" t="str">
        <f t="shared" si="6"/>
        <v>Posibilidad</v>
      </c>
      <c r="K23" s="43" t="s">
        <v>11</v>
      </c>
      <c r="L23" s="18">
        <f t="shared" si="7"/>
        <v>15</v>
      </c>
      <c r="M23" s="43" t="s">
        <v>11</v>
      </c>
      <c r="N23" s="18">
        <f t="shared" si="8"/>
        <v>30</v>
      </c>
      <c r="O23" s="43" t="s">
        <v>323</v>
      </c>
      <c r="P23" s="18">
        <f t="shared" si="9"/>
        <v>10</v>
      </c>
      <c r="Q23" s="43" t="s">
        <v>11</v>
      </c>
      <c r="R23" s="18">
        <f t="shared" si="10"/>
        <v>5</v>
      </c>
      <c r="S23" s="43" t="s">
        <v>11</v>
      </c>
      <c r="T23" s="18">
        <f t="shared" si="11"/>
        <v>15</v>
      </c>
      <c r="U23" s="43" t="s">
        <v>11</v>
      </c>
      <c r="V23" s="18">
        <f t="shared" si="12"/>
        <v>10</v>
      </c>
      <c r="W23" s="18">
        <f t="shared" si="13"/>
        <v>95</v>
      </c>
      <c r="X23" s="57" t="str">
        <f t="shared" si="1"/>
        <v>95                           Disminuye max 2 en Posibilidad</v>
      </c>
      <c r="Y23" s="57">
        <f t="shared" si="14"/>
        <v>2</v>
      </c>
      <c r="Z23" s="65">
        <f t="shared" si="15"/>
        <v>0</v>
      </c>
      <c r="AA23" s="498"/>
      <c r="AB23" s="500"/>
      <c r="AC23" s="3">
        <f>SUM(Z22:Z24)</f>
        <v>0</v>
      </c>
      <c r="AD23" s="3">
        <f>ANALISIS!G15</f>
        <v>4</v>
      </c>
      <c r="AE23" s="3">
        <f>IF((AD23-AC23)&gt;=1,(AD23-AC23),1)</f>
        <v>4</v>
      </c>
      <c r="AF23" s="501"/>
      <c r="AG23" s="42" t="str">
        <f>IF(AE23=1,AH23,IF(AE23=2,AI23,IF(AE23=3,AJ23,IF(AE23=4,AK23,AL23))))</f>
        <v>- Reducir el Riesgo- Compartir o Transferir el Riesgo</v>
      </c>
      <c r="AH23" s="46" t="str">
        <f>IF($AF22=11,"- Asumir el Riesgo",IF($AF22=12,"- Asumir el Riesgo- Evitar Posibilidad de Ocurrencia- Reducir el Riesgo",IF($AF22=13,"- Asumir el Riesgo- Evitar Posibilidad de Ocurrencia- Reducir el Riesgo",IF($AF22=14,"-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3" s="46" t="str">
        <f>IF($AF22=21,"- Asumir el Riesgo- Reducir el Riesgo",IF($AF22=22,"- Asumir el Riesgo- Evitar Posibilidad de Ocurrencia- Reducir el Riesgo",IF($AF22=23,"- Asumir el Riesgo- Evitar Posibilidad de Ocurrencia- Reducir el Riesgo- Compartir o Transferir el Riesgo",IF($AF22=24,"- Evitar Posibilidad de Ocurrencia- Reducir el Riesgo- Compartir o Transferir el Riesgo","- Evitar Posibilidad de Ocurrencia- Reducir el Riesgo- Compartir o Transferir el Riesgo"))))</f>
        <v>- Evitar Posibilidad de Ocurrencia- Reducir el Riesgo- Compartir o Transferir el Riesgo</v>
      </c>
      <c r="AJ23" s="46" t="str">
        <f>IF($AF22=31,"- Asumir el Riesgo- Reducir el Riesgo- Compartir o Transferir el Riesgo",IF($AF22=32,"- Asumir el Riesgo- Evitar Posibilidad de Ocurrencia- Reducir el Reducir- Compartir o Transferir el Riesgo",IF($AF22=33,"- Evitar Posibilidad de Ocurrencia- Reducir el Riesgo- Compartir o Transferir el Riesgo",IF($AF22=34,"-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3" s="46" t="str">
        <f>IF($AF22=41,"- Reducir el Riesgo- Compartir o Transferir el Riesgo",IF($AF22=42,"- Evitar Posibilidad de Ocurrencia- Reducir el Riesgo- Compartir o Transferir el Riesgo",IF($AF22=43,"- Eliminar Causa(s)- Evitar Posibilidad de Ocurrencia- Reducir el Riesgo- Compartir o Transferir el Riesgo",IF($AF22=44,"- Eliminar Causa(s)- Evitar Posibilidad de Ocurrencia- Reducir el Riesgo- Compartir o Transferir el Riesgo","- Eliminar Causa(s)- Evitar Posibilidad de Ocurrencia- Reducir el Riesgo- Compartir o Transferir el Riesgo"))))</f>
        <v>- Reducir el Riesgo- Compartir o Transferir el Riesgo</v>
      </c>
      <c r="AL23" s="46" t="str">
        <f>IF($AF22=51,"- Reducir el Riesgo- Compartir o Transferir el Riesgo",IF($AF22=52,"- Eliminar Causa(s)- Evitar Posibilidad de Ocurrencia- Reducir el Riesgo- Compartir o Transferir el Riesgo",IF($AF22=53,"- Eliminar Causa(s)- Evitar Posibilidad de Ocurrencia- Reducir el Riesgo- Compartir o Transferir el Riesgo",IF($AF22=54,"-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3" s="3" t="str">
        <f t="shared" si="16"/>
        <v/>
      </c>
      <c r="AN23" s="3" t="str">
        <f t="shared" si="2"/>
        <v/>
      </c>
      <c r="AO23" s="3" t="str">
        <f t="shared" si="3"/>
        <v/>
      </c>
      <c r="AP23" s="3" t="str">
        <f t="shared" si="17"/>
        <v/>
      </c>
      <c r="AQ23" s="3" t="str">
        <f>IF(AQ22="Documentar",AQ22,AM23)</f>
        <v/>
      </c>
      <c r="AR23" s="3" t="str">
        <f t="shared" ref="AR23:AR24" si="68">IF(AR22="Asignar responsable",AR22,AN23)</f>
        <v/>
      </c>
      <c r="AT23" s="3" t="str">
        <f t="shared" ref="AT23:AT24" si="69">IF(AT22="Establecer periodos de seguimiento adecuados",AT22,AO23)</f>
        <v/>
      </c>
      <c r="AV23" s="3" t="str">
        <f t="shared" ref="AV23:AV24" si="70">IF(AV22="Guardar Evidencias",AV22,AP23)</f>
        <v/>
      </c>
      <c r="AX23" s="502"/>
      <c r="AY23" s="502"/>
      <c r="AZ23" s="502"/>
      <c r="BA23" s="502"/>
      <c r="BB23" s="3" t="str">
        <f t="shared" si="18"/>
        <v>SI</v>
      </c>
      <c r="BC23" s="3" t="str">
        <f t="shared" si="19"/>
        <v/>
      </c>
      <c r="BD23" s="3" t="str">
        <f t="shared" si="20"/>
        <v>SI</v>
      </c>
      <c r="BE23" s="3" t="str">
        <f t="shared" si="21"/>
        <v/>
      </c>
      <c r="BF23" s="3" t="str">
        <f t="shared" si="22"/>
        <v>SI</v>
      </c>
      <c r="BG23" s="3" t="str">
        <f t="shared" si="23"/>
        <v/>
      </c>
      <c r="BH23" s="3" t="str">
        <f t="shared" si="24"/>
        <v>P</v>
      </c>
      <c r="BI23" s="3" t="str">
        <f t="shared" si="25"/>
        <v/>
      </c>
      <c r="BJ23" s="3" t="str">
        <f t="shared" si="26"/>
        <v>M</v>
      </c>
      <c r="BK23" s="3" t="str">
        <f t="shared" si="27"/>
        <v/>
      </c>
      <c r="BL23" s="3" t="str">
        <f t="shared" si="28"/>
        <v>SI</v>
      </c>
      <c r="BM23" s="3" t="str">
        <f t="shared" si="29"/>
        <v/>
      </c>
    </row>
    <row r="24" spans="1:65" ht="36" customHeight="1" x14ac:dyDescent="0.2">
      <c r="A24" s="503"/>
      <c r="B24" s="496"/>
      <c r="C24" s="20">
        <v>3</v>
      </c>
      <c r="D24" s="56" t="s">
        <v>11</v>
      </c>
      <c r="E24" s="240">
        <f t="shared" si="4"/>
        <v>10</v>
      </c>
      <c r="F24" s="44" t="s">
        <v>569</v>
      </c>
      <c r="G24" s="18" t="str">
        <f t="shared" si="0"/>
        <v/>
      </c>
      <c r="H24" s="44" t="s">
        <v>20</v>
      </c>
      <c r="I24" s="18" t="str">
        <f t="shared" si="5"/>
        <v/>
      </c>
      <c r="J24" s="55" t="str">
        <f t="shared" si="6"/>
        <v>Posibilidad</v>
      </c>
      <c r="K24" s="43" t="s">
        <v>11</v>
      </c>
      <c r="L24" s="18">
        <f t="shared" si="7"/>
        <v>15</v>
      </c>
      <c r="M24" s="43" t="s">
        <v>11</v>
      </c>
      <c r="N24" s="18">
        <f t="shared" si="8"/>
        <v>30</v>
      </c>
      <c r="O24" s="43" t="s">
        <v>323</v>
      </c>
      <c r="P24" s="18">
        <f t="shared" si="9"/>
        <v>10</v>
      </c>
      <c r="Q24" s="43" t="s">
        <v>11</v>
      </c>
      <c r="R24" s="18">
        <f t="shared" si="10"/>
        <v>5</v>
      </c>
      <c r="S24" s="43" t="s">
        <v>11</v>
      </c>
      <c r="T24" s="18">
        <f t="shared" si="11"/>
        <v>15</v>
      </c>
      <c r="U24" s="43" t="s">
        <v>11</v>
      </c>
      <c r="V24" s="18">
        <f t="shared" si="12"/>
        <v>10</v>
      </c>
      <c r="W24" s="18">
        <f t="shared" si="13"/>
        <v>95</v>
      </c>
      <c r="X24" s="57" t="str">
        <f t="shared" si="1"/>
        <v>95                           Disminuye max 2 en Posibilidad</v>
      </c>
      <c r="Y24" s="57">
        <f t="shared" si="14"/>
        <v>2</v>
      </c>
      <c r="Z24" s="65">
        <f t="shared" si="15"/>
        <v>0</v>
      </c>
      <c r="AA24" s="499"/>
      <c r="AB24" s="500"/>
      <c r="AM24" s="3" t="str">
        <f t="shared" si="16"/>
        <v/>
      </c>
      <c r="AN24" s="3" t="str">
        <f t="shared" si="2"/>
        <v/>
      </c>
      <c r="AO24" s="3" t="str">
        <f t="shared" si="3"/>
        <v/>
      </c>
      <c r="AP24" s="3" t="str">
        <f t="shared" si="17"/>
        <v/>
      </c>
      <c r="AQ24" s="3" t="str">
        <f>IF(AQ23="Documentar",AQ23,AM24)</f>
        <v/>
      </c>
      <c r="AR24" s="3" t="str">
        <f t="shared" si="68"/>
        <v/>
      </c>
      <c r="AS24" s="3" t="str">
        <f>IF(AND(AQ24="Documentar",AR24="Asignar responsable"),CONCATENATE("- ",AQ24,", ",AR24),IF(AQ24="Documentar",CONCATENATE("- ",AQ24),IF(AR24="Asignar responsable",CONCATENATE("- ",AR24),"")))</f>
        <v/>
      </c>
      <c r="AT24" s="3" t="str">
        <f t="shared" si="69"/>
        <v/>
      </c>
      <c r="AU24" s="3" t="str">
        <f t="shared" ref="AU24" si="71">IF(AT24="",AS24,IF(AS24="",CONCATENATE("- ",AT24),CONCATENATE(AS24,", ",AT24)))</f>
        <v/>
      </c>
      <c r="AV24" s="3" t="str">
        <f t="shared" si="70"/>
        <v/>
      </c>
      <c r="AW24" s="3" t="str">
        <f t="shared" ref="AW24" si="72">IF(AV24="",AU24,IF(AU24="",CONCATENATE("- ",AV24),CONCATENATE(AU24,", ",AV24)))</f>
        <v/>
      </c>
      <c r="AX24" s="502"/>
      <c r="AY24" s="502"/>
      <c r="AZ24" s="502"/>
      <c r="BA24" s="502"/>
      <c r="BB24" s="3" t="str">
        <f t="shared" si="18"/>
        <v>SI</v>
      </c>
      <c r="BC24" s="3" t="str">
        <f t="shared" si="19"/>
        <v/>
      </c>
      <c r="BD24" s="3" t="str">
        <f t="shared" si="20"/>
        <v>SI</v>
      </c>
      <c r="BE24" s="3" t="str">
        <f t="shared" si="21"/>
        <v/>
      </c>
      <c r="BF24" s="3" t="str">
        <f t="shared" si="22"/>
        <v>SI</v>
      </c>
      <c r="BG24" s="3" t="str">
        <f t="shared" si="23"/>
        <v/>
      </c>
      <c r="BH24" s="3" t="str">
        <f t="shared" si="24"/>
        <v>P</v>
      </c>
      <c r="BI24" s="3" t="str">
        <f t="shared" si="25"/>
        <v/>
      </c>
      <c r="BJ24" s="3" t="str">
        <f t="shared" si="26"/>
        <v>M</v>
      </c>
      <c r="BK24" s="3" t="str">
        <f t="shared" si="27"/>
        <v/>
      </c>
      <c r="BL24" s="3" t="str">
        <f t="shared" si="28"/>
        <v>SI</v>
      </c>
      <c r="BM24" s="3" t="str">
        <f t="shared" si="29"/>
        <v/>
      </c>
    </row>
    <row r="25" spans="1:65" ht="36" customHeight="1" x14ac:dyDescent="0.2">
      <c r="A25" s="503" t="str">
        <f>IDENTIFICACIÓN!C14</f>
        <v>6G</v>
      </c>
      <c r="B25" s="496" t="str">
        <f>IF(IDENTIFICACIÓN!D14="","",IDENTIFICACIÓN!D14)</f>
        <v>Acreditación. Negación de la acreditación o de la renovación de registro calificado</v>
      </c>
      <c r="C25" s="20">
        <v>1</v>
      </c>
      <c r="D25" s="56" t="s">
        <v>11</v>
      </c>
      <c r="E25" s="240">
        <f t="shared" si="4"/>
        <v>10</v>
      </c>
      <c r="F25" s="44" t="s">
        <v>570</v>
      </c>
      <c r="G25" s="18" t="str">
        <f t="shared" si="0"/>
        <v/>
      </c>
      <c r="H25" s="44" t="s">
        <v>20</v>
      </c>
      <c r="I25" s="18" t="str">
        <f t="shared" si="5"/>
        <v/>
      </c>
      <c r="J25" s="55" t="str">
        <f t="shared" si="6"/>
        <v>Posibilidad</v>
      </c>
      <c r="K25" s="43" t="s">
        <v>11</v>
      </c>
      <c r="L25" s="18">
        <f t="shared" si="7"/>
        <v>15</v>
      </c>
      <c r="M25" s="43" t="s">
        <v>11</v>
      </c>
      <c r="N25" s="18">
        <f t="shared" si="8"/>
        <v>30</v>
      </c>
      <c r="O25" s="43" t="s">
        <v>323</v>
      </c>
      <c r="P25" s="18">
        <f t="shared" si="9"/>
        <v>10</v>
      </c>
      <c r="Q25" s="43" t="s">
        <v>11</v>
      </c>
      <c r="R25" s="18">
        <f t="shared" si="10"/>
        <v>5</v>
      </c>
      <c r="S25" s="43" t="s">
        <v>11</v>
      </c>
      <c r="T25" s="18">
        <f t="shared" si="11"/>
        <v>15</v>
      </c>
      <c r="U25" s="43" t="s">
        <v>11</v>
      </c>
      <c r="V25" s="18">
        <f t="shared" si="12"/>
        <v>10</v>
      </c>
      <c r="W25" s="18">
        <f t="shared" si="13"/>
        <v>95</v>
      </c>
      <c r="X25" s="57" t="str">
        <f t="shared" si="1"/>
        <v>95                           Disminuye max 2 en Posibilidad</v>
      </c>
      <c r="Y25" s="57">
        <f t="shared" si="14"/>
        <v>2</v>
      </c>
      <c r="Z25" s="65">
        <f t="shared" si="15"/>
        <v>0</v>
      </c>
      <c r="AA25" s="497">
        <f>IF(AB25=0,"",(ROUND((SUM(W25:W27)/AB25),0)))</f>
        <v>95</v>
      </c>
      <c r="AB25" s="500">
        <f>COUNT(T25:T27)</f>
        <v>3</v>
      </c>
      <c r="AC25" s="3">
        <f>SUM(Y25:Y27)</f>
        <v>6</v>
      </c>
      <c r="AD25" s="3">
        <f>ANALISIS!D16</f>
        <v>3</v>
      </c>
      <c r="AE25" s="3">
        <f>IF((AD25-AC25)&gt;=1,(AD25-AC25),1)</f>
        <v>1</v>
      </c>
      <c r="AF25" s="501">
        <f>(AE26*10)+AE25</f>
        <v>41</v>
      </c>
      <c r="AG25" s="42" t="str">
        <f>IF(AE26=1,AH25,IF(AE26=2,AI25,IF(AE26=3,AJ25,IF(AE26=4,AK25,AL25))))</f>
        <v>ALTA 1:4</v>
      </c>
      <c r="AH25" s="46" t="str">
        <f>IF($AF25=11,"BAJA 1:1",IF($AF25=12,"BAJA 2:1",IF($AF25=13,"BAJA 3:1",IF($AF25=14,"MODERADA 4:1","ALTA 5:1"))))</f>
        <v>ALTA 5:1</v>
      </c>
      <c r="AI25" s="46" t="str">
        <f>IF($AF25=21,"BAJA 1:2",IF($AF25=22,"BAJA 2:2",IF($AF25=23,"MODERADA 3:2",IF($AF25=24,"ALTA 4:2","ALTA 5:2"))))</f>
        <v>ALTA 5:2</v>
      </c>
      <c r="AJ25" s="46" t="str">
        <f>IF($AF25=31,"MODERADA 1:3",IF($AF25=32,"MODERADA 2:3",IF($AF25=33,"ALTA 3:3",IF($AF25=34,"ALTA 4:3","EXTREMA 5:3"))))</f>
        <v>EXTREMA 5:3</v>
      </c>
      <c r="AK25" s="46" t="str">
        <f>IF($AF25=41,"ALTA 1:4",IF($AF25=42,"ALTA 2:4",IF($AF25=43,"EXTREMA 3:4",IF($AF25=44,"EXTREMA 4:4","EXTREMA 5:4"))))</f>
        <v>ALTA 1:4</v>
      </c>
      <c r="AL25" s="46" t="str">
        <f>IF($AF25=51,"ALTA 1:5",IF($AF25=52,"EXTREMA 2:5",IF($AF25=53,"EXTREMA 3:5",IF($AF25=54,"EXTREMA 4:5","EXTREMA 5:5"))))</f>
        <v>EXTREMA 5:5</v>
      </c>
      <c r="AM25" s="3" t="str">
        <f t="shared" si="16"/>
        <v/>
      </c>
      <c r="AN25" s="3" t="str">
        <f t="shared" si="2"/>
        <v/>
      </c>
      <c r="AO25" s="3" t="str">
        <f t="shared" si="3"/>
        <v/>
      </c>
      <c r="AP25" s="3" t="str">
        <f t="shared" si="17"/>
        <v/>
      </c>
      <c r="AQ25" s="3" t="str">
        <f>AM25</f>
        <v/>
      </c>
      <c r="AR25" s="3" t="str">
        <f t="shared" ref="AR25" si="73">AN25</f>
        <v/>
      </c>
      <c r="AT25" s="3" t="str">
        <f t="shared" ref="AT25" si="74">AO25</f>
        <v/>
      </c>
      <c r="AV25" s="3" t="str">
        <f t="shared" ref="AV25" si="75">AP25</f>
        <v/>
      </c>
      <c r="AX25" s="502" t="str">
        <f t="shared" ref="AX25" si="76">IF(AW27="","",CONCATENATE(AW27," (de) el(los) control(es) Efectivo(s) "))</f>
        <v/>
      </c>
      <c r="AY25" s="502" t="str">
        <f t="shared" ref="AY25" si="77">IF(CONCATENATE(N25:N27)="","",IF(AND(SUM(E25:E27)=10,SUM(N25:N27)&lt;30),"- Replantear control(es) NO efectivo(s) ",IF(AND(SUM(E25:E27)=20,SUM(N25:N27)&lt;60),"- Replantear control(es) NO efectivo(s) ",IF(AND(SUM(E25:E27)=30,SUM(N25:N27)&lt;90),"- Replantear control(es) NO efectivo(s) ",""))))</f>
        <v/>
      </c>
      <c r="AZ25" s="502" t="str">
        <f>IF(AND(AE25&gt;1,AE26&gt;1),"- Tomar Acciones Preventivas y Correctivas",IF(AE25&gt;1,"- Tomar Acciones Preventivas",IF(AE26&gt;1,"- Tomar Acciones Correctivas","")))</f>
        <v>- Tomar Acciones Correctivas</v>
      </c>
      <c r="BA25" s="502" t="str">
        <f t="shared" ref="BA25" si="78">CONCATENATE(AX25,AY25,AZ25)</f>
        <v>- Tomar Acciones Correctivas</v>
      </c>
      <c r="BB25" s="3" t="str">
        <f t="shared" si="18"/>
        <v>SI</v>
      </c>
      <c r="BC25" s="3" t="str">
        <f t="shared" si="19"/>
        <v/>
      </c>
      <c r="BD25" s="3" t="str">
        <f t="shared" si="20"/>
        <v>SI</v>
      </c>
      <c r="BE25" s="3" t="str">
        <f t="shared" si="21"/>
        <v/>
      </c>
      <c r="BF25" s="3" t="str">
        <f t="shared" si="22"/>
        <v>SI</v>
      </c>
      <c r="BG25" s="3" t="str">
        <f t="shared" si="23"/>
        <v/>
      </c>
      <c r="BH25" s="3" t="str">
        <f t="shared" si="24"/>
        <v>P</v>
      </c>
      <c r="BI25" s="3" t="str">
        <f t="shared" si="25"/>
        <v/>
      </c>
      <c r="BJ25" s="3" t="str">
        <f t="shared" si="26"/>
        <v>M</v>
      </c>
      <c r="BK25" s="3" t="str">
        <f t="shared" si="27"/>
        <v/>
      </c>
      <c r="BL25" s="3" t="str">
        <f t="shared" si="28"/>
        <v>SI</v>
      </c>
      <c r="BM25" s="3" t="str">
        <f t="shared" si="29"/>
        <v/>
      </c>
    </row>
    <row r="26" spans="1:65" ht="36" customHeight="1" x14ac:dyDescent="0.2">
      <c r="A26" s="503"/>
      <c r="B26" s="496"/>
      <c r="C26" s="20">
        <v>2</v>
      </c>
      <c r="D26" s="56" t="s">
        <v>11</v>
      </c>
      <c r="E26" s="240">
        <f t="shared" si="4"/>
        <v>10</v>
      </c>
      <c r="F26" s="44" t="s">
        <v>571</v>
      </c>
      <c r="G26" s="18" t="str">
        <f t="shared" si="0"/>
        <v/>
      </c>
      <c r="H26" s="44" t="s">
        <v>20</v>
      </c>
      <c r="I26" s="18" t="str">
        <f t="shared" si="5"/>
        <v/>
      </c>
      <c r="J26" s="55" t="str">
        <f t="shared" si="6"/>
        <v>Posibilidad</v>
      </c>
      <c r="K26" s="43" t="s">
        <v>11</v>
      </c>
      <c r="L26" s="18">
        <f t="shared" si="7"/>
        <v>15</v>
      </c>
      <c r="M26" s="43" t="s">
        <v>11</v>
      </c>
      <c r="N26" s="18">
        <f t="shared" si="8"/>
        <v>30</v>
      </c>
      <c r="O26" s="43" t="s">
        <v>323</v>
      </c>
      <c r="P26" s="18">
        <f t="shared" si="9"/>
        <v>10</v>
      </c>
      <c r="Q26" s="43" t="s">
        <v>11</v>
      </c>
      <c r="R26" s="18">
        <f t="shared" si="10"/>
        <v>5</v>
      </c>
      <c r="S26" s="43" t="s">
        <v>11</v>
      </c>
      <c r="T26" s="18">
        <f t="shared" si="11"/>
        <v>15</v>
      </c>
      <c r="U26" s="43" t="s">
        <v>11</v>
      </c>
      <c r="V26" s="18">
        <f t="shared" si="12"/>
        <v>10</v>
      </c>
      <c r="W26" s="18">
        <f t="shared" si="13"/>
        <v>95</v>
      </c>
      <c r="X26" s="57" t="str">
        <f t="shared" si="1"/>
        <v>95                           Disminuye max 2 en Posibilidad</v>
      </c>
      <c r="Y26" s="57">
        <f t="shared" si="14"/>
        <v>2</v>
      </c>
      <c r="Z26" s="65">
        <f t="shared" si="15"/>
        <v>0</v>
      </c>
      <c r="AA26" s="498"/>
      <c r="AB26" s="500"/>
      <c r="AC26" s="3">
        <f>SUM(Z25:Z27)</f>
        <v>0</v>
      </c>
      <c r="AD26" s="3">
        <f>ANALISIS!G16</f>
        <v>4</v>
      </c>
      <c r="AE26" s="3">
        <f>IF((AD26-AC26)&gt;=1,(AD26-AC26),1)</f>
        <v>4</v>
      </c>
      <c r="AF26" s="501"/>
      <c r="AG26" s="42" t="str">
        <f>IF(AE26=1,AH26,IF(AE26=2,AI26,IF(AE26=3,AJ26,IF(AE26=4,AK26,AL26))))</f>
        <v>- Reducir el Riesgo- Compartir o Transferir el Riesgo</v>
      </c>
      <c r="AH26" s="46" t="str">
        <f>IF($AF25=11,"- Asumir el Riesgo",IF($AF25=12,"- Asumir el Riesgo- Evitar Posibilidad de Ocurrencia- Reducir el Riesgo",IF($AF25=13,"- Asumir el Riesgo- Evitar Posibilidad de Ocurrencia- Reducir el Riesgo",IF($AF25=14,"-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6" s="46" t="str">
        <f>IF($AF25=21,"- Asumir el Riesgo- Reducir el Riesgo",IF($AF25=22,"- Asumir el Riesgo- Evitar Posibilidad de Ocurrencia- Reducir el Riesgo",IF($AF25=23,"- Asumir el Riesgo- Evitar Posibilidad de Ocurrencia- Reducir el Riesgo- Compartir o Transferir el Riesgo",IF($AF25=24,"- Evitar Posibilidad de Ocurrencia- Reducir el Riesgo- Compartir o Transferir el Riesgo","- Evitar Posibilidad de Ocurrencia- Reducir el Riesgo- Compartir o Transferir el Riesgo"))))</f>
        <v>- Evitar Posibilidad de Ocurrencia- Reducir el Riesgo- Compartir o Transferir el Riesgo</v>
      </c>
      <c r="AJ26" s="46" t="str">
        <f>IF($AF25=31,"- Asumir el Riesgo- Reducir el Riesgo- Compartir o Transferir el Riesgo",IF($AF25=32,"- Asumir el Riesgo- Evitar Posibilidad de Ocurrencia- Reducir el Reducir- Compartir o Transferir el Riesgo",IF($AF25=33,"- Evitar Posibilidad de Ocurrencia- Reducir el Riesgo- Compartir o Transferir el Riesgo",IF($AF25=34,"-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6" s="46" t="str">
        <f>IF($AF25=41,"- Reducir el Riesgo- Compartir o Transferir el Riesgo",IF($AF25=42,"- Evitar Posibilidad de Ocurrencia- Reducir el Riesgo- Compartir o Transferir el Riesgo",IF($AF25=43,"- Eliminar Causa(s)- Evitar Posibilidad de Ocurrencia- Reducir el Riesgo- Compartir o Transferir el Riesgo",IF($AF25=44,"- Eliminar Causa(s)- Evitar Posibilidad de Ocurrencia- Reducir el Riesgo- Compartir o Transferir el Riesgo","- Eliminar Causa(s)- Evitar Posibilidad de Ocurrencia- Reducir el Riesgo- Compartir o Transferir el Riesgo"))))</f>
        <v>- Reducir el Riesgo- Compartir o Transferir el Riesgo</v>
      </c>
      <c r="AL26" s="46" t="str">
        <f>IF($AF25=51,"- Reducir el Riesgo- Compartir o Transferir el Riesgo",IF($AF25=52,"- Eliminar Causa(s)- Evitar Posibilidad de Ocurrencia- Reducir el Riesgo- Compartir o Transferir el Riesgo",IF($AF25=53,"- Eliminar Causa(s)- Evitar Posibilidad de Ocurrencia- Reducir el Riesgo- Compartir o Transferir el Riesgo",IF($AF25=54,"-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6" s="3" t="str">
        <f t="shared" si="16"/>
        <v/>
      </c>
      <c r="AN26" s="3" t="str">
        <f t="shared" si="2"/>
        <v/>
      </c>
      <c r="AO26" s="3" t="str">
        <f t="shared" si="3"/>
        <v/>
      </c>
      <c r="AP26" s="3" t="str">
        <f t="shared" si="17"/>
        <v/>
      </c>
      <c r="AQ26" s="3" t="str">
        <f>IF(AQ25="Documentar",AQ25,AM26)</f>
        <v/>
      </c>
      <c r="AR26" s="3" t="str">
        <f t="shared" ref="AR26:AR27" si="79">IF(AR25="Asignar responsable",AR25,AN26)</f>
        <v/>
      </c>
      <c r="AT26" s="3" t="str">
        <f t="shared" ref="AT26:AT27" si="80">IF(AT25="Establecer periodos de seguimiento adecuados",AT25,AO26)</f>
        <v/>
      </c>
      <c r="AV26" s="3" t="str">
        <f t="shared" ref="AV26:AV27" si="81">IF(AV25="Guardar Evidencias",AV25,AP26)</f>
        <v/>
      </c>
      <c r="AX26" s="502"/>
      <c r="AY26" s="502"/>
      <c r="AZ26" s="502"/>
      <c r="BA26" s="502"/>
      <c r="BB26" s="3" t="str">
        <f t="shared" si="18"/>
        <v>SI</v>
      </c>
      <c r="BC26" s="3" t="str">
        <f t="shared" si="19"/>
        <v/>
      </c>
      <c r="BD26" s="3" t="str">
        <f t="shared" si="20"/>
        <v>SI</v>
      </c>
      <c r="BE26" s="3" t="str">
        <f t="shared" si="21"/>
        <v/>
      </c>
      <c r="BF26" s="3" t="str">
        <f t="shared" si="22"/>
        <v>SI</v>
      </c>
      <c r="BG26" s="3" t="str">
        <f t="shared" si="23"/>
        <v/>
      </c>
      <c r="BH26" s="3" t="str">
        <f t="shared" si="24"/>
        <v>P</v>
      </c>
      <c r="BI26" s="3" t="str">
        <f t="shared" si="25"/>
        <v/>
      </c>
      <c r="BJ26" s="3" t="str">
        <f t="shared" si="26"/>
        <v>M</v>
      </c>
      <c r="BK26" s="3" t="str">
        <f t="shared" si="27"/>
        <v/>
      </c>
      <c r="BL26" s="3" t="str">
        <f t="shared" si="28"/>
        <v>SI</v>
      </c>
      <c r="BM26" s="3" t="str">
        <f t="shared" si="29"/>
        <v/>
      </c>
    </row>
    <row r="27" spans="1:65" ht="36" customHeight="1" x14ac:dyDescent="0.2">
      <c r="A27" s="503"/>
      <c r="B27" s="496"/>
      <c r="C27" s="20">
        <v>3</v>
      </c>
      <c r="D27" s="56" t="s">
        <v>11</v>
      </c>
      <c r="E27" s="240">
        <f t="shared" si="4"/>
        <v>10</v>
      </c>
      <c r="F27" s="44" t="s">
        <v>572</v>
      </c>
      <c r="G27" s="18" t="str">
        <f t="shared" si="0"/>
        <v/>
      </c>
      <c r="H27" s="44" t="s">
        <v>20</v>
      </c>
      <c r="I27" s="18" t="str">
        <f t="shared" si="5"/>
        <v/>
      </c>
      <c r="J27" s="55" t="str">
        <f t="shared" si="6"/>
        <v>Posibilidad</v>
      </c>
      <c r="K27" s="43" t="s">
        <v>11</v>
      </c>
      <c r="L27" s="18">
        <f t="shared" si="7"/>
        <v>15</v>
      </c>
      <c r="M27" s="43" t="s">
        <v>11</v>
      </c>
      <c r="N27" s="18">
        <f t="shared" si="8"/>
        <v>30</v>
      </c>
      <c r="O27" s="43" t="s">
        <v>323</v>
      </c>
      <c r="P27" s="18">
        <f t="shared" si="9"/>
        <v>10</v>
      </c>
      <c r="Q27" s="43" t="s">
        <v>11</v>
      </c>
      <c r="R27" s="18">
        <f t="shared" si="10"/>
        <v>5</v>
      </c>
      <c r="S27" s="43" t="s">
        <v>11</v>
      </c>
      <c r="T27" s="18">
        <f t="shared" si="11"/>
        <v>15</v>
      </c>
      <c r="U27" s="43" t="s">
        <v>11</v>
      </c>
      <c r="V27" s="18">
        <f t="shared" si="12"/>
        <v>10</v>
      </c>
      <c r="W27" s="18">
        <f t="shared" si="13"/>
        <v>95</v>
      </c>
      <c r="X27" s="57" t="str">
        <f t="shared" si="1"/>
        <v>95                           Disminuye max 2 en Posibilidad</v>
      </c>
      <c r="Y27" s="57">
        <f t="shared" si="14"/>
        <v>2</v>
      </c>
      <c r="Z27" s="65">
        <f t="shared" si="15"/>
        <v>0</v>
      </c>
      <c r="AA27" s="499"/>
      <c r="AB27" s="500"/>
      <c r="AM27" s="3" t="str">
        <f t="shared" si="16"/>
        <v/>
      </c>
      <c r="AN27" s="3" t="str">
        <f t="shared" si="2"/>
        <v/>
      </c>
      <c r="AO27" s="3" t="str">
        <f t="shared" si="3"/>
        <v/>
      </c>
      <c r="AP27" s="3" t="str">
        <f t="shared" si="17"/>
        <v/>
      </c>
      <c r="AQ27" s="3" t="str">
        <f>IF(AQ26="Documentar",AQ26,AM27)</f>
        <v/>
      </c>
      <c r="AR27" s="3" t="str">
        <f t="shared" si="79"/>
        <v/>
      </c>
      <c r="AS27" s="3" t="str">
        <f>IF(AND(AQ27="Documentar",AR27="Asignar responsable"),CONCATENATE("- ",AQ27,", ",AR27),IF(AQ27="Documentar",CONCATENATE("- ",AQ27),IF(AR27="Asignar responsable",CONCATENATE("- ",AR27),"")))</f>
        <v/>
      </c>
      <c r="AT27" s="3" t="str">
        <f t="shared" si="80"/>
        <v/>
      </c>
      <c r="AU27" s="3" t="str">
        <f t="shared" ref="AU27" si="82">IF(AT27="",AS27,IF(AS27="",CONCATENATE("- ",AT27),CONCATENATE(AS27,", ",AT27)))</f>
        <v/>
      </c>
      <c r="AV27" s="3" t="str">
        <f t="shared" si="81"/>
        <v/>
      </c>
      <c r="AW27" s="3" t="str">
        <f t="shared" ref="AW27" si="83">IF(AV27="",AU27,IF(AU27="",CONCATENATE("- ",AV27),CONCATENATE(AU27,", ",AV27)))</f>
        <v/>
      </c>
      <c r="AX27" s="502"/>
      <c r="AY27" s="502"/>
      <c r="AZ27" s="502"/>
      <c r="BA27" s="502"/>
      <c r="BB27" s="3" t="str">
        <f t="shared" si="18"/>
        <v>SI</v>
      </c>
      <c r="BC27" s="3" t="str">
        <f t="shared" si="19"/>
        <v/>
      </c>
      <c r="BD27" s="3" t="str">
        <f t="shared" si="20"/>
        <v>SI</v>
      </c>
      <c r="BE27" s="3" t="str">
        <f t="shared" si="21"/>
        <v/>
      </c>
      <c r="BF27" s="3" t="str">
        <f t="shared" si="22"/>
        <v>SI</v>
      </c>
      <c r="BG27" s="3" t="str">
        <f t="shared" si="23"/>
        <v/>
      </c>
      <c r="BH27" s="3" t="str">
        <f t="shared" si="24"/>
        <v>P</v>
      </c>
      <c r="BI27" s="3" t="str">
        <f t="shared" si="25"/>
        <v/>
      </c>
      <c r="BJ27" s="3" t="str">
        <f t="shared" si="26"/>
        <v>M</v>
      </c>
      <c r="BK27" s="3" t="str">
        <f t="shared" si="27"/>
        <v/>
      </c>
      <c r="BL27" s="3" t="str">
        <f t="shared" si="28"/>
        <v>SI</v>
      </c>
      <c r="BM27" s="3" t="str">
        <f t="shared" si="29"/>
        <v/>
      </c>
    </row>
    <row r="28" spans="1:65" ht="36" customHeight="1" x14ac:dyDescent="0.2">
      <c r="A28" s="503" t="str">
        <f>IDENTIFICACIÓN!C15</f>
        <v>7G</v>
      </c>
      <c r="B28" s="496" t="str">
        <f>IF(IDENTIFICACIÓN!D15="","",IDENTIFICACIÓN!D15)</f>
        <v>Acreditación. Incumplimiento en algunas actividades establecidas en el plan de trabajo</v>
      </c>
      <c r="C28" s="20">
        <v>1</v>
      </c>
      <c r="D28" s="56" t="s">
        <v>11</v>
      </c>
      <c r="E28" s="240">
        <f t="shared" si="4"/>
        <v>10</v>
      </c>
      <c r="F28" s="44" t="s">
        <v>573</v>
      </c>
      <c r="G28" s="18" t="str">
        <f t="shared" si="0"/>
        <v/>
      </c>
      <c r="H28" s="44" t="s">
        <v>21</v>
      </c>
      <c r="I28" s="18" t="str">
        <f t="shared" si="5"/>
        <v/>
      </c>
      <c r="J28" s="55" t="str">
        <f t="shared" si="6"/>
        <v>Impacto</v>
      </c>
      <c r="K28" s="43" t="s">
        <v>11</v>
      </c>
      <c r="L28" s="18">
        <f t="shared" si="7"/>
        <v>15</v>
      </c>
      <c r="M28" s="43" t="s">
        <v>11</v>
      </c>
      <c r="N28" s="18">
        <f t="shared" si="8"/>
        <v>30</v>
      </c>
      <c r="O28" s="43" t="s">
        <v>323</v>
      </c>
      <c r="P28" s="18">
        <f t="shared" si="9"/>
        <v>10</v>
      </c>
      <c r="Q28" s="43" t="s">
        <v>11</v>
      </c>
      <c r="R28" s="18">
        <f t="shared" si="10"/>
        <v>5</v>
      </c>
      <c r="S28" s="43" t="s">
        <v>10</v>
      </c>
      <c r="T28" s="18">
        <f t="shared" si="11"/>
        <v>0</v>
      </c>
      <c r="U28" s="43" t="s">
        <v>11</v>
      </c>
      <c r="V28" s="18">
        <f t="shared" si="12"/>
        <v>10</v>
      </c>
      <c r="W28" s="18">
        <f t="shared" si="13"/>
        <v>80</v>
      </c>
      <c r="X28" s="57" t="str">
        <f t="shared" si="1"/>
        <v>80                           Disminuye max 2 en Impacto</v>
      </c>
      <c r="Y28" s="57">
        <f t="shared" si="14"/>
        <v>0</v>
      </c>
      <c r="Z28" s="65">
        <f t="shared" si="15"/>
        <v>2</v>
      </c>
      <c r="AA28" s="497">
        <f>IF(AB28=0,"",(ROUND((SUM(W28:W30)/AB28),0)))</f>
        <v>80</v>
      </c>
      <c r="AB28" s="500">
        <f>COUNT(T28:T30)</f>
        <v>2</v>
      </c>
      <c r="AC28" s="3">
        <f>SUM(Y28:Y30)</f>
        <v>0</v>
      </c>
      <c r="AD28" s="3">
        <f>ANALISIS!D17</f>
        <v>5</v>
      </c>
      <c r="AE28" s="3">
        <f>IF((AD28-AC28)&gt;=1,(AD28-AC28),1)</f>
        <v>5</v>
      </c>
      <c r="AF28" s="501">
        <f>(AE29*10)+AE28</f>
        <v>15</v>
      </c>
      <c r="AG28" s="42" t="str">
        <f>IF(AE29=1,AH28,IF(AE29=2,AI28,IF(AE29=3,AJ28,IF(AE29=4,AK28,AL28))))</f>
        <v>ALTA 5:1</v>
      </c>
      <c r="AH28" s="46" t="str">
        <f>IF($AF28=11,"BAJA 1:1",IF($AF28=12,"BAJA 2:1",IF($AF28=13,"BAJA 3:1",IF($AF28=14,"MODERADA 4:1","ALTA 5:1"))))</f>
        <v>ALTA 5:1</v>
      </c>
      <c r="AI28" s="46" t="str">
        <f>IF($AF28=21,"BAJA 1:2",IF($AF28=22,"BAJA 2:2",IF($AF28=23,"MODERADA 3:2",IF($AF28=24,"ALTA 4:2","ALTA 5:2"))))</f>
        <v>ALTA 5:2</v>
      </c>
      <c r="AJ28" s="46" t="str">
        <f>IF($AF28=31,"MODERADA 1:3",IF($AF28=32,"MODERADA 2:3",IF($AF28=33,"ALTA 3:3",IF($AF28=34,"ALTA 4:3","EXTREMA 5:3"))))</f>
        <v>EXTREMA 5:3</v>
      </c>
      <c r="AK28" s="46" t="str">
        <f>IF($AF28=41,"ALTA 1:4",IF($AF28=42,"ALTA 2:4",IF($AF28=43,"EXTREMA 3:4",IF($AF28=44,"EXTREMA 4:4","EXTREMA 5:4"))))</f>
        <v>EXTREMA 5:4</v>
      </c>
      <c r="AL28" s="46" t="str">
        <f>IF($AF28=51,"ALTA 1:5",IF($AF28=52,"EXTREMA 2:5",IF($AF28=53,"EXTREMA 3:5",IF($AF28=54,"EXTREMA 4:5","EXTREMA 5:5"))))</f>
        <v>EXTREMA 5:5</v>
      </c>
      <c r="AM28" s="3" t="str">
        <f t="shared" si="16"/>
        <v/>
      </c>
      <c r="AN28" s="3" t="str">
        <f t="shared" si="2"/>
        <v/>
      </c>
      <c r="AO28" s="3" t="str">
        <f t="shared" si="3"/>
        <v>Establecer periodos de seguimiento adecuados</v>
      </c>
      <c r="AP28" s="3" t="str">
        <f t="shared" si="17"/>
        <v/>
      </c>
      <c r="AQ28" s="3" t="str">
        <f>AM28</f>
        <v/>
      </c>
      <c r="AR28" s="3" t="str">
        <f t="shared" ref="AR28" si="84">AN28</f>
        <v/>
      </c>
      <c r="AT28" s="3" t="str">
        <f t="shared" ref="AT28" si="85">AO28</f>
        <v>Establecer periodos de seguimiento adecuados</v>
      </c>
      <c r="AV28" s="3" t="str">
        <f t="shared" ref="AV28" si="86">AP28</f>
        <v/>
      </c>
      <c r="AX28" s="502" t="str">
        <f t="shared" ref="AX28" si="87">IF(AW30="","",CONCATENATE(AW30," (de) el(los) control(es) Efectivo(s) "))</f>
        <v xml:space="preserve">- Establecer periodos de seguimiento adecuados (de) el(los) control(es) Efectivo(s) </v>
      </c>
      <c r="AY28" s="502" t="str">
        <f t="shared" ref="AY28" si="88">IF(CONCATENATE(N28:N30)="","",IF(AND(SUM(E28:E30)=10,SUM(N28:N30)&lt;30),"- Replantear control(es) NO efectivo(s) ",IF(AND(SUM(E28:E30)=20,SUM(N28:N30)&lt;60),"- Replantear control(es) NO efectivo(s) ",IF(AND(SUM(E28:E30)=30,SUM(N28:N30)&lt;90),"- Replantear control(es) NO efectivo(s) ",""))))</f>
        <v/>
      </c>
      <c r="AZ28" s="502" t="str">
        <f>IF(AND(AE28&gt;1,AE29&gt;1),"- Tomar Acciones Preventivas y Correctivas",IF(AE28&gt;1,"- Tomar Acciones Preventivas",IF(AE29&gt;1,"- Tomar Acciones Correctivas","")))</f>
        <v>- Tomar Acciones Preventivas</v>
      </c>
      <c r="BA28" s="502" t="str">
        <f t="shared" ref="BA28" si="89">CONCATENATE(AX28,AY28,AZ28)</f>
        <v>- Establecer periodos de seguimiento adecuados (de) el(los) control(es) Efectivo(s) - Tomar Acciones Preventivas</v>
      </c>
      <c r="BB28" s="3" t="str">
        <f t="shared" si="18"/>
        <v>SI</v>
      </c>
      <c r="BC28" s="3" t="str">
        <f t="shared" si="19"/>
        <v/>
      </c>
      <c r="BD28" s="3" t="str">
        <f t="shared" si="20"/>
        <v>SI</v>
      </c>
      <c r="BE28" s="3" t="str">
        <f t="shared" si="21"/>
        <v/>
      </c>
      <c r="BF28" s="3" t="str">
        <f t="shared" si="22"/>
        <v>NO</v>
      </c>
      <c r="BG28" s="3" t="str">
        <f t="shared" si="23"/>
        <v/>
      </c>
      <c r="BH28" s="3" t="str">
        <f t="shared" si="24"/>
        <v>C</v>
      </c>
      <c r="BI28" s="3" t="str">
        <f t="shared" si="25"/>
        <v/>
      </c>
      <c r="BJ28" s="3" t="str">
        <f t="shared" si="26"/>
        <v>M</v>
      </c>
      <c r="BK28" s="3" t="str">
        <f t="shared" si="27"/>
        <v/>
      </c>
      <c r="BL28" s="3" t="str">
        <f t="shared" si="28"/>
        <v>SI</v>
      </c>
      <c r="BM28" s="3" t="str">
        <f t="shared" si="29"/>
        <v/>
      </c>
    </row>
    <row r="29" spans="1:65" ht="36" customHeight="1" x14ac:dyDescent="0.2">
      <c r="A29" s="503"/>
      <c r="B29" s="496"/>
      <c r="C29" s="20">
        <v>2</v>
      </c>
      <c r="D29" s="56" t="s">
        <v>11</v>
      </c>
      <c r="E29" s="240">
        <f t="shared" si="4"/>
        <v>10</v>
      </c>
      <c r="F29" s="44" t="s">
        <v>574</v>
      </c>
      <c r="G29" s="18" t="str">
        <f t="shared" si="0"/>
        <v/>
      </c>
      <c r="H29" s="44" t="s">
        <v>21</v>
      </c>
      <c r="I29" s="18" t="str">
        <f t="shared" si="5"/>
        <v/>
      </c>
      <c r="J29" s="55" t="str">
        <f t="shared" si="6"/>
        <v>Impacto</v>
      </c>
      <c r="K29" s="43" t="s">
        <v>11</v>
      </c>
      <c r="L29" s="18">
        <f t="shared" si="7"/>
        <v>15</v>
      </c>
      <c r="M29" s="43" t="s">
        <v>11</v>
      </c>
      <c r="N29" s="18">
        <f t="shared" si="8"/>
        <v>30</v>
      </c>
      <c r="O29" s="43" t="s">
        <v>323</v>
      </c>
      <c r="P29" s="18">
        <f t="shared" si="9"/>
        <v>10</v>
      </c>
      <c r="Q29" s="43" t="s">
        <v>11</v>
      </c>
      <c r="R29" s="18">
        <f t="shared" si="10"/>
        <v>5</v>
      </c>
      <c r="S29" s="43" t="s">
        <v>10</v>
      </c>
      <c r="T29" s="18">
        <f t="shared" si="11"/>
        <v>0</v>
      </c>
      <c r="U29" s="43" t="s">
        <v>11</v>
      </c>
      <c r="V29" s="18">
        <f t="shared" si="12"/>
        <v>10</v>
      </c>
      <c r="W29" s="18">
        <f t="shared" si="13"/>
        <v>80</v>
      </c>
      <c r="X29" s="57" t="str">
        <f t="shared" si="1"/>
        <v>80                           Disminuye max 2 en Impacto</v>
      </c>
      <c r="Y29" s="57">
        <f t="shared" si="14"/>
        <v>0</v>
      </c>
      <c r="Z29" s="65">
        <f t="shared" si="15"/>
        <v>2</v>
      </c>
      <c r="AA29" s="498"/>
      <c r="AB29" s="500"/>
      <c r="AC29" s="3">
        <f>SUM(Z28:Z30)</f>
        <v>4</v>
      </c>
      <c r="AD29" s="3">
        <f>ANALISIS!G17</f>
        <v>3</v>
      </c>
      <c r="AE29" s="3">
        <f>IF((AD29-AC29)&gt;=1,(AD29-AC29),1)</f>
        <v>1</v>
      </c>
      <c r="AF29" s="501"/>
      <c r="AG29" s="42" t="str">
        <f>IF(AE29=1,AH29,IF(AE29=2,AI29,IF(AE29=3,AJ29,IF(AE29=4,AK29,AL29))))</f>
        <v>- Evitar Posibilidad de Ocurrencia- Reducir el Riesgo- Compartir o Transferir el riesgo</v>
      </c>
      <c r="AH29" s="46" t="str">
        <f>IF($AF28=11,"- Asumir el Riesgo",IF($AF28=12,"- Asumir el Riesgo- Evitar Posibilidad de Ocurrencia- Reducir el Riesgo",IF($AF28=13,"- Asumir el Riesgo- Evitar Posibilidad de Ocurrencia- Reducir el Riesgo",IF($AF28=14,"-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29" s="46" t="str">
        <f>IF($AF28=21,"- Asumir el Riesgo- Reducir el Riesgo",IF($AF28=22,"- Asumir el Riesgo- Evitar Posibilidad de Ocurrencia- Reducir el Riesgo",IF($AF28=23,"- Asumir el Riesgo- Evitar Posibilidad de Ocurrencia- Reducir el Riesgo- Compartir o Transferir el Riesgo",IF($AF28=24,"- Evitar Posibilidad de Ocurrencia- Reducir el Riesgo- Compartir o Transferir el Riesgo","- Evitar Posibilidad de Ocurrencia- Reducir el Riesgo- Compartir o Transferir el Riesgo"))))</f>
        <v>- Evitar Posibilidad de Ocurrencia- Reducir el Riesgo- Compartir o Transferir el Riesgo</v>
      </c>
      <c r="AJ29" s="46" t="str">
        <f>IF($AF28=31,"- Asumir el Riesgo- Reducir el Riesgo- Compartir o Transferir el Riesgo",IF($AF28=32,"- Asumir el Riesgo- Evitar Posibilidad de Ocurrencia- Reducir el Reducir- Compartir o Transferir el Riesgo",IF($AF28=33,"- Evitar Posibilidad de Ocurrencia- Reducir el Riesgo- Compartir o Transferir el Riesgo",IF($AF28=34,"-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29" s="46" t="str">
        <f>IF($AF28=41,"- Reducir el Riesgo- Compartir o Transferir el Riesgo",IF($AF28=42,"- Evitar Posibilidad de Ocurrencia- Reducir el Riesgo- Compartir o Transferir el Riesgo",IF($AF28=43,"- Eliminar Causa(s)- Evitar Posibilidad de Ocurrencia- Reducir el Riesgo- Compartir o Transferir el Riesgo",IF($AF28=44,"-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29" s="46" t="str">
        <f>IF($AF28=51,"- Reducir el Riesgo- Compartir o Transferir el Riesgo",IF($AF28=52,"- Eliminar Causa(s)- Evitar Posibilidad de Ocurrencia- Reducir el Riesgo- Compartir o Transferir el Riesgo",IF($AF28=53,"- Eliminar Causa(s)- Evitar Posibilidad de Ocurrencia- Reducir el Riesgo- Compartir o Transferir el Riesgo",IF($AF28=54,"-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29" s="3" t="str">
        <f t="shared" si="16"/>
        <v/>
      </c>
      <c r="AN29" s="3" t="str">
        <f t="shared" si="2"/>
        <v/>
      </c>
      <c r="AO29" s="3" t="str">
        <f t="shared" si="3"/>
        <v>Establecer periodos de seguimiento adecuados</v>
      </c>
      <c r="AP29" s="3" t="str">
        <f t="shared" si="17"/>
        <v/>
      </c>
      <c r="AQ29" s="3" t="str">
        <f>IF(AQ28="Documentar",AQ28,AM29)</f>
        <v/>
      </c>
      <c r="AR29" s="3" t="str">
        <f t="shared" ref="AR29:AR30" si="90">IF(AR28="Asignar responsable",AR28,AN29)</f>
        <v/>
      </c>
      <c r="AT29" s="3" t="str">
        <f t="shared" ref="AT29:AT30" si="91">IF(AT28="Establecer periodos de seguimiento adecuados",AT28,AO29)</f>
        <v>Establecer periodos de seguimiento adecuados</v>
      </c>
      <c r="AV29" s="3" t="str">
        <f t="shared" ref="AV29:AV30" si="92">IF(AV28="Guardar Evidencias",AV28,AP29)</f>
        <v/>
      </c>
      <c r="AX29" s="502"/>
      <c r="AY29" s="502"/>
      <c r="AZ29" s="502"/>
      <c r="BA29" s="502"/>
      <c r="BB29" s="3" t="str">
        <f t="shared" si="18"/>
        <v>SI</v>
      </c>
      <c r="BC29" s="3" t="str">
        <f t="shared" si="19"/>
        <v/>
      </c>
      <c r="BD29" s="3" t="str">
        <f t="shared" si="20"/>
        <v>SI</v>
      </c>
      <c r="BE29" s="3" t="str">
        <f t="shared" si="21"/>
        <v/>
      </c>
      <c r="BF29" s="3" t="str">
        <f t="shared" si="22"/>
        <v>NO</v>
      </c>
      <c r="BG29" s="3" t="str">
        <f t="shared" si="23"/>
        <v/>
      </c>
      <c r="BH29" s="3" t="str">
        <f t="shared" si="24"/>
        <v>C</v>
      </c>
      <c r="BI29" s="3" t="str">
        <f t="shared" si="25"/>
        <v/>
      </c>
      <c r="BJ29" s="3" t="str">
        <f t="shared" si="26"/>
        <v>M</v>
      </c>
      <c r="BK29" s="3" t="str">
        <f t="shared" si="27"/>
        <v/>
      </c>
      <c r="BL29" s="3" t="str">
        <f t="shared" si="28"/>
        <v>SI</v>
      </c>
      <c r="BM29" s="3" t="str">
        <f t="shared" si="29"/>
        <v/>
      </c>
    </row>
    <row r="30" spans="1:65" ht="36" customHeight="1" x14ac:dyDescent="0.2">
      <c r="A30" s="503"/>
      <c r="B30" s="496"/>
      <c r="C30" s="20">
        <v>3</v>
      </c>
      <c r="D30" s="56"/>
      <c r="E30" s="240" t="str">
        <f t="shared" si="4"/>
        <v/>
      </c>
      <c r="F30" s="44"/>
      <c r="G30" s="18" t="str">
        <f t="shared" si="0"/>
        <v/>
      </c>
      <c r="H30" s="44"/>
      <c r="I30" s="18" t="str">
        <f t="shared" si="5"/>
        <v/>
      </c>
      <c r="J30" s="55" t="str">
        <f t="shared" si="6"/>
        <v/>
      </c>
      <c r="K30" s="43"/>
      <c r="L30" s="18" t="str">
        <f t="shared" si="7"/>
        <v/>
      </c>
      <c r="M30" s="43"/>
      <c r="N30" s="18" t="str">
        <f t="shared" si="8"/>
        <v/>
      </c>
      <c r="O30" s="43"/>
      <c r="P30" s="18" t="str">
        <f t="shared" si="9"/>
        <v/>
      </c>
      <c r="Q30" s="43"/>
      <c r="R30" s="18" t="str">
        <f t="shared" si="10"/>
        <v/>
      </c>
      <c r="S30" s="43"/>
      <c r="T30" s="18" t="str">
        <f t="shared" si="11"/>
        <v/>
      </c>
      <c r="U30" s="43"/>
      <c r="V30" s="18" t="str">
        <f t="shared" si="12"/>
        <v/>
      </c>
      <c r="W30" s="18">
        <f t="shared" si="13"/>
        <v>0</v>
      </c>
      <c r="X30" s="57" t="str">
        <f t="shared" si="1"/>
        <v/>
      </c>
      <c r="Y30" s="57">
        <f t="shared" si="14"/>
        <v>0</v>
      </c>
      <c r="Z30" s="65">
        <f t="shared" si="15"/>
        <v>0</v>
      </c>
      <c r="AA30" s="499"/>
      <c r="AB30" s="500"/>
      <c r="AM30" s="3" t="str">
        <f t="shared" si="16"/>
        <v/>
      </c>
      <c r="AN30" s="3" t="str">
        <f t="shared" si="2"/>
        <v/>
      </c>
      <c r="AO30" s="3" t="str">
        <f t="shared" si="3"/>
        <v/>
      </c>
      <c r="AP30" s="3" t="str">
        <f t="shared" si="17"/>
        <v/>
      </c>
      <c r="AQ30" s="3" t="str">
        <f>IF(AQ29="Documentar",AQ29,AM30)</f>
        <v/>
      </c>
      <c r="AR30" s="3" t="str">
        <f t="shared" si="90"/>
        <v/>
      </c>
      <c r="AS30" s="3" t="str">
        <f>IF(AND(AQ30="Documentar",AR30="Asignar responsable"),CONCATENATE("- ",AQ30,", ",AR30),IF(AQ30="Documentar",CONCATENATE("- ",AQ30),IF(AR30="Asignar responsable",CONCATENATE("- ",AR30),"")))</f>
        <v/>
      </c>
      <c r="AT30" s="3" t="str">
        <f t="shared" si="91"/>
        <v>Establecer periodos de seguimiento adecuados</v>
      </c>
      <c r="AU30" s="3" t="str">
        <f t="shared" ref="AU30" si="93">IF(AT30="",AS30,IF(AS30="",CONCATENATE("- ",AT30),CONCATENATE(AS30,", ",AT30)))</f>
        <v>- Establecer periodos de seguimiento adecuados</v>
      </c>
      <c r="AV30" s="3" t="str">
        <f t="shared" si="92"/>
        <v/>
      </c>
      <c r="AW30" s="3" t="str">
        <f t="shared" ref="AW30" si="94">IF(AV30="",AU30,IF(AU30="",CONCATENATE("- ",AV30),CONCATENATE(AU30,", ",AV30)))</f>
        <v>- Establecer periodos de seguimiento adecuados</v>
      </c>
      <c r="AX30" s="502"/>
      <c r="AY30" s="502"/>
      <c r="AZ30" s="502"/>
      <c r="BA30" s="502"/>
      <c r="BB30" s="3" t="str">
        <f t="shared" si="18"/>
        <v/>
      </c>
      <c r="BC30" s="3" t="str">
        <f t="shared" si="19"/>
        <v/>
      </c>
      <c r="BD30" s="3" t="str">
        <f t="shared" si="20"/>
        <v/>
      </c>
      <c r="BE30" s="3" t="str">
        <f t="shared" si="21"/>
        <v/>
      </c>
      <c r="BF30" s="3" t="str">
        <f t="shared" si="22"/>
        <v/>
      </c>
      <c r="BG30" s="3" t="str">
        <f t="shared" si="23"/>
        <v/>
      </c>
      <c r="BH30" s="3" t="str">
        <f t="shared" si="24"/>
        <v/>
      </c>
      <c r="BI30" s="3" t="str">
        <f t="shared" si="25"/>
        <v/>
      </c>
      <c r="BJ30" s="3" t="str">
        <f t="shared" si="26"/>
        <v/>
      </c>
      <c r="BK30" s="3" t="str">
        <f t="shared" si="27"/>
        <v/>
      </c>
      <c r="BL30" s="3" t="str">
        <f t="shared" si="28"/>
        <v/>
      </c>
      <c r="BM30" s="3" t="str">
        <f t="shared" si="29"/>
        <v/>
      </c>
    </row>
    <row r="31" spans="1:65" ht="36" customHeight="1" x14ac:dyDescent="0.2">
      <c r="A31" s="503" t="str">
        <f>IDENTIFICACIÓN!C16</f>
        <v>8G</v>
      </c>
      <c r="B31" s="496" t="str">
        <f>IF(IDENTIFICACIÓN!D16="","",IDENTIFICACIÓN!D16)</f>
        <v>Acreditación. Retraso en el otorgamiento o renovacion del registro calificado</v>
      </c>
      <c r="C31" s="20">
        <v>1</v>
      </c>
      <c r="D31" s="56" t="s">
        <v>11</v>
      </c>
      <c r="E31" s="240">
        <f t="shared" si="4"/>
        <v>10</v>
      </c>
      <c r="F31" s="44" t="s">
        <v>575</v>
      </c>
      <c r="G31" s="18" t="str">
        <f t="shared" si="0"/>
        <v/>
      </c>
      <c r="H31" s="44" t="s">
        <v>20</v>
      </c>
      <c r="I31" s="18" t="str">
        <f t="shared" si="5"/>
        <v/>
      </c>
      <c r="J31" s="55" t="str">
        <f t="shared" si="6"/>
        <v>Posibilidad</v>
      </c>
      <c r="K31" s="43" t="s">
        <v>11</v>
      </c>
      <c r="L31" s="18">
        <f t="shared" si="7"/>
        <v>15</v>
      </c>
      <c r="M31" s="43" t="s">
        <v>11</v>
      </c>
      <c r="N31" s="18">
        <f t="shared" si="8"/>
        <v>30</v>
      </c>
      <c r="O31" s="43" t="s">
        <v>323</v>
      </c>
      <c r="P31" s="18">
        <f t="shared" si="9"/>
        <v>10</v>
      </c>
      <c r="Q31" s="43" t="s">
        <v>11</v>
      </c>
      <c r="R31" s="18">
        <f t="shared" si="10"/>
        <v>5</v>
      </c>
      <c r="S31" s="43" t="s">
        <v>11</v>
      </c>
      <c r="T31" s="18">
        <f t="shared" si="11"/>
        <v>15</v>
      </c>
      <c r="U31" s="43" t="s">
        <v>11</v>
      </c>
      <c r="V31" s="18">
        <f t="shared" si="12"/>
        <v>10</v>
      </c>
      <c r="W31" s="18">
        <f t="shared" si="13"/>
        <v>95</v>
      </c>
      <c r="X31" s="57" t="str">
        <f t="shared" si="1"/>
        <v>95                           Disminuye max 2 en Posibilidad</v>
      </c>
      <c r="Y31" s="57">
        <f t="shared" si="14"/>
        <v>2</v>
      </c>
      <c r="Z31" s="65">
        <f t="shared" si="15"/>
        <v>0</v>
      </c>
      <c r="AA31" s="497">
        <f>IF(AB31=0,"",(ROUND((SUM(W31:W33)/AB31),0)))</f>
        <v>95</v>
      </c>
      <c r="AB31" s="500">
        <f>COUNT(T31:T33)</f>
        <v>2</v>
      </c>
      <c r="AC31" s="3">
        <f>SUM(Y31:Y33)</f>
        <v>4</v>
      </c>
      <c r="AD31" s="3">
        <f>ANALISIS!D18</f>
        <v>4</v>
      </c>
      <c r="AE31" s="3">
        <f>IF((AD31-AC31)&gt;=1,(AD31-AC31),1)</f>
        <v>1</v>
      </c>
      <c r="AF31" s="501">
        <f>(AE32*10)+AE31</f>
        <v>41</v>
      </c>
      <c r="AG31" s="42" t="str">
        <f>IF(AE32=1,AH31,IF(AE32=2,AI31,IF(AE32=3,AJ31,IF(AE32=4,AK31,AL31))))</f>
        <v>ALTA 1:4</v>
      </c>
      <c r="AH31" s="46" t="str">
        <f>IF($AF31=11,"BAJA 1:1",IF($AF31=12,"BAJA 2:1",IF($AF31=13,"BAJA 3:1",IF($AF31=14,"MODERADA 4:1","ALTA 5:1"))))</f>
        <v>ALTA 5:1</v>
      </c>
      <c r="AI31" s="46" t="str">
        <f>IF($AF31=21,"BAJA 1:2",IF($AF31=22,"BAJA 2:2",IF($AF31=23,"MODERADA 3:2",IF($AF31=24,"ALTA 4:2","ALTA 5:2"))))</f>
        <v>ALTA 5:2</v>
      </c>
      <c r="AJ31" s="46" t="str">
        <f>IF($AF31=31,"MODERADA 1:3",IF($AF31=32,"MODERADA 2:3",IF($AF31=33,"ALTA 3:3",IF($AF31=34,"ALTA 4:3","EXTREMA 5:3"))))</f>
        <v>EXTREMA 5:3</v>
      </c>
      <c r="AK31" s="46" t="str">
        <f>IF($AF31=41,"ALTA 1:4",IF($AF31=42,"ALTA 2:4",IF($AF31=43,"EXTREMA 3:4",IF($AF31=44,"EXTREMA 4:4","EXTREMA 5:4"))))</f>
        <v>ALTA 1:4</v>
      </c>
      <c r="AL31" s="46" t="str">
        <f>IF($AF31=51,"ALTA 1:5",IF($AF31=52,"EXTREMA 2:5",IF($AF31=53,"EXTREMA 3:5",IF($AF31=54,"EXTREMA 4:5","EXTREMA 5:5"))))</f>
        <v>EXTREMA 5:5</v>
      </c>
      <c r="AM31" s="3" t="str">
        <f t="shared" si="16"/>
        <v/>
      </c>
      <c r="AN31" s="3" t="str">
        <f t="shared" si="2"/>
        <v/>
      </c>
      <c r="AO31" s="3" t="str">
        <f t="shared" si="3"/>
        <v/>
      </c>
      <c r="AP31" s="3" t="str">
        <f t="shared" si="17"/>
        <v/>
      </c>
      <c r="AQ31" s="3" t="str">
        <f>AM31</f>
        <v/>
      </c>
      <c r="AR31" s="3" t="str">
        <f t="shared" ref="AR31" si="95">AN31</f>
        <v/>
      </c>
      <c r="AT31" s="3" t="str">
        <f t="shared" ref="AT31" si="96">AO31</f>
        <v/>
      </c>
      <c r="AV31" s="3" t="str">
        <f t="shared" ref="AV31" si="97">AP31</f>
        <v/>
      </c>
      <c r="AX31" s="502" t="str">
        <f t="shared" ref="AX31" si="98">IF(AW33="","",CONCATENATE(AW33," (de) el(los) control(es) Efectivo(s) "))</f>
        <v/>
      </c>
      <c r="AY31" s="502" t="str">
        <f t="shared" ref="AY31" si="99">IF(CONCATENATE(N31:N33)="","",IF(AND(SUM(E31:E33)=10,SUM(N31:N33)&lt;30),"- Replantear control(es) NO efectivo(s) ",IF(AND(SUM(E31:E33)=20,SUM(N31:N33)&lt;60),"- Replantear control(es) NO efectivo(s) ",IF(AND(SUM(E31:E33)=30,SUM(N31:N33)&lt;90),"- Replantear control(es) NO efectivo(s) ",""))))</f>
        <v/>
      </c>
      <c r="AZ31" s="502" t="str">
        <f>IF(AND(AE31&gt;1,AE32&gt;1),"- Tomar Acciones Preventivas y Correctivas",IF(AE31&gt;1,"- Tomar Acciones Preventivas",IF(AE32&gt;1,"- Tomar Acciones Correctivas","")))</f>
        <v>- Tomar Acciones Correctivas</v>
      </c>
      <c r="BA31" s="502" t="str">
        <f t="shared" ref="BA31" si="100">CONCATENATE(AX31,AY31,AZ31)</f>
        <v>- Tomar Acciones Correctivas</v>
      </c>
      <c r="BB31" s="3" t="str">
        <f t="shared" si="18"/>
        <v>SI</v>
      </c>
      <c r="BC31" s="3" t="str">
        <f t="shared" si="19"/>
        <v/>
      </c>
      <c r="BD31" s="3" t="str">
        <f t="shared" si="20"/>
        <v>SI</v>
      </c>
      <c r="BE31" s="3" t="str">
        <f t="shared" si="21"/>
        <v/>
      </c>
      <c r="BF31" s="3" t="str">
        <f t="shared" si="22"/>
        <v>SI</v>
      </c>
      <c r="BG31" s="3" t="str">
        <f t="shared" si="23"/>
        <v/>
      </c>
      <c r="BH31" s="3" t="str">
        <f t="shared" si="24"/>
        <v>P</v>
      </c>
      <c r="BI31" s="3" t="str">
        <f t="shared" si="25"/>
        <v/>
      </c>
      <c r="BJ31" s="3" t="str">
        <f t="shared" si="26"/>
        <v>M</v>
      </c>
      <c r="BK31" s="3" t="str">
        <f t="shared" si="27"/>
        <v/>
      </c>
      <c r="BL31" s="3" t="str">
        <f t="shared" si="28"/>
        <v>SI</v>
      </c>
      <c r="BM31" s="3" t="str">
        <f t="shared" si="29"/>
        <v/>
      </c>
    </row>
    <row r="32" spans="1:65" ht="36" customHeight="1" x14ac:dyDescent="0.2">
      <c r="A32" s="503"/>
      <c r="B32" s="496"/>
      <c r="C32" s="20">
        <v>2</v>
      </c>
      <c r="D32" s="56" t="s">
        <v>11</v>
      </c>
      <c r="E32" s="240">
        <f t="shared" si="4"/>
        <v>10</v>
      </c>
      <c r="F32" s="44" t="s">
        <v>576</v>
      </c>
      <c r="G32" s="18" t="str">
        <f t="shared" si="0"/>
        <v/>
      </c>
      <c r="H32" s="44" t="s">
        <v>20</v>
      </c>
      <c r="I32" s="18" t="str">
        <f t="shared" si="5"/>
        <v/>
      </c>
      <c r="J32" s="55" t="str">
        <f t="shared" si="6"/>
        <v>Posibilidad</v>
      </c>
      <c r="K32" s="43" t="s">
        <v>11</v>
      </c>
      <c r="L32" s="18">
        <f t="shared" si="7"/>
        <v>15</v>
      </c>
      <c r="M32" s="43" t="s">
        <v>11</v>
      </c>
      <c r="N32" s="18">
        <f t="shared" si="8"/>
        <v>30</v>
      </c>
      <c r="O32" s="43" t="s">
        <v>323</v>
      </c>
      <c r="P32" s="18">
        <f t="shared" si="9"/>
        <v>10</v>
      </c>
      <c r="Q32" s="43" t="s">
        <v>11</v>
      </c>
      <c r="R32" s="18">
        <f t="shared" si="10"/>
        <v>5</v>
      </c>
      <c r="S32" s="43" t="s">
        <v>11</v>
      </c>
      <c r="T32" s="18">
        <f t="shared" si="11"/>
        <v>15</v>
      </c>
      <c r="U32" s="43" t="s">
        <v>11</v>
      </c>
      <c r="V32" s="18">
        <f t="shared" si="12"/>
        <v>10</v>
      </c>
      <c r="W32" s="18">
        <f t="shared" si="13"/>
        <v>95</v>
      </c>
      <c r="X32" s="57" t="str">
        <f t="shared" si="1"/>
        <v>95                           Disminuye max 2 en Posibilidad</v>
      </c>
      <c r="Y32" s="57">
        <f t="shared" si="14"/>
        <v>2</v>
      </c>
      <c r="Z32" s="65">
        <f t="shared" si="15"/>
        <v>0</v>
      </c>
      <c r="AA32" s="498"/>
      <c r="AB32" s="500"/>
      <c r="AC32" s="3">
        <f>SUM(Z31:Z33)</f>
        <v>0</v>
      </c>
      <c r="AD32" s="3">
        <f>ANALISIS!G18</f>
        <v>4</v>
      </c>
      <c r="AE32" s="3">
        <f>IF((AD32-AC32)&gt;=1,(AD32-AC32),1)</f>
        <v>4</v>
      </c>
      <c r="AF32" s="501"/>
      <c r="AG32" s="42" t="str">
        <f>IF(AE32=1,AH32,IF(AE32=2,AI32,IF(AE32=3,AJ32,IF(AE32=4,AK32,AL32))))</f>
        <v>- Reducir el Riesgo- Compartir o Transferir el Riesgo</v>
      </c>
      <c r="AH32" s="46" t="str">
        <f>IF($AF31=11,"- Asumir el Riesgo",IF($AF31=12,"- Asumir el Riesgo- Evitar Posibilidad de Ocurrencia- Reducir el Riesgo",IF($AF31=13,"- Asumir el Riesgo- Evitar Posibilidad de Ocurrencia- Reducir el Riesgo",IF($AF31=14,"-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32" s="46" t="str">
        <f>IF($AF31=21,"- Asumir el Riesgo- Reducir el Riesgo",IF($AF31=22,"- Asumir el Riesgo- Evitar Posibilidad de Ocurrencia- Reducir el Riesgo",IF($AF31=23,"- Asumir el Riesgo- Evitar Posibilidad de Ocurrencia- Reducir el Riesgo- Compartir o Transferir el Riesgo",IF($AF31=24,"- Evitar Posibilidad de Ocurrencia- Reducir el Riesgo- Compartir o Transferir el Riesgo","- Evitar Posibilidad de Ocurrencia- Reducir el Riesgo- Compartir o Transferir el Riesgo"))))</f>
        <v>- Evitar Posibilidad de Ocurrencia- Reducir el Riesgo- Compartir o Transferir el Riesgo</v>
      </c>
      <c r="AJ32" s="46" t="str">
        <f>IF($AF31=31,"- Asumir el Riesgo- Reducir el Riesgo- Compartir o Transferir el Riesgo",IF($AF31=32,"- Asumir el Riesgo- Evitar Posibilidad de Ocurrencia- Reducir el Reducir- Compartir o Transferir el Riesgo",IF($AF31=33,"- Evitar Posibilidad de Ocurrencia- Reducir el Riesgo- Compartir o Transferir el Riesgo",IF($AF31=34,"-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32" s="46" t="str">
        <f>IF($AF31=41,"- Reducir el Riesgo- Compartir o Transferir el Riesgo",IF($AF31=42,"- Evitar Posibilidad de Ocurrencia- Reducir el Riesgo- Compartir o Transferir el Riesgo",IF($AF31=43,"- Eliminar Causa(s)- Evitar Posibilidad de Ocurrencia- Reducir el Riesgo- Compartir o Transferir el Riesgo",IF($AF31=44,"- Eliminar Causa(s)- Evitar Posibilidad de Ocurrencia- Reducir el Riesgo- Compartir o Transferir el Riesgo","- Eliminar Causa(s)- Evitar Posibilidad de Ocurrencia- Reducir el Riesgo- Compartir o Transferir el Riesgo"))))</f>
        <v>- Reducir el Riesgo- Compartir o Transferir el Riesgo</v>
      </c>
      <c r="AL32" s="46" t="str">
        <f>IF($AF31=51,"- Reducir el Riesgo- Compartir o Transferir el Riesgo",IF($AF31=52,"- Eliminar Causa(s)- Evitar Posibilidad de Ocurrencia- Reducir el Riesgo- Compartir o Transferir el Riesgo",IF($AF31=53,"- Eliminar Causa(s)- Evitar Posibilidad de Ocurrencia- Reducir el Riesgo- Compartir o Transferir el Riesgo",IF($AF31=54,"-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32" s="3" t="str">
        <f t="shared" si="16"/>
        <v/>
      </c>
      <c r="AN32" s="3" t="str">
        <f t="shared" si="2"/>
        <v/>
      </c>
      <c r="AO32" s="3" t="str">
        <f t="shared" si="3"/>
        <v/>
      </c>
      <c r="AP32" s="3" t="str">
        <f t="shared" si="17"/>
        <v/>
      </c>
      <c r="AQ32" s="3" t="str">
        <f>IF(AQ31="Documentar",AQ31,AM32)</f>
        <v/>
      </c>
      <c r="AR32" s="3" t="str">
        <f t="shared" ref="AR32:AR33" si="101">IF(AR31="Asignar responsable",AR31,AN32)</f>
        <v/>
      </c>
      <c r="AT32" s="3" t="str">
        <f t="shared" ref="AT32:AT33" si="102">IF(AT31="Establecer periodos de seguimiento adecuados",AT31,AO32)</f>
        <v/>
      </c>
      <c r="AV32" s="3" t="str">
        <f t="shared" ref="AV32:AV33" si="103">IF(AV31="Guardar Evidencias",AV31,AP32)</f>
        <v/>
      </c>
      <c r="AX32" s="502"/>
      <c r="AY32" s="502"/>
      <c r="AZ32" s="502"/>
      <c r="BA32" s="502"/>
      <c r="BB32" s="3" t="str">
        <f t="shared" si="18"/>
        <v>SI</v>
      </c>
      <c r="BC32" s="3" t="str">
        <f t="shared" si="19"/>
        <v/>
      </c>
      <c r="BD32" s="3" t="str">
        <f t="shared" si="20"/>
        <v>SI</v>
      </c>
      <c r="BE32" s="3" t="str">
        <f t="shared" si="21"/>
        <v/>
      </c>
      <c r="BF32" s="3" t="str">
        <f t="shared" si="22"/>
        <v>SI</v>
      </c>
      <c r="BG32" s="3" t="str">
        <f t="shared" si="23"/>
        <v/>
      </c>
      <c r="BH32" s="3" t="str">
        <f t="shared" si="24"/>
        <v>P</v>
      </c>
      <c r="BI32" s="3" t="str">
        <f t="shared" si="25"/>
        <v/>
      </c>
      <c r="BJ32" s="3" t="str">
        <f t="shared" si="26"/>
        <v>M</v>
      </c>
      <c r="BK32" s="3" t="str">
        <f t="shared" si="27"/>
        <v/>
      </c>
      <c r="BL32" s="3" t="str">
        <f t="shared" si="28"/>
        <v>SI</v>
      </c>
      <c r="BM32" s="3" t="str">
        <f t="shared" si="29"/>
        <v/>
      </c>
    </row>
    <row r="33" spans="1:65" ht="36" customHeight="1" x14ac:dyDescent="0.2">
      <c r="A33" s="503"/>
      <c r="B33" s="496"/>
      <c r="C33" s="20">
        <v>3</v>
      </c>
      <c r="D33" s="56"/>
      <c r="E33" s="240" t="str">
        <f t="shared" si="4"/>
        <v/>
      </c>
      <c r="F33" s="44"/>
      <c r="G33" s="18" t="str">
        <f t="shared" si="0"/>
        <v/>
      </c>
      <c r="H33" s="44"/>
      <c r="I33" s="18" t="str">
        <f t="shared" si="5"/>
        <v/>
      </c>
      <c r="J33" s="55" t="str">
        <f t="shared" si="6"/>
        <v/>
      </c>
      <c r="K33" s="43"/>
      <c r="L33" s="18" t="str">
        <f t="shared" si="7"/>
        <v/>
      </c>
      <c r="M33" s="43"/>
      <c r="N33" s="18" t="str">
        <f t="shared" si="8"/>
        <v/>
      </c>
      <c r="O33" s="43"/>
      <c r="P33" s="18" t="str">
        <f t="shared" si="9"/>
        <v/>
      </c>
      <c r="Q33" s="43"/>
      <c r="R33" s="18" t="str">
        <f t="shared" si="10"/>
        <v/>
      </c>
      <c r="S33" s="43"/>
      <c r="T33" s="18" t="str">
        <f t="shared" si="11"/>
        <v/>
      </c>
      <c r="U33" s="43"/>
      <c r="V33" s="18" t="str">
        <f t="shared" si="12"/>
        <v/>
      </c>
      <c r="W33" s="18">
        <f t="shared" si="13"/>
        <v>0</v>
      </c>
      <c r="X33" s="57" t="str">
        <f t="shared" si="1"/>
        <v/>
      </c>
      <c r="Y33" s="57">
        <f t="shared" si="14"/>
        <v>0</v>
      </c>
      <c r="Z33" s="65">
        <f t="shared" si="15"/>
        <v>0</v>
      </c>
      <c r="AA33" s="499"/>
      <c r="AB33" s="500"/>
      <c r="AM33" s="3" t="str">
        <f t="shared" si="16"/>
        <v/>
      </c>
      <c r="AN33" s="3" t="str">
        <f t="shared" si="2"/>
        <v/>
      </c>
      <c r="AO33" s="3" t="str">
        <f t="shared" si="3"/>
        <v/>
      </c>
      <c r="AP33" s="3" t="str">
        <f t="shared" si="17"/>
        <v/>
      </c>
      <c r="AQ33" s="3" t="str">
        <f>IF(AQ32="Documentar",AQ32,AM33)</f>
        <v/>
      </c>
      <c r="AR33" s="3" t="str">
        <f t="shared" si="101"/>
        <v/>
      </c>
      <c r="AS33" s="3" t="str">
        <f>IF(AND(AQ33="Documentar",AR33="Asignar responsable"),CONCATENATE("- ",AQ33,", ",AR33),IF(AQ33="Documentar",CONCATENATE("- ",AQ33),IF(AR33="Asignar responsable",CONCATENATE("- ",AR33),"")))</f>
        <v/>
      </c>
      <c r="AT33" s="3" t="str">
        <f t="shared" si="102"/>
        <v/>
      </c>
      <c r="AU33" s="3" t="str">
        <f t="shared" ref="AU33" si="104">IF(AT33="",AS33,IF(AS33="",CONCATENATE("- ",AT33),CONCATENATE(AS33,", ",AT33)))</f>
        <v/>
      </c>
      <c r="AV33" s="3" t="str">
        <f t="shared" si="103"/>
        <v/>
      </c>
      <c r="AW33" s="3" t="str">
        <f t="shared" ref="AW33" si="105">IF(AV33="",AU33,IF(AU33="",CONCATENATE("- ",AV33),CONCATENATE(AU33,", ",AV33)))</f>
        <v/>
      </c>
      <c r="AX33" s="502"/>
      <c r="AY33" s="502"/>
      <c r="AZ33" s="502"/>
      <c r="BA33" s="502"/>
      <c r="BB33" s="3" t="str">
        <f t="shared" si="18"/>
        <v/>
      </c>
      <c r="BC33" s="3" t="str">
        <f t="shared" si="19"/>
        <v/>
      </c>
      <c r="BD33" s="3" t="str">
        <f t="shared" si="20"/>
        <v/>
      </c>
      <c r="BE33" s="3" t="str">
        <f t="shared" si="21"/>
        <v/>
      </c>
      <c r="BF33" s="3" t="str">
        <f t="shared" si="22"/>
        <v/>
      </c>
      <c r="BG33" s="3" t="str">
        <f t="shared" si="23"/>
        <v/>
      </c>
      <c r="BH33" s="3" t="str">
        <f t="shared" si="24"/>
        <v/>
      </c>
      <c r="BI33" s="3" t="str">
        <f t="shared" si="25"/>
        <v/>
      </c>
      <c r="BJ33" s="3" t="str">
        <f t="shared" si="26"/>
        <v/>
      </c>
      <c r="BK33" s="3" t="str">
        <f t="shared" si="27"/>
        <v/>
      </c>
      <c r="BL33" s="3" t="str">
        <f t="shared" si="28"/>
        <v/>
      </c>
      <c r="BM33" s="3" t="str">
        <f t="shared" si="29"/>
        <v/>
      </c>
    </row>
    <row r="34" spans="1:65" ht="36" customHeight="1" x14ac:dyDescent="0.2">
      <c r="A34" s="503" t="str">
        <f>IDENTIFICACIÓN!C17</f>
        <v>9G</v>
      </c>
      <c r="B34" s="496" t="str">
        <f>IF(IDENTIFICACIÓN!D17="","",IDENTIFICACIÓN!D17)</f>
        <v>Gestión de la Calidad. La alta dirección no asegura la disponibilidad de los recursos para el mantenimiento y mejora del sistema.</v>
      </c>
      <c r="C34" s="20">
        <v>1</v>
      </c>
      <c r="D34" s="56" t="s">
        <v>11</v>
      </c>
      <c r="E34" s="240">
        <f t="shared" si="4"/>
        <v>10</v>
      </c>
      <c r="F34" s="44" t="s">
        <v>577</v>
      </c>
      <c r="G34" s="18" t="str">
        <f t="shared" si="0"/>
        <v/>
      </c>
      <c r="H34" s="44" t="s">
        <v>20</v>
      </c>
      <c r="I34" s="18" t="str">
        <f t="shared" si="5"/>
        <v/>
      </c>
      <c r="J34" s="55" t="str">
        <f t="shared" si="6"/>
        <v>Posibilidad</v>
      </c>
      <c r="K34" s="43" t="s">
        <v>11</v>
      </c>
      <c r="L34" s="18">
        <f t="shared" si="7"/>
        <v>15</v>
      </c>
      <c r="M34" s="43" t="s">
        <v>11</v>
      </c>
      <c r="N34" s="18">
        <f t="shared" si="8"/>
        <v>30</v>
      </c>
      <c r="O34" s="43" t="s">
        <v>323</v>
      </c>
      <c r="P34" s="18">
        <f t="shared" si="9"/>
        <v>10</v>
      </c>
      <c r="Q34" s="43" t="s">
        <v>11</v>
      </c>
      <c r="R34" s="18">
        <f t="shared" si="10"/>
        <v>5</v>
      </c>
      <c r="S34" s="43" t="s">
        <v>11</v>
      </c>
      <c r="T34" s="18">
        <f t="shared" si="11"/>
        <v>15</v>
      </c>
      <c r="U34" s="43" t="s">
        <v>11</v>
      </c>
      <c r="V34" s="18">
        <f t="shared" si="12"/>
        <v>10</v>
      </c>
      <c r="W34" s="18">
        <f t="shared" si="13"/>
        <v>95</v>
      </c>
      <c r="X34" s="57" t="str">
        <f t="shared" si="1"/>
        <v>95                           Disminuye max 2 en Posibilidad</v>
      </c>
      <c r="Y34" s="57">
        <f t="shared" si="14"/>
        <v>2</v>
      </c>
      <c r="Z34" s="65">
        <f t="shared" si="15"/>
        <v>0</v>
      </c>
      <c r="AA34" s="497">
        <f>IF(AB34=0,"",(ROUND((SUM(W34:W36)/AB34),0)))</f>
        <v>95</v>
      </c>
      <c r="AB34" s="500">
        <f>COUNT(T34:T36)</f>
        <v>2</v>
      </c>
      <c r="AC34" s="3">
        <f>SUM(Y34:Y36)</f>
        <v>4</v>
      </c>
      <c r="AD34" s="3">
        <f>ANALISIS!D19</f>
        <v>1</v>
      </c>
      <c r="AE34" s="3">
        <f>IF((AD34-AC34)&gt;=1,(AD34-AC34),1)</f>
        <v>1</v>
      </c>
      <c r="AF34" s="501">
        <f>(AE35*10)+AE34</f>
        <v>41</v>
      </c>
      <c r="AG34" s="42" t="str">
        <f>IF(AE35=1,AH34,IF(AE35=2,AI34,IF(AE35=3,AJ34,IF(AE35=4,AK34,AL34))))</f>
        <v>ALTA 1:4</v>
      </c>
      <c r="AH34" s="46" t="str">
        <f>IF($AF34=11,"BAJA 1:1",IF($AF34=12,"BAJA 2:1",IF($AF34=13,"BAJA 3:1",IF($AF34=14,"MODERADA 4:1","ALTA 5:1"))))</f>
        <v>ALTA 5:1</v>
      </c>
      <c r="AI34" s="46" t="str">
        <f>IF($AF34=21,"BAJA 1:2",IF($AF34=22,"BAJA 2:2",IF($AF34=23,"MODERADA 3:2",IF($AF34=24,"ALTA 4:2","ALTA 5:2"))))</f>
        <v>ALTA 5:2</v>
      </c>
      <c r="AJ34" s="46" t="str">
        <f>IF($AF34=31,"MODERADA 1:3",IF($AF34=32,"MODERADA 2:3",IF($AF34=33,"ALTA 3:3",IF($AF34=34,"ALTA 4:3","EXTREMA 5:3"))))</f>
        <v>EXTREMA 5:3</v>
      </c>
      <c r="AK34" s="46" t="str">
        <f>IF($AF34=41,"ALTA 1:4",IF($AF34=42,"ALTA 2:4",IF($AF34=43,"EXTREMA 3:4",IF($AF34=44,"EXTREMA 4:4","EXTREMA 5:4"))))</f>
        <v>ALTA 1:4</v>
      </c>
      <c r="AL34" s="46" t="str">
        <f>IF($AF34=51,"ALTA 1:5",IF($AF34=52,"EXTREMA 2:5",IF($AF34=53,"EXTREMA 3:5",IF($AF34=54,"EXTREMA 4:5","EXTREMA 5:5"))))</f>
        <v>EXTREMA 5:5</v>
      </c>
      <c r="AM34" s="3" t="str">
        <f t="shared" si="16"/>
        <v/>
      </c>
      <c r="AN34" s="3" t="str">
        <f t="shared" si="2"/>
        <v/>
      </c>
      <c r="AO34" s="3" t="str">
        <f t="shared" si="3"/>
        <v/>
      </c>
      <c r="AP34" s="3" t="str">
        <f t="shared" si="17"/>
        <v/>
      </c>
      <c r="AQ34" s="3" t="str">
        <f>AM34</f>
        <v/>
      </c>
      <c r="AR34" s="3" t="str">
        <f t="shared" ref="AR34" si="106">AN34</f>
        <v/>
      </c>
      <c r="AT34" s="3" t="str">
        <f t="shared" ref="AT34" si="107">AO34</f>
        <v/>
      </c>
      <c r="AV34" s="3" t="str">
        <f t="shared" ref="AV34" si="108">AP34</f>
        <v/>
      </c>
      <c r="AX34" s="502" t="str">
        <f t="shared" ref="AX34" si="109">IF(AW36="","",CONCATENATE(AW36," (de) el(los) control(es) Efectivo(s) "))</f>
        <v/>
      </c>
      <c r="AY34" s="502" t="str">
        <f t="shared" ref="AY34" si="110">IF(CONCATENATE(N34:N36)="","",IF(AND(SUM(E34:E36)=10,SUM(N34:N36)&lt;30),"- Replantear control(es) NO efectivo(s) ",IF(AND(SUM(E34:E36)=20,SUM(N34:N36)&lt;60),"- Replantear control(es) NO efectivo(s) ",IF(AND(SUM(E34:E36)=30,SUM(N34:N36)&lt;90),"- Replantear control(es) NO efectivo(s) ",""))))</f>
        <v/>
      </c>
      <c r="AZ34" s="502" t="str">
        <f>IF(AND(AE34&gt;1,AE35&gt;1),"- Tomar Acciones Preventivas y Correctivas",IF(AE34&gt;1,"- Tomar Acciones Preventivas",IF(AE35&gt;1,"- Tomar Acciones Correctivas","")))</f>
        <v>- Tomar Acciones Correctivas</v>
      </c>
      <c r="BA34" s="502" t="str">
        <f t="shared" ref="BA34" si="111">CONCATENATE(AX34,AY34,AZ34)</f>
        <v>- Tomar Acciones Correctivas</v>
      </c>
      <c r="BB34" s="3" t="str">
        <f t="shared" si="18"/>
        <v>SI</v>
      </c>
      <c r="BC34" s="3" t="str">
        <f t="shared" si="19"/>
        <v/>
      </c>
      <c r="BD34" s="3" t="str">
        <f t="shared" si="20"/>
        <v>SI</v>
      </c>
      <c r="BE34" s="3" t="str">
        <f t="shared" si="21"/>
        <v/>
      </c>
      <c r="BF34" s="3" t="str">
        <f t="shared" si="22"/>
        <v>SI</v>
      </c>
      <c r="BG34" s="3" t="str">
        <f t="shared" si="23"/>
        <v/>
      </c>
      <c r="BH34" s="3" t="str">
        <f t="shared" si="24"/>
        <v>P</v>
      </c>
      <c r="BI34" s="3" t="str">
        <f t="shared" si="25"/>
        <v/>
      </c>
      <c r="BJ34" s="3" t="str">
        <f t="shared" si="26"/>
        <v>M</v>
      </c>
      <c r="BK34" s="3" t="str">
        <f t="shared" si="27"/>
        <v/>
      </c>
      <c r="BL34" s="3" t="str">
        <f t="shared" si="28"/>
        <v>SI</v>
      </c>
      <c r="BM34" s="3" t="str">
        <f t="shared" si="29"/>
        <v/>
      </c>
    </row>
    <row r="35" spans="1:65" ht="36" customHeight="1" x14ac:dyDescent="0.2">
      <c r="A35" s="503"/>
      <c r="B35" s="496"/>
      <c r="C35" s="20">
        <v>2</v>
      </c>
      <c r="D35" s="56" t="s">
        <v>11</v>
      </c>
      <c r="E35" s="240">
        <f t="shared" si="4"/>
        <v>10</v>
      </c>
      <c r="F35" s="44" t="s">
        <v>578</v>
      </c>
      <c r="G35" s="18" t="str">
        <f t="shared" si="0"/>
        <v/>
      </c>
      <c r="H35" s="44" t="s">
        <v>20</v>
      </c>
      <c r="I35" s="18" t="str">
        <f t="shared" si="5"/>
        <v/>
      </c>
      <c r="J35" s="55" t="str">
        <f t="shared" si="6"/>
        <v>Posibilidad</v>
      </c>
      <c r="K35" s="43" t="s">
        <v>11</v>
      </c>
      <c r="L35" s="18">
        <f t="shared" si="7"/>
        <v>15</v>
      </c>
      <c r="M35" s="43" t="s">
        <v>11</v>
      </c>
      <c r="N35" s="18">
        <f t="shared" si="8"/>
        <v>30</v>
      </c>
      <c r="O35" s="43" t="s">
        <v>323</v>
      </c>
      <c r="P35" s="18">
        <f t="shared" si="9"/>
        <v>10</v>
      </c>
      <c r="Q35" s="43" t="s">
        <v>11</v>
      </c>
      <c r="R35" s="18">
        <f t="shared" si="10"/>
        <v>5</v>
      </c>
      <c r="S35" s="43" t="s">
        <v>11</v>
      </c>
      <c r="T35" s="18">
        <f t="shared" si="11"/>
        <v>15</v>
      </c>
      <c r="U35" s="43" t="s">
        <v>11</v>
      </c>
      <c r="V35" s="18">
        <f t="shared" si="12"/>
        <v>10</v>
      </c>
      <c r="W35" s="18">
        <f t="shared" si="13"/>
        <v>95</v>
      </c>
      <c r="X35" s="57" t="str">
        <f t="shared" si="1"/>
        <v>95                           Disminuye max 2 en Posibilidad</v>
      </c>
      <c r="Y35" s="57">
        <f t="shared" si="14"/>
        <v>2</v>
      </c>
      <c r="Z35" s="65">
        <f t="shared" si="15"/>
        <v>0</v>
      </c>
      <c r="AA35" s="498"/>
      <c r="AB35" s="500"/>
      <c r="AC35" s="3">
        <f>SUM(Z34:Z36)</f>
        <v>0</v>
      </c>
      <c r="AD35" s="3">
        <f>ANALISIS!G19</f>
        <v>4</v>
      </c>
      <c r="AE35" s="3">
        <f>IF((AD35-AC35)&gt;=1,(AD35-AC35),1)</f>
        <v>4</v>
      </c>
      <c r="AF35" s="501"/>
      <c r="AG35" s="42" t="str">
        <f>IF(AE35=1,AH35,IF(AE35=2,AI35,IF(AE35=3,AJ35,IF(AE35=4,AK35,AL35))))</f>
        <v>- Reducir el Riesgo- Compartir o Transferir el Riesgo</v>
      </c>
      <c r="AH35" s="46" t="str">
        <f>IF($AF34=11,"- Asumir el Riesgo",IF($AF34=12,"- Asumir el Riesgo- Evitar Posibilidad de Ocurrencia- Reducir el Riesgo",IF($AF34=13,"- Asumir el Riesgo- Evitar Posibilidad de Ocurrencia- Reducir el Riesgo",IF($AF34=14,"-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35" s="46" t="str">
        <f>IF($AF34=21,"- Asumir el Riesgo- Reducir el Riesgo",IF($AF34=22,"- Asumir el Riesgo- Evitar Posibilidad de Ocurrencia- Reducir el Riesgo",IF($AF34=23,"- Asumir el Riesgo- Evitar Posibilidad de Ocurrencia- Reducir el Riesgo- Compartir o Transferir el Riesgo",IF($AF34=24,"- Evitar Posibilidad de Ocurrencia- Reducir el Riesgo- Compartir o Transferir el Riesgo","- Evitar Posibilidad de Ocurrencia- Reducir el Riesgo- Compartir o Transferir el Riesgo"))))</f>
        <v>- Evitar Posibilidad de Ocurrencia- Reducir el Riesgo- Compartir o Transferir el Riesgo</v>
      </c>
      <c r="AJ35" s="46" t="str">
        <f>IF($AF34=31,"- Asumir el Riesgo- Reducir el Riesgo- Compartir o Transferir el Riesgo",IF($AF34=32,"- Asumir el Riesgo- Evitar Posibilidad de Ocurrencia- Reducir el Reducir- Compartir o Transferir el Riesgo",IF($AF34=33,"- Evitar Posibilidad de Ocurrencia- Reducir el Riesgo- Compartir o Transferir el Riesgo",IF($AF34=34,"-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35" s="46" t="str">
        <f>IF($AF34=41,"- Reducir el Riesgo- Compartir o Transferir el Riesgo",IF($AF34=42,"- Evitar Posibilidad de Ocurrencia- Reducir el Riesgo- Compartir o Transferir el Riesgo",IF($AF34=43,"- Eliminar Causa(s)- Evitar Posibilidad de Ocurrencia- Reducir el Riesgo- Compartir o Transferir el Riesgo",IF($AF34=44,"- Eliminar Causa(s)- Evitar Posibilidad de Ocurrencia- Reducir el Riesgo- Compartir o Transferir el Riesgo","- Eliminar Causa(s)- Evitar Posibilidad de Ocurrencia- Reducir el Riesgo- Compartir o Transferir el Riesgo"))))</f>
        <v>- Reducir el Riesgo- Compartir o Transferir el Riesgo</v>
      </c>
      <c r="AL35" s="46" t="str">
        <f>IF($AF34=51,"- Reducir el Riesgo- Compartir o Transferir el Riesgo",IF($AF34=52,"- Eliminar Causa(s)- Evitar Posibilidad de Ocurrencia- Reducir el Riesgo- Compartir o Transferir el Riesgo",IF($AF34=53,"- Eliminar Causa(s)- Evitar Posibilidad de Ocurrencia- Reducir el Riesgo- Compartir o Transferir el Riesgo",IF($AF34=54,"-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35" s="3" t="str">
        <f t="shared" si="16"/>
        <v/>
      </c>
      <c r="AN35" s="3" t="str">
        <f t="shared" si="2"/>
        <v/>
      </c>
      <c r="AO35" s="3" t="str">
        <f t="shared" si="3"/>
        <v/>
      </c>
      <c r="AP35" s="3" t="str">
        <f t="shared" si="17"/>
        <v/>
      </c>
      <c r="AQ35" s="3" t="str">
        <f>IF(AQ34="Documentar",AQ34,AM35)</f>
        <v/>
      </c>
      <c r="AR35" s="3" t="str">
        <f t="shared" ref="AR35:AR36" si="112">IF(AR34="Asignar responsable",AR34,AN35)</f>
        <v/>
      </c>
      <c r="AT35" s="3" t="str">
        <f t="shared" ref="AT35:AT36" si="113">IF(AT34="Establecer periodos de seguimiento adecuados",AT34,AO35)</f>
        <v/>
      </c>
      <c r="AV35" s="3" t="str">
        <f t="shared" ref="AV35:AV36" si="114">IF(AV34="Guardar Evidencias",AV34,AP35)</f>
        <v/>
      </c>
      <c r="AX35" s="502"/>
      <c r="AY35" s="502"/>
      <c r="AZ35" s="502"/>
      <c r="BA35" s="502"/>
      <c r="BB35" s="3" t="str">
        <f t="shared" si="18"/>
        <v>SI</v>
      </c>
      <c r="BC35" s="3" t="str">
        <f t="shared" si="19"/>
        <v/>
      </c>
      <c r="BD35" s="3" t="str">
        <f t="shared" si="20"/>
        <v>SI</v>
      </c>
      <c r="BE35" s="3" t="str">
        <f t="shared" si="21"/>
        <v/>
      </c>
      <c r="BF35" s="3" t="str">
        <f t="shared" si="22"/>
        <v>SI</v>
      </c>
      <c r="BG35" s="3" t="str">
        <f t="shared" si="23"/>
        <v/>
      </c>
      <c r="BH35" s="3" t="str">
        <f t="shared" si="24"/>
        <v>P</v>
      </c>
      <c r="BI35" s="3" t="str">
        <f t="shared" si="25"/>
        <v/>
      </c>
      <c r="BJ35" s="3" t="str">
        <f t="shared" si="26"/>
        <v>M</v>
      </c>
      <c r="BK35" s="3" t="str">
        <f t="shared" si="27"/>
        <v/>
      </c>
      <c r="BL35" s="3" t="str">
        <f t="shared" si="28"/>
        <v>SI</v>
      </c>
      <c r="BM35" s="3" t="str">
        <f t="shared" si="29"/>
        <v/>
      </c>
    </row>
    <row r="36" spans="1:65" ht="36" customHeight="1" x14ac:dyDescent="0.2">
      <c r="A36" s="503"/>
      <c r="B36" s="496"/>
      <c r="C36" s="20">
        <v>3</v>
      </c>
      <c r="D36" s="56"/>
      <c r="E36" s="240" t="str">
        <f t="shared" si="4"/>
        <v/>
      </c>
      <c r="F36" s="44"/>
      <c r="G36" s="18" t="str">
        <f t="shared" si="0"/>
        <v/>
      </c>
      <c r="H36" s="44"/>
      <c r="I36" s="18" t="str">
        <f t="shared" si="5"/>
        <v/>
      </c>
      <c r="J36" s="55" t="str">
        <f t="shared" si="6"/>
        <v/>
      </c>
      <c r="K36" s="43"/>
      <c r="L36" s="18" t="str">
        <f t="shared" si="7"/>
        <v/>
      </c>
      <c r="M36" s="43"/>
      <c r="N36" s="18" t="str">
        <f t="shared" si="8"/>
        <v/>
      </c>
      <c r="O36" s="43"/>
      <c r="P36" s="18" t="str">
        <f t="shared" si="9"/>
        <v/>
      </c>
      <c r="Q36" s="43"/>
      <c r="R36" s="18" t="str">
        <f t="shared" si="10"/>
        <v/>
      </c>
      <c r="S36" s="43"/>
      <c r="T36" s="18" t="str">
        <f t="shared" si="11"/>
        <v/>
      </c>
      <c r="U36" s="43"/>
      <c r="V36" s="18" t="str">
        <f t="shared" si="12"/>
        <v/>
      </c>
      <c r="W36" s="18">
        <f t="shared" si="13"/>
        <v>0</v>
      </c>
      <c r="X36" s="57" t="str">
        <f t="shared" si="1"/>
        <v/>
      </c>
      <c r="Y36" s="57">
        <f t="shared" si="14"/>
        <v>0</v>
      </c>
      <c r="Z36" s="65">
        <f t="shared" si="15"/>
        <v>0</v>
      </c>
      <c r="AA36" s="499"/>
      <c r="AB36" s="500"/>
      <c r="AM36" s="3" t="str">
        <f t="shared" si="16"/>
        <v/>
      </c>
      <c r="AN36" s="3" t="str">
        <f t="shared" si="2"/>
        <v/>
      </c>
      <c r="AO36" s="3" t="str">
        <f t="shared" si="3"/>
        <v/>
      </c>
      <c r="AP36" s="3" t="str">
        <f t="shared" si="17"/>
        <v/>
      </c>
      <c r="AQ36" s="3" t="str">
        <f>IF(AQ35="Documentar",AQ35,AM36)</f>
        <v/>
      </c>
      <c r="AR36" s="3" t="str">
        <f t="shared" si="112"/>
        <v/>
      </c>
      <c r="AS36" s="3" t="str">
        <f>IF(AND(AQ36="Documentar",AR36="Asignar responsable"),CONCATENATE("- ",AQ36,", ",AR36),IF(AQ36="Documentar",CONCATENATE("- ",AQ36),IF(AR36="Asignar responsable",CONCATENATE("- ",AR36),"")))</f>
        <v/>
      </c>
      <c r="AT36" s="3" t="str">
        <f t="shared" si="113"/>
        <v/>
      </c>
      <c r="AU36" s="3" t="str">
        <f t="shared" ref="AU36" si="115">IF(AT36="",AS36,IF(AS36="",CONCATENATE("- ",AT36),CONCATENATE(AS36,", ",AT36)))</f>
        <v/>
      </c>
      <c r="AV36" s="3" t="str">
        <f t="shared" si="114"/>
        <v/>
      </c>
      <c r="AW36" s="3" t="str">
        <f t="shared" ref="AW36" si="116">IF(AV36="",AU36,IF(AU36="",CONCATENATE("- ",AV36),CONCATENATE(AU36,", ",AV36)))</f>
        <v/>
      </c>
      <c r="AX36" s="502"/>
      <c r="AY36" s="502"/>
      <c r="AZ36" s="502"/>
      <c r="BA36" s="502"/>
      <c r="BB36" s="3" t="str">
        <f t="shared" si="18"/>
        <v/>
      </c>
      <c r="BC36" s="3" t="str">
        <f t="shared" si="19"/>
        <v/>
      </c>
      <c r="BD36" s="3" t="str">
        <f t="shared" si="20"/>
        <v/>
      </c>
      <c r="BE36" s="3" t="str">
        <f t="shared" si="21"/>
        <v/>
      </c>
      <c r="BF36" s="3" t="str">
        <f t="shared" si="22"/>
        <v/>
      </c>
      <c r="BG36" s="3" t="str">
        <f t="shared" si="23"/>
        <v/>
      </c>
      <c r="BH36" s="3" t="str">
        <f t="shared" si="24"/>
        <v/>
      </c>
      <c r="BI36" s="3" t="str">
        <f t="shared" si="25"/>
        <v/>
      </c>
      <c r="BJ36" s="3" t="str">
        <f t="shared" si="26"/>
        <v/>
      </c>
      <c r="BK36" s="3" t="str">
        <f t="shared" si="27"/>
        <v/>
      </c>
      <c r="BL36" s="3" t="str">
        <f t="shared" si="28"/>
        <v/>
      </c>
      <c r="BM36" s="3" t="str">
        <f t="shared" si="29"/>
        <v/>
      </c>
    </row>
    <row r="37" spans="1:65" ht="36" customHeight="1" x14ac:dyDescent="0.2">
      <c r="A37" s="503" t="str">
        <f>IDENTIFICACIÓN!C18</f>
        <v>10G</v>
      </c>
      <c r="B37" s="496" t="str">
        <f>IF(IDENTIFICACIÓN!D18="","",IDENTIFICACIÓN!D18)</f>
        <v>Comunicaciones. Inoportuna e ineficaz divulgación de los productos comunicativos y publicitarios ante los usuarios internos y externos.</v>
      </c>
      <c r="C37" s="20">
        <v>1</v>
      </c>
      <c r="D37" s="56" t="s">
        <v>11</v>
      </c>
      <c r="E37" s="240">
        <f t="shared" si="4"/>
        <v>10</v>
      </c>
      <c r="F37" s="44" t="s">
        <v>579</v>
      </c>
      <c r="G37" s="18" t="str">
        <f t="shared" si="0"/>
        <v/>
      </c>
      <c r="H37" s="44" t="s">
        <v>20</v>
      </c>
      <c r="I37" s="18" t="str">
        <f t="shared" si="5"/>
        <v/>
      </c>
      <c r="J37" s="55" t="str">
        <f t="shared" si="6"/>
        <v>Posibilidad</v>
      </c>
      <c r="K37" s="43" t="s">
        <v>11</v>
      </c>
      <c r="L37" s="18">
        <f t="shared" si="7"/>
        <v>15</v>
      </c>
      <c r="M37" s="43" t="s">
        <v>11</v>
      </c>
      <c r="N37" s="18">
        <f t="shared" si="8"/>
        <v>30</v>
      </c>
      <c r="O37" s="43" t="s">
        <v>323</v>
      </c>
      <c r="P37" s="18">
        <f t="shared" si="9"/>
        <v>10</v>
      </c>
      <c r="Q37" s="43" t="s">
        <v>11</v>
      </c>
      <c r="R37" s="18">
        <f t="shared" si="10"/>
        <v>5</v>
      </c>
      <c r="S37" s="43" t="s">
        <v>11</v>
      </c>
      <c r="T37" s="18">
        <f t="shared" si="11"/>
        <v>15</v>
      </c>
      <c r="U37" s="43" t="s">
        <v>11</v>
      </c>
      <c r="V37" s="18">
        <f t="shared" si="12"/>
        <v>10</v>
      </c>
      <c r="W37" s="18">
        <f t="shared" si="13"/>
        <v>95</v>
      </c>
      <c r="X37" s="57" t="str">
        <f t="shared" si="1"/>
        <v>95                           Disminuye max 2 en Posibilidad</v>
      </c>
      <c r="Y37" s="57">
        <f t="shared" si="14"/>
        <v>2</v>
      </c>
      <c r="Z37" s="65">
        <f t="shared" si="15"/>
        <v>0</v>
      </c>
      <c r="AA37" s="497">
        <f>IF(AB37=0,"",(ROUND((SUM(W37:W39)/AB37),0)))</f>
        <v>95</v>
      </c>
      <c r="AB37" s="500">
        <f>COUNT(T37:T39)</f>
        <v>1</v>
      </c>
      <c r="AC37" s="3">
        <f>SUM(Y37:Y39)</f>
        <v>2</v>
      </c>
      <c r="AD37" s="3">
        <f>ANALISIS!D20</f>
        <v>3</v>
      </c>
      <c r="AE37" s="3">
        <f>IF((AD37-AC37)&gt;=1,(AD37-AC37),1)</f>
        <v>1</v>
      </c>
      <c r="AF37" s="501">
        <f>(AE38*10)+AE37</f>
        <v>41</v>
      </c>
      <c r="AG37" s="42" t="str">
        <f>IF(AE38=1,AH37,IF(AE38=2,AI37,IF(AE38=3,AJ37,IF(AE38=4,AK37,AL37))))</f>
        <v>ALTA 1:4</v>
      </c>
      <c r="AH37" s="46" t="str">
        <f>IF($AF37=11,"BAJA 1:1",IF($AF37=12,"BAJA 2:1",IF($AF37=13,"BAJA 3:1",IF($AF37=14,"MODERADA 4:1","ALTA 5:1"))))</f>
        <v>ALTA 5:1</v>
      </c>
      <c r="AI37" s="46" t="str">
        <f>IF($AF37=21,"BAJA 1:2",IF($AF37=22,"BAJA 2:2",IF($AF37=23,"MODERADA 3:2",IF($AF37=24,"ALTA 4:2","ALTA 5:2"))))</f>
        <v>ALTA 5:2</v>
      </c>
      <c r="AJ37" s="46" t="str">
        <f>IF($AF37=31,"MODERADA 1:3",IF($AF37=32,"MODERADA 2:3",IF($AF37=33,"ALTA 3:3",IF($AF37=34,"ALTA 4:3","EXTREMA 5:3"))))</f>
        <v>EXTREMA 5:3</v>
      </c>
      <c r="AK37" s="46" t="str">
        <f>IF($AF37=41,"ALTA 1:4",IF($AF37=42,"ALTA 2:4",IF($AF37=43,"EXTREMA 3:4",IF($AF37=44,"EXTREMA 4:4","EXTREMA 5:4"))))</f>
        <v>ALTA 1:4</v>
      </c>
      <c r="AL37" s="46" t="str">
        <f>IF($AF37=51,"ALTA 1:5",IF($AF37=52,"EXTREMA 2:5",IF($AF37=53,"EXTREMA 3:5",IF($AF37=54,"EXTREMA 4:5","EXTREMA 5:5"))))</f>
        <v>EXTREMA 5:5</v>
      </c>
      <c r="AM37" s="3" t="str">
        <f t="shared" si="16"/>
        <v/>
      </c>
      <c r="AN37" s="3" t="str">
        <f t="shared" si="2"/>
        <v/>
      </c>
      <c r="AO37" s="3" t="str">
        <f t="shared" si="3"/>
        <v/>
      </c>
      <c r="AP37" s="3" t="str">
        <f t="shared" si="17"/>
        <v/>
      </c>
      <c r="AQ37" s="3" t="str">
        <f>AM37</f>
        <v/>
      </c>
      <c r="AR37" s="3" t="str">
        <f t="shared" ref="AR37" si="117">AN37</f>
        <v/>
      </c>
      <c r="AT37" s="3" t="str">
        <f t="shared" ref="AT37" si="118">AO37</f>
        <v/>
      </c>
      <c r="AV37" s="3" t="str">
        <f t="shared" ref="AV37" si="119">AP37</f>
        <v/>
      </c>
      <c r="AX37" s="502" t="str">
        <f t="shared" ref="AX37" si="120">IF(AW39="","",CONCATENATE(AW39," (de) el(los) control(es) Efectivo(s) "))</f>
        <v/>
      </c>
      <c r="AY37" s="502" t="str">
        <f t="shared" ref="AY37" si="121">IF(CONCATENATE(N37:N39)="","",IF(AND(SUM(E37:E39)=10,SUM(N37:N39)&lt;30),"- Replantear control(es) NO efectivo(s) ",IF(AND(SUM(E37:E39)=20,SUM(N37:N39)&lt;60),"- Replantear control(es) NO efectivo(s) ",IF(AND(SUM(E37:E39)=30,SUM(N37:N39)&lt;90),"- Replantear control(es) NO efectivo(s) ",""))))</f>
        <v/>
      </c>
      <c r="AZ37" s="502" t="str">
        <f>IF(AND(AE37&gt;1,AE38&gt;1),"- Tomar Acciones Preventivas y Correctivas",IF(AE37&gt;1,"- Tomar Acciones Preventivas",IF(AE38&gt;1,"- Tomar Acciones Correctivas","")))</f>
        <v>- Tomar Acciones Correctivas</v>
      </c>
      <c r="BA37" s="502" t="str">
        <f t="shared" ref="BA37" si="122">CONCATENATE(AX37,AY37,AZ37)</f>
        <v>- Tomar Acciones Correctivas</v>
      </c>
      <c r="BB37" s="3" t="str">
        <f t="shared" si="18"/>
        <v>SI</v>
      </c>
      <c r="BC37" s="3" t="str">
        <f t="shared" si="19"/>
        <v/>
      </c>
      <c r="BD37" s="3" t="str">
        <f t="shared" si="20"/>
        <v>SI</v>
      </c>
      <c r="BE37" s="3" t="str">
        <f t="shared" si="21"/>
        <v/>
      </c>
      <c r="BF37" s="3" t="str">
        <f t="shared" si="22"/>
        <v>SI</v>
      </c>
      <c r="BG37" s="3" t="str">
        <f t="shared" si="23"/>
        <v/>
      </c>
      <c r="BH37" s="3" t="str">
        <f t="shared" si="24"/>
        <v>P</v>
      </c>
      <c r="BI37" s="3" t="str">
        <f t="shared" si="25"/>
        <v/>
      </c>
      <c r="BJ37" s="3" t="str">
        <f t="shared" si="26"/>
        <v>M</v>
      </c>
      <c r="BK37" s="3" t="str">
        <f t="shared" si="27"/>
        <v/>
      </c>
      <c r="BL37" s="3" t="str">
        <f t="shared" si="28"/>
        <v>SI</v>
      </c>
      <c r="BM37" s="3" t="str">
        <f t="shared" si="29"/>
        <v/>
      </c>
    </row>
    <row r="38" spans="1:65" ht="36" customHeight="1" x14ac:dyDescent="0.2">
      <c r="A38" s="503"/>
      <c r="B38" s="496"/>
      <c r="C38" s="20">
        <v>2</v>
      </c>
      <c r="D38" s="56"/>
      <c r="E38" s="240" t="str">
        <f t="shared" si="4"/>
        <v/>
      </c>
      <c r="F38" s="44"/>
      <c r="G38" s="18" t="str">
        <f t="shared" si="0"/>
        <v/>
      </c>
      <c r="H38" s="44"/>
      <c r="I38" s="18" t="str">
        <f t="shared" si="5"/>
        <v/>
      </c>
      <c r="J38" s="55" t="str">
        <f t="shared" si="6"/>
        <v/>
      </c>
      <c r="K38" s="43"/>
      <c r="L38" s="18" t="str">
        <f t="shared" si="7"/>
        <v/>
      </c>
      <c r="M38" s="43"/>
      <c r="N38" s="18" t="str">
        <f t="shared" si="8"/>
        <v/>
      </c>
      <c r="O38" s="43"/>
      <c r="P38" s="18" t="str">
        <f t="shared" si="9"/>
        <v/>
      </c>
      <c r="Q38" s="43"/>
      <c r="R38" s="18" t="str">
        <f t="shared" si="10"/>
        <v/>
      </c>
      <c r="S38" s="43"/>
      <c r="T38" s="18" t="str">
        <f t="shared" si="11"/>
        <v/>
      </c>
      <c r="U38" s="43"/>
      <c r="V38" s="18" t="str">
        <f t="shared" si="12"/>
        <v/>
      </c>
      <c r="W38" s="18">
        <f t="shared" si="13"/>
        <v>0</v>
      </c>
      <c r="X38" s="57" t="str">
        <f t="shared" si="1"/>
        <v/>
      </c>
      <c r="Y38" s="57">
        <f t="shared" si="14"/>
        <v>0</v>
      </c>
      <c r="Z38" s="65">
        <f t="shared" si="15"/>
        <v>0</v>
      </c>
      <c r="AA38" s="498"/>
      <c r="AB38" s="500"/>
      <c r="AC38" s="3">
        <f>SUM(Z37:Z39)</f>
        <v>0</v>
      </c>
      <c r="AD38" s="3">
        <f>ANALISIS!G20</f>
        <v>4</v>
      </c>
      <c r="AE38" s="3">
        <f>IF((AD38-AC38)&gt;=1,(AD38-AC38),1)</f>
        <v>4</v>
      </c>
      <c r="AF38" s="501"/>
      <c r="AG38" s="42" t="str">
        <f>IF(AE38=1,AH38,IF(AE38=2,AI38,IF(AE38=3,AJ38,IF(AE38=4,AK38,AL38))))</f>
        <v>- Reducir el Riesgo- Compartir o Transferir el Riesgo</v>
      </c>
      <c r="AH38" s="46" t="str">
        <f>IF($AF37=11,"- Asumir el Riesgo",IF($AF37=12,"- Asumir el Riesgo- Evitar Posibilidad de Ocurrencia- Reducir el Riesgo",IF($AF37=13,"- Asumir el Riesgo- Evitar Posibilidad de Ocurrencia- Reducir el Riesgo",IF($AF37=14,"-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38" s="46" t="str">
        <f>IF($AF37=21,"- Asumir el Riesgo- Reducir el Riesgo",IF($AF37=22,"- Asumir el Riesgo- Evitar Posibilidad de Ocurrencia- Reducir el Riesgo",IF($AF37=23,"- Asumir el Riesgo- Evitar Posibilidad de Ocurrencia- Reducir el Riesgo- Compartir o Transferir el Riesgo",IF($AF37=24,"- Evitar Posibilidad de Ocurrencia- Reducir el Riesgo- Compartir o Transferir el Riesgo","- Evitar Posibilidad de Ocurrencia- Reducir el Riesgo- Compartir o Transferir el Riesgo"))))</f>
        <v>- Evitar Posibilidad de Ocurrencia- Reducir el Riesgo- Compartir o Transferir el Riesgo</v>
      </c>
      <c r="AJ38" s="46" t="str">
        <f>IF($AF37=31,"- Asumir el Riesgo- Reducir el Riesgo- Compartir o Transferir el Riesgo",IF($AF37=32,"- Asumir el Riesgo- Evitar Posibilidad de Ocurrencia- Reducir el Reducir- Compartir o Transferir el Riesgo",IF($AF37=33,"- Evitar Posibilidad de Ocurrencia- Reducir el Riesgo- Compartir o Transferir el Riesgo",IF($AF37=34,"-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38" s="46" t="str">
        <f>IF($AF37=41,"- Reducir el Riesgo- Compartir o Transferir el Riesgo",IF($AF37=42,"- Evitar Posibilidad de Ocurrencia- Reducir el Riesgo- Compartir o Transferir el Riesgo",IF($AF37=43,"- Eliminar Causa(s)- Evitar Posibilidad de Ocurrencia- Reducir el Riesgo- Compartir o Transferir el Riesgo",IF($AF37=44,"- Eliminar Causa(s)- Evitar Posibilidad de Ocurrencia- Reducir el Riesgo- Compartir o Transferir el Riesgo","- Eliminar Causa(s)- Evitar Posibilidad de Ocurrencia- Reducir el Riesgo- Compartir o Transferir el Riesgo"))))</f>
        <v>- Reducir el Riesgo- Compartir o Transferir el Riesgo</v>
      </c>
      <c r="AL38" s="46" t="str">
        <f>IF($AF37=51,"- Reducir el Riesgo- Compartir o Transferir el Riesgo",IF($AF37=52,"- Eliminar Causa(s)- Evitar Posibilidad de Ocurrencia- Reducir el Riesgo- Compartir o Transferir el Riesgo",IF($AF37=53,"- Eliminar Causa(s)- Evitar Posibilidad de Ocurrencia- Reducir el Riesgo- Compartir o Transferir el Riesgo",IF($AF37=54,"-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38" s="3" t="str">
        <f t="shared" si="16"/>
        <v/>
      </c>
      <c r="AN38" s="3" t="str">
        <f t="shared" si="2"/>
        <v/>
      </c>
      <c r="AO38" s="3" t="str">
        <f t="shared" si="3"/>
        <v/>
      </c>
      <c r="AP38" s="3" t="str">
        <f t="shared" si="17"/>
        <v/>
      </c>
      <c r="AQ38" s="3" t="str">
        <f>IF(AQ37="Documentar",AQ37,AM38)</f>
        <v/>
      </c>
      <c r="AR38" s="3" t="str">
        <f t="shared" ref="AR38:AR39" si="123">IF(AR37="Asignar responsable",AR37,AN38)</f>
        <v/>
      </c>
      <c r="AT38" s="3" t="str">
        <f t="shared" ref="AT38:AT39" si="124">IF(AT37="Establecer periodos de seguimiento adecuados",AT37,AO38)</f>
        <v/>
      </c>
      <c r="AV38" s="3" t="str">
        <f t="shared" ref="AV38:AV39" si="125">IF(AV37="Guardar Evidencias",AV37,AP38)</f>
        <v/>
      </c>
      <c r="AX38" s="502"/>
      <c r="AY38" s="502"/>
      <c r="AZ38" s="502"/>
      <c r="BA38" s="502"/>
      <c r="BB38" s="3" t="str">
        <f t="shared" si="18"/>
        <v/>
      </c>
      <c r="BC38" s="3" t="str">
        <f t="shared" si="19"/>
        <v/>
      </c>
      <c r="BD38" s="3" t="str">
        <f t="shared" si="20"/>
        <v/>
      </c>
      <c r="BE38" s="3" t="str">
        <f t="shared" si="21"/>
        <v/>
      </c>
      <c r="BF38" s="3" t="str">
        <f t="shared" si="22"/>
        <v/>
      </c>
      <c r="BG38" s="3" t="str">
        <f t="shared" si="23"/>
        <v/>
      </c>
      <c r="BH38" s="3" t="str">
        <f t="shared" si="24"/>
        <v/>
      </c>
      <c r="BI38" s="3" t="str">
        <f t="shared" si="25"/>
        <v/>
      </c>
      <c r="BJ38" s="3" t="str">
        <f t="shared" si="26"/>
        <v/>
      </c>
      <c r="BK38" s="3" t="str">
        <f t="shared" si="27"/>
        <v/>
      </c>
      <c r="BL38" s="3" t="str">
        <f t="shared" si="28"/>
        <v/>
      </c>
      <c r="BM38" s="3" t="str">
        <f t="shared" si="29"/>
        <v/>
      </c>
    </row>
    <row r="39" spans="1:65" ht="36" customHeight="1" x14ac:dyDescent="0.2">
      <c r="A39" s="503"/>
      <c r="B39" s="496"/>
      <c r="C39" s="20">
        <v>3</v>
      </c>
      <c r="D39" s="56"/>
      <c r="E39" s="240" t="str">
        <f t="shared" si="4"/>
        <v/>
      </c>
      <c r="F39" s="44"/>
      <c r="G39" s="18" t="str">
        <f t="shared" si="0"/>
        <v/>
      </c>
      <c r="H39" s="44"/>
      <c r="I39" s="18" t="str">
        <f t="shared" si="5"/>
        <v/>
      </c>
      <c r="J39" s="55" t="str">
        <f t="shared" si="6"/>
        <v/>
      </c>
      <c r="K39" s="43"/>
      <c r="L39" s="18" t="str">
        <f t="shared" si="7"/>
        <v/>
      </c>
      <c r="M39" s="43"/>
      <c r="N39" s="18" t="str">
        <f t="shared" si="8"/>
        <v/>
      </c>
      <c r="O39" s="43"/>
      <c r="P39" s="18" t="str">
        <f t="shared" si="9"/>
        <v/>
      </c>
      <c r="Q39" s="43"/>
      <c r="R39" s="18" t="str">
        <f t="shared" si="10"/>
        <v/>
      </c>
      <c r="S39" s="43"/>
      <c r="T39" s="18" t="str">
        <f t="shared" si="11"/>
        <v/>
      </c>
      <c r="U39" s="43"/>
      <c r="V39" s="18" t="str">
        <f t="shared" si="12"/>
        <v/>
      </c>
      <c r="W39" s="18">
        <f t="shared" si="13"/>
        <v>0</v>
      </c>
      <c r="X39" s="57" t="str">
        <f t="shared" si="1"/>
        <v/>
      </c>
      <c r="Y39" s="57">
        <f t="shared" si="14"/>
        <v>0</v>
      </c>
      <c r="Z39" s="65">
        <f t="shared" si="15"/>
        <v>0</v>
      </c>
      <c r="AA39" s="499"/>
      <c r="AB39" s="500"/>
      <c r="AM39" s="3" t="str">
        <f t="shared" si="16"/>
        <v/>
      </c>
      <c r="AN39" s="3" t="str">
        <f t="shared" si="2"/>
        <v/>
      </c>
      <c r="AO39" s="3" t="str">
        <f t="shared" si="3"/>
        <v/>
      </c>
      <c r="AP39" s="3" t="str">
        <f t="shared" si="17"/>
        <v/>
      </c>
      <c r="AQ39" s="3" t="str">
        <f>IF(AQ38="Documentar",AQ38,AM39)</f>
        <v/>
      </c>
      <c r="AR39" s="3" t="str">
        <f t="shared" si="123"/>
        <v/>
      </c>
      <c r="AS39" s="3" t="str">
        <f>IF(AND(AQ39="Documentar",AR39="Asignar responsable"),CONCATENATE("- ",AQ39,", ",AR39),IF(AQ39="Documentar",CONCATENATE("- ",AQ39),IF(AR39="Asignar responsable",CONCATENATE("- ",AR39),"")))</f>
        <v/>
      </c>
      <c r="AT39" s="3" t="str">
        <f t="shared" si="124"/>
        <v/>
      </c>
      <c r="AU39" s="3" t="str">
        <f t="shared" ref="AU39" si="126">IF(AT39="",AS39,IF(AS39="",CONCATENATE("- ",AT39),CONCATENATE(AS39,", ",AT39)))</f>
        <v/>
      </c>
      <c r="AV39" s="3" t="str">
        <f t="shared" si="125"/>
        <v/>
      </c>
      <c r="AW39" s="3" t="str">
        <f t="shared" ref="AW39" si="127">IF(AV39="",AU39,IF(AU39="",CONCATENATE("- ",AV39),CONCATENATE(AU39,", ",AV39)))</f>
        <v/>
      </c>
      <c r="AX39" s="502"/>
      <c r="AY39" s="502"/>
      <c r="AZ39" s="502"/>
      <c r="BA39" s="502"/>
      <c r="BB39" s="3" t="str">
        <f t="shared" si="18"/>
        <v/>
      </c>
      <c r="BC39" s="3" t="str">
        <f t="shared" si="19"/>
        <v/>
      </c>
      <c r="BD39" s="3" t="str">
        <f t="shared" si="20"/>
        <v/>
      </c>
      <c r="BE39" s="3" t="str">
        <f t="shared" si="21"/>
        <v/>
      </c>
      <c r="BF39" s="3" t="str">
        <f t="shared" si="22"/>
        <v/>
      </c>
      <c r="BG39" s="3" t="str">
        <f t="shared" si="23"/>
        <v/>
      </c>
      <c r="BH39" s="3" t="str">
        <f t="shared" si="24"/>
        <v/>
      </c>
      <c r="BI39" s="3" t="str">
        <f t="shared" si="25"/>
        <v/>
      </c>
      <c r="BJ39" s="3" t="str">
        <f t="shared" si="26"/>
        <v/>
      </c>
      <c r="BK39" s="3" t="str">
        <f t="shared" si="27"/>
        <v/>
      </c>
      <c r="BL39" s="3" t="str">
        <f t="shared" si="28"/>
        <v/>
      </c>
      <c r="BM39" s="3" t="str">
        <f t="shared" si="29"/>
        <v/>
      </c>
    </row>
    <row r="40" spans="1:65" ht="36" customHeight="1" x14ac:dyDescent="0.2">
      <c r="A40" s="503" t="str">
        <f>IDENTIFICACIÓN!C19</f>
        <v>11G</v>
      </c>
      <c r="B40" s="496" t="str">
        <f>IF(IDENTIFICACIÓN!D19="","",IDENTIFICACIÓN!D19)</f>
        <v>Gestión Academica. Pérdida de Registro Calificado de los Programas Académicos.</v>
      </c>
      <c r="C40" s="356">
        <v>1</v>
      </c>
      <c r="D40" s="56" t="s">
        <v>11</v>
      </c>
      <c r="E40" s="240">
        <f t="shared" si="4"/>
        <v>10</v>
      </c>
      <c r="F40" s="44" t="s">
        <v>567</v>
      </c>
      <c r="G40" s="18" t="str">
        <f t="shared" ref="G40:G45" si="128">IF($D40="SI",IF(ISBLANK(F40),"Decripcion",""),"")</f>
        <v/>
      </c>
      <c r="H40" s="44" t="s">
        <v>20</v>
      </c>
      <c r="I40" s="18" t="str">
        <f t="shared" ref="I40:I45" si="129">IF($D40="SI",IF(ISBLANK(H40),"Tipo",""),"")</f>
        <v/>
      </c>
      <c r="J40" s="55" t="str">
        <f t="shared" ref="J40:J45" si="130">IF(H40="Preventivo","Posibilidad",IF(H40="Correctivo","Impacto",""))</f>
        <v>Posibilidad</v>
      </c>
      <c r="K40" s="43" t="s">
        <v>11</v>
      </c>
      <c r="L40" s="18">
        <f t="shared" ref="L40:L45" si="131">IF($D40="SI",IF(K40="SI",15,IF(K40="NO",0,"P1")),"")</f>
        <v>15</v>
      </c>
      <c r="M40" s="43" t="s">
        <v>11</v>
      </c>
      <c r="N40" s="18">
        <f t="shared" ref="N40:N45" si="132">IF($D40="SI",IF(M40="SI",30,IF(M40="NO",0,"P2")),"")</f>
        <v>30</v>
      </c>
      <c r="O40" s="43" t="s">
        <v>323</v>
      </c>
      <c r="P40" s="18">
        <f t="shared" ref="P40:P45" si="133">IF($D40="SI",IF(O40="Automático",15,IF(O40="Manual",10,"P3")),"")</f>
        <v>10</v>
      </c>
      <c r="Q40" s="43" t="s">
        <v>11</v>
      </c>
      <c r="R40" s="18">
        <f t="shared" ref="R40:R45" si="134">IF($D40="SI",IF(Q40="SI",5,IF(Q40="NO",0,"P4")),"")</f>
        <v>5</v>
      </c>
      <c r="S40" s="43" t="s">
        <v>10</v>
      </c>
      <c r="T40" s="18">
        <f t="shared" ref="T40:T45" si="135">IF($D40="SI",IF(S40="SI",15,IF(S40="NO",0,"P5")),"")</f>
        <v>0</v>
      </c>
      <c r="U40" s="43" t="s">
        <v>11</v>
      </c>
      <c r="V40" s="18">
        <f t="shared" ref="V40:V45" si="136">IF($D40="SI",IF(U40="SI",10,IF(U40="NO",0,"P6")),"")</f>
        <v>10</v>
      </c>
      <c r="W40" s="18">
        <f t="shared" ref="W40:W45" si="137">IF(D40="SI",E40+L40+N40+P40+R40+T40+V40,0)</f>
        <v>80</v>
      </c>
      <c r="X40" s="57" t="str">
        <f t="shared" ref="X40:X45" si="138">IF(ISBLANK(D40),"",IF(D40="NO",0,IF(D40="SI",IF(OR(G40="Decripcion",I40="Tipo",L40="P1",N40="P2",P40="P3",R40="P4",T40="P5",V40="P6"),CONCATENATE("Falta diligenciar: ",G40," ",I40,IF(L40="P1"," Preg 1",),IF(N40="P2"," Preg 2",),IF(P40="P3"," Preg 3",),IF(R40="P4"," Preg 4",),IF(T40="P5"," Preg 5",),IF(V40="P6"," Preg 6",)),IF(W40&gt;76,CONCATENATE(W40,"                           Disminuye max 2 en ",J40),IF(AND(W40&gt;50,W40&lt;76),CONCATENATE(W40,"                           Disminuye max 1 en ", J40),W40))))))</f>
        <v>80                           Disminuye max 2 en Posibilidad</v>
      </c>
      <c r="Y40" s="57">
        <f t="shared" ref="Y40:Y45" si="139">IF(AND(W40&gt;50,W40&lt;76,J40="Posibilidad"),1,IF(AND(W40&gt;75,W40&lt;101,J40="Posibilidad"),2,0))</f>
        <v>2</v>
      </c>
      <c r="Z40" s="356">
        <f t="shared" ref="Z40:Z45" si="140">IF(AND(W40&gt;50,W40&lt;76,J40="Impacto"),1,IF(AND(W40&gt;75,W40&lt;101,J40="Impacto"),2,0))</f>
        <v>0</v>
      </c>
      <c r="AA40" s="497">
        <f>IF(AB40=0,"",(ROUND((SUM(W40:W42)/AB40),0)))</f>
        <v>88</v>
      </c>
      <c r="AB40" s="500">
        <f>COUNT(T40:T42)</f>
        <v>2</v>
      </c>
      <c r="AC40" s="3">
        <f>SUM(Y40:Y42)</f>
        <v>4</v>
      </c>
      <c r="AD40" s="3">
        <f>ANALISIS!D21</f>
        <v>3</v>
      </c>
      <c r="AE40" s="3">
        <f>IF((AD40-AC40)&gt;=1,(AD40-AC40),1)</f>
        <v>1</v>
      </c>
      <c r="AF40" s="501">
        <f>(AE41*10)+AE40</f>
        <v>41</v>
      </c>
      <c r="AG40" s="355" t="str">
        <f>IF(AE41=1,AH40,IF(AE41=2,AI40,IF(AE41=3,AJ40,IF(AE41=4,AK40,AL40))))</f>
        <v>ALTA 1:4</v>
      </c>
      <c r="AH40" s="46" t="str">
        <f>IF($AF40=11,"BAJA 1:1",IF($AF40=12,"BAJA 2:1",IF($AF40=13,"BAJA 3:1",IF($AF40=14,"MODERADA 4:1","ALTA 5:1"))))</f>
        <v>ALTA 5:1</v>
      </c>
      <c r="AI40" s="46" t="str">
        <f>IF($AF40=21,"BAJA 1:2",IF($AF40=22,"BAJA 2:2",IF($AF40=23,"MODERADA 3:2",IF($AF40=24,"ALTA 4:2","ALTA 5:2"))))</f>
        <v>ALTA 5:2</v>
      </c>
      <c r="AJ40" s="46" t="str">
        <f>IF($AF40=31,"MODERADA 1:3",IF($AF40=32,"MODERADA 2:3",IF($AF40=33,"ALTA 3:3",IF($AF40=34,"ALTA 4:3","EXTREMA 5:3"))))</f>
        <v>EXTREMA 5:3</v>
      </c>
      <c r="AK40" s="46" t="str">
        <f>IF($AF40=41,"ALTA 1:4",IF($AF40=42,"ALTA 2:4",IF($AF40=43,"EXTREMA 3:4",IF($AF40=44,"EXTREMA 4:4","EXTREMA 5:4"))))</f>
        <v>ALTA 1:4</v>
      </c>
      <c r="AL40" s="46" t="str">
        <f>IF($AF40=51,"ALTA 1:5",IF($AF40=52,"EXTREMA 2:5",IF($AF40=53,"EXTREMA 3:5",IF($AF40=54,"EXTREMA 4:5","EXTREMA 5:5"))))</f>
        <v>EXTREMA 5:5</v>
      </c>
      <c r="AM40" s="3" t="str">
        <f t="shared" ref="AM40:AM45" si="141">IF(AND(N40=30,L40=0),$AM$8,"")</f>
        <v/>
      </c>
      <c r="AN40" s="3" t="str">
        <f t="shared" ref="AN40:AN45" si="142">IF(AND(N40=30,R40=0),$AN$8,"")</f>
        <v/>
      </c>
      <c r="AO40" s="3" t="str">
        <f t="shared" ref="AO40:AO45" si="143">IF(AND(N40=30,T40=0),$AO$8,"")</f>
        <v>Establecer periodos de seguimiento adecuados</v>
      </c>
      <c r="AP40" s="3" t="str">
        <f t="shared" ref="AP40:AP45" si="144">IF(AND(N40=30,V40=0),$AP$8,"")</f>
        <v/>
      </c>
      <c r="AQ40" s="3" t="str">
        <f>AM40</f>
        <v/>
      </c>
      <c r="AR40" s="3" t="str">
        <f t="shared" ref="AR40" si="145">AN40</f>
        <v/>
      </c>
      <c r="AT40" s="3" t="str">
        <f t="shared" ref="AT40" si="146">AO40</f>
        <v>Establecer periodos de seguimiento adecuados</v>
      </c>
      <c r="AV40" s="3" t="str">
        <f t="shared" ref="AV40" si="147">AP40</f>
        <v/>
      </c>
      <c r="AX40" s="502" t="str">
        <f t="shared" ref="AX40" si="148">IF(AW42="","",CONCATENATE(AW42," (de) el(los) control(es) Efectivo(s) "))</f>
        <v xml:space="preserve">- Establecer periodos de seguimiento adecuados (de) el(los) control(es) Efectivo(s) </v>
      </c>
      <c r="AY40" s="502" t="str">
        <f t="shared" ref="AY40" si="149">IF(CONCATENATE(N40:N42)="","",IF(AND(SUM(E40:E42)=10,SUM(N40:N42)&lt;30),"- Replantear control(es) NO efectivo(s) ",IF(AND(SUM(E40:E42)=20,SUM(N40:N42)&lt;60),"- Replantear control(es) NO efectivo(s) ",IF(AND(SUM(E40:E42)=30,SUM(N40:N42)&lt;90),"- Replantear control(es) NO efectivo(s) ",""))))</f>
        <v/>
      </c>
      <c r="AZ40" s="502" t="str">
        <f>IF(AND(AE40&gt;1,AE41&gt;1),"- Tomar Acciones Preventivas y Correctivas",IF(AE40&gt;1,"- Tomar Acciones Preventivas",IF(AE41&gt;1,"- Tomar Acciones Correctivas","")))</f>
        <v>- Tomar Acciones Correctivas</v>
      </c>
      <c r="BA40" s="502" t="str">
        <f t="shared" ref="BA40" si="150">CONCATENATE(AX40,AY40,AZ40)</f>
        <v>- Establecer periodos de seguimiento adecuados (de) el(los) control(es) Efectivo(s) - Tomar Acciones Correctivas</v>
      </c>
      <c r="BB40" s="3" t="str">
        <f t="shared" ref="BB40:BB45" si="151">IF(AND($N40=30,L40=15),"SI",IF(AND($N40=30,L40=0),"NO",""))</f>
        <v>SI</v>
      </c>
      <c r="BC40" s="3" t="str">
        <f t="shared" ref="BC40:BC45" si="152">IF(AND($N40=0,L40=15),"SI",IF(AND($N40=0,L40=0),"NO",""))</f>
        <v/>
      </c>
      <c r="BD40" s="3" t="str">
        <f t="shared" ref="BD40:BD45" si="153">IF(AND($N40=30,R40=5),"SI",IF(AND($N40=30,R40=0),"NO",""))</f>
        <v>SI</v>
      </c>
      <c r="BE40" s="3" t="str">
        <f t="shared" ref="BE40:BE45" si="154">IF(AND($N40=0,R40=5),"SI",IF(AND($N40=0,R40=0),"NO",""))</f>
        <v/>
      </c>
      <c r="BF40" s="3" t="str">
        <f t="shared" ref="BF40:BF45" si="155">IF(AND($N40=30,T40=15),"SI",IF(AND($N40=30,T40=0),"NO",""))</f>
        <v>NO</v>
      </c>
      <c r="BG40" s="3" t="str">
        <f t="shared" ref="BG40:BG45" si="156">IF(AND($N40=0,T40=15),"SI",IF(AND($N40=0,T40=0),"NO",""))</f>
        <v/>
      </c>
      <c r="BH40" s="3" t="str">
        <f t="shared" ref="BH40:BH45" si="157">IF(AND($N40=30,H40="Preventivo"),"P",IF(AND($N40=30,H40="Correctivo"),"C",""))</f>
        <v>P</v>
      </c>
      <c r="BI40" s="3" t="str">
        <f t="shared" si="25"/>
        <v/>
      </c>
      <c r="BJ40" s="3" t="str">
        <f t="shared" si="26"/>
        <v>M</v>
      </c>
      <c r="BK40" s="3" t="str">
        <f t="shared" si="27"/>
        <v/>
      </c>
      <c r="BL40" s="3" t="str">
        <f t="shared" ref="BL40:BL45" si="158">IF(AND($N40=30,V40=10),"SI",IF(AND($N40=30,V40=0),"NO",""))</f>
        <v>SI</v>
      </c>
      <c r="BM40" s="3" t="str">
        <f t="shared" ref="BM40:BM45" si="159">IF(AND($N40=0,V40=10),"SI",IF(AND($N40=0,V40=0),"NO",""))</f>
        <v/>
      </c>
    </row>
    <row r="41" spans="1:65" ht="36" customHeight="1" x14ac:dyDescent="0.2">
      <c r="A41" s="503"/>
      <c r="B41" s="496"/>
      <c r="C41" s="356">
        <v>2</v>
      </c>
      <c r="D41" s="56" t="s">
        <v>11</v>
      </c>
      <c r="E41" s="240">
        <f t="shared" si="4"/>
        <v>10</v>
      </c>
      <c r="F41" s="44" t="s">
        <v>580</v>
      </c>
      <c r="G41" s="18" t="str">
        <f t="shared" si="128"/>
        <v/>
      </c>
      <c r="H41" s="44" t="s">
        <v>20</v>
      </c>
      <c r="I41" s="18" t="str">
        <f t="shared" si="129"/>
        <v/>
      </c>
      <c r="J41" s="55" t="str">
        <f t="shared" si="130"/>
        <v>Posibilidad</v>
      </c>
      <c r="K41" s="43" t="s">
        <v>11</v>
      </c>
      <c r="L41" s="18">
        <f t="shared" si="131"/>
        <v>15</v>
      </c>
      <c r="M41" s="43" t="s">
        <v>11</v>
      </c>
      <c r="N41" s="18">
        <f t="shared" si="132"/>
        <v>30</v>
      </c>
      <c r="O41" s="43" t="s">
        <v>323</v>
      </c>
      <c r="P41" s="18">
        <f t="shared" si="133"/>
        <v>10</v>
      </c>
      <c r="Q41" s="43" t="s">
        <v>11</v>
      </c>
      <c r="R41" s="18">
        <f t="shared" si="134"/>
        <v>5</v>
      </c>
      <c r="S41" s="43" t="s">
        <v>11</v>
      </c>
      <c r="T41" s="18">
        <f t="shared" si="135"/>
        <v>15</v>
      </c>
      <c r="U41" s="43" t="s">
        <v>11</v>
      </c>
      <c r="V41" s="18">
        <f t="shared" si="136"/>
        <v>10</v>
      </c>
      <c r="W41" s="18">
        <f t="shared" si="137"/>
        <v>95</v>
      </c>
      <c r="X41" s="57" t="str">
        <f t="shared" si="138"/>
        <v>95                           Disminuye max 2 en Posibilidad</v>
      </c>
      <c r="Y41" s="57">
        <f t="shared" si="139"/>
        <v>2</v>
      </c>
      <c r="Z41" s="356">
        <f t="shared" si="140"/>
        <v>0</v>
      </c>
      <c r="AA41" s="498"/>
      <c r="AB41" s="500"/>
      <c r="AC41" s="3">
        <f>SUM(Z40:Z42)</f>
        <v>0</v>
      </c>
      <c r="AD41" s="3">
        <f>ANALISIS!G21</f>
        <v>4</v>
      </c>
      <c r="AE41" s="3">
        <f>IF((AD41-AC41)&gt;=1,(AD41-AC41),1)</f>
        <v>4</v>
      </c>
      <c r="AF41" s="501"/>
      <c r="AG41" s="355" t="str">
        <f>IF(AE41=1,AH41,IF(AE41=2,AI41,IF(AE41=3,AJ41,IF(AE41=4,AK41,AL41))))</f>
        <v>- Reducir el Riesgo- Compartir o Transferir el Riesgo</v>
      </c>
      <c r="AH41" s="46" t="str">
        <f>IF($AF40=11,"- Asumir el Riesgo",IF($AF40=12,"- Asumir el Riesgo- Evitar Posibilidad de Ocurrencia- Reducir el Riesgo",IF($AF40=13,"- Asumir el Riesgo- Evitar Posibilidad de Ocurrencia- Reducir el Riesgo",IF($AF40=14,"-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41" s="46" t="str">
        <f>IF($AF40=21,"- Asumir el Riesgo- Reducir el Riesgo",IF($AF40=22,"- Asumir el Riesgo- Evitar Posibilidad de Ocurrencia- Reducir el Riesgo",IF($AF40=23,"- Asumir el Riesgo- Evitar Posibilidad de Ocurrencia- Reducir el Riesgo- Compartir o Transferir el Riesgo",IF($AF40=24,"- Evitar Posibilidad de Ocurrencia- Reducir el Riesgo- Compartir o Transferir el Riesgo","- Evitar Posibilidad de Ocurrencia- Reducir el Riesgo- Compartir o Transferir el Riesgo"))))</f>
        <v>- Evitar Posibilidad de Ocurrencia- Reducir el Riesgo- Compartir o Transferir el Riesgo</v>
      </c>
      <c r="AJ41" s="46" t="str">
        <f>IF($AF40=31,"- Asumir el Riesgo- Reducir el Riesgo- Compartir o Transferir el Riesgo",IF($AF40=32,"- Asumir el Riesgo- Evitar Posibilidad de Ocurrencia- Reducir el Reducir- Compartir o Transferir el Riesgo",IF($AF40=33,"- Evitar Posibilidad de Ocurrencia- Reducir el Riesgo- Compartir o Transferir el Riesgo",IF($AF40=34,"-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41" s="46" t="str">
        <f>IF($AF40=41,"- Reducir el Riesgo- Compartir o Transferir el Riesgo",IF($AF40=42,"- Evitar Posibilidad de Ocurrencia- Reducir el Riesgo- Compartir o Transferir el Riesgo",IF($AF40=43,"- Eliminar Causa(s)- Evitar Posibilidad de Ocurrencia- Reducir el Riesgo- Compartir o Transferir el Riesgo",IF($AF40=44,"- Eliminar Causa(s)- Evitar Posibilidad de Ocurrencia- Reducir el Riesgo- Compartir o Transferir el Riesgo","- Eliminar Causa(s)- Evitar Posibilidad de Ocurrencia- Reducir el Riesgo- Compartir o Transferir el Riesgo"))))</f>
        <v>- Reducir el Riesgo- Compartir o Transferir el Riesgo</v>
      </c>
      <c r="AL41" s="46" t="str">
        <f>IF($AF40=51,"- Reducir el Riesgo- Compartir o Transferir el Riesgo",IF($AF40=52,"- Eliminar Causa(s)- Evitar Posibilidad de Ocurrencia- Reducir el Riesgo- Compartir o Transferir el Riesgo",IF($AF40=53,"- Eliminar Causa(s)- Evitar Posibilidad de Ocurrencia- Reducir el Riesgo- Compartir o Transferir el Riesgo",IF($AF40=54,"-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41" s="3" t="str">
        <f t="shared" si="141"/>
        <v/>
      </c>
      <c r="AN41" s="3" t="str">
        <f t="shared" si="142"/>
        <v/>
      </c>
      <c r="AO41" s="3" t="str">
        <f t="shared" si="143"/>
        <v/>
      </c>
      <c r="AP41" s="3" t="str">
        <f t="shared" si="144"/>
        <v/>
      </c>
      <c r="AQ41" s="3" t="str">
        <f>IF(AQ40="Documentar",AQ40,AM41)</f>
        <v/>
      </c>
      <c r="AR41" s="3" t="str">
        <f t="shared" ref="AR41:AR42" si="160">IF(AR40="Asignar responsable",AR40,AN41)</f>
        <v/>
      </c>
      <c r="AT41" s="3" t="str">
        <f t="shared" ref="AT41:AT42" si="161">IF(AT40="Establecer periodos de seguimiento adecuados",AT40,AO41)</f>
        <v>Establecer periodos de seguimiento adecuados</v>
      </c>
      <c r="AV41" s="3" t="str">
        <f t="shared" ref="AV41:AV42" si="162">IF(AV40="Guardar Evidencias",AV40,AP41)</f>
        <v/>
      </c>
      <c r="AX41" s="502"/>
      <c r="AY41" s="502"/>
      <c r="AZ41" s="502"/>
      <c r="BA41" s="502"/>
      <c r="BB41" s="3" t="str">
        <f t="shared" si="151"/>
        <v>SI</v>
      </c>
      <c r="BC41" s="3" t="str">
        <f t="shared" si="152"/>
        <v/>
      </c>
      <c r="BD41" s="3" t="str">
        <f t="shared" si="153"/>
        <v>SI</v>
      </c>
      <c r="BE41" s="3" t="str">
        <f t="shared" si="154"/>
        <v/>
      </c>
      <c r="BF41" s="3" t="str">
        <f t="shared" si="155"/>
        <v>SI</v>
      </c>
      <c r="BG41" s="3" t="str">
        <f t="shared" si="156"/>
        <v/>
      </c>
      <c r="BH41" s="3" t="str">
        <f t="shared" si="157"/>
        <v>P</v>
      </c>
      <c r="BI41" s="3" t="str">
        <f t="shared" si="25"/>
        <v/>
      </c>
      <c r="BJ41" s="3" t="str">
        <f t="shared" si="26"/>
        <v>M</v>
      </c>
      <c r="BK41" s="3" t="str">
        <f t="shared" si="27"/>
        <v/>
      </c>
      <c r="BL41" s="3" t="str">
        <f t="shared" si="158"/>
        <v>SI</v>
      </c>
      <c r="BM41" s="3" t="str">
        <f t="shared" si="159"/>
        <v/>
      </c>
    </row>
    <row r="42" spans="1:65" ht="36" customHeight="1" x14ac:dyDescent="0.2">
      <c r="A42" s="503"/>
      <c r="B42" s="496"/>
      <c r="C42" s="356">
        <v>3</v>
      </c>
      <c r="D42" s="56"/>
      <c r="E42" s="240" t="str">
        <f t="shared" si="4"/>
        <v/>
      </c>
      <c r="F42" s="44"/>
      <c r="G42" s="18" t="str">
        <f t="shared" si="128"/>
        <v/>
      </c>
      <c r="H42" s="44"/>
      <c r="I42" s="18" t="str">
        <f t="shared" si="129"/>
        <v/>
      </c>
      <c r="J42" s="55" t="str">
        <f t="shared" si="130"/>
        <v/>
      </c>
      <c r="K42" s="43"/>
      <c r="L42" s="18" t="str">
        <f t="shared" si="131"/>
        <v/>
      </c>
      <c r="M42" s="43"/>
      <c r="N42" s="18" t="str">
        <f t="shared" si="132"/>
        <v/>
      </c>
      <c r="O42" s="43"/>
      <c r="P42" s="18" t="str">
        <f t="shared" si="133"/>
        <v/>
      </c>
      <c r="Q42" s="43"/>
      <c r="R42" s="18" t="str">
        <f t="shared" si="134"/>
        <v/>
      </c>
      <c r="S42" s="43"/>
      <c r="T42" s="18" t="str">
        <f t="shared" si="135"/>
        <v/>
      </c>
      <c r="U42" s="43"/>
      <c r="V42" s="18" t="str">
        <f t="shared" si="136"/>
        <v/>
      </c>
      <c r="W42" s="18">
        <f t="shared" si="137"/>
        <v>0</v>
      </c>
      <c r="X42" s="57" t="str">
        <f t="shared" si="138"/>
        <v/>
      </c>
      <c r="Y42" s="57">
        <f t="shared" si="139"/>
        <v>0</v>
      </c>
      <c r="Z42" s="356">
        <f t="shared" si="140"/>
        <v>0</v>
      </c>
      <c r="AA42" s="499"/>
      <c r="AB42" s="500"/>
      <c r="AM42" s="3" t="str">
        <f t="shared" si="141"/>
        <v/>
      </c>
      <c r="AN42" s="3" t="str">
        <f t="shared" si="142"/>
        <v/>
      </c>
      <c r="AO42" s="3" t="str">
        <f t="shared" si="143"/>
        <v/>
      </c>
      <c r="AP42" s="3" t="str">
        <f t="shared" si="144"/>
        <v/>
      </c>
      <c r="AQ42" s="3" t="str">
        <f>IF(AQ41="Documentar",AQ41,AM42)</f>
        <v/>
      </c>
      <c r="AR42" s="3" t="str">
        <f t="shared" si="160"/>
        <v/>
      </c>
      <c r="AS42" s="3" t="str">
        <f>IF(AND(AQ42="Documentar",AR42="Asignar responsable"),CONCATENATE("- ",AQ42,", ",AR42),IF(AQ42="Documentar",CONCATENATE("- ",AQ42),IF(AR42="Asignar responsable",CONCATENATE("- ",AR42),"")))</f>
        <v/>
      </c>
      <c r="AT42" s="3" t="str">
        <f t="shared" si="161"/>
        <v>Establecer periodos de seguimiento adecuados</v>
      </c>
      <c r="AU42" s="3" t="str">
        <f t="shared" ref="AU42" si="163">IF(AT42="",AS42,IF(AS42="",CONCATENATE("- ",AT42),CONCATENATE(AS42,", ",AT42)))</f>
        <v>- Establecer periodos de seguimiento adecuados</v>
      </c>
      <c r="AV42" s="3" t="str">
        <f t="shared" si="162"/>
        <v/>
      </c>
      <c r="AW42" s="3" t="str">
        <f t="shared" ref="AW42" si="164">IF(AV42="",AU42,IF(AU42="",CONCATENATE("- ",AV42),CONCATENATE(AU42,", ",AV42)))</f>
        <v>- Establecer periodos de seguimiento adecuados</v>
      </c>
      <c r="AX42" s="502"/>
      <c r="AY42" s="502"/>
      <c r="AZ42" s="502"/>
      <c r="BA42" s="502"/>
      <c r="BB42" s="3" t="str">
        <f t="shared" si="151"/>
        <v/>
      </c>
      <c r="BC42" s="3" t="str">
        <f t="shared" si="152"/>
        <v/>
      </c>
      <c r="BD42" s="3" t="str">
        <f t="shared" si="153"/>
        <v/>
      </c>
      <c r="BE42" s="3" t="str">
        <f t="shared" si="154"/>
        <v/>
      </c>
      <c r="BF42" s="3" t="str">
        <f t="shared" si="155"/>
        <v/>
      </c>
      <c r="BG42" s="3" t="str">
        <f t="shared" si="156"/>
        <v/>
      </c>
      <c r="BH42" s="3" t="str">
        <f t="shared" si="157"/>
        <v/>
      </c>
      <c r="BI42" s="3" t="str">
        <f t="shared" si="25"/>
        <v/>
      </c>
      <c r="BJ42" s="3" t="str">
        <f t="shared" si="26"/>
        <v/>
      </c>
      <c r="BK42" s="3" t="str">
        <f t="shared" si="27"/>
        <v/>
      </c>
      <c r="BL42" s="3" t="str">
        <f t="shared" si="158"/>
        <v/>
      </c>
      <c r="BM42" s="3" t="str">
        <f t="shared" si="159"/>
        <v/>
      </c>
    </row>
    <row r="43" spans="1:65" ht="36" customHeight="1" x14ac:dyDescent="0.2">
      <c r="A43" s="503" t="str">
        <f>IDENTIFICACIÓN!C20</f>
        <v>12G</v>
      </c>
      <c r="B43" s="496" t="str">
        <f>IF(IDENTIFICACIÓN!D20="","",IDENTIFICACIÓN!D20)</f>
        <v>Gestión Academica. Formulación inadecuada de políticas.</v>
      </c>
      <c r="C43" s="356">
        <v>1</v>
      </c>
      <c r="D43" s="56" t="s">
        <v>11</v>
      </c>
      <c r="E43" s="240">
        <f t="shared" si="4"/>
        <v>10</v>
      </c>
      <c r="F43" s="44" t="s">
        <v>581</v>
      </c>
      <c r="G43" s="18" t="str">
        <f t="shared" si="128"/>
        <v/>
      </c>
      <c r="H43" s="44" t="s">
        <v>20</v>
      </c>
      <c r="I43" s="18" t="str">
        <f t="shared" si="129"/>
        <v/>
      </c>
      <c r="J43" s="55" t="str">
        <f t="shared" si="130"/>
        <v>Posibilidad</v>
      </c>
      <c r="K43" s="43" t="s">
        <v>11</v>
      </c>
      <c r="L43" s="18">
        <f t="shared" si="131"/>
        <v>15</v>
      </c>
      <c r="M43" s="43" t="s">
        <v>11</v>
      </c>
      <c r="N43" s="18">
        <f t="shared" si="132"/>
        <v>30</v>
      </c>
      <c r="O43" s="43" t="s">
        <v>323</v>
      </c>
      <c r="P43" s="18">
        <f t="shared" si="133"/>
        <v>10</v>
      </c>
      <c r="Q43" s="43" t="s">
        <v>11</v>
      </c>
      <c r="R43" s="18">
        <f t="shared" si="134"/>
        <v>5</v>
      </c>
      <c r="S43" s="43" t="s">
        <v>11</v>
      </c>
      <c r="T43" s="18">
        <f t="shared" si="135"/>
        <v>15</v>
      </c>
      <c r="U43" s="43" t="s">
        <v>11</v>
      </c>
      <c r="V43" s="18">
        <f t="shared" si="136"/>
        <v>10</v>
      </c>
      <c r="W43" s="18">
        <f t="shared" si="137"/>
        <v>95</v>
      </c>
      <c r="X43" s="57" t="str">
        <f t="shared" si="138"/>
        <v>95                           Disminuye max 2 en Posibilidad</v>
      </c>
      <c r="Y43" s="57">
        <f t="shared" si="139"/>
        <v>2</v>
      </c>
      <c r="Z43" s="356">
        <f t="shared" si="140"/>
        <v>0</v>
      </c>
      <c r="AA43" s="497">
        <f t="shared" ref="AA43" si="165">IF(AB43=0,"",(ROUND((SUM(W43:W45)/AB43),0)))</f>
        <v>95</v>
      </c>
      <c r="AB43" s="500">
        <f t="shared" ref="AB43" si="166">COUNT(T43:T45)</f>
        <v>2</v>
      </c>
      <c r="AC43" s="3">
        <f t="shared" ref="AC43" si="167">SUM(Y43:Y45)</f>
        <v>4</v>
      </c>
      <c r="AD43" s="3">
        <f>ANALISIS!D22</f>
        <v>3</v>
      </c>
      <c r="AE43" s="3">
        <f t="shared" ref="AE43:AE44" si="168">IF((AD43-AC43)&gt;=1,(AD43-AC43),1)</f>
        <v>1</v>
      </c>
      <c r="AF43" s="501">
        <f t="shared" ref="AF43" si="169">(AE44*10)+AE43</f>
        <v>41</v>
      </c>
      <c r="AG43" s="355" t="str">
        <f t="shared" ref="AG43" si="170">IF(AE44=1,AH43,IF(AE44=2,AI43,IF(AE44=3,AJ43,IF(AE44=4,AK43,AL43))))</f>
        <v>ALTA 1:4</v>
      </c>
      <c r="AH43" s="46" t="str">
        <f t="shared" ref="AH43" si="171">IF($AF43=11,"BAJA 1:1",IF($AF43=12,"BAJA 2:1",IF($AF43=13,"BAJA 3:1",IF($AF43=14,"MODERADA 4:1","ALTA 5:1"))))</f>
        <v>ALTA 5:1</v>
      </c>
      <c r="AI43" s="46" t="str">
        <f t="shared" ref="AI43" si="172">IF($AF43=21,"BAJA 1:2",IF($AF43=22,"BAJA 2:2",IF($AF43=23,"MODERADA 3:2",IF($AF43=24,"ALTA 4:2","ALTA 5:2"))))</f>
        <v>ALTA 5:2</v>
      </c>
      <c r="AJ43" s="46" t="str">
        <f t="shared" ref="AJ43" si="173">IF($AF43=31,"MODERADA 1:3",IF($AF43=32,"MODERADA 2:3",IF($AF43=33,"ALTA 3:3",IF($AF43=34,"ALTA 4:3","EXTREMA 5:3"))))</f>
        <v>EXTREMA 5:3</v>
      </c>
      <c r="AK43" s="46" t="str">
        <f t="shared" ref="AK43" si="174">IF($AF43=41,"ALTA 1:4",IF($AF43=42,"ALTA 2:4",IF($AF43=43,"EXTREMA 3:4",IF($AF43=44,"EXTREMA 4:4","EXTREMA 5:4"))))</f>
        <v>ALTA 1:4</v>
      </c>
      <c r="AL43" s="46" t="str">
        <f t="shared" ref="AL43" si="175">IF($AF43=51,"ALTA 1:5",IF($AF43=52,"EXTREMA 2:5",IF($AF43=53,"EXTREMA 3:5",IF($AF43=54,"EXTREMA 4:5","EXTREMA 5:5"))))</f>
        <v>EXTREMA 5:5</v>
      </c>
      <c r="AM43" s="3" t="str">
        <f t="shared" si="141"/>
        <v/>
      </c>
      <c r="AN43" s="3" t="str">
        <f t="shared" si="142"/>
        <v/>
      </c>
      <c r="AO43" s="3" t="str">
        <f t="shared" si="143"/>
        <v/>
      </c>
      <c r="AP43" s="3" t="str">
        <f t="shared" si="144"/>
        <v/>
      </c>
      <c r="AQ43" s="3" t="str">
        <f t="shared" ref="AQ43" si="176">AM43</f>
        <v/>
      </c>
      <c r="AR43" s="3" t="str">
        <f t="shared" ref="AR43" si="177">AN43</f>
        <v/>
      </c>
      <c r="AT43" s="3" t="str">
        <f t="shared" ref="AT43" si="178">AO43</f>
        <v/>
      </c>
      <c r="AV43" s="3" t="str">
        <f t="shared" ref="AV43" si="179">AP43</f>
        <v/>
      </c>
      <c r="AX43" s="502" t="str">
        <f t="shared" ref="AX43" si="180">IF(AW45="","",CONCATENATE(AW45," (de) el(los) control(es) Efectivo(s) "))</f>
        <v/>
      </c>
      <c r="AY43" s="502" t="str">
        <f t="shared" ref="AY43" si="181">IF(CONCATENATE(N43:N45)="","",IF(AND(SUM(E43:E45)=10,SUM(N43:N45)&lt;30),"- Replantear control(es) NO efectivo(s) ",IF(AND(SUM(E43:E45)=20,SUM(N43:N45)&lt;60),"- Replantear control(es) NO efectivo(s) ",IF(AND(SUM(E43:E45)=30,SUM(N43:N45)&lt;90),"- Replantear control(es) NO efectivo(s) ",""))))</f>
        <v/>
      </c>
      <c r="AZ43" s="502" t="str">
        <f t="shared" ref="AZ43" si="182">IF(AND(AE43&gt;1,AE44&gt;1),"- Tomar Acciones Preventivas y Correctivas",IF(AE43&gt;1,"- Tomar Acciones Preventivas",IF(AE44&gt;1,"- Tomar Acciones Correctivas","")))</f>
        <v>- Tomar Acciones Correctivas</v>
      </c>
      <c r="BA43" s="502" t="str">
        <f t="shared" ref="BA43" si="183">CONCATENATE(AX43,AY43,AZ43)</f>
        <v>- Tomar Acciones Correctivas</v>
      </c>
      <c r="BB43" s="3" t="str">
        <f t="shared" si="151"/>
        <v>SI</v>
      </c>
      <c r="BC43" s="3" t="str">
        <f t="shared" si="152"/>
        <v/>
      </c>
      <c r="BD43" s="3" t="str">
        <f t="shared" si="153"/>
        <v>SI</v>
      </c>
      <c r="BE43" s="3" t="str">
        <f t="shared" si="154"/>
        <v/>
      </c>
      <c r="BF43" s="3" t="str">
        <f t="shared" si="155"/>
        <v>SI</v>
      </c>
      <c r="BG43" s="3" t="str">
        <f t="shared" si="156"/>
        <v/>
      </c>
      <c r="BH43" s="3" t="str">
        <f t="shared" si="157"/>
        <v>P</v>
      </c>
      <c r="BI43" s="3" t="str">
        <f t="shared" si="25"/>
        <v/>
      </c>
      <c r="BJ43" s="3" t="str">
        <f t="shared" si="26"/>
        <v>M</v>
      </c>
      <c r="BK43" s="3" t="str">
        <f t="shared" si="27"/>
        <v/>
      </c>
      <c r="BL43" s="3" t="str">
        <f t="shared" si="158"/>
        <v>SI</v>
      </c>
      <c r="BM43" s="3" t="str">
        <f t="shared" si="159"/>
        <v/>
      </c>
    </row>
    <row r="44" spans="1:65" ht="36" customHeight="1" x14ac:dyDescent="0.2">
      <c r="A44" s="503"/>
      <c r="B44" s="496"/>
      <c r="C44" s="356">
        <v>2</v>
      </c>
      <c r="D44" s="56" t="s">
        <v>11</v>
      </c>
      <c r="E44" s="240">
        <f t="shared" si="4"/>
        <v>10</v>
      </c>
      <c r="F44" s="44" t="s">
        <v>582</v>
      </c>
      <c r="G44" s="18" t="str">
        <f t="shared" si="128"/>
        <v/>
      </c>
      <c r="H44" s="44" t="s">
        <v>20</v>
      </c>
      <c r="I44" s="18" t="str">
        <f t="shared" si="129"/>
        <v/>
      </c>
      <c r="J44" s="55" t="str">
        <f t="shared" si="130"/>
        <v>Posibilidad</v>
      </c>
      <c r="K44" s="43" t="s">
        <v>11</v>
      </c>
      <c r="L44" s="18">
        <f t="shared" si="131"/>
        <v>15</v>
      </c>
      <c r="M44" s="43" t="s">
        <v>11</v>
      </c>
      <c r="N44" s="18">
        <f t="shared" si="132"/>
        <v>30</v>
      </c>
      <c r="O44" s="43" t="s">
        <v>323</v>
      </c>
      <c r="P44" s="18">
        <f t="shared" si="133"/>
        <v>10</v>
      </c>
      <c r="Q44" s="43" t="s">
        <v>11</v>
      </c>
      <c r="R44" s="18">
        <f t="shared" si="134"/>
        <v>5</v>
      </c>
      <c r="S44" s="43" t="s">
        <v>11</v>
      </c>
      <c r="T44" s="18">
        <f t="shared" si="135"/>
        <v>15</v>
      </c>
      <c r="U44" s="43" t="s">
        <v>11</v>
      </c>
      <c r="V44" s="18">
        <f t="shared" si="136"/>
        <v>10</v>
      </c>
      <c r="W44" s="18">
        <f t="shared" si="137"/>
        <v>95</v>
      </c>
      <c r="X44" s="57" t="str">
        <f t="shared" si="138"/>
        <v>95                           Disminuye max 2 en Posibilidad</v>
      </c>
      <c r="Y44" s="57">
        <f t="shared" si="139"/>
        <v>2</v>
      </c>
      <c r="Z44" s="356">
        <f t="shared" si="140"/>
        <v>0</v>
      </c>
      <c r="AA44" s="498"/>
      <c r="AB44" s="500"/>
      <c r="AC44" s="3">
        <f t="shared" ref="AC44" si="184">SUM(Z43:Z45)</f>
        <v>0</v>
      </c>
      <c r="AD44" s="3">
        <f>ANALISIS!G22</f>
        <v>4</v>
      </c>
      <c r="AE44" s="3">
        <f t="shared" si="168"/>
        <v>4</v>
      </c>
      <c r="AF44" s="501"/>
      <c r="AG44" s="355" t="str">
        <f t="shared" ref="AG44" si="185">IF(AE44=1,AH44,IF(AE44=2,AI44,IF(AE44=3,AJ44,IF(AE44=4,AK44,AL44))))</f>
        <v>- Reducir el Riesgo- Compartir o Transferir el Riesgo</v>
      </c>
      <c r="AH44" s="46" t="str">
        <f t="shared" ref="AH44" si="186">IF($AF43=11,"- Asumir el Riesgo",IF($AF43=12,"- Asumir el Riesgo- Evitar Posibilidad de Ocurrencia- Reducir el Riesgo",IF($AF43=13,"- Asumir el Riesgo- Evitar Posibilidad de Ocurrencia- Reducir el Riesgo",IF($AF43=14,"-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44" s="46" t="str">
        <f t="shared" ref="AI44" si="187">IF($AF43=21,"- Asumir el Riesgo- Reducir el Riesgo",IF($AF43=22,"- Asumir el Riesgo- Evitar Posibilidad de Ocurrencia- Reducir el Riesgo",IF($AF43=23,"- Asumir el Riesgo- Evitar Posibilidad de Ocurrencia- Reducir el Riesgo- Compartir o Transferir el Riesgo",IF($AF43=24,"- Evitar Posibilidad de Ocurrencia- Reducir el Riesgo- Compartir o Transferir el Riesgo","- Evitar Posibilidad de Ocurrencia- Reducir el Riesgo- Compartir o Transferir el Riesgo"))))</f>
        <v>- Evitar Posibilidad de Ocurrencia- Reducir el Riesgo- Compartir o Transferir el Riesgo</v>
      </c>
      <c r="AJ44" s="46" t="str">
        <f t="shared" ref="AJ44" si="188">IF($AF43=31,"- Asumir el Riesgo- Reducir el Riesgo- Compartir o Transferir el Riesgo",IF($AF43=32,"- Asumir el Riesgo- Evitar Posibilidad de Ocurrencia- Reducir el Reducir- Compartir o Transferir el Riesgo",IF($AF43=33,"- Evitar Posibilidad de Ocurrencia- Reducir el Riesgo- Compartir o Transferir el Riesgo",IF($AF43=34,"-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44" s="46" t="str">
        <f t="shared" ref="AK44" si="189">IF($AF43=41,"- Reducir el Riesgo- Compartir o Transferir el Riesgo",IF($AF43=42,"- Evitar Posibilidad de Ocurrencia- Reducir el Riesgo- Compartir o Transferir el Riesgo",IF($AF43=43,"- Eliminar Causa(s)- Evitar Posibilidad de Ocurrencia- Reducir el Riesgo- Compartir o Transferir el Riesgo",IF($AF43=44,"- Eliminar Causa(s)- Evitar Posibilidad de Ocurrencia- Reducir el Riesgo- Compartir o Transferir el Riesgo","- Eliminar Causa(s)- Evitar Posibilidad de Ocurrencia- Reducir el Riesgo- Compartir o Transferir el Riesgo"))))</f>
        <v>- Reducir el Riesgo- Compartir o Transferir el Riesgo</v>
      </c>
      <c r="AL44" s="46" t="str">
        <f t="shared" ref="AL44" si="190">IF($AF43=51,"- Reducir el Riesgo- Compartir o Transferir el Riesgo",IF($AF43=52,"- Eliminar Causa(s)- Evitar Posibilidad de Ocurrencia- Reducir el Riesgo- Compartir o Transferir el Riesgo",IF($AF43=53,"- Eliminar Causa(s)- Evitar Posibilidad de Ocurrencia- Reducir el Riesgo- Compartir o Transferir el Riesgo",IF($AF43=54,"-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44" s="3" t="str">
        <f t="shared" si="141"/>
        <v/>
      </c>
      <c r="AN44" s="3" t="str">
        <f t="shared" si="142"/>
        <v/>
      </c>
      <c r="AO44" s="3" t="str">
        <f t="shared" si="143"/>
        <v/>
      </c>
      <c r="AP44" s="3" t="str">
        <f t="shared" si="144"/>
        <v/>
      </c>
      <c r="AQ44" s="3" t="str">
        <f t="shared" ref="AQ44:AQ45" si="191">IF(AQ43="Documentar",AQ43,AM44)</f>
        <v/>
      </c>
      <c r="AR44" s="3" t="str">
        <f t="shared" ref="AR44:AR45" si="192">IF(AR43="Asignar responsable",AR43,AN44)</f>
        <v/>
      </c>
      <c r="AT44" s="3" t="str">
        <f t="shared" ref="AT44:AT45" si="193">IF(AT43="Establecer periodos de seguimiento adecuados",AT43,AO44)</f>
        <v/>
      </c>
      <c r="AV44" s="3" t="str">
        <f t="shared" ref="AV44:AV45" si="194">IF(AV43="Guardar Evidencias",AV43,AP44)</f>
        <v/>
      </c>
      <c r="AX44" s="502"/>
      <c r="AY44" s="502"/>
      <c r="AZ44" s="502"/>
      <c r="BA44" s="502"/>
      <c r="BB44" s="3" t="str">
        <f t="shared" si="151"/>
        <v>SI</v>
      </c>
      <c r="BC44" s="3" t="str">
        <f t="shared" si="152"/>
        <v/>
      </c>
      <c r="BD44" s="3" t="str">
        <f t="shared" si="153"/>
        <v>SI</v>
      </c>
      <c r="BE44" s="3" t="str">
        <f t="shared" si="154"/>
        <v/>
      </c>
      <c r="BF44" s="3" t="str">
        <f t="shared" si="155"/>
        <v>SI</v>
      </c>
      <c r="BG44" s="3" t="str">
        <f t="shared" si="156"/>
        <v/>
      </c>
      <c r="BH44" s="3" t="str">
        <f t="shared" si="157"/>
        <v>P</v>
      </c>
      <c r="BI44" s="3" t="str">
        <f t="shared" si="25"/>
        <v/>
      </c>
      <c r="BJ44" s="3" t="str">
        <f t="shared" si="26"/>
        <v>M</v>
      </c>
      <c r="BK44" s="3" t="str">
        <f t="shared" si="27"/>
        <v/>
      </c>
      <c r="BL44" s="3" t="str">
        <f t="shared" si="158"/>
        <v>SI</v>
      </c>
      <c r="BM44" s="3" t="str">
        <f t="shared" si="159"/>
        <v/>
      </c>
    </row>
    <row r="45" spans="1:65" ht="36" customHeight="1" x14ac:dyDescent="0.2">
      <c r="A45" s="503"/>
      <c r="B45" s="496"/>
      <c r="C45" s="356">
        <v>3</v>
      </c>
      <c r="D45" s="56"/>
      <c r="E45" s="240" t="str">
        <f t="shared" si="4"/>
        <v/>
      </c>
      <c r="F45" s="44"/>
      <c r="G45" s="18" t="str">
        <f t="shared" si="128"/>
        <v/>
      </c>
      <c r="H45" s="44"/>
      <c r="I45" s="18" t="str">
        <f t="shared" si="129"/>
        <v/>
      </c>
      <c r="J45" s="55" t="str">
        <f t="shared" si="130"/>
        <v/>
      </c>
      <c r="K45" s="43"/>
      <c r="L45" s="18" t="str">
        <f t="shared" si="131"/>
        <v/>
      </c>
      <c r="M45" s="43"/>
      <c r="N45" s="18" t="str">
        <f t="shared" si="132"/>
        <v/>
      </c>
      <c r="O45" s="43"/>
      <c r="P45" s="18" t="str">
        <f t="shared" si="133"/>
        <v/>
      </c>
      <c r="Q45" s="43"/>
      <c r="R45" s="18" t="str">
        <f t="shared" si="134"/>
        <v/>
      </c>
      <c r="S45" s="43"/>
      <c r="T45" s="18" t="str">
        <f t="shared" si="135"/>
        <v/>
      </c>
      <c r="U45" s="43"/>
      <c r="V45" s="18" t="str">
        <f t="shared" si="136"/>
        <v/>
      </c>
      <c r="W45" s="18">
        <f t="shared" si="137"/>
        <v>0</v>
      </c>
      <c r="X45" s="57" t="str">
        <f t="shared" si="138"/>
        <v/>
      </c>
      <c r="Y45" s="57">
        <f t="shared" si="139"/>
        <v>0</v>
      </c>
      <c r="Z45" s="356">
        <f t="shared" si="140"/>
        <v>0</v>
      </c>
      <c r="AA45" s="499"/>
      <c r="AB45" s="500"/>
      <c r="AM45" s="3" t="str">
        <f t="shared" si="141"/>
        <v/>
      </c>
      <c r="AN45" s="3" t="str">
        <f t="shared" si="142"/>
        <v/>
      </c>
      <c r="AO45" s="3" t="str">
        <f t="shared" si="143"/>
        <v/>
      </c>
      <c r="AP45" s="3" t="str">
        <f t="shared" si="144"/>
        <v/>
      </c>
      <c r="AQ45" s="3" t="str">
        <f t="shared" si="191"/>
        <v/>
      </c>
      <c r="AR45" s="3" t="str">
        <f t="shared" si="192"/>
        <v/>
      </c>
      <c r="AS45" s="3" t="str">
        <f t="shared" ref="AS45" si="195">IF(AND(AQ45="Documentar",AR45="Asignar responsable"),CONCATENATE("- ",AQ45,", ",AR45),IF(AQ45="Documentar",CONCATENATE("- ",AQ45),IF(AR45="Asignar responsable",CONCATENATE("- ",AR45),"")))</f>
        <v/>
      </c>
      <c r="AT45" s="3" t="str">
        <f t="shared" si="193"/>
        <v/>
      </c>
      <c r="AU45" s="3" t="str">
        <f t="shared" ref="AU45" si="196">IF(AT45="",AS45,IF(AS45="",CONCATENATE("- ",AT45),CONCATENATE(AS45,", ",AT45)))</f>
        <v/>
      </c>
      <c r="AV45" s="3" t="str">
        <f t="shared" si="194"/>
        <v/>
      </c>
      <c r="AW45" s="3" t="str">
        <f t="shared" ref="AW45" si="197">IF(AV45="",AU45,IF(AU45="",CONCATENATE("- ",AV45),CONCATENATE(AU45,", ",AV45)))</f>
        <v/>
      </c>
      <c r="AX45" s="502"/>
      <c r="AY45" s="502"/>
      <c r="AZ45" s="502"/>
      <c r="BA45" s="502"/>
      <c r="BB45" s="3" t="str">
        <f t="shared" si="151"/>
        <v/>
      </c>
      <c r="BC45" s="3" t="str">
        <f t="shared" si="152"/>
        <v/>
      </c>
      <c r="BD45" s="3" t="str">
        <f t="shared" si="153"/>
        <v/>
      </c>
      <c r="BE45" s="3" t="str">
        <f t="shared" si="154"/>
        <v/>
      </c>
      <c r="BF45" s="3" t="str">
        <f t="shared" si="155"/>
        <v/>
      </c>
      <c r="BG45" s="3" t="str">
        <f t="shared" si="156"/>
        <v/>
      </c>
      <c r="BH45" s="3" t="str">
        <f t="shared" si="157"/>
        <v/>
      </c>
      <c r="BI45" s="3" t="str">
        <f t="shared" si="25"/>
        <v/>
      </c>
      <c r="BJ45" s="3" t="str">
        <f t="shared" si="26"/>
        <v/>
      </c>
      <c r="BK45" s="3" t="str">
        <f t="shared" si="27"/>
        <v/>
      </c>
      <c r="BL45" s="3" t="str">
        <f t="shared" si="158"/>
        <v/>
      </c>
      <c r="BM45" s="3" t="str">
        <f t="shared" si="159"/>
        <v/>
      </c>
    </row>
    <row r="46" spans="1:65" ht="36" customHeight="1" x14ac:dyDescent="0.2">
      <c r="A46" s="503" t="str">
        <f>IDENTIFICACIÓN!C21</f>
        <v>13G</v>
      </c>
      <c r="B46" s="496" t="str">
        <f>IF(IDENTIFICACIÓN!D21="","",IDENTIFICACIÓN!D21)</f>
        <v>Gestión Academica. Aplicación inadecuada de la normatividad en el desarrollo de los diferentes procesos academicos de los programas.</v>
      </c>
      <c r="C46" s="356">
        <v>1</v>
      </c>
      <c r="D46" s="56" t="s">
        <v>11</v>
      </c>
      <c r="E46" s="240">
        <f t="shared" si="4"/>
        <v>10</v>
      </c>
      <c r="F46" s="44" t="s">
        <v>583</v>
      </c>
      <c r="G46" s="18" t="str">
        <f t="shared" ref="G46:G72" si="198">IF($D46="SI",IF(ISBLANK(F46),"Decripcion",""),"")</f>
        <v/>
      </c>
      <c r="H46" s="44" t="s">
        <v>20</v>
      </c>
      <c r="I46" s="18" t="str">
        <f t="shared" ref="I46:I72" si="199">IF($D46="SI",IF(ISBLANK(H46),"Tipo",""),"")</f>
        <v/>
      </c>
      <c r="J46" s="55" t="str">
        <f t="shared" ref="J46:J72" si="200">IF(H46="Preventivo","Posibilidad",IF(H46="Correctivo","Impacto",""))</f>
        <v>Posibilidad</v>
      </c>
      <c r="K46" s="43" t="s">
        <v>11</v>
      </c>
      <c r="L46" s="18">
        <f t="shared" ref="L46:L72" si="201">IF($D46="SI",IF(K46="SI",15,IF(K46="NO",0,"P1")),"")</f>
        <v>15</v>
      </c>
      <c r="M46" s="43" t="s">
        <v>11</v>
      </c>
      <c r="N46" s="18">
        <f t="shared" ref="N46:N72" si="202">IF($D46="SI",IF(M46="SI",30,IF(M46="NO",0,"P2")),"")</f>
        <v>30</v>
      </c>
      <c r="O46" s="43" t="s">
        <v>323</v>
      </c>
      <c r="P46" s="18">
        <f t="shared" ref="P46:P72" si="203">IF($D46="SI",IF(O46="Automático",15,IF(O46="Manual",10,"P3")),"")</f>
        <v>10</v>
      </c>
      <c r="Q46" s="43" t="s">
        <v>11</v>
      </c>
      <c r="R46" s="18">
        <f t="shared" ref="R46:R72" si="204">IF($D46="SI",IF(Q46="SI",5,IF(Q46="NO",0,"P4")),"")</f>
        <v>5</v>
      </c>
      <c r="S46" s="43" t="s">
        <v>11</v>
      </c>
      <c r="T46" s="18">
        <f t="shared" ref="T46:T72" si="205">IF($D46="SI",IF(S46="SI",15,IF(S46="NO",0,"P5")),"")</f>
        <v>15</v>
      </c>
      <c r="U46" s="43" t="s">
        <v>11</v>
      </c>
      <c r="V46" s="18">
        <f t="shared" ref="V46:V72" si="206">IF($D46="SI",IF(U46="SI",10,IF(U46="NO",0,"P6")),"")</f>
        <v>10</v>
      </c>
      <c r="W46" s="18">
        <f t="shared" ref="W46:W72" si="207">IF(D46="SI",E46+L46+N46+P46+R46+T46+V46,0)</f>
        <v>95</v>
      </c>
      <c r="X46" s="57" t="str">
        <f t="shared" ref="X46:X72" si="208">IF(ISBLANK(D46),"",IF(D46="NO",0,IF(D46="SI",IF(OR(G46="Decripcion",I46="Tipo",L46="P1",N46="P2",P46="P3",R46="P4",T46="P5",V46="P6"),CONCATENATE("Falta diligenciar: ",G46," ",I46,IF(L46="P1"," Preg 1",),IF(N46="P2"," Preg 2",),IF(P46="P3"," Preg 3",),IF(R46="P4"," Preg 4",),IF(T46="P5"," Preg 5",),IF(V46="P6"," Preg 6",)),IF(W46&gt;76,CONCATENATE(W46,"                           Disminuye max 2 en ",J46),IF(AND(W46&gt;50,W46&lt;76),CONCATENATE(W46,"                           Disminuye max 1 en ", J46),W46))))))</f>
        <v>95                           Disminuye max 2 en Posibilidad</v>
      </c>
      <c r="Y46" s="57">
        <f t="shared" ref="Y46:Y72" si="209">IF(AND(W46&gt;50,W46&lt;76,J46="Posibilidad"),1,IF(AND(W46&gt;75,W46&lt;101,J46="Posibilidad"),2,0))</f>
        <v>2</v>
      </c>
      <c r="Z46" s="356">
        <f t="shared" ref="Z46:Z72" si="210">IF(AND(W46&gt;50,W46&lt;76,J46="Impacto"),1,IF(AND(W46&gt;75,W46&lt;101,J46="Impacto"),2,0))</f>
        <v>0</v>
      </c>
      <c r="AA46" s="497">
        <f t="shared" ref="AA46" si="211">IF(AB46=0,"",(ROUND((SUM(W46:W48)/AB46),0)))</f>
        <v>95</v>
      </c>
      <c r="AB46" s="500">
        <f t="shared" ref="AB46" si="212">COUNT(T46:T48)</f>
        <v>3</v>
      </c>
      <c r="AC46" s="3">
        <f t="shared" ref="AC46" si="213">SUM(Y46:Y48)</f>
        <v>6</v>
      </c>
      <c r="AD46" s="3">
        <f>ANALISIS!D23</f>
        <v>2</v>
      </c>
      <c r="AE46" s="3">
        <f t="shared" ref="AE46:AE47" si="214">IF((AD46-AC46)&gt;=1,(AD46-AC46),1)</f>
        <v>1</v>
      </c>
      <c r="AF46" s="501">
        <f t="shared" ref="AF46" si="215">(AE47*10)+AE46</f>
        <v>41</v>
      </c>
      <c r="AG46" s="355" t="str">
        <f t="shared" ref="AG46" si="216">IF(AE47=1,AH46,IF(AE47=2,AI46,IF(AE47=3,AJ46,IF(AE47=4,AK46,AL46))))</f>
        <v>ALTA 1:4</v>
      </c>
      <c r="AH46" s="46" t="str">
        <f t="shared" ref="AH46" si="217">IF($AF46=11,"BAJA 1:1",IF($AF46=12,"BAJA 2:1",IF($AF46=13,"BAJA 3:1",IF($AF46=14,"MODERADA 4:1","ALTA 5:1"))))</f>
        <v>ALTA 5:1</v>
      </c>
      <c r="AI46" s="46" t="str">
        <f t="shared" ref="AI46" si="218">IF($AF46=21,"BAJA 1:2",IF($AF46=22,"BAJA 2:2",IF($AF46=23,"MODERADA 3:2",IF($AF46=24,"ALTA 4:2","ALTA 5:2"))))</f>
        <v>ALTA 5:2</v>
      </c>
      <c r="AJ46" s="46" t="str">
        <f t="shared" ref="AJ46" si="219">IF($AF46=31,"MODERADA 1:3",IF($AF46=32,"MODERADA 2:3",IF($AF46=33,"ALTA 3:3",IF($AF46=34,"ALTA 4:3","EXTREMA 5:3"))))</f>
        <v>EXTREMA 5:3</v>
      </c>
      <c r="AK46" s="46" t="str">
        <f t="shared" ref="AK46" si="220">IF($AF46=41,"ALTA 1:4",IF($AF46=42,"ALTA 2:4",IF($AF46=43,"EXTREMA 3:4",IF($AF46=44,"EXTREMA 4:4","EXTREMA 5:4"))))</f>
        <v>ALTA 1:4</v>
      </c>
      <c r="AL46" s="46" t="str">
        <f t="shared" ref="AL46" si="221">IF($AF46=51,"ALTA 1:5",IF($AF46=52,"EXTREMA 2:5",IF($AF46=53,"EXTREMA 3:5",IF($AF46=54,"EXTREMA 4:5","EXTREMA 5:5"))))</f>
        <v>EXTREMA 5:5</v>
      </c>
      <c r="AM46" s="3" t="str">
        <f t="shared" ref="AM46:AM72" si="222">IF(AND(N46=30,L46=0),$AM$8,"")</f>
        <v/>
      </c>
      <c r="AN46" s="3" t="str">
        <f t="shared" ref="AN46:AN72" si="223">IF(AND(N46=30,R46=0),$AN$8,"")</f>
        <v/>
      </c>
      <c r="AO46" s="3" t="str">
        <f t="shared" ref="AO46:AO72" si="224">IF(AND(N46=30,T46=0),$AO$8,"")</f>
        <v/>
      </c>
      <c r="AP46" s="3" t="str">
        <f t="shared" ref="AP46:AP72" si="225">IF(AND(N46=30,V46=0),$AP$8,"")</f>
        <v/>
      </c>
      <c r="AQ46" s="3" t="str">
        <f t="shared" ref="AQ46" si="226">AM46</f>
        <v/>
      </c>
      <c r="AR46" s="3" t="str">
        <f t="shared" ref="AR46" si="227">AN46</f>
        <v/>
      </c>
      <c r="AT46" s="3" t="str">
        <f t="shared" ref="AT46" si="228">AO46</f>
        <v/>
      </c>
      <c r="AV46" s="3" t="str">
        <f t="shared" ref="AV46" si="229">AP46</f>
        <v/>
      </c>
      <c r="AX46" s="502" t="str">
        <f t="shared" ref="AX46" si="230">IF(AW48="","",CONCATENATE(AW48," (de) el(los) control(es) Efectivo(s) "))</f>
        <v/>
      </c>
      <c r="AY46" s="502" t="str">
        <f t="shared" ref="AY46" si="231">IF(CONCATENATE(N46:N48)="","",IF(AND(SUM(E46:E48)=10,SUM(N46:N48)&lt;30),"- Replantear control(es) NO efectivo(s) ",IF(AND(SUM(E46:E48)=20,SUM(N46:N48)&lt;60),"- Replantear control(es) NO efectivo(s) ",IF(AND(SUM(E46:E48)=30,SUM(N46:N48)&lt;90),"- Replantear control(es) NO efectivo(s) ",""))))</f>
        <v/>
      </c>
      <c r="AZ46" s="502" t="str">
        <f t="shared" ref="AZ46" si="232">IF(AND(AE46&gt;1,AE47&gt;1),"- Tomar Acciones Preventivas y Correctivas",IF(AE46&gt;1,"- Tomar Acciones Preventivas",IF(AE47&gt;1,"- Tomar Acciones Correctivas","")))</f>
        <v>- Tomar Acciones Correctivas</v>
      </c>
      <c r="BA46" s="502" t="str">
        <f t="shared" ref="BA46" si="233">CONCATENATE(AX46,AY46,AZ46)</f>
        <v>- Tomar Acciones Correctivas</v>
      </c>
      <c r="BB46" s="3" t="str">
        <f t="shared" ref="BB46:BB72" si="234">IF(AND($N46=30,L46=15),"SI",IF(AND($N46=30,L46=0),"NO",""))</f>
        <v>SI</v>
      </c>
      <c r="BC46" s="3" t="str">
        <f t="shared" ref="BC46:BC72" si="235">IF(AND($N46=0,L46=15),"SI",IF(AND($N46=0,L46=0),"NO",""))</f>
        <v/>
      </c>
      <c r="BD46" s="3" t="str">
        <f t="shared" ref="BD46:BD72" si="236">IF(AND($N46=30,R46=5),"SI",IF(AND($N46=30,R46=0),"NO",""))</f>
        <v>SI</v>
      </c>
      <c r="BE46" s="3" t="str">
        <f t="shared" ref="BE46:BE72" si="237">IF(AND($N46=0,R46=5),"SI",IF(AND($N46=0,R46=0),"NO",""))</f>
        <v/>
      </c>
      <c r="BF46" s="3" t="str">
        <f t="shared" ref="BF46:BF72" si="238">IF(AND($N46=30,T46=15),"SI",IF(AND($N46=30,T46=0),"NO",""))</f>
        <v>SI</v>
      </c>
      <c r="BG46" s="3" t="str">
        <f t="shared" ref="BG46:BG72" si="239">IF(AND($N46=0,T46=15),"SI",IF(AND($N46=0,T46=0),"NO",""))</f>
        <v/>
      </c>
      <c r="BH46" s="3" t="str">
        <f t="shared" ref="BH46:BH72" si="240">IF(AND($N46=30,H46="Preventivo"),"P",IF(AND($N46=30,H46="Correctivo"),"C",""))</f>
        <v>P</v>
      </c>
      <c r="BI46" s="3" t="str">
        <f t="shared" si="25"/>
        <v/>
      </c>
      <c r="BJ46" s="3" t="str">
        <f t="shared" si="26"/>
        <v>M</v>
      </c>
      <c r="BK46" s="3" t="str">
        <f t="shared" si="27"/>
        <v/>
      </c>
      <c r="BL46" s="3" t="str">
        <f t="shared" ref="BL46:BL72" si="241">IF(AND($N46=30,V46=10),"SI",IF(AND($N46=30,V46=0),"NO",""))</f>
        <v>SI</v>
      </c>
      <c r="BM46" s="3" t="str">
        <f t="shared" ref="BM46:BM72" si="242">IF(AND($N46=0,V46=10),"SI",IF(AND($N46=0,V46=0),"NO",""))</f>
        <v/>
      </c>
    </row>
    <row r="47" spans="1:65" ht="36" customHeight="1" x14ac:dyDescent="0.2">
      <c r="A47" s="503"/>
      <c r="B47" s="496"/>
      <c r="C47" s="356">
        <v>2</v>
      </c>
      <c r="D47" s="56" t="s">
        <v>11</v>
      </c>
      <c r="E47" s="240">
        <f t="shared" si="4"/>
        <v>10</v>
      </c>
      <c r="F47" s="44" t="s">
        <v>584</v>
      </c>
      <c r="G47" s="18" t="str">
        <f t="shared" si="198"/>
        <v/>
      </c>
      <c r="H47" s="44" t="s">
        <v>20</v>
      </c>
      <c r="I47" s="18" t="str">
        <f t="shared" si="199"/>
        <v/>
      </c>
      <c r="J47" s="55" t="str">
        <f t="shared" si="200"/>
        <v>Posibilidad</v>
      </c>
      <c r="K47" s="43" t="s">
        <v>11</v>
      </c>
      <c r="L47" s="18">
        <f t="shared" si="201"/>
        <v>15</v>
      </c>
      <c r="M47" s="43" t="s">
        <v>11</v>
      </c>
      <c r="N47" s="18">
        <f t="shared" si="202"/>
        <v>30</v>
      </c>
      <c r="O47" s="43" t="s">
        <v>323</v>
      </c>
      <c r="P47" s="18">
        <f t="shared" si="203"/>
        <v>10</v>
      </c>
      <c r="Q47" s="43" t="s">
        <v>11</v>
      </c>
      <c r="R47" s="18">
        <f t="shared" si="204"/>
        <v>5</v>
      </c>
      <c r="S47" s="43" t="s">
        <v>11</v>
      </c>
      <c r="T47" s="18">
        <f t="shared" si="205"/>
        <v>15</v>
      </c>
      <c r="U47" s="43" t="s">
        <v>11</v>
      </c>
      <c r="V47" s="18">
        <f t="shared" si="206"/>
        <v>10</v>
      </c>
      <c r="W47" s="18">
        <f t="shared" si="207"/>
        <v>95</v>
      </c>
      <c r="X47" s="57" t="str">
        <f t="shared" si="208"/>
        <v>95                           Disminuye max 2 en Posibilidad</v>
      </c>
      <c r="Y47" s="57">
        <f t="shared" si="209"/>
        <v>2</v>
      </c>
      <c r="Z47" s="356">
        <f t="shared" si="210"/>
        <v>0</v>
      </c>
      <c r="AA47" s="498"/>
      <c r="AB47" s="500"/>
      <c r="AC47" s="3">
        <f t="shared" ref="AC47" si="243">SUM(Z46:Z48)</f>
        <v>0</v>
      </c>
      <c r="AD47" s="3">
        <f>ANALISIS!G23</f>
        <v>4</v>
      </c>
      <c r="AE47" s="3">
        <f t="shared" si="214"/>
        <v>4</v>
      </c>
      <c r="AF47" s="501"/>
      <c r="AG47" s="355" t="str">
        <f t="shared" ref="AG47" si="244">IF(AE47=1,AH47,IF(AE47=2,AI47,IF(AE47=3,AJ47,IF(AE47=4,AK47,AL47))))</f>
        <v>- Reducir el Riesgo- Compartir o Transferir el Riesgo</v>
      </c>
      <c r="AH47" s="46" t="str">
        <f t="shared" ref="AH47" si="245">IF($AF46=11,"- Asumir el Riesgo",IF($AF46=12,"- Asumir el Riesgo- Evitar Posibilidad de Ocurrencia- Reducir el Riesgo",IF($AF46=13,"- Asumir el Riesgo- Evitar Posibilidad de Ocurrencia- Reducir el Riesgo",IF($AF46=14,"-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47" s="46" t="str">
        <f t="shared" ref="AI47" si="246">IF($AF46=21,"- Asumir el Riesgo- Reducir el Riesgo",IF($AF46=22,"- Asumir el Riesgo- Evitar Posibilidad de Ocurrencia- Reducir el Riesgo",IF($AF46=23,"- Asumir el Riesgo- Evitar Posibilidad de Ocurrencia- Reducir el Riesgo- Compartir o Transferir el Riesgo",IF($AF46=24,"- Evitar Posibilidad de Ocurrencia- Reducir el Riesgo- Compartir o Transferir el Riesgo","- Evitar Posibilidad de Ocurrencia- Reducir el Riesgo- Compartir o Transferir el Riesgo"))))</f>
        <v>- Evitar Posibilidad de Ocurrencia- Reducir el Riesgo- Compartir o Transferir el Riesgo</v>
      </c>
      <c r="AJ47" s="46" t="str">
        <f t="shared" ref="AJ47" si="247">IF($AF46=31,"- Asumir el Riesgo- Reducir el Riesgo- Compartir o Transferir el Riesgo",IF($AF46=32,"- Asumir el Riesgo- Evitar Posibilidad de Ocurrencia- Reducir el Reducir- Compartir o Transferir el Riesgo",IF($AF46=33,"- Evitar Posibilidad de Ocurrencia- Reducir el Riesgo- Compartir o Transferir el Riesgo",IF($AF46=34,"-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47" s="46" t="str">
        <f t="shared" ref="AK47" si="248">IF($AF46=41,"- Reducir el Riesgo- Compartir o Transferir el Riesgo",IF($AF46=42,"- Evitar Posibilidad de Ocurrencia- Reducir el Riesgo- Compartir o Transferir el Riesgo",IF($AF46=43,"- Eliminar Causa(s)- Evitar Posibilidad de Ocurrencia- Reducir el Riesgo- Compartir o Transferir el Riesgo",IF($AF46=44,"- Eliminar Causa(s)- Evitar Posibilidad de Ocurrencia- Reducir el Riesgo- Compartir o Transferir el Riesgo","- Eliminar Causa(s)- Evitar Posibilidad de Ocurrencia- Reducir el Riesgo- Compartir o Transferir el Riesgo"))))</f>
        <v>- Reducir el Riesgo- Compartir o Transferir el Riesgo</v>
      </c>
      <c r="AL47" s="46" t="str">
        <f t="shared" ref="AL47" si="249">IF($AF46=51,"- Reducir el Riesgo- Compartir o Transferir el Riesgo",IF($AF46=52,"- Eliminar Causa(s)- Evitar Posibilidad de Ocurrencia- Reducir el Riesgo- Compartir o Transferir el Riesgo",IF($AF46=53,"- Eliminar Causa(s)- Evitar Posibilidad de Ocurrencia- Reducir el Riesgo- Compartir o Transferir el Riesgo",IF($AF46=54,"-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47" s="3" t="str">
        <f t="shared" si="222"/>
        <v/>
      </c>
      <c r="AN47" s="3" t="str">
        <f t="shared" si="223"/>
        <v/>
      </c>
      <c r="AO47" s="3" t="str">
        <f t="shared" si="224"/>
        <v/>
      </c>
      <c r="AP47" s="3" t="str">
        <f t="shared" si="225"/>
        <v/>
      </c>
      <c r="AQ47" s="3" t="str">
        <f t="shared" ref="AQ47:AQ48" si="250">IF(AQ46="Documentar",AQ46,AM47)</f>
        <v/>
      </c>
      <c r="AR47" s="3" t="str">
        <f t="shared" ref="AR47:AR48" si="251">IF(AR46="Asignar responsable",AR46,AN47)</f>
        <v/>
      </c>
      <c r="AT47" s="3" t="str">
        <f t="shared" ref="AT47:AT48" si="252">IF(AT46="Establecer periodos de seguimiento adecuados",AT46,AO47)</f>
        <v/>
      </c>
      <c r="AV47" s="3" t="str">
        <f t="shared" ref="AV47:AV48" si="253">IF(AV46="Guardar Evidencias",AV46,AP47)</f>
        <v/>
      </c>
      <c r="AX47" s="502"/>
      <c r="AY47" s="502"/>
      <c r="AZ47" s="502"/>
      <c r="BA47" s="502"/>
      <c r="BB47" s="3" t="str">
        <f t="shared" si="234"/>
        <v>SI</v>
      </c>
      <c r="BC47" s="3" t="str">
        <f t="shared" si="235"/>
        <v/>
      </c>
      <c r="BD47" s="3" t="str">
        <f t="shared" si="236"/>
        <v>SI</v>
      </c>
      <c r="BE47" s="3" t="str">
        <f t="shared" si="237"/>
        <v/>
      </c>
      <c r="BF47" s="3" t="str">
        <f t="shared" si="238"/>
        <v>SI</v>
      </c>
      <c r="BG47" s="3" t="str">
        <f t="shared" si="239"/>
        <v/>
      </c>
      <c r="BH47" s="3" t="str">
        <f t="shared" si="240"/>
        <v>P</v>
      </c>
      <c r="BI47" s="3" t="str">
        <f t="shared" si="25"/>
        <v/>
      </c>
      <c r="BJ47" s="3" t="str">
        <f t="shared" si="26"/>
        <v>M</v>
      </c>
      <c r="BK47" s="3" t="str">
        <f t="shared" si="27"/>
        <v/>
      </c>
      <c r="BL47" s="3" t="str">
        <f t="shared" si="241"/>
        <v>SI</v>
      </c>
      <c r="BM47" s="3" t="str">
        <f t="shared" si="242"/>
        <v/>
      </c>
    </row>
    <row r="48" spans="1:65" ht="36" customHeight="1" x14ac:dyDescent="0.2">
      <c r="A48" s="503"/>
      <c r="B48" s="496"/>
      <c r="C48" s="356">
        <v>3</v>
      </c>
      <c r="D48" s="56" t="s">
        <v>11</v>
      </c>
      <c r="E48" s="240">
        <f t="shared" si="4"/>
        <v>10</v>
      </c>
      <c r="F48" s="44" t="s">
        <v>585</v>
      </c>
      <c r="G48" s="18" t="str">
        <f t="shared" si="198"/>
        <v/>
      </c>
      <c r="H48" s="44" t="s">
        <v>20</v>
      </c>
      <c r="I48" s="18" t="str">
        <f t="shared" si="199"/>
        <v/>
      </c>
      <c r="J48" s="55" t="str">
        <f t="shared" si="200"/>
        <v>Posibilidad</v>
      </c>
      <c r="K48" s="43" t="s">
        <v>11</v>
      </c>
      <c r="L48" s="18">
        <f t="shared" si="201"/>
        <v>15</v>
      </c>
      <c r="M48" s="43" t="s">
        <v>11</v>
      </c>
      <c r="N48" s="18">
        <f t="shared" si="202"/>
        <v>30</v>
      </c>
      <c r="O48" s="43" t="s">
        <v>323</v>
      </c>
      <c r="P48" s="18">
        <f t="shared" si="203"/>
        <v>10</v>
      </c>
      <c r="Q48" s="43" t="s">
        <v>11</v>
      </c>
      <c r="R48" s="18">
        <f t="shared" si="204"/>
        <v>5</v>
      </c>
      <c r="S48" s="43" t="s">
        <v>11</v>
      </c>
      <c r="T48" s="18">
        <f t="shared" si="205"/>
        <v>15</v>
      </c>
      <c r="U48" s="43" t="s">
        <v>11</v>
      </c>
      <c r="V48" s="18">
        <f t="shared" si="206"/>
        <v>10</v>
      </c>
      <c r="W48" s="18">
        <f t="shared" si="207"/>
        <v>95</v>
      </c>
      <c r="X48" s="57" t="str">
        <f t="shared" si="208"/>
        <v>95                           Disminuye max 2 en Posibilidad</v>
      </c>
      <c r="Y48" s="57">
        <f t="shared" si="209"/>
        <v>2</v>
      </c>
      <c r="Z48" s="356">
        <f t="shared" si="210"/>
        <v>0</v>
      </c>
      <c r="AA48" s="499"/>
      <c r="AB48" s="500"/>
      <c r="AM48" s="3" t="str">
        <f t="shared" si="222"/>
        <v/>
      </c>
      <c r="AN48" s="3" t="str">
        <f t="shared" si="223"/>
        <v/>
      </c>
      <c r="AO48" s="3" t="str">
        <f t="shared" si="224"/>
        <v/>
      </c>
      <c r="AP48" s="3" t="str">
        <f t="shared" si="225"/>
        <v/>
      </c>
      <c r="AQ48" s="3" t="str">
        <f t="shared" si="250"/>
        <v/>
      </c>
      <c r="AR48" s="3" t="str">
        <f t="shared" si="251"/>
        <v/>
      </c>
      <c r="AS48" s="3" t="str">
        <f t="shared" ref="AS48" si="254">IF(AND(AQ48="Documentar",AR48="Asignar responsable"),CONCATENATE("- ",AQ48,", ",AR48),IF(AQ48="Documentar",CONCATENATE("- ",AQ48),IF(AR48="Asignar responsable",CONCATENATE("- ",AR48),"")))</f>
        <v/>
      </c>
      <c r="AT48" s="3" t="str">
        <f t="shared" si="252"/>
        <v/>
      </c>
      <c r="AU48" s="3" t="str">
        <f t="shared" ref="AU48" si="255">IF(AT48="",AS48,IF(AS48="",CONCATENATE("- ",AT48),CONCATENATE(AS48,", ",AT48)))</f>
        <v/>
      </c>
      <c r="AV48" s="3" t="str">
        <f t="shared" si="253"/>
        <v/>
      </c>
      <c r="AW48" s="3" t="str">
        <f t="shared" ref="AW48" si="256">IF(AV48="",AU48,IF(AU48="",CONCATENATE("- ",AV48),CONCATENATE(AU48,", ",AV48)))</f>
        <v/>
      </c>
      <c r="AX48" s="502"/>
      <c r="AY48" s="502"/>
      <c r="AZ48" s="502"/>
      <c r="BA48" s="502"/>
      <c r="BB48" s="3" t="str">
        <f t="shared" si="234"/>
        <v>SI</v>
      </c>
      <c r="BC48" s="3" t="str">
        <f t="shared" si="235"/>
        <v/>
      </c>
      <c r="BD48" s="3" t="str">
        <f t="shared" si="236"/>
        <v>SI</v>
      </c>
      <c r="BE48" s="3" t="str">
        <f t="shared" si="237"/>
        <v/>
      </c>
      <c r="BF48" s="3" t="str">
        <f t="shared" si="238"/>
        <v>SI</v>
      </c>
      <c r="BG48" s="3" t="str">
        <f t="shared" si="239"/>
        <v/>
      </c>
      <c r="BH48" s="3" t="str">
        <f t="shared" si="240"/>
        <v>P</v>
      </c>
      <c r="BI48" s="3" t="str">
        <f t="shared" si="25"/>
        <v/>
      </c>
      <c r="BJ48" s="3" t="str">
        <f t="shared" si="26"/>
        <v>M</v>
      </c>
      <c r="BK48" s="3" t="str">
        <f t="shared" si="27"/>
        <v/>
      </c>
      <c r="BL48" s="3" t="str">
        <f t="shared" si="241"/>
        <v>SI</v>
      </c>
      <c r="BM48" s="3" t="str">
        <f t="shared" si="242"/>
        <v/>
      </c>
    </row>
    <row r="49" spans="1:65" ht="36" customHeight="1" x14ac:dyDescent="0.2">
      <c r="A49" s="503" t="str">
        <f>IDENTIFICACIÓN!C22</f>
        <v>14G</v>
      </c>
      <c r="B49" s="496" t="str">
        <f>IF(IDENTIFICACIÓN!D22="","",IDENTIFICACIÓN!D22)</f>
        <v>Gestión Academica. Deterioro en la calidad de los programas académicos por necesidades de recursos no cubiertas.</v>
      </c>
      <c r="C49" s="356">
        <v>1</v>
      </c>
      <c r="D49" s="56" t="s">
        <v>11</v>
      </c>
      <c r="E49" s="240">
        <f t="shared" si="4"/>
        <v>10</v>
      </c>
      <c r="F49" s="44" t="s">
        <v>583</v>
      </c>
      <c r="G49" s="18" t="str">
        <f t="shared" si="198"/>
        <v/>
      </c>
      <c r="H49" s="44" t="s">
        <v>20</v>
      </c>
      <c r="I49" s="18" t="str">
        <f t="shared" si="199"/>
        <v/>
      </c>
      <c r="J49" s="55" t="str">
        <f t="shared" si="200"/>
        <v>Posibilidad</v>
      </c>
      <c r="K49" s="43" t="s">
        <v>11</v>
      </c>
      <c r="L49" s="18">
        <f t="shared" si="201"/>
        <v>15</v>
      </c>
      <c r="M49" s="43" t="s">
        <v>11</v>
      </c>
      <c r="N49" s="18">
        <f t="shared" si="202"/>
        <v>30</v>
      </c>
      <c r="O49" s="43" t="s">
        <v>323</v>
      </c>
      <c r="P49" s="18">
        <f t="shared" si="203"/>
        <v>10</v>
      </c>
      <c r="Q49" s="43" t="s">
        <v>11</v>
      </c>
      <c r="R49" s="18">
        <f t="shared" si="204"/>
        <v>5</v>
      </c>
      <c r="S49" s="43" t="s">
        <v>11</v>
      </c>
      <c r="T49" s="18">
        <f t="shared" si="205"/>
        <v>15</v>
      </c>
      <c r="U49" s="43" t="s">
        <v>11</v>
      </c>
      <c r="V49" s="18">
        <f t="shared" si="206"/>
        <v>10</v>
      </c>
      <c r="W49" s="18">
        <f t="shared" si="207"/>
        <v>95</v>
      </c>
      <c r="X49" s="57" t="str">
        <f t="shared" si="208"/>
        <v>95                           Disminuye max 2 en Posibilidad</v>
      </c>
      <c r="Y49" s="57">
        <f t="shared" si="209"/>
        <v>2</v>
      </c>
      <c r="Z49" s="356">
        <f t="shared" si="210"/>
        <v>0</v>
      </c>
      <c r="AA49" s="497">
        <f t="shared" ref="AA49" si="257">IF(AB49=0,"",(ROUND((SUM(W49:W51)/AB49),0)))</f>
        <v>95</v>
      </c>
      <c r="AB49" s="500">
        <f t="shared" ref="AB49" si="258">COUNT(T49:T51)</f>
        <v>3</v>
      </c>
      <c r="AC49" s="3">
        <f t="shared" ref="AC49" si="259">SUM(Y49:Y51)</f>
        <v>6</v>
      </c>
      <c r="AD49" s="3">
        <f>ANALISIS!D24</f>
        <v>3</v>
      </c>
      <c r="AE49" s="3">
        <f t="shared" ref="AE49:AE50" si="260">IF((AD49-AC49)&gt;=1,(AD49-AC49),1)</f>
        <v>1</v>
      </c>
      <c r="AF49" s="501">
        <f t="shared" ref="AF49" si="261">(AE50*10)+AE49</f>
        <v>41</v>
      </c>
      <c r="AG49" s="355" t="str">
        <f t="shared" ref="AG49" si="262">IF(AE50=1,AH49,IF(AE50=2,AI49,IF(AE50=3,AJ49,IF(AE50=4,AK49,AL49))))</f>
        <v>ALTA 1:4</v>
      </c>
      <c r="AH49" s="46" t="str">
        <f t="shared" ref="AH49" si="263">IF($AF49=11,"BAJA 1:1",IF($AF49=12,"BAJA 2:1",IF($AF49=13,"BAJA 3:1",IF($AF49=14,"MODERADA 4:1","ALTA 5:1"))))</f>
        <v>ALTA 5:1</v>
      </c>
      <c r="AI49" s="46" t="str">
        <f t="shared" ref="AI49" si="264">IF($AF49=21,"BAJA 1:2",IF($AF49=22,"BAJA 2:2",IF($AF49=23,"MODERADA 3:2",IF($AF49=24,"ALTA 4:2","ALTA 5:2"))))</f>
        <v>ALTA 5:2</v>
      </c>
      <c r="AJ49" s="46" t="str">
        <f t="shared" ref="AJ49" si="265">IF($AF49=31,"MODERADA 1:3",IF($AF49=32,"MODERADA 2:3",IF($AF49=33,"ALTA 3:3",IF($AF49=34,"ALTA 4:3","EXTREMA 5:3"))))</f>
        <v>EXTREMA 5:3</v>
      </c>
      <c r="AK49" s="46" t="str">
        <f t="shared" ref="AK49" si="266">IF($AF49=41,"ALTA 1:4",IF($AF49=42,"ALTA 2:4",IF($AF49=43,"EXTREMA 3:4",IF($AF49=44,"EXTREMA 4:4","EXTREMA 5:4"))))</f>
        <v>ALTA 1:4</v>
      </c>
      <c r="AL49" s="46" t="str">
        <f t="shared" ref="AL49" si="267">IF($AF49=51,"ALTA 1:5",IF($AF49=52,"EXTREMA 2:5",IF($AF49=53,"EXTREMA 3:5",IF($AF49=54,"EXTREMA 4:5","EXTREMA 5:5"))))</f>
        <v>EXTREMA 5:5</v>
      </c>
      <c r="AM49" s="3" t="str">
        <f t="shared" si="222"/>
        <v/>
      </c>
      <c r="AN49" s="3" t="str">
        <f t="shared" si="223"/>
        <v/>
      </c>
      <c r="AO49" s="3" t="str">
        <f t="shared" si="224"/>
        <v/>
      </c>
      <c r="AP49" s="3" t="str">
        <f t="shared" si="225"/>
        <v/>
      </c>
      <c r="AQ49" s="3" t="str">
        <f t="shared" ref="AQ49" si="268">AM49</f>
        <v/>
      </c>
      <c r="AR49" s="3" t="str">
        <f t="shared" ref="AR49" si="269">AN49</f>
        <v/>
      </c>
      <c r="AT49" s="3" t="str">
        <f t="shared" ref="AT49" si="270">AO49</f>
        <v/>
      </c>
      <c r="AV49" s="3" t="str">
        <f t="shared" ref="AV49" si="271">AP49</f>
        <v/>
      </c>
      <c r="AX49" s="502" t="str">
        <f t="shared" ref="AX49" si="272">IF(AW51="","",CONCATENATE(AW51," (de) el(los) control(es) Efectivo(s) "))</f>
        <v/>
      </c>
      <c r="AY49" s="502" t="str">
        <f t="shared" ref="AY49" si="273">IF(CONCATENATE(N49:N51)="","",IF(AND(SUM(E49:E51)=10,SUM(N49:N51)&lt;30),"- Replantear control(es) NO efectivo(s) ",IF(AND(SUM(E49:E51)=20,SUM(N49:N51)&lt;60),"- Replantear control(es) NO efectivo(s) ",IF(AND(SUM(E49:E51)=30,SUM(N49:N51)&lt;90),"- Replantear control(es) NO efectivo(s) ",""))))</f>
        <v/>
      </c>
      <c r="AZ49" s="502" t="str">
        <f t="shared" ref="AZ49" si="274">IF(AND(AE49&gt;1,AE50&gt;1),"- Tomar Acciones Preventivas y Correctivas",IF(AE49&gt;1,"- Tomar Acciones Preventivas",IF(AE50&gt;1,"- Tomar Acciones Correctivas","")))</f>
        <v>- Tomar Acciones Correctivas</v>
      </c>
      <c r="BA49" s="502" t="str">
        <f t="shared" ref="BA49" si="275">CONCATENATE(AX49,AY49,AZ49)</f>
        <v>- Tomar Acciones Correctivas</v>
      </c>
      <c r="BB49" s="3" t="str">
        <f t="shared" si="234"/>
        <v>SI</v>
      </c>
      <c r="BC49" s="3" t="str">
        <f t="shared" si="235"/>
        <v/>
      </c>
      <c r="BD49" s="3" t="str">
        <f t="shared" si="236"/>
        <v>SI</v>
      </c>
      <c r="BE49" s="3" t="str">
        <f t="shared" si="237"/>
        <v/>
      </c>
      <c r="BF49" s="3" t="str">
        <f t="shared" si="238"/>
        <v>SI</v>
      </c>
      <c r="BG49" s="3" t="str">
        <f t="shared" si="239"/>
        <v/>
      </c>
      <c r="BH49" s="3" t="str">
        <f t="shared" si="240"/>
        <v>P</v>
      </c>
      <c r="BI49" s="3" t="str">
        <f t="shared" si="25"/>
        <v/>
      </c>
      <c r="BJ49" s="3" t="str">
        <f t="shared" si="26"/>
        <v>M</v>
      </c>
      <c r="BK49" s="3" t="str">
        <f t="shared" si="27"/>
        <v/>
      </c>
      <c r="BL49" s="3" t="str">
        <f t="shared" si="241"/>
        <v>SI</v>
      </c>
      <c r="BM49" s="3" t="str">
        <f t="shared" si="242"/>
        <v/>
      </c>
    </row>
    <row r="50" spans="1:65" ht="36" customHeight="1" x14ac:dyDescent="0.2">
      <c r="A50" s="503"/>
      <c r="B50" s="496"/>
      <c r="C50" s="356">
        <v>2</v>
      </c>
      <c r="D50" s="56" t="s">
        <v>11</v>
      </c>
      <c r="E50" s="240">
        <f t="shared" si="4"/>
        <v>10</v>
      </c>
      <c r="F50" s="44" t="s">
        <v>586</v>
      </c>
      <c r="G50" s="18" t="str">
        <f t="shared" si="198"/>
        <v/>
      </c>
      <c r="H50" s="44" t="s">
        <v>20</v>
      </c>
      <c r="I50" s="18" t="str">
        <f t="shared" si="199"/>
        <v/>
      </c>
      <c r="J50" s="55" t="str">
        <f t="shared" si="200"/>
        <v>Posibilidad</v>
      </c>
      <c r="K50" s="43" t="s">
        <v>11</v>
      </c>
      <c r="L50" s="18">
        <f t="shared" si="201"/>
        <v>15</v>
      </c>
      <c r="M50" s="43" t="s">
        <v>11</v>
      </c>
      <c r="N50" s="18">
        <f t="shared" si="202"/>
        <v>30</v>
      </c>
      <c r="O50" s="43" t="s">
        <v>323</v>
      </c>
      <c r="P50" s="18">
        <f t="shared" si="203"/>
        <v>10</v>
      </c>
      <c r="Q50" s="43" t="s">
        <v>11</v>
      </c>
      <c r="R50" s="18">
        <f t="shared" si="204"/>
        <v>5</v>
      </c>
      <c r="S50" s="43" t="s">
        <v>11</v>
      </c>
      <c r="T50" s="18">
        <f t="shared" si="205"/>
        <v>15</v>
      </c>
      <c r="U50" s="43" t="s">
        <v>11</v>
      </c>
      <c r="V50" s="18">
        <f t="shared" si="206"/>
        <v>10</v>
      </c>
      <c r="W50" s="18">
        <f t="shared" si="207"/>
        <v>95</v>
      </c>
      <c r="X50" s="57" t="str">
        <f t="shared" si="208"/>
        <v>95                           Disminuye max 2 en Posibilidad</v>
      </c>
      <c r="Y50" s="57">
        <f t="shared" si="209"/>
        <v>2</v>
      </c>
      <c r="Z50" s="356">
        <f t="shared" si="210"/>
        <v>0</v>
      </c>
      <c r="AA50" s="498"/>
      <c r="AB50" s="500"/>
      <c r="AC50" s="3">
        <f t="shared" ref="AC50" si="276">SUM(Z49:Z51)</f>
        <v>0</v>
      </c>
      <c r="AD50" s="3">
        <f>ANALISIS!G24</f>
        <v>4</v>
      </c>
      <c r="AE50" s="3">
        <f t="shared" si="260"/>
        <v>4</v>
      </c>
      <c r="AF50" s="501"/>
      <c r="AG50" s="355" t="str">
        <f t="shared" ref="AG50" si="277">IF(AE50=1,AH50,IF(AE50=2,AI50,IF(AE50=3,AJ50,IF(AE50=4,AK50,AL50))))</f>
        <v>- Reducir el Riesgo- Compartir o Transferir el Riesgo</v>
      </c>
      <c r="AH50" s="46" t="str">
        <f t="shared" ref="AH50" si="278">IF($AF49=11,"- Asumir el Riesgo",IF($AF49=12,"- Asumir el Riesgo- Evitar Posibilidad de Ocurrencia- Reducir el Riesgo",IF($AF49=13,"- Asumir el Riesgo- Evitar Posibilidad de Ocurrencia- Reducir el Riesgo",IF($AF49=14,"-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0" s="46" t="str">
        <f t="shared" ref="AI50" si="279">IF($AF49=21,"- Asumir el Riesgo- Reducir el Riesgo",IF($AF49=22,"- Asumir el Riesgo- Evitar Posibilidad de Ocurrencia- Reducir el Riesgo",IF($AF49=23,"- Asumir el Riesgo- Evitar Posibilidad de Ocurrencia- Reducir el Riesgo- Compartir o Transferir el Riesgo",IF($AF49=24,"- Evitar Posibilidad de Ocurrencia- Reducir el Riesgo- Compartir o Transferir el Riesgo","- Evitar Posibilidad de Ocurrencia- Reducir el Riesgo- Compartir o Transferir el Riesgo"))))</f>
        <v>- Evitar Posibilidad de Ocurrencia- Reducir el Riesgo- Compartir o Transferir el Riesgo</v>
      </c>
      <c r="AJ50" s="46" t="str">
        <f t="shared" ref="AJ50" si="280">IF($AF49=31,"- Asumir el Riesgo- Reducir el Riesgo- Compartir o Transferir el Riesgo",IF($AF49=32,"- Asumir el Riesgo- Evitar Posibilidad de Ocurrencia- Reducir el Reducir- Compartir o Transferir el Riesgo",IF($AF49=33,"- Evitar Posibilidad de Ocurrencia- Reducir el Riesgo- Compartir o Transferir el Riesgo",IF($AF49=34,"-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0" s="46" t="str">
        <f t="shared" ref="AK50" si="281">IF($AF49=41,"- Reducir el Riesgo- Compartir o Transferir el Riesgo",IF($AF49=42,"- Evitar Posibilidad de Ocurrencia- Reducir el Riesgo- Compartir o Transferir el Riesgo",IF($AF49=43,"- Eliminar Causa(s)- Evitar Posibilidad de Ocurrencia- Reducir el Riesgo- Compartir o Transferir el Riesgo",IF($AF49=44,"- Eliminar Causa(s)- Evitar Posibilidad de Ocurrencia- Reducir el Riesgo- Compartir o Transferir el Riesgo","- Eliminar Causa(s)- Evitar Posibilidad de Ocurrencia- Reducir el Riesgo- Compartir o Transferir el Riesgo"))))</f>
        <v>- Reducir el Riesgo- Compartir o Transferir el Riesgo</v>
      </c>
      <c r="AL50" s="46" t="str">
        <f t="shared" ref="AL50" si="282">IF($AF49=51,"- Reducir el Riesgo- Compartir o Transferir el Riesgo",IF($AF49=52,"- Eliminar Causa(s)- Evitar Posibilidad de Ocurrencia- Reducir el Riesgo- Compartir o Transferir el Riesgo",IF($AF49=53,"- Eliminar Causa(s)- Evitar Posibilidad de Ocurrencia- Reducir el Riesgo- Compartir o Transferir el Riesgo",IF($AF49=54,"-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50" s="3" t="str">
        <f t="shared" si="222"/>
        <v/>
      </c>
      <c r="AN50" s="3" t="str">
        <f t="shared" si="223"/>
        <v/>
      </c>
      <c r="AO50" s="3" t="str">
        <f t="shared" si="224"/>
        <v/>
      </c>
      <c r="AP50" s="3" t="str">
        <f t="shared" si="225"/>
        <v/>
      </c>
      <c r="AQ50" s="3" t="str">
        <f t="shared" ref="AQ50:AQ51" si="283">IF(AQ49="Documentar",AQ49,AM50)</f>
        <v/>
      </c>
      <c r="AR50" s="3" t="str">
        <f t="shared" ref="AR50:AR51" si="284">IF(AR49="Asignar responsable",AR49,AN50)</f>
        <v/>
      </c>
      <c r="AT50" s="3" t="str">
        <f t="shared" ref="AT50:AT51" si="285">IF(AT49="Establecer periodos de seguimiento adecuados",AT49,AO50)</f>
        <v/>
      </c>
      <c r="AV50" s="3" t="str">
        <f t="shared" ref="AV50:AV51" si="286">IF(AV49="Guardar Evidencias",AV49,AP50)</f>
        <v/>
      </c>
      <c r="AX50" s="502"/>
      <c r="AY50" s="502"/>
      <c r="AZ50" s="502"/>
      <c r="BA50" s="502"/>
      <c r="BB50" s="3" t="str">
        <f t="shared" si="234"/>
        <v>SI</v>
      </c>
      <c r="BC50" s="3" t="str">
        <f t="shared" si="235"/>
        <v/>
      </c>
      <c r="BD50" s="3" t="str">
        <f t="shared" si="236"/>
        <v>SI</v>
      </c>
      <c r="BE50" s="3" t="str">
        <f t="shared" si="237"/>
        <v/>
      </c>
      <c r="BF50" s="3" t="str">
        <f t="shared" si="238"/>
        <v>SI</v>
      </c>
      <c r="BG50" s="3" t="str">
        <f t="shared" si="239"/>
        <v/>
      </c>
      <c r="BH50" s="3" t="str">
        <f t="shared" si="240"/>
        <v>P</v>
      </c>
      <c r="BI50" s="3" t="str">
        <f t="shared" si="25"/>
        <v/>
      </c>
      <c r="BJ50" s="3" t="str">
        <f t="shared" si="26"/>
        <v>M</v>
      </c>
      <c r="BK50" s="3" t="str">
        <f t="shared" si="27"/>
        <v/>
      </c>
      <c r="BL50" s="3" t="str">
        <f t="shared" si="241"/>
        <v>SI</v>
      </c>
      <c r="BM50" s="3" t="str">
        <f t="shared" si="242"/>
        <v/>
      </c>
    </row>
    <row r="51" spans="1:65" ht="36" customHeight="1" x14ac:dyDescent="0.2">
      <c r="A51" s="503"/>
      <c r="B51" s="496"/>
      <c r="C51" s="356">
        <v>3</v>
      </c>
      <c r="D51" s="56" t="s">
        <v>11</v>
      </c>
      <c r="E51" s="240">
        <f t="shared" si="4"/>
        <v>10</v>
      </c>
      <c r="F51" s="44" t="s">
        <v>587</v>
      </c>
      <c r="G51" s="18" t="str">
        <f t="shared" si="198"/>
        <v/>
      </c>
      <c r="H51" s="44" t="s">
        <v>20</v>
      </c>
      <c r="I51" s="18" t="str">
        <f t="shared" si="199"/>
        <v/>
      </c>
      <c r="J51" s="55" t="str">
        <f t="shared" si="200"/>
        <v>Posibilidad</v>
      </c>
      <c r="K51" s="43" t="s">
        <v>11</v>
      </c>
      <c r="L51" s="18">
        <f t="shared" si="201"/>
        <v>15</v>
      </c>
      <c r="M51" s="43" t="s">
        <v>11</v>
      </c>
      <c r="N51" s="18">
        <f t="shared" si="202"/>
        <v>30</v>
      </c>
      <c r="O51" s="43" t="s">
        <v>323</v>
      </c>
      <c r="P51" s="18">
        <f t="shared" si="203"/>
        <v>10</v>
      </c>
      <c r="Q51" s="43" t="s">
        <v>11</v>
      </c>
      <c r="R51" s="18">
        <f t="shared" si="204"/>
        <v>5</v>
      </c>
      <c r="S51" s="43" t="s">
        <v>11</v>
      </c>
      <c r="T51" s="18">
        <f t="shared" si="205"/>
        <v>15</v>
      </c>
      <c r="U51" s="43" t="s">
        <v>11</v>
      </c>
      <c r="V51" s="18">
        <f t="shared" si="206"/>
        <v>10</v>
      </c>
      <c r="W51" s="18">
        <f t="shared" si="207"/>
        <v>95</v>
      </c>
      <c r="X51" s="57" t="str">
        <f t="shared" si="208"/>
        <v>95                           Disminuye max 2 en Posibilidad</v>
      </c>
      <c r="Y51" s="57">
        <f t="shared" si="209"/>
        <v>2</v>
      </c>
      <c r="Z51" s="356">
        <f t="shared" si="210"/>
        <v>0</v>
      </c>
      <c r="AA51" s="499"/>
      <c r="AB51" s="500"/>
      <c r="AM51" s="3" t="str">
        <f t="shared" si="222"/>
        <v/>
      </c>
      <c r="AN51" s="3" t="str">
        <f t="shared" si="223"/>
        <v/>
      </c>
      <c r="AO51" s="3" t="str">
        <f t="shared" si="224"/>
        <v/>
      </c>
      <c r="AP51" s="3" t="str">
        <f t="shared" si="225"/>
        <v/>
      </c>
      <c r="AQ51" s="3" t="str">
        <f t="shared" si="283"/>
        <v/>
      </c>
      <c r="AR51" s="3" t="str">
        <f t="shared" si="284"/>
        <v/>
      </c>
      <c r="AS51" s="3" t="str">
        <f t="shared" ref="AS51" si="287">IF(AND(AQ51="Documentar",AR51="Asignar responsable"),CONCATENATE("- ",AQ51,", ",AR51),IF(AQ51="Documentar",CONCATENATE("- ",AQ51),IF(AR51="Asignar responsable",CONCATENATE("- ",AR51),"")))</f>
        <v/>
      </c>
      <c r="AT51" s="3" t="str">
        <f t="shared" si="285"/>
        <v/>
      </c>
      <c r="AU51" s="3" t="str">
        <f t="shared" ref="AU51" si="288">IF(AT51="",AS51,IF(AS51="",CONCATENATE("- ",AT51),CONCATENATE(AS51,", ",AT51)))</f>
        <v/>
      </c>
      <c r="AV51" s="3" t="str">
        <f t="shared" si="286"/>
        <v/>
      </c>
      <c r="AW51" s="3" t="str">
        <f t="shared" ref="AW51" si="289">IF(AV51="",AU51,IF(AU51="",CONCATENATE("- ",AV51),CONCATENATE(AU51,", ",AV51)))</f>
        <v/>
      </c>
      <c r="AX51" s="502"/>
      <c r="AY51" s="502"/>
      <c r="AZ51" s="502"/>
      <c r="BA51" s="502"/>
      <c r="BB51" s="3" t="str">
        <f t="shared" si="234"/>
        <v>SI</v>
      </c>
      <c r="BC51" s="3" t="str">
        <f t="shared" si="235"/>
        <v/>
      </c>
      <c r="BD51" s="3" t="str">
        <f t="shared" si="236"/>
        <v>SI</v>
      </c>
      <c r="BE51" s="3" t="str">
        <f t="shared" si="237"/>
        <v/>
      </c>
      <c r="BF51" s="3" t="str">
        <f t="shared" si="238"/>
        <v>SI</v>
      </c>
      <c r="BG51" s="3" t="str">
        <f t="shared" si="239"/>
        <v/>
      </c>
      <c r="BH51" s="3" t="str">
        <f t="shared" si="240"/>
        <v>P</v>
      </c>
      <c r="BI51" s="3" t="str">
        <f t="shared" si="25"/>
        <v/>
      </c>
      <c r="BJ51" s="3" t="str">
        <f t="shared" si="26"/>
        <v>M</v>
      </c>
      <c r="BK51" s="3" t="str">
        <f t="shared" si="27"/>
        <v/>
      </c>
      <c r="BL51" s="3" t="str">
        <f t="shared" si="241"/>
        <v>SI</v>
      </c>
      <c r="BM51" s="3" t="str">
        <f t="shared" si="242"/>
        <v/>
      </c>
    </row>
    <row r="52" spans="1:65" ht="36" customHeight="1" x14ac:dyDescent="0.2">
      <c r="A52" s="503" t="str">
        <f>IDENTIFICACIÓN!C23</f>
        <v>15G</v>
      </c>
      <c r="B52" s="496" t="str">
        <f>IF(IDENTIFICACIÓN!D23="","",IDENTIFICACIÓN!D23)</f>
        <v xml:space="preserve">Gestión de Investigación. No fomentar la actividad investigativa en la Universidad.  </v>
      </c>
      <c r="C52" s="356">
        <v>1</v>
      </c>
      <c r="D52" s="56" t="s">
        <v>11</v>
      </c>
      <c r="E52" s="240">
        <f t="shared" si="4"/>
        <v>10</v>
      </c>
      <c r="F52" s="44" t="s">
        <v>588</v>
      </c>
      <c r="G52" s="18" t="str">
        <f t="shared" si="198"/>
        <v/>
      </c>
      <c r="H52" s="44" t="s">
        <v>20</v>
      </c>
      <c r="I52" s="18" t="str">
        <f t="shared" si="199"/>
        <v/>
      </c>
      <c r="J52" s="55" t="str">
        <f t="shared" si="200"/>
        <v>Posibilidad</v>
      </c>
      <c r="K52" s="43" t="s">
        <v>11</v>
      </c>
      <c r="L52" s="18">
        <f t="shared" si="201"/>
        <v>15</v>
      </c>
      <c r="M52" s="43" t="s">
        <v>11</v>
      </c>
      <c r="N52" s="18">
        <f t="shared" si="202"/>
        <v>30</v>
      </c>
      <c r="O52" s="43" t="s">
        <v>322</v>
      </c>
      <c r="P52" s="18">
        <f t="shared" si="203"/>
        <v>15</v>
      </c>
      <c r="Q52" s="43" t="s">
        <v>11</v>
      </c>
      <c r="R52" s="18">
        <f t="shared" si="204"/>
        <v>5</v>
      </c>
      <c r="S52" s="43" t="s">
        <v>11</v>
      </c>
      <c r="T52" s="18">
        <f t="shared" si="205"/>
        <v>15</v>
      </c>
      <c r="U52" s="43" t="s">
        <v>11</v>
      </c>
      <c r="V52" s="18">
        <f t="shared" si="206"/>
        <v>10</v>
      </c>
      <c r="W52" s="18">
        <f t="shared" si="207"/>
        <v>100</v>
      </c>
      <c r="X52" s="57" t="str">
        <f t="shared" si="208"/>
        <v>100                           Disminuye max 2 en Posibilidad</v>
      </c>
      <c r="Y52" s="57">
        <f t="shared" si="209"/>
        <v>2</v>
      </c>
      <c r="Z52" s="356">
        <f t="shared" si="210"/>
        <v>0</v>
      </c>
      <c r="AA52" s="497">
        <f t="shared" ref="AA52" si="290">IF(AB52=0,"",(ROUND((SUM(W52:W54)/AB52),0)))</f>
        <v>98</v>
      </c>
      <c r="AB52" s="500">
        <f t="shared" ref="AB52" si="291">COUNT(T52:T54)</f>
        <v>3</v>
      </c>
      <c r="AC52" s="3">
        <f t="shared" ref="AC52" si="292">SUM(Y52:Y54)</f>
        <v>6</v>
      </c>
      <c r="AD52" s="3">
        <f>ANALISIS!D25</f>
        <v>1</v>
      </c>
      <c r="AE52" s="3">
        <f t="shared" ref="AE52:AE53" si="293">IF((AD52-AC52)&gt;=1,(AD52-AC52),1)</f>
        <v>1</v>
      </c>
      <c r="AF52" s="501">
        <f t="shared" ref="AF52" si="294">(AE53*10)+AE52</f>
        <v>51</v>
      </c>
      <c r="AG52" s="355" t="str">
        <f t="shared" ref="AG52" si="295">IF(AE53=1,AH52,IF(AE53=2,AI52,IF(AE53=3,AJ52,IF(AE53=4,AK52,AL52))))</f>
        <v>ALTA 1:5</v>
      </c>
      <c r="AH52" s="46" t="str">
        <f t="shared" ref="AH52" si="296">IF($AF52=11,"BAJA 1:1",IF($AF52=12,"BAJA 2:1",IF($AF52=13,"BAJA 3:1",IF($AF52=14,"MODERADA 4:1","ALTA 5:1"))))</f>
        <v>ALTA 5:1</v>
      </c>
      <c r="AI52" s="46" t="str">
        <f t="shared" ref="AI52" si="297">IF($AF52=21,"BAJA 1:2",IF($AF52=22,"BAJA 2:2",IF($AF52=23,"MODERADA 3:2",IF($AF52=24,"ALTA 4:2","ALTA 5:2"))))</f>
        <v>ALTA 5:2</v>
      </c>
      <c r="AJ52" s="46" t="str">
        <f t="shared" ref="AJ52" si="298">IF($AF52=31,"MODERADA 1:3",IF($AF52=32,"MODERADA 2:3",IF($AF52=33,"ALTA 3:3",IF($AF52=34,"ALTA 4:3","EXTREMA 5:3"))))</f>
        <v>EXTREMA 5:3</v>
      </c>
      <c r="AK52" s="46" t="str">
        <f t="shared" ref="AK52" si="299">IF($AF52=41,"ALTA 1:4",IF($AF52=42,"ALTA 2:4",IF($AF52=43,"EXTREMA 3:4",IF($AF52=44,"EXTREMA 4:4","EXTREMA 5:4"))))</f>
        <v>EXTREMA 5:4</v>
      </c>
      <c r="AL52" s="46" t="str">
        <f t="shared" ref="AL52" si="300">IF($AF52=51,"ALTA 1:5",IF($AF52=52,"EXTREMA 2:5",IF($AF52=53,"EXTREMA 3:5",IF($AF52=54,"EXTREMA 4:5","EXTREMA 5:5"))))</f>
        <v>ALTA 1:5</v>
      </c>
      <c r="AM52" s="3" t="str">
        <f t="shared" si="222"/>
        <v/>
      </c>
      <c r="AN52" s="3" t="str">
        <f t="shared" si="223"/>
        <v/>
      </c>
      <c r="AO52" s="3" t="str">
        <f t="shared" si="224"/>
        <v/>
      </c>
      <c r="AP52" s="3" t="str">
        <f t="shared" si="225"/>
        <v/>
      </c>
      <c r="AQ52" s="3" t="str">
        <f t="shared" ref="AQ52" si="301">AM52</f>
        <v/>
      </c>
      <c r="AR52" s="3" t="str">
        <f t="shared" ref="AR52" si="302">AN52</f>
        <v/>
      </c>
      <c r="AT52" s="3" t="str">
        <f t="shared" ref="AT52" si="303">AO52</f>
        <v/>
      </c>
      <c r="AV52" s="3" t="str">
        <f t="shared" ref="AV52" si="304">AP52</f>
        <v/>
      </c>
      <c r="AX52" s="502" t="str">
        <f t="shared" ref="AX52" si="305">IF(AW54="","",CONCATENATE(AW54," (de) el(los) control(es) Efectivo(s) "))</f>
        <v/>
      </c>
      <c r="AY52" s="502" t="str">
        <f t="shared" ref="AY52" si="306">IF(CONCATENATE(N52:N54)="","",IF(AND(SUM(E52:E54)=10,SUM(N52:N54)&lt;30),"- Replantear control(es) NO efectivo(s) ",IF(AND(SUM(E52:E54)=20,SUM(N52:N54)&lt;60),"- Replantear control(es) NO efectivo(s) ",IF(AND(SUM(E52:E54)=30,SUM(N52:N54)&lt;90),"- Replantear control(es) NO efectivo(s) ",""))))</f>
        <v/>
      </c>
      <c r="AZ52" s="502" t="str">
        <f t="shared" ref="AZ52" si="307">IF(AND(AE52&gt;1,AE53&gt;1),"- Tomar Acciones Preventivas y Correctivas",IF(AE52&gt;1,"- Tomar Acciones Preventivas",IF(AE53&gt;1,"- Tomar Acciones Correctivas","")))</f>
        <v>- Tomar Acciones Correctivas</v>
      </c>
      <c r="BA52" s="502" t="str">
        <f t="shared" ref="BA52" si="308">CONCATENATE(AX52,AY52,AZ52)</f>
        <v>- Tomar Acciones Correctivas</v>
      </c>
      <c r="BB52" s="3" t="str">
        <f t="shared" si="234"/>
        <v>SI</v>
      </c>
      <c r="BC52" s="3" t="str">
        <f t="shared" si="235"/>
        <v/>
      </c>
      <c r="BD52" s="3" t="str">
        <f t="shared" si="236"/>
        <v>SI</v>
      </c>
      <c r="BE52" s="3" t="str">
        <f t="shared" si="237"/>
        <v/>
      </c>
      <c r="BF52" s="3" t="str">
        <f t="shared" si="238"/>
        <v>SI</v>
      </c>
      <c r="BG52" s="3" t="str">
        <f t="shared" si="239"/>
        <v/>
      </c>
      <c r="BH52" s="3" t="str">
        <f t="shared" si="240"/>
        <v>P</v>
      </c>
      <c r="BI52" s="3" t="str">
        <f t="shared" si="25"/>
        <v/>
      </c>
      <c r="BJ52" s="3" t="str">
        <f t="shared" si="26"/>
        <v>A</v>
      </c>
      <c r="BK52" s="3" t="str">
        <f t="shared" si="27"/>
        <v/>
      </c>
      <c r="BL52" s="3" t="str">
        <f t="shared" si="241"/>
        <v>SI</v>
      </c>
      <c r="BM52" s="3" t="str">
        <f t="shared" si="242"/>
        <v/>
      </c>
    </row>
    <row r="53" spans="1:65" ht="36" customHeight="1" x14ac:dyDescent="0.2">
      <c r="A53" s="503"/>
      <c r="B53" s="496"/>
      <c r="C53" s="356">
        <v>2</v>
      </c>
      <c r="D53" s="56" t="s">
        <v>11</v>
      </c>
      <c r="E53" s="240">
        <f t="shared" si="4"/>
        <v>10</v>
      </c>
      <c r="F53" s="44" t="s">
        <v>589</v>
      </c>
      <c r="G53" s="18" t="str">
        <f t="shared" si="198"/>
        <v/>
      </c>
      <c r="H53" s="44" t="s">
        <v>20</v>
      </c>
      <c r="I53" s="18" t="str">
        <f t="shared" si="199"/>
        <v/>
      </c>
      <c r="J53" s="55" t="str">
        <f t="shared" si="200"/>
        <v>Posibilidad</v>
      </c>
      <c r="K53" s="43" t="s">
        <v>11</v>
      </c>
      <c r="L53" s="18">
        <f t="shared" si="201"/>
        <v>15</v>
      </c>
      <c r="M53" s="43" t="s">
        <v>11</v>
      </c>
      <c r="N53" s="18">
        <f t="shared" si="202"/>
        <v>30</v>
      </c>
      <c r="O53" s="43" t="s">
        <v>323</v>
      </c>
      <c r="P53" s="18">
        <f t="shared" si="203"/>
        <v>10</v>
      </c>
      <c r="Q53" s="43" t="s">
        <v>11</v>
      </c>
      <c r="R53" s="18">
        <f t="shared" si="204"/>
        <v>5</v>
      </c>
      <c r="S53" s="43" t="s">
        <v>11</v>
      </c>
      <c r="T53" s="18">
        <f t="shared" si="205"/>
        <v>15</v>
      </c>
      <c r="U53" s="43" t="s">
        <v>11</v>
      </c>
      <c r="V53" s="18">
        <f t="shared" si="206"/>
        <v>10</v>
      </c>
      <c r="W53" s="18">
        <f t="shared" si="207"/>
        <v>95</v>
      </c>
      <c r="X53" s="57" t="str">
        <f t="shared" si="208"/>
        <v>95                           Disminuye max 2 en Posibilidad</v>
      </c>
      <c r="Y53" s="57">
        <f t="shared" si="209"/>
        <v>2</v>
      </c>
      <c r="Z53" s="356">
        <f t="shared" si="210"/>
        <v>0</v>
      </c>
      <c r="AA53" s="498"/>
      <c r="AB53" s="500"/>
      <c r="AC53" s="3">
        <f t="shared" ref="AC53" si="309">SUM(Z52:Z54)</f>
        <v>0</v>
      </c>
      <c r="AD53" s="3">
        <f>ANALISIS!G25</f>
        <v>5</v>
      </c>
      <c r="AE53" s="3">
        <f t="shared" si="293"/>
        <v>5</v>
      </c>
      <c r="AF53" s="501"/>
      <c r="AG53" s="355" t="str">
        <f t="shared" ref="AG53" si="310">IF(AE53=1,AH53,IF(AE53=2,AI53,IF(AE53=3,AJ53,IF(AE53=4,AK53,AL53))))</f>
        <v>- Reducir el Riesgo- Compartir o Transferir el Riesgo</v>
      </c>
      <c r="AH53" s="46" t="str">
        <f t="shared" ref="AH53" si="311">IF($AF52=11,"- Asumir el Riesgo",IF($AF52=12,"- Asumir el Riesgo- Evitar Posibilidad de Ocurrencia- Reducir el Riesgo",IF($AF52=13,"- Asumir el Riesgo- Evitar Posibilidad de Ocurrencia- Reducir el Riesgo",IF($AF52=14,"-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3" s="46" t="str">
        <f t="shared" ref="AI53" si="312">IF($AF52=21,"- Asumir el Riesgo- Reducir el Riesgo",IF($AF52=22,"- Asumir el Riesgo- Evitar Posibilidad de Ocurrencia- Reducir el Riesgo",IF($AF52=23,"- Asumir el Riesgo- Evitar Posibilidad de Ocurrencia- Reducir el Riesgo- Compartir o Transferir el Riesgo",IF($AF52=24,"- Evitar Posibilidad de Ocurrencia- Reducir el Riesgo- Compartir o Transferir el Riesgo","- Evitar Posibilidad de Ocurrencia- Reducir el Riesgo- Compartir o Transferir el Riesgo"))))</f>
        <v>- Evitar Posibilidad de Ocurrencia- Reducir el Riesgo- Compartir o Transferir el Riesgo</v>
      </c>
      <c r="AJ53" s="46" t="str">
        <f t="shared" ref="AJ53" si="313">IF($AF52=31,"- Asumir el Riesgo- Reducir el Riesgo- Compartir o Transferir el Riesgo",IF($AF52=32,"- Asumir el Riesgo- Evitar Posibilidad de Ocurrencia- Reducir el Reducir- Compartir o Transferir el Riesgo",IF($AF52=33,"- Evitar Posibilidad de Ocurrencia- Reducir el Riesgo- Compartir o Transferir el Riesgo",IF($AF52=34,"-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3" s="46" t="str">
        <f t="shared" ref="AK53" si="314">IF($AF52=41,"- Reducir el Riesgo- Compartir o Transferir el Riesgo",IF($AF52=42,"- Evitar Posibilidad de Ocurrencia- Reducir el Riesgo- Compartir o Transferir el Riesgo",IF($AF52=43,"- Eliminar Causa(s)- Evitar Posibilidad de Ocurrencia- Reducir el Riesgo- Compartir o Transferir el Riesgo",IF($AF52=44,"-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53" s="46" t="str">
        <f t="shared" ref="AL53" si="315">IF($AF52=51,"- Reducir el Riesgo- Compartir o Transferir el Riesgo",IF($AF52=52,"- Eliminar Causa(s)- Evitar Posibilidad de Ocurrencia- Reducir el Riesgo- Compartir o Transferir el Riesgo",IF($AF52=53,"- Eliminar Causa(s)- Evitar Posibilidad de Ocurrencia- Reducir el Riesgo- Compartir o Transferir el Riesgo",IF($AF52=54,"- Eliminar Causa(s)- Evitar Posibilidad de Ocurrencia- Reducir el Riesgo- Compartir o Transferir el Riesgo","- Eliminar Causa(s)- Evitar Posibilidad de Ocurrencia- Reducir el Riesgo- Compartir o Transferir el Riesgo"))))</f>
        <v>- Reducir el Riesgo- Compartir o Transferir el Riesgo</v>
      </c>
      <c r="AM53" s="3" t="str">
        <f t="shared" si="222"/>
        <v/>
      </c>
      <c r="AN53" s="3" t="str">
        <f t="shared" si="223"/>
        <v/>
      </c>
      <c r="AO53" s="3" t="str">
        <f t="shared" si="224"/>
        <v/>
      </c>
      <c r="AP53" s="3" t="str">
        <f t="shared" si="225"/>
        <v/>
      </c>
      <c r="AQ53" s="3" t="str">
        <f t="shared" ref="AQ53:AQ54" si="316">IF(AQ52="Documentar",AQ52,AM53)</f>
        <v/>
      </c>
      <c r="AR53" s="3" t="str">
        <f t="shared" ref="AR53:AR54" si="317">IF(AR52="Asignar responsable",AR52,AN53)</f>
        <v/>
      </c>
      <c r="AT53" s="3" t="str">
        <f t="shared" ref="AT53:AT54" si="318">IF(AT52="Establecer periodos de seguimiento adecuados",AT52,AO53)</f>
        <v/>
      </c>
      <c r="AV53" s="3" t="str">
        <f t="shared" ref="AV53:AV54" si="319">IF(AV52="Guardar Evidencias",AV52,AP53)</f>
        <v/>
      </c>
      <c r="AX53" s="502"/>
      <c r="AY53" s="502"/>
      <c r="AZ53" s="502"/>
      <c r="BA53" s="502"/>
      <c r="BB53" s="3" t="str">
        <f t="shared" si="234"/>
        <v>SI</v>
      </c>
      <c r="BC53" s="3" t="str">
        <f t="shared" si="235"/>
        <v/>
      </c>
      <c r="BD53" s="3" t="str">
        <f t="shared" si="236"/>
        <v>SI</v>
      </c>
      <c r="BE53" s="3" t="str">
        <f t="shared" si="237"/>
        <v/>
      </c>
      <c r="BF53" s="3" t="str">
        <f t="shared" si="238"/>
        <v>SI</v>
      </c>
      <c r="BG53" s="3" t="str">
        <f t="shared" si="239"/>
        <v/>
      </c>
      <c r="BH53" s="3" t="str">
        <f t="shared" si="240"/>
        <v>P</v>
      </c>
      <c r="BI53" s="3" t="str">
        <f t="shared" si="25"/>
        <v/>
      </c>
      <c r="BJ53" s="3" t="str">
        <f t="shared" si="26"/>
        <v>M</v>
      </c>
      <c r="BK53" s="3" t="str">
        <f t="shared" si="27"/>
        <v/>
      </c>
      <c r="BL53" s="3" t="str">
        <f t="shared" si="241"/>
        <v>SI</v>
      </c>
      <c r="BM53" s="3" t="str">
        <f t="shared" si="242"/>
        <v/>
      </c>
    </row>
    <row r="54" spans="1:65" ht="36" customHeight="1" x14ac:dyDescent="0.2">
      <c r="A54" s="503"/>
      <c r="B54" s="496"/>
      <c r="C54" s="356">
        <v>3</v>
      </c>
      <c r="D54" s="56" t="s">
        <v>11</v>
      </c>
      <c r="E54" s="240">
        <f t="shared" si="4"/>
        <v>10</v>
      </c>
      <c r="F54" s="44" t="s">
        <v>590</v>
      </c>
      <c r="G54" s="18" t="str">
        <f t="shared" si="198"/>
        <v/>
      </c>
      <c r="H54" s="44" t="s">
        <v>20</v>
      </c>
      <c r="I54" s="18" t="str">
        <f t="shared" si="199"/>
        <v/>
      </c>
      <c r="J54" s="55" t="str">
        <f t="shared" si="200"/>
        <v>Posibilidad</v>
      </c>
      <c r="K54" s="43" t="s">
        <v>11</v>
      </c>
      <c r="L54" s="18">
        <f t="shared" si="201"/>
        <v>15</v>
      </c>
      <c r="M54" s="43" t="s">
        <v>11</v>
      </c>
      <c r="N54" s="18">
        <f t="shared" si="202"/>
        <v>30</v>
      </c>
      <c r="O54" s="43" t="s">
        <v>322</v>
      </c>
      <c r="P54" s="18">
        <f t="shared" si="203"/>
        <v>15</v>
      </c>
      <c r="Q54" s="43" t="s">
        <v>11</v>
      </c>
      <c r="R54" s="18">
        <f t="shared" si="204"/>
        <v>5</v>
      </c>
      <c r="S54" s="43" t="s">
        <v>11</v>
      </c>
      <c r="T54" s="18">
        <f t="shared" si="205"/>
        <v>15</v>
      </c>
      <c r="U54" s="43" t="s">
        <v>11</v>
      </c>
      <c r="V54" s="18">
        <f t="shared" si="206"/>
        <v>10</v>
      </c>
      <c r="W54" s="18">
        <f t="shared" si="207"/>
        <v>100</v>
      </c>
      <c r="X54" s="57" t="str">
        <f t="shared" si="208"/>
        <v>100                           Disminuye max 2 en Posibilidad</v>
      </c>
      <c r="Y54" s="57">
        <f t="shared" si="209"/>
        <v>2</v>
      </c>
      <c r="Z54" s="356">
        <f t="shared" si="210"/>
        <v>0</v>
      </c>
      <c r="AA54" s="499"/>
      <c r="AB54" s="500"/>
      <c r="AM54" s="3" t="str">
        <f t="shared" si="222"/>
        <v/>
      </c>
      <c r="AN54" s="3" t="str">
        <f t="shared" si="223"/>
        <v/>
      </c>
      <c r="AO54" s="3" t="str">
        <f t="shared" si="224"/>
        <v/>
      </c>
      <c r="AP54" s="3" t="str">
        <f t="shared" si="225"/>
        <v/>
      </c>
      <c r="AQ54" s="3" t="str">
        <f t="shared" si="316"/>
        <v/>
      </c>
      <c r="AR54" s="3" t="str">
        <f t="shared" si="317"/>
        <v/>
      </c>
      <c r="AS54" s="3" t="str">
        <f t="shared" ref="AS54" si="320">IF(AND(AQ54="Documentar",AR54="Asignar responsable"),CONCATENATE("- ",AQ54,", ",AR54),IF(AQ54="Documentar",CONCATENATE("- ",AQ54),IF(AR54="Asignar responsable",CONCATENATE("- ",AR54),"")))</f>
        <v/>
      </c>
      <c r="AT54" s="3" t="str">
        <f t="shared" si="318"/>
        <v/>
      </c>
      <c r="AU54" s="3" t="str">
        <f t="shared" ref="AU54" si="321">IF(AT54="",AS54,IF(AS54="",CONCATENATE("- ",AT54),CONCATENATE(AS54,", ",AT54)))</f>
        <v/>
      </c>
      <c r="AV54" s="3" t="str">
        <f t="shared" si="319"/>
        <v/>
      </c>
      <c r="AW54" s="3" t="str">
        <f t="shared" ref="AW54" si="322">IF(AV54="",AU54,IF(AU54="",CONCATENATE("- ",AV54),CONCATENATE(AU54,", ",AV54)))</f>
        <v/>
      </c>
      <c r="AX54" s="502"/>
      <c r="AY54" s="502"/>
      <c r="AZ54" s="502"/>
      <c r="BA54" s="502"/>
      <c r="BB54" s="3" t="str">
        <f t="shared" si="234"/>
        <v>SI</v>
      </c>
      <c r="BC54" s="3" t="str">
        <f t="shared" si="235"/>
        <v/>
      </c>
      <c r="BD54" s="3" t="str">
        <f t="shared" si="236"/>
        <v>SI</v>
      </c>
      <c r="BE54" s="3" t="str">
        <f t="shared" si="237"/>
        <v/>
      </c>
      <c r="BF54" s="3" t="str">
        <f t="shared" si="238"/>
        <v>SI</v>
      </c>
      <c r="BG54" s="3" t="str">
        <f t="shared" si="239"/>
        <v/>
      </c>
      <c r="BH54" s="3" t="str">
        <f t="shared" si="240"/>
        <v>P</v>
      </c>
      <c r="BI54" s="3" t="str">
        <f t="shared" si="25"/>
        <v/>
      </c>
      <c r="BJ54" s="3" t="str">
        <f t="shared" si="26"/>
        <v>A</v>
      </c>
      <c r="BK54" s="3" t="str">
        <f t="shared" si="27"/>
        <v/>
      </c>
      <c r="BL54" s="3" t="str">
        <f t="shared" si="241"/>
        <v>SI</v>
      </c>
      <c r="BM54" s="3" t="str">
        <f t="shared" si="242"/>
        <v/>
      </c>
    </row>
    <row r="55" spans="1:65" ht="36" customHeight="1" x14ac:dyDescent="0.2">
      <c r="A55" s="503" t="str">
        <f>IDENTIFICACIÓN!C24</f>
        <v>16G</v>
      </c>
      <c r="B55" s="496" t="str">
        <f>IF(IDENTIFICACIÓN!D24="","",IDENTIFICACIÓN!D24)</f>
        <v>Gestión de Investigación. Deficiente cumplimiento del plan de acción de la Vicerrectoría de Investigación</v>
      </c>
      <c r="C55" s="356">
        <v>1</v>
      </c>
      <c r="D55" s="56" t="s">
        <v>11</v>
      </c>
      <c r="E55" s="240">
        <f t="shared" si="4"/>
        <v>10</v>
      </c>
      <c r="F55" s="44" t="s">
        <v>591</v>
      </c>
      <c r="G55" s="18" t="str">
        <f t="shared" si="198"/>
        <v/>
      </c>
      <c r="H55" s="44" t="s">
        <v>20</v>
      </c>
      <c r="I55" s="18" t="str">
        <f t="shared" si="199"/>
        <v/>
      </c>
      <c r="J55" s="55" t="str">
        <f t="shared" si="200"/>
        <v>Posibilidad</v>
      </c>
      <c r="K55" s="43" t="s">
        <v>11</v>
      </c>
      <c r="L55" s="18">
        <f t="shared" si="201"/>
        <v>15</v>
      </c>
      <c r="M55" s="43" t="s">
        <v>11</v>
      </c>
      <c r="N55" s="18">
        <f t="shared" si="202"/>
        <v>30</v>
      </c>
      <c r="O55" s="43" t="s">
        <v>323</v>
      </c>
      <c r="P55" s="18">
        <f t="shared" si="203"/>
        <v>10</v>
      </c>
      <c r="Q55" s="43" t="s">
        <v>11</v>
      </c>
      <c r="R55" s="18">
        <f t="shared" si="204"/>
        <v>5</v>
      </c>
      <c r="S55" s="43" t="s">
        <v>11</v>
      </c>
      <c r="T55" s="18">
        <f t="shared" si="205"/>
        <v>15</v>
      </c>
      <c r="U55" s="43" t="s">
        <v>11</v>
      </c>
      <c r="V55" s="18">
        <f t="shared" si="206"/>
        <v>10</v>
      </c>
      <c r="W55" s="18">
        <f t="shared" si="207"/>
        <v>95</v>
      </c>
      <c r="X55" s="57" t="str">
        <f t="shared" si="208"/>
        <v>95                           Disminuye max 2 en Posibilidad</v>
      </c>
      <c r="Y55" s="57">
        <f t="shared" si="209"/>
        <v>2</v>
      </c>
      <c r="Z55" s="356">
        <f t="shared" si="210"/>
        <v>0</v>
      </c>
      <c r="AA55" s="497">
        <f t="shared" ref="AA55" si="323">IF(AB55=0,"",(ROUND((SUM(W55:W57)/AB55),0)))</f>
        <v>95</v>
      </c>
      <c r="AB55" s="500">
        <f t="shared" ref="AB55" si="324">COUNT(T55:T57)</f>
        <v>3</v>
      </c>
      <c r="AC55" s="3">
        <f t="shared" ref="AC55" si="325">SUM(Y55:Y57)</f>
        <v>6</v>
      </c>
      <c r="AD55" s="3">
        <f>ANALISIS!D26</f>
        <v>1</v>
      </c>
      <c r="AE55" s="3">
        <f t="shared" ref="AE55:AE56" si="326">IF((AD55-AC55)&gt;=1,(AD55-AC55),1)</f>
        <v>1</v>
      </c>
      <c r="AF55" s="501">
        <f t="shared" ref="AF55" si="327">(AE56*10)+AE55</f>
        <v>41</v>
      </c>
      <c r="AG55" s="355" t="str">
        <f t="shared" ref="AG55" si="328">IF(AE56=1,AH55,IF(AE56=2,AI55,IF(AE56=3,AJ55,IF(AE56=4,AK55,AL55))))</f>
        <v>ALTA 1:4</v>
      </c>
      <c r="AH55" s="46" t="str">
        <f t="shared" ref="AH55" si="329">IF($AF55=11,"BAJA 1:1",IF($AF55=12,"BAJA 2:1",IF($AF55=13,"BAJA 3:1",IF($AF55=14,"MODERADA 4:1","ALTA 5:1"))))</f>
        <v>ALTA 5:1</v>
      </c>
      <c r="AI55" s="46" t="str">
        <f t="shared" ref="AI55" si="330">IF($AF55=21,"BAJA 1:2",IF($AF55=22,"BAJA 2:2",IF($AF55=23,"MODERADA 3:2",IF($AF55=24,"ALTA 4:2","ALTA 5:2"))))</f>
        <v>ALTA 5:2</v>
      </c>
      <c r="AJ55" s="46" t="str">
        <f t="shared" ref="AJ55" si="331">IF($AF55=31,"MODERADA 1:3",IF($AF55=32,"MODERADA 2:3",IF($AF55=33,"ALTA 3:3",IF($AF55=34,"ALTA 4:3","EXTREMA 5:3"))))</f>
        <v>EXTREMA 5:3</v>
      </c>
      <c r="AK55" s="46" t="str">
        <f t="shared" ref="AK55" si="332">IF($AF55=41,"ALTA 1:4",IF($AF55=42,"ALTA 2:4",IF($AF55=43,"EXTREMA 3:4",IF($AF55=44,"EXTREMA 4:4","EXTREMA 5:4"))))</f>
        <v>ALTA 1:4</v>
      </c>
      <c r="AL55" s="46" t="str">
        <f t="shared" ref="AL55" si="333">IF($AF55=51,"ALTA 1:5",IF($AF55=52,"EXTREMA 2:5",IF($AF55=53,"EXTREMA 3:5",IF($AF55=54,"EXTREMA 4:5","EXTREMA 5:5"))))</f>
        <v>EXTREMA 5:5</v>
      </c>
      <c r="AM55" s="3" t="str">
        <f t="shared" si="222"/>
        <v/>
      </c>
      <c r="AN55" s="3" t="str">
        <f t="shared" si="223"/>
        <v/>
      </c>
      <c r="AO55" s="3" t="str">
        <f t="shared" si="224"/>
        <v/>
      </c>
      <c r="AP55" s="3" t="str">
        <f t="shared" si="225"/>
        <v/>
      </c>
      <c r="AQ55" s="3" t="str">
        <f t="shared" ref="AQ55" si="334">AM55</f>
        <v/>
      </c>
      <c r="AR55" s="3" t="str">
        <f t="shared" ref="AR55" si="335">AN55</f>
        <v/>
      </c>
      <c r="AT55" s="3" t="str">
        <f t="shared" ref="AT55" si="336">AO55</f>
        <v/>
      </c>
      <c r="AV55" s="3" t="str">
        <f t="shared" ref="AV55" si="337">AP55</f>
        <v/>
      </c>
      <c r="AX55" s="502" t="str">
        <f t="shared" ref="AX55" si="338">IF(AW57="","",CONCATENATE(AW57," (de) el(los) control(es) Efectivo(s) "))</f>
        <v/>
      </c>
      <c r="AY55" s="502" t="str">
        <f t="shared" ref="AY55" si="339">IF(CONCATENATE(N55:N57)="","",IF(AND(SUM(E55:E57)=10,SUM(N55:N57)&lt;30),"- Replantear control(es) NO efectivo(s) ",IF(AND(SUM(E55:E57)=20,SUM(N55:N57)&lt;60),"- Replantear control(es) NO efectivo(s) ",IF(AND(SUM(E55:E57)=30,SUM(N55:N57)&lt;90),"- Replantear control(es) NO efectivo(s) ",""))))</f>
        <v/>
      </c>
      <c r="AZ55" s="502" t="str">
        <f t="shared" ref="AZ55" si="340">IF(AND(AE55&gt;1,AE56&gt;1),"- Tomar Acciones Preventivas y Correctivas",IF(AE55&gt;1,"- Tomar Acciones Preventivas",IF(AE56&gt;1,"- Tomar Acciones Correctivas","")))</f>
        <v>- Tomar Acciones Correctivas</v>
      </c>
      <c r="BA55" s="502" t="str">
        <f t="shared" ref="BA55" si="341">CONCATENATE(AX55,AY55,AZ55)</f>
        <v>- Tomar Acciones Correctivas</v>
      </c>
      <c r="BB55" s="3" t="str">
        <f t="shared" si="234"/>
        <v>SI</v>
      </c>
      <c r="BC55" s="3" t="str">
        <f t="shared" si="235"/>
        <v/>
      </c>
      <c r="BD55" s="3" t="str">
        <f t="shared" si="236"/>
        <v>SI</v>
      </c>
      <c r="BE55" s="3" t="str">
        <f t="shared" si="237"/>
        <v/>
      </c>
      <c r="BF55" s="3" t="str">
        <f t="shared" si="238"/>
        <v>SI</v>
      </c>
      <c r="BG55" s="3" t="str">
        <f t="shared" si="239"/>
        <v/>
      </c>
      <c r="BH55" s="3" t="str">
        <f t="shared" si="240"/>
        <v>P</v>
      </c>
      <c r="BI55" s="3" t="str">
        <f t="shared" si="25"/>
        <v/>
      </c>
      <c r="BJ55" s="3" t="str">
        <f t="shared" si="26"/>
        <v>M</v>
      </c>
      <c r="BK55" s="3" t="str">
        <f t="shared" si="27"/>
        <v/>
      </c>
      <c r="BL55" s="3" t="str">
        <f t="shared" si="241"/>
        <v>SI</v>
      </c>
      <c r="BM55" s="3" t="str">
        <f t="shared" si="242"/>
        <v/>
      </c>
    </row>
    <row r="56" spans="1:65" ht="36" customHeight="1" x14ac:dyDescent="0.2">
      <c r="A56" s="503"/>
      <c r="B56" s="496"/>
      <c r="C56" s="356">
        <v>2</v>
      </c>
      <c r="D56" s="56" t="s">
        <v>11</v>
      </c>
      <c r="E56" s="240">
        <f t="shared" si="4"/>
        <v>10</v>
      </c>
      <c r="F56" s="44" t="s">
        <v>592</v>
      </c>
      <c r="G56" s="18" t="str">
        <f t="shared" si="198"/>
        <v/>
      </c>
      <c r="H56" s="44" t="s">
        <v>20</v>
      </c>
      <c r="I56" s="18" t="str">
        <f t="shared" si="199"/>
        <v/>
      </c>
      <c r="J56" s="55" t="str">
        <f t="shared" si="200"/>
        <v>Posibilidad</v>
      </c>
      <c r="K56" s="43" t="s">
        <v>11</v>
      </c>
      <c r="L56" s="18">
        <f t="shared" si="201"/>
        <v>15</v>
      </c>
      <c r="M56" s="43" t="s">
        <v>11</v>
      </c>
      <c r="N56" s="18">
        <f t="shared" si="202"/>
        <v>30</v>
      </c>
      <c r="O56" s="43" t="s">
        <v>323</v>
      </c>
      <c r="P56" s="18">
        <f t="shared" si="203"/>
        <v>10</v>
      </c>
      <c r="Q56" s="43" t="s">
        <v>11</v>
      </c>
      <c r="R56" s="18">
        <f t="shared" si="204"/>
        <v>5</v>
      </c>
      <c r="S56" s="43" t="s">
        <v>11</v>
      </c>
      <c r="T56" s="18">
        <f t="shared" si="205"/>
        <v>15</v>
      </c>
      <c r="U56" s="43" t="s">
        <v>11</v>
      </c>
      <c r="V56" s="18">
        <f t="shared" si="206"/>
        <v>10</v>
      </c>
      <c r="W56" s="18">
        <f t="shared" si="207"/>
        <v>95</v>
      </c>
      <c r="X56" s="57" t="str">
        <f t="shared" si="208"/>
        <v>95                           Disminuye max 2 en Posibilidad</v>
      </c>
      <c r="Y56" s="57">
        <f t="shared" si="209"/>
        <v>2</v>
      </c>
      <c r="Z56" s="356">
        <f t="shared" si="210"/>
        <v>0</v>
      </c>
      <c r="AA56" s="498"/>
      <c r="AB56" s="500"/>
      <c r="AC56" s="3">
        <f t="shared" ref="AC56" si="342">SUM(Z55:Z57)</f>
        <v>0</v>
      </c>
      <c r="AD56" s="3">
        <f>ANALISIS!G26</f>
        <v>4</v>
      </c>
      <c r="AE56" s="3">
        <f t="shared" si="326"/>
        <v>4</v>
      </c>
      <c r="AF56" s="501"/>
      <c r="AG56" s="355" t="str">
        <f t="shared" ref="AG56" si="343">IF(AE56=1,AH56,IF(AE56=2,AI56,IF(AE56=3,AJ56,IF(AE56=4,AK56,AL56))))</f>
        <v>- Reducir el Riesgo- Compartir o Transferir el Riesgo</v>
      </c>
      <c r="AH56" s="46" t="str">
        <f t="shared" ref="AH56" si="344">IF($AF55=11,"- Asumir el Riesgo",IF($AF55=12,"- Asumir el Riesgo- Evitar Posibilidad de Ocurrencia- Reducir el Riesgo",IF($AF55=13,"- Asumir el Riesgo- Evitar Posibilidad de Ocurrencia- Reducir el Riesgo",IF($AF55=14,"-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6" s="46" t="str">
        <f t="shared" ref="AI56" si="345">IF($AF55=21,"- Asumir el Riesgo- Reducir el Riesgo",IF($AF55=22,"- Asumir el Riesgo- Evitar Posibilidad de Ocurrencia- Reducir el Riesgo",IF($AF55=23,"- Asumir el Riesgo- Evitar Posibilidad de Ocurrencia- Reducir el Riesgo- Compartir o Transferir el Riesgo",IF($AF55=24,"- Evitar Posibilidad de Ocurrencia- Reducir el Riesgo- Compartir o Transferir el Riesgo","- Evitar Posibilidad de Ocurrencia- Reducir el Riesgo- Compartir o Transferir el Riesgo"))))</f>
        <v>- Evitar Posibilidad de Ocurrencia- Reducir el Riesgo- Compartir o Transferir el Riesgo</v>
      </c>
      <c r="AJ56" s="46" t="str">
        <f t="shared" ref="AJ56" si="346">IF($AF55=31,"- Asumir el Riesgo- Reducir el Riesgo- Compartir o Transferir el Riesgo",IF($AF55=32,"- Asumir el Riesgo- Evitar Posibilidad de Ocurrencia- Reducir el Reducir- Compartir o Transferir el Riesgo",IF($AF55=33,"- Evitar Posibilidad de Ocurrencia- Reducir el Riesgo- Compartir o Transferir el Riesgo",IF($AF55=34,"-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6" s="46" t="str">
        <f t="shared" ref="AK56" si="347">IF($AF55=41,"- Reducir el Riesgo- Compartir o Transferir el Riesgo",IF($AF55=42,"- Evitar Posibilidad de Ocurrencia- Reducir el Riesgo- Compartir o Transferir el Riesgo",IF($AF55=43,"- Eliminar Causa(s)- Evitar Posibilidad de Ocurrencia- Reducir el Riesgo- Compartir o Transferir el Riesgo",IF($AF55=44,"- Eliminar Causa(s)- Evitar Posibilidad de Ocurrencia- Reducir el Riesgo- Compartir o Transferir el Riesgo","- Eliminar Causa(s)- Evitar Posibilidad de Ocurrencia- Reducir el Riesgo- Compartir o Transferir el Riesgo"))))</f>
        <v>- Reducir el Riesgo- Compartir o Transferir el Riesgo</v>
      </c>
      <c r="AL56" s="46" t="str">
        <f t="shared" ref="AL56" si="348">IF($AF55=51,"- Reducir el Riesgo- Compartir o Transferir el Riesgo",IF($AF55=52,"- Eliminar Causa(s)- Evitar Posibilidad de Ocurrencia- Reducir el Riesgo- Compartir o Transferir el Riesgo",IF($AF55=53,"- Eliminar Causa(s)- Evitar Posibilidad de Ocurrencia- Reducir el Riesgo- Compartir o Transferir el Riesgo",IF($AF55=54,"-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56" s="3" t="str">
        <f t="shared" si="222"/>
        <v/>
      </c>
      <c r="AN56" s="3" t="str">
        <f t="shared" si="223"/>
        <v/>
      </c>
      <c r="AO56" s="3" t="str">
        <f t="shared" si="224"/>
        <v/>
      </c>
      <c r="AP56" s="3" t="str">
        <f t="shared" si="225"/>
        <v/>
      </c>
      <c r="AQ56" s="3" t="str">
        <f t="shared" ref="AQ56:AQ57" si="349">IF(AQ55="Documentar",AQ55,AM56)</f>
        <v/>
      </c>
      <c r="AR56" s="3" t="str">
        <f t="shared" ref="AR56:AR57" si="350">IF(AR55="Asignar responsable",AR55,AN56)</f>
        <v/>
      </c>
      <c r="AT56" s="3" t="str">
        <f t="shared" ref="AT56:AT57" si="351">IF(AT55="Establecer periodos de seguimiento adecuados",AT55,AO56)</f>
        <v/>
      </c>
      <c r="AV56" s="3" t="str">
        <f t="shared" ref="AV56:AV57" si="352">IF(AV55="Guardar Evidencias",AV55,AP56)</f>
        <v/>
      </c>
      <c r="AX56" s="502"/>
      <c r="AY56" s="502"/>
      <c r="AZ56" s="502"/>
      <c r="BA56" s="502"/>
      <c r="BB56" s="3" t="str">
        <f t="shared" si="234"/>
        <v>SI</v>
      </c>
      <c r="BC56" s="3" t="str">
        <f t="shared" si="235"/>
        <v/>
      </c>
      <c r="BD56" s="3" t="str">
        <f t="shared" si="236"/>
        <v>SI</v>
      </c>
      <c r="BE56" s="3" t="str">
        <f t="shared" si="237"/>
        <v/>
      </c>
      <c r="BF56" s="3" t="str">
        <f t="shared" si="238"/>
        <v>SI</v>
      </c>
      <c r="BG56" s="3" t="str">
        <f t="shared" si="239"/>
        <v/>
      </c>
      <c r="BH56" s="3" t="str">
        <f t="shared" si="240"/>
        <v>P</v>
      </c>
      <c r="BI56" s="3" t="str">
        <f t="shared" si="25"/>
        <v/>
      </c>
      <c r="BJ56" s="3" t="str">
        <f t="shared" si="26"/>
        <v>M</v>
      </c>
      <c r="BK56" s="3" t="str">
        <f t="shared" si="27"/>
        <v/>
      </c>
      <c r="BL56" s="3" t="str">
        <f t="shared" si="241"/>
        <v>SI</v>
      </c>
      <c r="BM56" s="3" t="str">
        <f t="shared" si="242"/>
        <v/>
      </c>
    </row>
    <row r="57" spans="1:65" ht="36" customHeight="1" x14ac:dyDescent="0.2">
      <c r="A57" s="503"/>
      <c r="B57" s="496"/>
      <c r="C57" s="356">
        <v>3</v>
      </c>
      <c r="D57" s="56" t="s">
        <v>11</v>
      </c>
      <c r="E57" s="240">
        <f t="shared" si="4"/>
        <v>10</v>
      </c>
      <c r="F57" s="44" t="s">
        <v>593</v>
      </c>
      <c r="G57" s="18" t="str">
        <f t="shared" si="198"/>
        <v/>
      </c>
      <c r="H57" s="44" t="s">
        <v>20</v>
      </c>
      <c r="I57" s="18" t="str">
        <f t="shared" si="199"/>
        <v/>
      </c>
      <c r="J57" s="55" t="str">
        <f t="shared" si="200"/>
        <v>Posibilidad</v>
      </c>
      <c r="K57" s="43" t="s">
        <v>11</v>
      </c>
      <c r="L57" s="18">
        <f t="shared" si="201"/>
        <v>15</v>
      </c>
      <c r="M57" s="43" t="s">
        <v>11</v>
      </c>
      <c r="N57" s="18">
        <f t="shared" si="202"/>
        <v>30</v>
      </c>
      <c r="O57" s="43" t="s">
        <v>323</v>
      </c>
      <c r="P57" s="18">
        <f t="shared" si="203"/>
        <v>10</v>
      </c>
      <c r="Q57" s="43" t="s">
        <v>11</v>
      </c>
      <c r="R57" s="18">
        <f t="shared" si="204"/>
        <v>5</v>
      </c>
      <c r="S57" s="43" t="s">
        <v>11</v>
      </c>
      <c r="T57" s="18">
        <f t="shared" si="205"/>
        <v>15</v>
      </c>
      <c r="U57" s="43" t="s">
        <v>11</v>
      </c>
      <c r="V57" s="18">
        <f t="shared" si="206"/>
        <v>10</v>
      </c>
      <c r="W57" s="18">
        <f t="shared" si="207"/>
        <v>95</v>
      </c>
      <c r="X57" s="57" t="str">
        <f t="shared" si="208"/>
        <v>95                           Disminuye max 2 en Posibilidad</v>
      </c>
      <c r="Y57" s="57">
        <f t="shared" si="209"/>
        <v>2</v>
      </c>
      <c r="Z57" s="356">
        <f t="shared" si="210"/>
        <v>0</v>
      </c>
      <c r="AA57" s="499"/>
      <c r="AB57" s="500"/>
      <c r="AM57" s="3" t="str">
        <f t="shared" si="222"/>
        <v/>
      </c>
      <c r="AN57" s="3" t="str">
        <f t="shared" si="223"/>
        <v/>
      </c>
      <c r="AO57" s="3" t="str">
        <f t="shared" si="224"/>
        <v/>
      </c>
      <c r="AP57" s="3" t="str">
        <f t="shared" si="225"/>
        <v/>
      </c>
      <c r="AQ57" s="3" t="str">
        <f t="shared" si="349"/>
        <v/>
      </c>
      <c r="AR57" s="3" t="str">
        <f t="shared" si="350"/>
        <v/>
      </c>
      <c r="AS57" s="3" t="str">
        <f t="shared" ref="AS57" si="353">IF(AND(AQ57="Documentar",AR57="Asignar responsable"),CONCATENATE("- ",AQ57,", ",AR57),IF(AQ57="Documentar",CONCATENATE("- ",AQ57),IF(AR57="Asignar responsable",CONCATENATE("- ",AR57),"")))</f>
        <v/>
      </c>
      <c r="AT57" s="3" t="str">
        <f t="shared" si="351"/>
        <v/>
      </c>
      <c r="AU57" s="3" t="str">
        <f t="shared" ref="AU57" si="354">IF(AT57="",AS57,IF(AS57="",CONCATENATE("- ",AT57),CONCATENATE(AS57,", ",AT57)))</f>
        <v/>
      </c>
      <c r="AV57" s="3" t="str">
        <f t="shared" si="352"/>
        <v/>
      </c>
      <c r="AW57" s="3" t="str">
        <f t="shared" ref="AW57" si="355">IF(AV57="",AU57,IF(AU57="",CONCATENATE("- ",AV57),CONCATENATE(AU57,", ",AV57)))</f>
        <v/>
      </c>
      <c r="AX57" s="502"/>
      <c r="AY57" s="502"/>
      <c r="AZ57" s="502"/>
      <c r="BA57" s="502"/>
      <c r="BB57" s="3" t="str">
        <f t="shared" si="234"/>
        <v>SI</v>
      </c>
      <c r="BC57" s="3" t="str">
        <f t="shared" si="235"/>
        <v/>
      </c>
      <c r="BD57" s="3" t="str">
        <f t="shared" si="236"/>
        <v>SI</v>
      </c>
      <c r="BE57" s="3" t="str">
        <f t="shared" si="237"/>
        <v/>
      </c>
      <c r="BF57" s="3" t="str">
        <f t="shared" si="238"/>
        <v>SI</v>
      </c>
      <c r="BG57" s="3" t="str">
        <f t="shared" si="239"/>
        <v/>
      </c>
      <c r="BH57" s="3" t="str">
        <f t="shared" si="240"/>
        <v>P</v>
      </c>
      <c r="BI57" s="3" t="str">
        <f t="shared" si="25"/>
        <v/>
      </c>
      <c r="BJ57" s="3" t="str">
        <f t="shared" si="26"/>
        <v>M</v>
      </c>
      <c r="BK57" s="3" t="str">
        <f t="shared" si="27"/>
        <v/>
      </c>
      <c r="BL57" s="3" t="str">
        <f t="shared" si="241"/>
        <v>SI</v>
      </c>
      <c r="BM57" s="3" t="str">
        <f t="shared" si="242"/>
        <v/>
      </c>
    </row>
    <row r="58" spans="1:65" ht="36" customHeight="1" x14ac:dyDescent="0.2">
      <c r="A58" s="503" t="str">
        <f>IDENTIFICACIÓN!C25</f>
        <v>17G</v>
      </c>
      <c r="B58" s="496" t="str">
        <f>IF(IDENTIFICACIÓN!D25="","",IDENTIFICACIÓN!D25)</f>
        <v>Gestión de Extensión y Proyección Social. Incumplimiento en los compromisos establecidos en la formalización de los proyectos.</v>
      </c>
      <c r="C58" s="356">
        <v>1</v>
      </c>
      <c r="D58" s="56" t="s">
        <v>11</v>
      </c>
      <c r="E58" s="240">
        <f t="shared" si="4"/>
        <v>10</v>
      </c>
      <c r="F58" s="44" t="s">
        <v>594</v>
      </c>
      <c r="G58" s="18" t="str">
        <f t="shared" si="198"/>
        <v/>
      </c>
      <c r="H58" s="44" t="s">
        <v>20</v>
      </c>
      <c r="I58" s="18" t="str">
        <f t="shared" si="199"/>
        <v/>
      </c>
      <c r="J58" s="55" t="str">
        <f t="shared" si="200"/>
        <v>Posibilidad</v>
      </c>
      <c r="K58" s="43" t="s">
        <v>11</v>
      </c>
      <c r="L58" s="18">
        <f t="shared" si="201"/>
        <v>15</v>
      </c>
      <c r="M58" s="43" t="s">
        <v>11</v>
      </c>
      <c r="N58" s="18">
        <f t="shared" si="202"/>
        <v>30</v>
      </c>
      <c r="O58" s="43" t="s">
        <v>323</v>
      </c>
      <c r="P58" s="18">
        <f t="shared" si="203"/>
        <v>10</v>
      </c>
      <c r="Q58" s="43" t="s">
        <v>11</v>
      </c>
      <c r="R58" s="18">
        <f t="shared" si="204"/>
        <v>5</v>
      </c>
      <c r="S58" s="43" t="s">
        <v>11</v>
      </c>
      <c r="T58" s="18">
        <f t="shared" si="205"/>
        <v>15</v>
      </c>
      <c r="U58" s="43" t="s">
        <v>11</v>
      </c>
      <c r="V58" s="18">
        <f t="shared" si="206"/>
        <v>10</v>
      </c>
      <c r="W58" s="18">
        <f t="shared" si="207"/>
        <v>95</v>
      </c>
      <c r="X58" s="57" t="str">
        <f t="shared" si="208"/>
        <v>95                           Disminuye max 2 en Posibilidad</v>
      </c>
      <c r="Y58" s="57">
        <f t="shared" si="209"/>
        <v>2</v>
      </c>
      <c r="Z58" s="356">
        <f t="shared" si="210"/>
        <v>0</v>
      </c>
      <c r="AA58" s="497">
        <f t="shared" ref="AA58" si="356">IF(AB58=0,"",(ROUND((SUM(W58:W60)/AB58),0)))</f>
        <v>95</v>
      </c>
      <c r="AB58" s="500">
        <f t="shared" ref="AB58" si="357">COUNT(T58:T60)</f>
        <v>2</v>
      </c>
      <c r="AC58" s="3">
        <f t="shared" ref="AC58" si="358">SUM(Y58:Y60)</f>
        <v>4</v>
      </c>
      <c r="AD58" s="3">
        <f>ANALISIS!D27</f>
        <v>3</v>
      </c>
      <c r="AE58" s="3">
        <f t="shared" ref="AE58:AE59" si="359">IF((AD58-AC58)&gt;=1,(AD58-AC58),1)</f>
        <v>1</v>
      </c>
      <c r="AF58" s="501">
        <f t="shared" ref="AF58" si="360">(AE59*10)+AE58</f>
        <v>41</v>
      </c>
      <c r="AG58" s="355" t="str">
        <f t="shared" ref="AG58" si="361">IF(AE59=1,AH58,IF(AE59=2,AI58,IF(AE59=3,AJ58,IF(AE59=4,AK58,AL58))))</f>
        <v>ALTA 1:4</v>
      </c>
      <c r="AH58" s="46" t="str">
        <f t="shared" ref="AH58" si="362">IF($AF58=11,"BAJA 1:1",IF($AF58=12,"BAJA 2:1",IF($AF58=13,"BAJA 3:1",IF($AF58=14,"MODERADA 4:1","ALTA 5:1"))))</f>
        <v>ALTA 5:1</v>
      </c>
      <c r="AI58" s="46" t="str">
        <f t="shared" ref="AI58" si="363">IF($AF58=21,"BAJA 1:2",IF($AF58=22,"BAJA 2:2",IF($AF58=23,"MODERADA 3:2",IF($AF58=24,"ALTA 4:2","ALTA 5:2"))))</f>
        <v>ALTA 5:2</v>
      </c>
      <c r="AJ58" s="46" t="str">
        <f t="shared" ref="AJ58" si="364">IF($AF58=31,"MODERADA 1:3",IF($AF58=32,"MODERADA 2:3",IF($AF58=33,"ALTA 3:3",IF($AF58=34,"ALTA 4:3","EXTREMA 5:3"))))</f>
        <v>EXTREMA 5:3</v>
      </c>
      <c r="AK58" s="46" t="str">
        <f t="shared" ref="AK58" si="365">IF($AF58=41,"ALTA 1:4",IF($AF58=42,"ALTA 2:4",IF($AF58=43,"EXTREMA 3:4",IF($AF58=44,"EXTREMA 4:4","EXTREMA 5:4"))))</f>
        <v>ALTA 1:4</v>
      </c>
      <c r="AL58" s="46" t="str">
        <f t="shared" ref="AL58" si="366">IF($AF58=51,"ALTA 1:5",IF($AF58=52,"EXTREMA 2:5",IF($AF58=53,"EXTREMA 3:5",IF($AF58=54,"EXTREMA 4:5","EXTREMA 5:5"))))</f>
        <v>EXTREMA 5:5</v>
      </c>
      <c r="AM58" s="3" t="str">
        <f t="shared" si="222"/>
        <v/>
      </c>
      <c r="AN58" s="3" t="str">
        <f t="shared" si="223"/>
        <v/>
      </c>
      <c r="AO58" s="3" t="str">
        <f t="shared" si="224"/>
        <v/>
      </c>
      <c r="AP58" s="3" t="str">
        <f t="shared" si="225"/>
        <v/>
      </c>
      <c r="AQ58" s="3" t="str">
        <f t="shared" ref="AQ58" si="367">AM58</f>
        <v/>
      </c>
      <c r="AR58" s="3" t="str">
        <f t="shared" ref="AR58" si="368">AN58</f>
        <v/>
      </c>
      <c r="AT58" s="3" t="str">
        <f t="shared" ref="AT58" si="369">AO58</f>
        <v/>
      </c>
      <c r="AV58" s="3" t="str">
        <f t="shared" ref="AV58" si="370">AP58</f>
        <v/>
      </c>
      <c r="AX58" s="502" t="str">
        <f t="shared" ref="AX58" si="371">IF(AW60="","",CONCATENATE(AW60," (de) el(los) control(es) Efectivo(s) "))</f>
        <v/>
      </c>
      <c r="AY58" s="502" t="str">
        <f t="shared" ref="AY58" si="372">IF(CONCATENATE(N58:N60)="","",IF(AND(SUM(E58:E60)=10,SUM(N58:N60)&lt;30),"- Replantear control(es) NO efectivo(s) ",IF(AND(SUM(E58:E60)=20,SUM(N58:N60)&lt;60),"- Replantear control(es) NO efectivo(s) ",IF(AND(SUM(E58:E60)=30,SUM(N58:N60)&lt;90),"- Replantear control(es) NO efectivo(s) ",""))))</f>
        <v/>
      </c>
      <c r="AZ58" s="502" t="str">
        <f t="shared" ref="AZ58" si="373">IF(AND(AE58&gt;1,AE59&gt;1),"- Tomar Acciones Preventivas y Correctivas",IF(AE58&gt;1,"- Tomar Acciones Preventivas",IF(AE59&gt;1,"- Tomar Acciones Correctivas","")))</f>
        <v>- Tomar Acciones Correctivas</v>
      </c>
      <c r="BA58" s="502" t="str">
        <f t="shared" ref="BA58" si="374">CONCATENATE(AX58,AY58,AZ58)</f>
        <v>- Tomar Acciones Correctivas</v>
      </c>
      <c r="BB58" s="3" t="str">
        <f t="shared" si="234"/>
        <v>SI</v>
      </c>
      <c r="BC58" s="3" t="str">
        <f t="shared" si="235"/>
        <v/>
      </c>
      <c r="BD58" s="3" t="str">
        <f t="shared" si="236"/>
        <v>SI</v>
      </c>
      <c r="BE58" s="3" t="str">
        <f t="shared" si="237"/>
        <v/>
      </c>
      <c r="BF58" s="3" t="str">
        <f t="shared" si="238"/>
        <v>SI</v>
      </c>
      <c r="BG58" s="3" t="str">
        <f t="shared" si="239"/>
        <v/>
      </c>
      <c r="BH58" s="3" t="str">
        <f t="shared" si="240"/>
        <v>P</v>
      </c>
      <c r="BI58" s="3" t="str">
        <f t="shared" si="25"/>
        <v/>
      </c>
      <c r="BJ58" s="3" t="str">
        <f t="shared" si="26"/>
        <v>M</v>
      </c>
      <c r="BK58" s="3" t="str">
        <f t="shared" si="27"/>
        <v/>
      </c>
      <c r="BL58" s="3" t="str">
        <f t="shared" si="241"/>
        <v>SI</v>
      </c>
      <c r="BM58" s="3" t="str">
        <f t="shared" si="242"/>
        <v/>
      </c>
    </row>
    <row r="59" spans="1:65" ht="36" customHeight="1" x14ac:dyDescent="0.2">
      <c r="A59" s="503"/>
      <c r="B59" s="496"/>
      <c r="C59" s="356">
        <v>2</v>
      </c>
      <c r="D59" s="56" t="s">
        <v>11</v>
      </c>
      <c r="E59" s="240">
        <f t="shared" si="4"/>
        <v>10</v>
      </c>
      <c r="F59" s="44" t="s">
        <v>595</v>
      </c>
      <c r="G59" s="18" t="str">
        <f t="shared" si="198"/>
        <v/>
      </c>
      <c r="H59" s="44" t="s">
        <v>20</v>
      </c>
      <c r="I59" s="18" t="str">
        <f t="shared" si="199"/>
        <v/>
      </c>
      <c r="J59" s="55" t="str">
        <f t="shared" si="200"/>
        <v>Posibilidad</v>
      </c>
      <c r="K59" s="43" t="s">
        <v>11</v>
      </c>
      <c r="L59" s="18">
        <f t="shared" si="201"/>
        <v>15</v>
      </c>
      <c r="M59" s="43" t="s">
        <v>11</v>
      </c>
      <c r="N59" s="18">
        <f t="shared" si="202"/>
        <v>30</v>
      </c>
      <c r="O59" s="43" t="s">
        <v>323</v>
      </c>
      <c r="P59" s="18">
        <f t="shared" si="203"/>
        <v>10</v>
      </c>
      <c r="Q59" s="43" t="s">
        <v>11</v>
      </c>
      <c r="R59" s="18">
        <f t="shared" si="204"/>
        <v>5</v>
      </c>
      <c r="S59" s="43" t="s">
        <v>11</v>
      </c>
      <c r="T59" s="18">
        <f t="shared" si="205"/>
        <v>15</v>
      </c>
      <c r="U59" s="43" t="s">
        <v>11</v>
      </c>
      <c r="V59" s="18">
        <f t="shared" si="206"/>
        <v>10</v>
      </c>
      <c r="W59" s="18">
        <f t="shared" si="207"/>
        <v>95</v>
      </c>
      <c r="X59" s="57" t="str">
        <f t="shared" si="208"/>
        <v>95                           Disminuye max 2 en Posibilidad</v>
      </c>
      <c r="Y59" s="57">
        <f t="shared" si="209"/>
        <v>2</v>
      </c>
      <c r="Z59" s="356">
        <f t="shared" si="210"/>
        <v>0</v>
      </c>
      <c r="AA59" s="498"/>
      <c r="AB59" s="500"/>
      <c r="AC59" s="3">
        <f t="shared" ref="AC59" si="375">SUM(Z58:Z60)</f>
        <v>0</v>
      </c>
      <c r="AD59" s="3">
        <f>ANALISIS!G27</f>
        <v>4</v>
      </c>
      <c r="AE59" s="3">
        <f t="shared" si="359"/>
        <v>4</v>
      </c>
      <c r="AF59" s="501"/>
      <c r="AG59" s="355" t="str">
        <f t="shared" ref="AG59" si="376">IF(AE59=1,AH59,IF(AE59=2,AI59,IF(AE59=3,AJ59,IF(AE59=4,AK59,AL59))))</f>
        <v>- Reducir el Riesgo- Compartir o Transferir el Riesgo</v>
      </c>
      <c r="AH59" s="46" t="str">
        <f t="shared" ref="AH59" si="377">IF($AF58=11,"- Asumir el Riesgo",IF($AF58=12,"- Asumir el Riesgo- Evitar Posibilidad de Ocurrencia- Reducir el Riesgo",IF($AF58=13,"- Asumir el Riesgo- Evitar Posibilidad de Ocurrencia- Reducir el Riesgo",IF($AF58=14,"-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59" s="46" t="str">
        <f t="shared" ref="AI59" si="378">IF($AF58=21,"- Asumir el Riesgo- Reducir el Riesgo",IF($AF58=22,"- Asumir el Riesgo- Evitar Posibilidad de Ocurrencia- Reducir el Riesgo",IF($AF58=23,"- Asumir el Riesgo- Evitar Posibilidad de Ocurrencia- Reducir el Riesgo- Compartir o Transferir el Riesgo",IF($AF58=24,"- Evitar Posibilidad de Ocurrencia- Reducir el Riesgo- Compartir o Transferir el Riesgo","- Evitar Posibilidad de Ocurrencia- Reducir el Riesgo- Compartir o Transferir el Riesgo"))))</f>
        <v>- Evitar Posibilidad de Ocurrencia- Reducir el Riesgo- Compartir o Transferir el Riesgo</v>
      </c>
      <c r="AJ59" s="46" t="str">
        <f t="shared" ref="AJ59" si="379">IF($AF58=31,"- Asumir el Riesgo- Reducir el Riesgo- Compartir o Transferir el Riesgo",IF($AF58=32,"- Asumir el Riesgo- Evitar Posibilidad de Ocurrencia- Reducir el Reducir- Compartir o Transferir el Riesgo",IF($AF58=33,"- Evitar Posibilidad de Ocurrencia- Reducir el Riesgo- Compartir o Transferir el Riesgo",IF($AF58=34,"-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59" s="46" t="str">
        <f t="shared" ref="AK59" si="380">IF($AF58=41,"- Reducir el Riesgo- Compartir o Transferir el Riesgo",IF($AF58=42,"- Evitar Posibilidad de Ocurrencia- Reducir el Riesgo- Compartir o Transferir el Riesgo",IF($AF58=43,"- Eliminar Causa(s)- Evitar Posibilidad de Ocurrencia- Reducir el Riesgo- Compartir o Transferir el Riesgo",IF($AF58=44,"- Eliminar Causa(s)- Evitar Posibilidad de Ocurrencia- Reducir el Riesgo- Compartir o Transferir el Riesgo","- Eliminar Causa(s)- Evitar Posibilidad de Ocurrencia- Reducir el Riesgo- Compartir o Transferir el Riesgo"))))</f>
        <v>- Reducir el Riesgo- Compartir o Transferir el Riesgo</v>
      </c>
      <c r="AL59" s="46" t="str">
        <f t="shared" ref="AL59" si="381">IF($AF58=51,"- Reducir el Riesgo- Compartir o Transferir el Riesgo",IF($AF58=52,"- Eliminar Causa(s)- Evitar Posibilidad de Ocurrencia- Reducir el Riesgo- Compartir o Transferir el Riesgo",IF($AF58=53,"- Eliminar Causa(s)- Evitar Posibilidad de Ocurrencia- Reducir el Riesgo- Compartir o Transferir el Riesgo",IF($AF58=54,"-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59" s="3" t="str">
        <f t="shared" si="222"/>
        <v/>
      </c>
      <c r="AN59" s="3" t="str">
        <f t="shared" si="223"/>
        <v/>
      </c>
      <c r="AO59" s="3" t="str">
        <f t="shared" si="224"/>
        <v/>
      </c>
      <c r="AP59" s="3" t="str">
        <f t="shared" si="225"/>
        <v/>
      </c>
      <c r="AQ59" s="3" t="str">
        <f t="shared" ref="AQ59:AQ60" si="382">IF(AQ58="Documentar",AQ58,AM59)</f>
        <v/>
      </c>
      <c r="AR59" s="3" t="str">
        <f t="shared" ref="AR59:AR60" si="383">IF(AR58="Asignar responsable",AR58,AN59)</f>
        <v/>
      </c>
      <c r="AT59" s="3" t="str">
        <f t="shared" ref="AT59:AT60" si="384">IF(AT58="Establecer periodos de seguimiento adecuados",AT58,AO59)</f>
        <v/>
      </c>
      <c r="AV59" s="3" t="str">
        <f t="shared" ref="AV59:AV60" si="385">IF(AV58="Guardar Evidencias",AV58,AP59)</f>
        <v/>
      </c>
      <c r="AX59" s="502"/>
      <c r="AY59" s="502"/>
      <c r="AZ59" s="502"/>
      <c r="BA59" s="502"/>
      <c r="BB59" s="3" t="str">
        <f t="shared" si="234"/>
        <v>SI</v>
      </c>
      <c r="BC59" s="3" t="str">
        <f t="shared" si="235"/>
        <v/>
      </c>
      <c r="BD59" s="3" t="str">
        <f t="shared" si="236"/>
        <v>SI</v>
      </c>
      <c r="BE59" s="3" t="str">
        <f t="shared" si="237"/>
        <v/>
      </c>
      <c r="BF59" s="3" t="str">
        <f t="shared" si="238"/>
        <v>SI</v>
      </c>
      <c r="BG59" s="3" t="str">
        <f t="shared" si="239"/>
        <v/>
      </c>
      <c r="BH59" s="3" t="str">
        <f t="shared" si="240"/>
        <v>P</v>
      </c>
      <c r="BI59" s="3" t="str">
        <f t="shared" si="25"/>
        <v/>
      </c>
      <c r="BJ59" s="3" t="str">
        <f t="shared" si="26"/>
        <v>M</v>
      </c>
      <c r="BK59" s="3" t="str">
        <f t="shared" si="27"/>
        <v/>
      </c>
      <c r="BL59" s="3" t="str">
        <f t="shared" si="241"/>
        <v>SI</v>
      </c>
      <c r="BM59" s="3" t="str">
        <f t="shared" si="242"/>
        <v/>
      </c>
    </row>
    <row r="60" spans="1:65" ht="36" customHeight="1" x14ac:dyDescent="0.2">
      <c r="A60" s="503"/>
      <c r="B60" s="496"/>
      <c r="C60" s="356">
        <v>3</v>
      </c>
      <c r="D60" s="56"/>
      <c r="E60" s="240" t="str">
        <f t="shared" si="4"/>
        <v/>
      </c>
      <c r="F60" s="44"/>
      <c r="G60" s="18" t="str">
        <f t="shared" si="198"/>
        <v/>
      </c>
      <c r="H60" s="44"/>
      <c r="I60" s="18" t="str">
        <f t="shared" si="199"/>
        <v/>
      </c>
      <c r="J60" s="55" t="str">
        <f t="shared" si="200"/>
        <v/>
      </c>
      <c r="K60" s="43"/>
      <c r="L60" s="18" t="str">
        <f t="shared" si="201"/>
        <v/>
      </c>
      <c r="M60" s="43"/>
      <c r="N60" s="18" t="str">
        <f t="shared" si="202"/>
        <v/>
      </c>
      <c r="O60" s="43"/>
      <c r="P60" s="18" t="str">
        <f t="shared" si="203"/>
        <v/>
      </c>
      <c r="Q60" s="43"/>
      <c r="R60" s="18" t="str">
        <f t="shared" si="204"/>
        <v/>
      </c>
      <c r="S60" s="43"/>
      <c r="T60" s="18" t="str">
        <f t="shared" si="205"/>
        <v/>
      </c>
      <c r="U60" s="43"/>
      <c r="V60" s="18" t="str">
        <f t="shared" si="206"/>
        <v/>
      </c>
      <c r="W60" s="18">
        <f t="shared" si="207"/>
        <v>0</v>
      </c>
      <c r="X60" s="57" t="str">
        <f t="shared" si="208"/>
        <v/>
      </c>
      <c r="Y60" s="57">
        <f t="shared" si="209"/>
        <v>0</v>
      </c>
      <c r="Z60" s="356">
        <f t="shared" si="210"/>
        <v>0</v>
      </c>
      <c r="AA60" s="499"/>
      <c r="AB60" s="500"/>
      <c r="AM60" s="3" t="str">
        <f t="shared" si="222"/>
        <v/>
      </c>
      <c r="AN60" s="3" t="str">
        <f t="shared" si="223"/>
        <v/>
      </c>
      <c r="AO60" s="3" t="str">
        <f t="shared" si="224"/>
        <v/>
      </c>
      <c r="AP60" s="3" t="str">
        <f t="shared" si="225"/>
        <v/>
      </c>
      <c r="AQ60" s="3" t="str">
        <f t="shared" si="382"/>
        <v/>
      </c>
      <c r="AR60" s="3" t="str">
        <f t="shared" si="383"/>
        <v/>
      </c>
      <c r="AS60" s="3" t="str">
        <f t="shared" ref="AS60" si="386">IF(AND(AQ60="Documentar",AR60="Asignar responsable"),CONCATENATE("- ",AQ60,", ",AR60),IF(AQ60="Documentar",CONCATENATE("- ",AQ60),IF(AR60="Asignar responsable",CONCATENATE("- ",AR60),"")))</f>
        <v/>
      </c>
      <c r="AT60" s="3" t="str">
        <f t="shared" si="384"/>
        <v/>
      </c>
      <c r="AU60" s="3" t="str">
        <f t="shared" ref="AU60" si="387">IF(AT60="",AS60,IF(AS60="",CONCATENATE("- ",AT60),CONCATENATE(AS60,", ",AT60)))</f>
        <v/>
      </c>
      <c r="AV60" s="3" t="str">
        <f t="shared" si="385"/>
        <v/>
      </c>
      <c r="AW60" s="3" t="str">
        <f t="shared" ref="AW60" si="388">IF(AV60="",AU60,IF(AU60="",CONCATENATE("- ",AV60),CONCATENATE(AU60,", ",AV60)))</f>
        <v/>
      </c>
      <c r="AX60" s="502"/>
      <c r="AY60" s="502"/>
      <c r="AZ60" s="502"/>
      <c r="BA60" s="502"/>
      <c r="BB60" s="3" t="str">
        <f t="shared" si="234"/>
        <v/>
      </c>
      <c r="BC60" s="3" t="str">
        <f t="shared" si="235"/>
        <v/>
      </c>
      <c r="BD60" s="3" t="str">
        <f t="shared" si="236"/>
        <v/>
      </c>
      <c r="BE60" s="3" t="str">
        <f t="shared" si="237"/>
        <v/>
      </c>
      <c r="BF60" s="3" t="str">
        <f t="shared" si="238"/>
        <v/>
      </c>
      <c r="BG60" s="3" t="str">
        <f t="shared" si="239"/>
        <v/>
      </c>
      <c r="BH60" s="3" t="str">
        <f t="shared" si="240"/>
        <v/>
      </c>
      <c r="BI60" s="3" t="str">
        <f t="shared" si="25"/>
        <v/>
      </c>
      <c r="BJ60" s="3" t="str">
        <f t="shared" si="26"/>
        <v/>
      </c>
      <c r="BK60" s="3" t="str">
        <f t="shared" si="27"/>
        <v/>
      </c>
      <c r="BL60" s="3" t="str">
        <f t="shared" si="241"/>
        <v/>
      </c>
      <c r="BM60" s="3" t="str">
        <f t="shared" si="242"/>
        <v/>
      </c>
    </row>
    <row r="61" spans="1:65" ht="36" customHeight="1" x14ac:dyDescent="0.2">
      <c r="A61" s="503" t="str">
        <f>IDENTIFICACIÓN!C26</f>
        <v>18G</v>
      </c>
      <c r="B61" s="496" t="str">
        <f>IF(IDENTIFICACIÓN!D26="","",IDENTIFICACIÓN!D26)</f>
        <v>Gestión de Extensión y Proyección Social. Limitada interacción e integración con las comunidades nacionales e internacionales en el fortalecimiento de la presencia de la Universidad en la vida social y cultural del país.</v>
      </c>
      <c r="C61" s="356">
        <v>1</v>
      </c>
      <c r="D61" s="56" t="s">
        <v>10</v>
      </c>
      <c r="E61" s="240">
        <f t="shared" si="4"/>
        <v>0</v>
      </c>
      <c r="F61" s="44"/>
      <c r="G61" s="18" t="str">
        <f t="shared" si="198"/>
        <v/>
      </c>
      <c r="H61" s="44"/>
      <c r="I61" s="18" t="str">
        <f t="shared" si="199"/>
        <v/>
      </c>
      <c r="J61" s="55" t="str">
        <f t="shared" si="200"/>
        <v/>
      </c>
      <c r="K61" s="43"/>
      <c r="L61" s="18" t="str">
        <f t="shared" si="201"/>
        <v/>
      </c>
      <c r="M61" s="43"/>
      <c r="N61" s="18" t="str">
        <f t="shared" si="202"/>
        <v/>
      </c>
      <c r="O61" s="43"/>
      <c r="P61" s="18" t="str">
        <f t="shared" si="203"/>
        <v/>
      </c>
      <c r="Q61" s="43"/>
      <c r="R61" s="18" t="str">
        <f t="shared" si="204"/>
        <v/>
      </c>
      <c r="S61" s="43"/>
      <c r="T61" s="18" t="str">
        <f t="shared" si="205"/>
        <v/>
      </c>
      <c r="U61" s="43"/>
      <c r="V61" s="18" t="str">
        <f t="shared" si="206"/>
        <v/>
      </c>
      <c r="W61" s="18">
        <f t="shared" si="207"/>
        <v>0</v>
      </c>
      <c r="X61" s="57">
        <f t="shared" si="208"/>
        <v>0</v>
      </c>
      <c r="Y61" s="57">
        <f t="shared" si="209"/>
        <v>0</v>
      </c>
      <c r="Z61" s="356">
        <f t="shared" si="210"/>
        <v>0</v>
      </c>
      <c r="AA61" s="497" t="str">
        <f t="shared" ref="AA61" si="389">IF(AB61=0,"",(ROUND((SUM(W61:W63)/AB61),0)))</f>
        <v/>
      </c>
      <c r="AB61" s="500">
        <f t="shared" ref="AB61" si="390">COUNT(T61:T63)</f>
        <v>0</v>
      </c>
      <c r="AC61" s="3">
        <f t="shared" ref="AC61" si="391">SUM(Y61:Y63)</f>
        <v>0</v>
      </c>
      <c r="AD61" s="3">
        <f>ANALISIS!D28</f>
        <v>4</v>
      </c>
      <c r="AE61" s="3">
        <f t="shared" ref="AE61:AE62" si="392">IF((AD61-AC61)&gt;=1,(AD61-AC61),1)</f>
        <v>4</v>
      </c>
      <c r="AF61" s="501">
        <f t="shared" ref="AF61" si="393">(AE62*10)+AE61</f>
        <v>34</v>
      </c>
      <c r="AG61" s="355" t="str">
        <f t="shared" ref="AG61" si="394">IF(AE62=1,AH61,IF(AE62=2,AI61,IF(AE62=3,AJ61,IF(AE62=4,AK61,AL61))))</f>
        <v>ALTA 4:3</v>
      </c>
      <c r="AH61" s="46" t="str">
        <f t="shared" ref="AH61" si="395">IF($AF61=11,"BAJA 1:1",IF($AF61=12,"BAJA 2:1",IF($AF61=13,"BAJA 3:1",IF($AF61=14,"MODERADA 4:1","ALTA 5:1"))))</f>
        <v>ALTA 5:1</v>
      </c>
      <c r="AI61" s="46" t="str">
        <f t="shared" ref="AI61" si="396">IF($AF61=21,"BAJA 1:2",IF($AF61=22,"BAJA 2:2",IF($AF61=23,"MODERADA 3:2",IF($AF61=24,"ALTA 4:2","ALTA 5:2"))))</f>
        <v>ALTA 5:2</v>
      </c>
      <c r="AJ61" s="46" t="str">
        <f t="shared" ref="AJ61" si="397">IF($AF61=31,"MODERADA 1:3",IF($AF61=32,"MODERADA 2:3",IF($AF61=33,"ALTA 3:3",IF($AF61=34,"ALTA 4:3","EXTREMA 5:3"))))</f>
        <v>ALTA 4:3</v>
      </c>
      <c r="AK61" s="46" t="str">
        <f t="shared" ref="AK61" si="398">IF($AF61=41,"ALTA 1:4",IF($AF61=42,"ALTA 2:4",IF($AF61=43,"EXTREMA 3:4",IF($AF61=44,"EXTREMA 4:4","EXTREMA 5:4"))))</f>
        <v>EXTREMA 5:4</v>
      </c>
      <c r="AL61" s="46" t="str">
        <f t="shared" ref="AL61" si="399">IF($AF61=51,"ALTA 1:5",IF($AF61=52,"EXTREMA 2:5",IF($AF61=53,"EXTREMA 3:5",IF($AF61=54,"EXTREMA 4:5","EXTREMA 5:5"))))</f>
        <v>EXTREMA 5:5</v>
      </c>
      <c r="AM61" s="3" t="str">
        <f t="shared" si="222"/>
        <v/>
      </c>
      <c r="AN61" s="3" t="str">
        <f t="shared" si="223"/>
        <v/>
      </c>
      <c r="AO61" s="3" t="str">
        <f t="shared" si="224"/>
        <v/>
      </c>
      <c r="AP61" s="3" t="str">
        <f t="shared" si="225"/>
        <v/>
      </c>
      <c r="AQ61" s="3" t="str">
        <f t="shared" ref="AQ61" si="400">AM61</f>
        <v/>
      </c>
      <c r="AR61" s="3" t="str">
        <f t="shared" ref="AR61" si="401">AN61</f>
        <v/>
      </c>
      <c r="AT61" s="3" t="str">
        <f t="shared" ref="AT61" si="402">AO61</f>
        <v/>
      </c>
      <c r="AV61" s="3" t="str">
        <f t="shared" ref="AV61" si="403">AP61</f>
        <v/>
      </c>
      <c r="AX61" s="502" t="str">
        <f t="shared" ref="AX61" si="404">IF(AW63="","",CONCATENATE(AW63," (de) el(los) control(es) Efectivo(s) "))</f>
        <v/>
      </c>
      <c r="AY61" s="502" t="str">
        <f t="shared" ref="AY61" si="405">IF(CONCATENATE(N61:N63)="","",IF(AND(SUM(E61:E63)=10,SUM(N61:N63)&lt;30),"- Replantear control(es) NO efectivo(s) ",IF(AND(SUM(E61:E63)=20,SUM(N61:N63)&lt;60),"- Replantear control(es) NO efectivo(s) ",IF(AND(SUM(E61:E63)=30,SUM(N61:N63)&lt;90),"- Replantear control(es) NO efectivo(s) ",""))))</f>
        <v/>
      </c>
      <c r="AZ61" s="502" t="str">
        <f t="shared" ref="AZ61" si="406">IF(AND(AE61&gt;1,AE62&gt;1),"- Tomar Acciones Preventivas y Correctivas",IF(AE61&gt;1,"- Tomar Acciones Preventivas",IF(AE62&gt;1,"- Tomar Acciones Correctivas","")))</f>
        <v>- Tomar Acciones Preventivas y Correctivas</v>
      </c>
      <c r="BA61" s="502" t="str">
        <f t="shared" ref="BA61" si="407">CONCATENATE(AX61,AY61,AZ61)</f>
        <v>- Tomar Acciones Preventivas y Correctivas</v>
      </c>
      <c r="BB61" s="3" t="str">
        <f t="shared" si="234"/>
        <v/>
      </c>
      <c r="BC61" s="3" t="str">
        <f t="shared" si="235"/>
        <v/>
      </c>
      <c r="BD61" s="3" t="str">
        <f t="shared" si="236"/>
        <v/>
      </c>
      <c r="BE61" s="3" t="str">
        <f t="shared" si="237"/>
        <v/>
      </c>
      <c r="BF61" s="3" t="str">
        <f t="shared" si="238"/>
        <v/>
      </c>
      <c r="BG61" s="3" t="str">
        <f t="shared" si="239"/>
        <v/>
      </c>
      <c r="BH61" s="3" t="str">
        <f t="shared" si="240"/>
        <v/>
      </c>
      <c r="BI61" s="3" t="str">
        <f t="shared" si="25"/>
        <v/>
      </c>
      <c r="BJ61" s="3" t="str">
        <f t="shared" si="26"/>
        <v/>
      </c>
      <c r="BK61" s="3" t="str">
        <f t="shared" si="27"/>
        <v/>
      </c>
      <c r="BL61" s="3" t="str">
        <f t="shared" si="241"/>
        <v/>
      </c>
      <c r="BM61" s="3" t="str">
        <f t="shared" si="242"/>
        <v/>
      </c>
    </row>
    <row r="62" spans="1:65" ht="36" customHeight="1" x14ac:dyDescent="0.2">
      <c r="A62" s="503"/>
      <c r="B62" s="496"/>
      <c r="C62" s="356">
        <v>2</v>
      </c>
      <c r="D62" s="56"/>
      <c r="E62" s="240" t="str">
        <f t="shared" si="4"/>
        <v/>
      </c>
      <c r="F62" s="44"/>
      <c r="G62" s="18" t="str">
        <f t="shared" si="198"/>
        <v/>
      </c>
      <c r="H62" s="44"/>
      <c r="I62" s="18" t="str">
        <f t="shared" si="199"/>
        <v/>
      </c>
      <c r="J62" s="55" t="str">
        <f t="shared" si="200"/>
        <v/>
      </c>
      <c r="K62" s="43"/>
      <c r="L62" s="18" t="str">
        <f t="shared" si="201"/>
        <v/>
      </c>
      <c r="M62" s="43"/>
      <c r="N62" s="18" t="str">
        <f t="shared" si="202"/>
        <v/>
      </c>
      <c r="O62" s="43"/>
      <c r="P62" s="18" t="str">
        <f t="shared" si="203"/>
        <v/>
      </c>
      <c r="Q62" s="43"/>
      <c r="R62" s="18" t="str">
        <f t="shared" si="204"/>
        <v/>
      </c>
      <c r="S62" s="43"/>
      <c r="T62" s="18" t="str">
        <f t="shared" si="205"/>
        <v/>
      </c>
      <c r="U62" s="43"/>
      <c r="V62" s="18" t="str">
        <f t="shared" si="206"/>
        <v/>
      </c>
      <c r="W62" s="18">
        <f t="shared" si="207"/>
        <v>0</v>
      </c>
      <c r="X62" s="57" t="str">
        <f t="shared" si="208"/>
        <v/>
      </c>
      <c r="Y62" s="57">
        <f t="shared" si="209"/>
        <v>0</v>
      </c>
      <c r="Z62" s="356">
        <f t="shared" si="210"/>
        <v>0</v>
      </c>
      <c r="AA62" s="498"/>
      <c r="AB62" s="500"/>
      <c r="AC62" s="3">
        <f t="shared" ref="AC62" si="408">SUM(Z61:Z63)</f>
        <v>0</v>
      </c>
      <c r="AD62" s="3">
        <f>ANALISIS!G28</f>
        <v>3</v>
      </c>
      <c r="AE62" s="3">
        <f t="shared" si="392"/>
        <v>3</v>
      </c>
      <c r="AF62" s="501"/>
      <c r="AG62" s="355" t="str">
        <f t="shared" ref="AG62" si="409">IF(AE62=1,AH62,IF(AE62=2,AI62,IF(AE62=3,AJ62,IF(AE62=4,AK62,AL62))))</f>
        <v>- Evitar Posibilidad de Ocurrencia- Reducir el Riesgo- Compartir o Transferir el Riesgo</v>
      </c>
      <c r="AH62" s="46" t="str">
        <f t="shared" ref="AH62" si="410">IF($AF61=11,"- Asumir el Riesgo",IF($AF61=12,"- Asumir el Riesgo- Evitar Posibilidad de Ocurrencia- Reducir el Riesgo",IF($AF61=13,"- Asumir el Riesgo- Evitar Posibilidad de Ocurrencia- Reducir el Riesgo",IF($AF61=14,"-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62" s="46" t="str">
        <f t="shared" ref="AI62" si="411">IF($AF61=21,"- Asumir el Riesgo- Reducir el Riesgo",IF($AF61=22,"- Asumir el Riesgo- Evitar Posibilidad de Ocurrencia- Reducir el Riesgo",IF($AF61=23,"- Asumir el Riesgo- Evitar Posibilidad de Ocurrencia- Reducir el Riesgo- Compartir o Transferir el Riesgo",IF($AF61=24,"- Evitar Posibilidad de Ocurrencia- Reducir el Riesgo- Compartir o Transferir el Riesgo","- Evitar Posibilidad de Ocurrencia- Reducir el Riesgo- Compartir o Transferir el Riesgo"))))</f>
        <v>- Evitar Posibilidad de Ocurrencia- Reducir el Riesgo- Compartir o Transferir el Riesgo</v>
      </c>
      <c r="AJ62" s="46" t="str">
        <f t="shared" ref="AJ62" si="412">IF($AF61=31,"- Asumir el Riesgo- Reducir el Riesgo- Compartir o Transferir el Riesgo",IF($AF61=32,"- Asumir el Riesgo- Evitar Posibilidad de Ocurrencia- Reducir el Reducir- Compartir o Transferir el Riesgo",IF($AF61=33,"- Evitar Posibilidad de Ocurrencia- Reducir el Riesgo- Compartir o Transferir el Riesgo",IF($AF61=34,"- Evitar Posibilidad de Ocurrencia- Reducir el Riesgo- Compartir o Transferir el Riesgo","- Eliminar Causa(s)- Evitar Posibilidad de Ocurrencia- Reducir el Riesgo- Compartir o Transferir el Riesgo"))))</f>
        <v>- Evitar Posibilidad de Ocurrencia- Reducir el Riesgo- Compartir o Transferir el Riesgo</v>
      </c>
      <c r="AK62" s="46" t="str">
        <f t="shared" ref="AK62" si="413">IF($AF61=41,"- Reducir el Riesgo- Compartir o Transferir el Riesgo",IF($AF61=42,"- Evitar Posibilidad de Ocurrencia- Reducir el Riesgo- Compartir o Transferir el Riesgo",IF($AF61=43,"- Eliminar Causa(s)- Evitar Posibilidad de Ocurrencia- Reducir el Riesgo- Compartir o Transferir el Riesgo",IF($AF61=44,"-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62" s="46" t="str">
        <f t="shared" ref="AL62" si="414">IF($AF61=51,"- Reducir el Riesgo- Compartir o Transferir el Riesgo",IF($AF61=52,"- Eliminar Causa(s)- Evitar Posibilidad de Ocurrencia- Reducir el Riesgo- Compartir o Transferir el Riesgo",IF($AF61=53,"- Eliminar Causa(s)- Evitar Posibilidad de Ocurrencia- Reducir el Riesgo- Compartir o Transferir el Riesgo",IF($AF61=54,"-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62" s="3" t="str">
        <f t="shared" si="222"/>
        <v/>
      </c>
      <c r="AN62" s="3" t="str">
        <f t="shared" si="223"/>
        <v/>
      </c>
      <c r="AO62" s="3" t="str">
        <f t="shared" si="224"/>
        <v/>
      </c>
      <c r="AP62" s="3" t="str">
        <f t="shared" si="225"/>
        <v/>
      </c>
      <c r="AQ62" s="3" t="str">
        <f t="shared" ref="AQ62:AQ63" si="415">IF(AQ61="Documentar",AQ61,AM62)</f>
        <v/>
      </c>
      <c r="AR62" s="3" t="str">
        <f t="shared" ref="AR62:AR63" si="416">IF(AR61="Asignar responsable",AR61,AN62)</f>
        <v/>
      </c>
      <c r="AT62" s="3" t="str">
        <f t="shared" ref="AT62:AT63" si="417">IF(AT61="Establecer periodos de seguimiento adecuados",AT61,AO62)</f>
        <v/>
      </c>
      <c r="AV62" s="3" t="str">
        <f t="shared" ref="AV62:AV63" si="418">IF(AV61="Guardar Evidencias",AV61,AP62)</f>
        <v/>
      </c>
      <c r="AX62" s="502"/>
      <c r="AY62" s="502"/>
      <c r="AZ62" s="502"/>
      <c r="BA62" s="502"/>
      <c r="BB62" s="3" t="str">
        <f t="shared" si="234"/>
        <v/>
      </c>
      <c r="BC62" s="3" t="str">
        <f t="shared" si="235"/>
        <v/>
      </c>
      <c r="BD62" s="3" t="str">
        <f t="shared" si="236"/>
        <v/>
      </c>
      <c r="BE62" s="3" t="str">
        <f t="shared" si="237"/>
        <v/>
      </c>
      <c r="BF62" s="3" t="str">
        <f t="shared" si="238"/>
        <v/>
      </c>
      <c r="BG62" s="3" t="str">
        <f t="shared" si="239"/>
        <v/>
      </c>
      <c r="BH62" s="3" t="str">
        <f t="shared" si="240"/>
        <v/>
      </c>
      <c r="BI62" s="3" t="str">
        <f t="shared" si="25"/>
        <v/>
      </c>
      <c r="BJ62" s="3" t="str">
        <f t="shared" si="26"/>
        <v/>
      </c>
      <c r="BK62" s="3" t="str">
        <f t="shared" si="27"/>
        <v/>
      </c>
      <c r="BL62" s="3" t="str">
        <f t="shared" si="241"/>
        <v/>
      </c>
      <c r="BM62" s="3" t="str">
        <f t="shared" si="242"/>
        <v/>
      </c>
    </row>
    <row r="63" spans="1:65" ht="36" customHeight="1" x14ac:dyDescent="0.2">
      <c r="A63" s="503"/>
      <c r="B63" s="496"/>
      <c r="C63" s="356">
        <v>3</v>
      </c>
      <c r="D63" s="56"/>
      <c r="E63" s="240" t="str">
        <f t="shared" si="4"/>
        <v/>
      </c>
      <c r="F63" s="44"/>
      <c r="G63" s="18" t="str">
        <f t="shared" si="198"/>
        <v/>
      </c>
      <c r="H63" s="44"/>
      <c r="I63" s="18" t="str">
        <f t="shared" si="199"/>
        <v/>
      </c>
      <c r="J63" s="55" t="str">
        <f t="shared" si="200"/>
        <v/>
      </c>
      <c r="K63" s="43"/>
      <c r="L63" s="18" t="str">
        <f t="shared" si="201"/>
        <v/>
      </c>
      <c r="M63" s="43"/>
      <c r="N63" s="18" t="str">
        <f t="shared" si="202"/>
        <v/>
      </c>
      <c r="O63" s="43"/>
      <c r="P63" s="18" t="str">
        <f t="shared" si="203"/>
        <v/>
      </c>
      <c r="Q63" s="43"/>
      <c r="R63" s="18" t="str">
        <f t="shared" si="204"/>
        <v/>
      </c>
      <c r="S63" s="43"/>
      <c r="T63" s="18" t="str">
        <f t="shared" si="205"/>
        <v/>
      </c>
      <c r="U63" s="43"/>
      <c r="V63" s="18" t="str">
        <f t="shared" si="206"/>
        <v/>
      </c>
      <c r="W63" s="18">
        <f t="shared" si="207"/>
        <v>0</v>
      </c>
      <c r="X63" s="57" t="str">
        <f t="shared" si="208"/>
        <v/>
      </c>
      <c r="Y63" s="57">
        <f t="shared" si="209"/>
        <v>0</v>
      </c>
      <c r="Z63" s="356">
        <f t="shared" si="210"/>
        <v>0</v>
      </c>
      <c r="AA63" s="499"/>
      <c r="AB63" s="500"/>
      <c r="AM63" s="3" t="str">
        <f t="shared" si="222"/>
        <v/>
      </c>
      <c r="AN63" s="3" t="str">
        <f t="shared" si="223"/>
        <v/>
      </c>
      <c r="AO63" s="3" t="str">
        <f t="shared" si="224"/>
        <v/>
      </c>
      <c r="AP63" s="3" t="str">
        <f t="shared" si="225"/>
        <v/>
      </c>
      <c r="AQ63" s="3" t="str">
        <f t="shared" si="415"/>
        <v/>
      </c>
      <c r="AR63" s="3" t="str">
        <f t="shared" si="416"/>
        <v/>
      </c>
      <c r="AS63" s="3" t="str">
        <f t="shared" ref="AS63" si="419">IF(AND(AQ63="Documentar",AR63="Asignar responsable"),CONCATENATE("- ",AQ63,", ",AR63),IF(AQ63="Documentar",CONCATENATE("- ",AQ63),IF(AR63="Asignar responsable",CONCATENATE("- ",AR63),"")))</f>
        <v/>
      </c>
      <c r="AT63" s="3" t="str">
        <f t="shared" si="417"/>
        <v/>
      </c>
      <c r="AU63" s="3" t="str">
        <f t="shared" ref="AU63" si="420">IF(AT63="",AS63,IF(AS63="",CONCATENATE("- ",AT63),CONCATENATE(AS63,", ",AT63)))</f>
        <v/>
      </c>
      <c r="AV63" s="3" t="str">
        <f t="shared" si="418"/>
        <v/>
      </c>
      <c r="AW63" s="3" t="str">
        <f t="shared" ref="AW63" si="421">IF(AV63="",AU63,IF(AU63="",CONCATENATE("- ",AV63),CONCATENATE(AU63,", ",AV63)))</f>
        <v/>
      </c>
      <c r="AX63" s="502"/>
      <c r="AY63" s="502"/>
      <c r="AZ63" s="502"/>
      <c r="BA63" s="502"/>
      <c r="BB63" s="3" t="str">
        <f t="shared" si="234"/>
        <v/>
      </c>
      <c r="BC63" s="3" t="str">
        <f t="shared" si="235"/>
        <v/>
      </c>
      <c r="BD63" s="3" t="str">
        <f t="shared" si="236"/>
        <v/>
      </c>
      <c r="BE63" s="3" t="str">
        <f t="shared" si="237"/>
        <v/>
      </c>
      <c r="BF63" s="3" t="str">
        <f t="shared" si="238"/>
        <v/>
      </c>
      <c r="BG63" s="3" t="str">
        <f t="shared" si="239"/>
        <v/>
      </c>
      <c r="BH63" s="3" t="str">
        <f t="shared" si="240"/>
        <v/>
      </c>
      <c r="BI63" s="3" t="str">
        <f t="shared" si="25"/>
        <v/>
      </c>
      <c r="BJ63" s="3" t="str">
        <f t="shared" si="26"/>
        <v/>
      </c>
      <c r="BK63" s="3" t="str">
        <f t="shared" si="27"/>
        <v/>
      </c>
      <c r="BL63" s="3" t="str">
        <f t="shared" si="241"/>
        <v/>
      </c>
      <c r="BM63" s="3" t="str">
        <f t="shared" si="242"/>
        <v/>
      </c>
    </row>
    <row r="64" spans="1:65" ht="36" customHeight="1" x14ac:dyDescent="0.2">
      <c r="A64" s="503" t="str">
        <f>IDENTIFICACIÓN!C27</f>
        <v>19G</v>
      </c>
      <c r="B64" s="496" t="str">
        <f>IF(IDENTIFICACIÓN!D27="","",IDENTIFICACIÓN!D27)</f>
        <v>Gestión de Extensión y Proyección Social. Interrupción en las actividades e incumplimiento de los proyectos de extensión y proyección social, en las zonas de influencia.</v>
      </c>
      <c r="C64" s="356">
        <v>1</v>
      </c>
      <c r="D64" s="56" t="s">
        <v>11</v>
      </c>
      <c r="E64" s="240">
        <f t="shared" si="4"/>
        <v>10</v>
      </c>
      <c r="F64" s="44" t="s">
        <v>594</v>
      </c>
      <c r="G64" s="18" t="str">
        <f t="shared" si="198"/>
        <v/>
      </c>
      <c r="H64" s="44" t="s">
        <v>20</v>
      </c>
      <c r="I64" s="18" t="str">
        <f t="shared" si="199"/>
        <v/>
      </c>
      <c r="J64" s="55" t="str">
        <f t="shared" si="200"/>
        <v>Posibilidad</v>
      </c>
      <c r="K64" s="43" t="s">
        <v>11</v>
      </c>
      <c r="L64" s="18">
        <f t="shared" si="201"/>
        <v>15</v>
      </c>
      <c r="M64" s="43" t="s">
        <v>11</v>
      </c>
      <c r="N64" s="18">
        <f t="shared" si="202"/>
        <v>30</v>
      </c>
      <c r="O64" s="43" t="s">
        <v>323</v>
      </c>
      <c r="P64" s="18">
        <f t="shared" si="203"/>
        <v>10</v>
      </c>
      <c r="Q64" s="43" t="s">
        <v>11</v>
      </c>
      <c r="R64" s="18">
        <f t="shared" si="204"/>
        <v>5</v>
      </c>
      <c r="S64" s="43" t="s">
        <v>10</v>
      </c>
      <c r="T64" s="18">
        <f t="shared" si="205"/>
        <v>0</v>
      </c>
      <c r="U64" s="43" t="s">
        <v>11</v>
      </c>
      <c r="V64" s="18">
        <f t="shared" si="206"/>
        <v>10</v>
      </c>
      <c r="W64" s="18">
        <f t="shared" si="207"/>
        <v>80</v>
      </c>
      <c r="X64" s="57" t="str">
        <f t="shared" si="208"/>
        <v>80                           Disminuye max 2 en Posibilidad</v>
      </c>
      <c r="Y64" s="57">
        <f t="shared" si="209"/>
        <v>2</v>
      </c>
      <c r="Z64" s="356">
        <f t="shared" si="210"/>
        <v>0</v>
      </c>
      <c r="AA64" s="497">
        <f t="shared" ref="AA64" si="422">IF(AB64=0,"",(ROUND((SUM(W64:W66)/AB64),0)))</f>
        <v>80</v>
      </c>
      <c r="AB64" s="500">
        <f t="shared" ref="AB64" si="423">COUNT(T64:T66)</f>
        <v>1</v>
      </c>
      <c r="AC64" s="3">
        <f t="shared" ref="AC64" si="424">SUM(Y64:Y66)</f>
        <v>2</v>
      </c>
      <c r="AD64" s="3">
        <f>ANALISIS!D29</f>
        <v>3</v>
      </c>
      <c r="AE64" s="3">
        <f t="shared" ref="AE64:AE65" si="425">IF((AD64-AC64)&gt;=1,(AD64-AC64),1)</f>
        <v>1</v>
      </c>
      <c r="AF64" s="501">
        <f t="shared" ref="AF64" si="426">(AE65*10)+AE64</f>
        <v>41</v>
      </c>
      <c r="AG64" s="355" t="str">
        <f t="shared" ref="AG64" si="427">IF(AE65=1,AH64,IF(AE65=2,AI64,IF(AE65=3,AJ64,IF(AE65=4,AK64,AL64))))</f>
        <v>ALTA 1:4</v>
      </c>
      <c r="AH64" s="46" t="str">
        <f t="shared" ref="AH64" si="428">IF($AF64=11,"BAJA 1:1",IF($AF64=12,"BAJA 2:1",IF($AF64=13,"BAJA 3:1",IF($AF64=14,"MODERADA 4:1","ALTA 5:1"))))</f>
        <v>ALTA 5:1</v>
      </c>
      <c r="AI64" s="46" t="str">
        <f t="shared" ref="AI64" si="429">IF($AF64=21,"BAJA 1:2",IF($AF64=22,"BAJA 2:2",IF($AF64=23,"MODERADA 3:2",IF($AF64=24,"ALTA 4:2","ALTA 5:2"))))</f>
        <v>ALTA 5:2</v>
      </c>
      <c r="AJ64" s="46" t="str">
        <f t="shared" ref="AJ64" si="430">IF($AF64=31,"MODERADA 1:3",IF($AF64=32,"MODERADA 2:3",IF($AF64=33,"ALTA 3:3",IF($AF64=34,"ALTA 4:3","EXTREMA 5:3"))))</f>
        <v>EXTREMA 5:3</v>
      </c>
      <c r="AK64" s="46" t="str">
        <f t="shared" ref="AK64" si="431">IF($AF64=41,"ALTA 1:4",IF($AF64=42,"ALTA 2:4",IF($AF64=43,"EXTREMA 3:4",IF($AF64=44,"EXTREMA 4:4","EXTREMA 5:4"))))</f>
        <v>ALTA 1:4</v>
      </c>
      <c r="AL64" s="46" t="str">
        <f t="shared" ref="AL64" si="432">IF($AF64=51,"ALTA 1:5",IF($AF64=52,"EXTREMA 2:5",IF($AF64=53,"EXTREMA 3:5",IF($AF64=54,"EXTREMA 4:5","EXTREMA 5:5"))))</f>
        <v>EXTREMA 5:5</v>
      </c>
      <c r="AM64" s="3" t="str">
        <f t="shared" si="222"/>
        <v/>
      </c>
      <c r="AN64" s="3" t="str">
        <f t="shared" si="223"/>
        <v/>
      </c>
      <c r="AO64" s="3" t="str">
        <f t="shared" si="224"/>
        <v>Establecer periodos de seguimiento adecuados</v>
      </c>
      <c r="AP64" s="3" t="str">
        <f t="shared" si="225"/>
        <v/>
      </c>
      <c r="AQ64" s="3" t="str">
        <f t="shared" ref="AQ64" si="433">AM64</f>
        <v/>
      </c>
      <c r="AR64" s="3" t="str">
        <f t="shared" ref="AR64" si="434">AN64</f>
        <v/>
      </c>
      <c r="AT64" s="3" t="str">
        <f t="shared" ref="AT64" si="435">AO64</f>
        <v>Establecer periodos de seguimiento adecuados</v>
      </c>
      <c r="AV64" s="3" t="str">
        <f t="shared" ref="AV64" si="436">AP64</f>
        <v/>
      </c>
      <c r="AX64" s="502" t="str">
        <f t="shared" ref="AX64" si="437">IF(AW66="","",CONCATENATE(AW66," (de) el(los) control(es) Efectivo(s) "))</f>
        <v xml:space="preserve">- Establecer periodos de seguimiento adecuados (de) el(los) control(es) Efectivo(s) </v>
      </c>
      <c r="AY64" s="502" t="str">
        <f t="shared" ref="AY64" si="438">IF(CONCATENATE(N64:N66)="","",IF(AND(SUM(E64:E66)=10,SUM(N64:N66)&lt;30),"- Replantear control(es) NO efectivo(s) ",IF(AND(SUM(E64:E66)=20,SUM(N64:N66)&lt;60),"- Replantear control(es) NO efectivo(s) ",IF(AND(SUM(E64:E66)=30,SUM(N64:N66)&lt;90),"- Replantear control(es) NO efectivo(s) ",""))))</f>
        <v/>
      </c>
      <c r="AZ64" s="502" t="str">
        <f t="shared" ref="AZ64" si="439">IF(AND(AE64&gt;1,AE65&gt;1),"- Tomar Acciones Preventivas y Correctivas",IF(AE64&gt;1,"- Tomar Acciones Preventivas",IF(AE65&gt;1,"- Tomar Acciones Correctivas","")))</f>
        <v>- Tomar Acciones Correctivas</v>
      </c>
      <c r="BA64" s="502" t="str">
        <f t="shared" ref="BA64" si="440">CONCATENATE(AX64,AY64,AZ64)</f>
        <v>- Establecer periodos de seguimiento adecuados (de) el(los) control(es) Efectivo(s) - Tomar Acciones Correctivas</v>
      </c>
      <c r="BB64" s="3" t="str">
        <f t="shared" si="234"/>
        <v>SI</v>
      </c>
      <c r="BC64" s="3" t="str">
        <f t="shared" si="235"/>
        <v/>
      </c>
      <c r="BD64" s="3" t="str">
        <f t="shared" si="236"/>
        <v>SI</v>
      </c>
      <c r="BE64" s="3" t="str">
        <f t="shared" si="237"/>
        <v/>
      </c>
      <c r="BF64" s="3" t="str">
        <f t="shared" si="238"/>
        <v>NO</v>
      </c>
      <c r="BG64" s="3" t="str">
        <f t="shared" si="239"/>
        <v/>
      </c>
      <c r="BH64" s="3" t="str">
        <f t="shared" si="240"/>
        <v>P</v>
      </c>
      <c r="BI64" s="3" t="str">
        <f t="shared" si="25"/>
        <v/>
      </c>
      <c r="BJ64" s="3" t="str">
        <f t="shared" si="26"/>
        <v>M</v>
      </c>
      <c r="BK64" s="3" t="str">
        <f t="shared" si="27"/>
        <v/>
      </c>
      <c r="BL64" s="3" t="str">
        <f t="shared" si="241"/>
        <v>SI</v>
      </c>
      <c r="BM64" s="3" t="str">
        <f t="shared" si="242"/>
        <v/>
      </c>
    </row>
    <row r="65" spans="1:65" ht="36" customHeight="1" x14ac:dyDescent="0.2">
      <c r="A65" s="503"/>
      <c r="B65" s="496"/>
      <c r="C65" s="356">
        <v>2</v>
      </c>
      <c r="D65" s="56"/>
      <c r="E65" s="240" t="str">
        <f t="shared" si="4"/>
        <v/>
      </c>
      <c r="F65" s="44"/>
      <c r="G65" s="18" t="str">
        <f t="shared" si="198"/>
        <v/>
      </c>
      <c r="H65" s="44"/>
      <c r="I65" s="18" t="str">
        <f t="shared" si="199"/>
        <v/>
      </c>
      <c r="J65" s="55" t="str">
        <f t="shared" si="200"/>
        <v/>
      </c>
      <c r="K65" s="43"/>
      <c r="L65" s="18" t="str">
        <f t="shared" si="201"/>
        <v/>
      </c>
      <c r="M65" s="43"/>
      <c r="N65" s="18" t="str">
        <f t="shared" si="202"/>
        <v/>
      </c>
      <c r="O65" s="43"/>
      <c r="P65" s="18" t="str">
        <f t="shared" si="203"/>
        <v/>
      </c>
      <c r="Q65" s="43"/>
      <c r="R65" s="18" t="str">
        <f t="shared" si="204"/>
        <v/>
      </c>
      <c r="S65" s="43"/>
      <c r="T65" s="18" t="str">
        <f t="shared" si="205"/>
        <v/>
      </c>
      <c r="U65" s="43"/>
      <c r="V65" s="18" t="str">
        <f t="shared" si="206"/>
        <v/>
      </c>
      <c r="W65" s="18">
        <f t="shared" si="207"/>
        <v>0</v>
      </c>
      <c r="X65" s="57" t="str">
        <f t="shared" si="208"/>
        <v/>
      </c>
      <c r="Y65" s="57">
        <f t="shared" si="209"/>
        <v>0</v>
      </c>
      <c r="Z65" s="356">
        <f t="shared" si="210"/>
        <v>0</v>
      </c>
      <c r="AA65" s="498"/>
      <c r="AB65" s="500"/>
      <c r="AC65" s="3">
        <f t="shared" ref="AC65" si="441">SUM(Z64:Z66)</f>
        <v>0</v>
      </c>
      <c r="AD65" s="3">
        <f>ANALISIS!G29</f>
        <v>4</v>
      </c>
      <c r="AE65" s="3">
        <f t="shared" si="425"/>
        <v>4</v>
      </c>
      <c r="AF65" s="501"/>
      <c r="AG65" s="355" t="str">
        <f t="shared" ref="AG65" si="442">IF(AE65=1,AH65,IF(AE65=2,AI65,IF(AE65=3,AJ65,IF(AE65=4,AK65,AL65))))</f>
        <v>- Reducir el Riesgo- Compartir o Transferir el Riesgo</v>
      </c>
      <c r="AH65" s="46" t="str">
        <f t="shared" ref="AH65" si="443">IF($AF64=11,"- Asumir el Riesgo",IF($AF64=12,"- Asumir el Riesgo- Evitar Posibilidad de Ocurrencia- Reducir el Riesgo",IF($AF64=13,"- Asumir el Riesgo- Evitar Posibilidad de Ocurrencia- Reducir el Riesgo",IF($AF64=14,"-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65" s="46" t="str">
        <f t="shared" ref="AI65" si="444">IF($AF64=21,"- Asumir el Riesgo- Reducir el Riesgo",IF($AF64=22,"- Asumir el Riesgo- Evitar Posibilidad de Ocurrencia- Reducir el Riesgo",IF($AF64=23,"- Asumir el Riesgo- Evitar Posibilidad de Ocurrencia- Reducir el Riesgo- Compartir o Transferir el Riesgo",IF($AF64=24,"- Evitar Posibilidad de Ocurrencia- Reducir el Riesgo- Compartir o Transferir el Riesgo","- Evitar Posibilidad de Ocurrencia- Reducir el Riesgo- Compartir o Transferir el Riesgo"))))</f>
        <v>- Evitar Posibilidad de Ocurrencia- Reducir el Riesgo- Compartir o Transferir el Riesgo</v>
      </c>
      <c r="AJ65" s="46" t="str">
        <f t="shared" ref="AJ65" si="445">IF($AF64=31,"- Asumir el Riesgo- Reducir el Riesgo- Compartir o Transferir el Riesgo",IF($AF64=32,"- Asumir el Riesgo- Evitar Posibilidad de Ocurrencia- Reducir el Reducir- Compartir o Transferir el Riesgo",IF($AF64=33,"- Evitar Posibilidad de Ocurrencia- Reducir el Riesgo- Compartir o Transferir el Riesgo",IF($AF64=34,"-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65" s="46" t="str">
        <f t="shared" ref="AK65" si="446">IF($AF64=41,"- Reducir el Riesgo- Compartir o Transferir el Riesgo",IF($AF64=42,"- Evitar Posibilidad de Ocurrencia- Reducir el Riesgo- Compartir o Transferir el Riesgo",IF($AF64=43,"- Eliminar Causa(s)- Evitar Posibilidad de Ocurrencia- Reducir el Riesgo- Compartir o Transferir el Riesgo",IF($AF64=44,"- Eliminar Causa(s)- Evitar Posibilidad de Ocurrencia- Reducir el Riesgo- Compartir o Transferir el Riesgo","- Eliminar Causa(s)- Evitar Posibilidad de Ocurrencia- Reducir el Riesgo- Compartir o Transferir el Riesgo"))))</f>
        <v>- Reducir el Riesgo- Compartir o Transferir el Riesgo</v>
      </c>
      <c r="AL65" s="46" t="str">
        <f t="shared" ref="AL65" si="447">IF($AF64=51,"- Reducir el Riesgo- Compartir o Transferir el Riesgo",IF($AF64=52,"- Eliminar Causa(s)- Evitar Posibilidad de Ocurrencia- Reducir el Riesgo- Compartir o Transferir el Riesgo",IF($AF64=53,"- Eliminar Causa(s)- Evitar Posibilidad de Ocurrencia- Reducir el Riesgo- Compartir o Transferir el Riesgo",IF($AF64=54,"-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65" s="3" t="str">
        <f t="shared" si="222"/>
        <v/>
      </c>
      <c r="AN65" s="3" t="str">
        <f t="shared" si="223"/>
        <v/>
      </c>
      <c r="AO65" s="3" t="str">
        <f t="shared" si="224"/>
        <v/>
      </c>
      <c r="AP65" s="3" t="str">
        <f t="shared" si="225"/>
        <v/>
      </c>
      <c r="AQ65" s="3" t="str">
        <f t="shared" ref="AQ65:AQ66" si="448">IF(AQ64="Documentar",AQ64,AM65)</f>
        <v/>
      </c>
      <c r="AR65" s="3" t="str">
        <f t="shared" ref="AR65:AR66" si="449">IF(AR64="Asignar responsable",AR64,AN65)</f>
        <v/>
      </c>
      <c r="AT65" s="3" t="str">
        <f t="shared" ref="AT65:AT66" si="450">IF(AT64="Establecer periodos de seguimiento adecuados",AT64,AO65)</f>
        <v>Establecer periodos de seguimiento adecuados</v>
      </c>
      <c r="AV65" s="3" t="str">
        <f t="shared" ref="AV65:AV66" si="451">IF(AV64="Guardar Evidencias",AV64,AP65)</f>
        <v/>
      </c>
      <c r="AX65" s="502"/>
      <c r="AY65" s="502"/>
      <c r="AZ65" s="502"/>
      <c r="BA65" s="502"/>
      <c r="BB65" s="3" t="str">
        <f t="shared" si="234"/>
        <v/>
      </c>
      <c r="BC65" s="3" t="str">
        <f t="shared" si="235"/>
        <v/>
      </c>
      <c r="BD65" s="3" t="str">
        <f t="shared" si="236"/>
        <v/>
      </c>
      <c r="BE65" s="3" t="str">
        <f t="shared" si="237"/>
        <v/>
      </c>
      <c r="BF65" s="3" t="str">
        <f t="shared" si="238"/>
        <v/>
      </c>
      <c r="BG65" s="3" t="str">
        <f t="shared" si="239"/>
        <v/>
      </c>
      <c r="BH65" s="3" t="str">
        <f t="shared" si="240"/>
        <v/>
      </c>
      <c r="BI65" s="3" t="str">
        <f t="shared" si="25"/>
        <v/>
      </c>
      <c r="BJ65" s="3" t="str">
        <f t="shared" si="26"/>
        <v/>
      </c>
      <c r="BK65" s="3" t="str">
        <f t="shared" si="27"/>
        <v/>
      </c>
      <c r="BL65" s="3" t="str">
        <f t="shared" si="241"/>
        <v/>
      </c>
      <c r="BM65" s="3" t="str">
        <f t="shared" si="242"/>
        <v/>
      </c>
    </row>
    <row r="66" spans="1:65" ht="36" customHeight="1" x14ac:dyDescent="0.2">
      <c r="A66" s="503"/>
      <c r="B66" s="496"/>
      <c r="C66" s="356">
        <v>3</v>
      </c>
      <c r="D66" s="56"/>
      <c r="E66" s="240" t="str">
        <f t="shared" si="4"/>
        <v/>
      </c>
      <c r="F66" s="44"/>
      <c r="G66" s="18" t="str">
        <f t="shared" si="198"/>
        <v/>
      </c>
      <c r="H66" s="44"/>
      <c r="I66" s="18" t="str">
        <f t="shared" si="199"/>
        <v/>
      </c>
      <c r="J66" s="55" t="str">
        <f t="shared" si="200"/>
        <v/>
      </c>
      <c r="K66" s="43"/>
      <c r="L66" s="18" t="str">
        <f t="shared" si="201"/>
        <v/>
      </c>
      <c r="M66" s="43"/>
      <c r="N66" s="18" t="str">
        <f t="shared" si="202"/>
        <v/>
      </c>
      <c r="O66" s="43"/>
      <c r="P66" s="18" t="str">
        <f t="shared" si="203"/>
        <v/>
      </c>
      <c r="Q66" s="43"/>
      <c r="R66" s="18" t="str">
        <f t="shared" si="204"/>
        <v/>
      </c>
      <c r="S66" s="43"/>
      <c r="T66" s="18" t="str">
        <f t="shared" si="205"/>
        <v/>
      </c>
      <c r="U66" s="43"/>
      <c r="V66" s="18" t="str">
        <f t="shared" si="206"/>
        <v/>
      </c>
      <c r="W66" s="18">
        <f t="shared" si="207"/>
        <v>0</v>
      </c>
      <c r="X66" s="57" t="str">
        <f t="shared" si="208"/>
        <v/>
      </c>
      <c r="Y66" s="57">
        <f t="shared" si="209"/>
        <v>0</v>
      </c>
      <c r="Z66" s="356">
        <f t="shared" si="210"/>
        <v>0</v>
      </c>
      <c r="AA66" s="499"/>
      <c r="AB66" s="500"/>
      <c r="AM66" s="3" t="str">
        <f t="shared" si="222"/>
        <v/>
      </c>
      <c r="AN66" s="3" t="str">
        <f t="shared" si="223"/>
        <v/>
      </c>
      <c r="AO66" s="3" t="str">
        <f t="shared" si="224"/>
        <v/>
      </c>
      <c r="AP66" s="3" t="str">
        <f t="shared" si="225"/>
        <v/>
      </c>
      <c r="AQ66" s="3" t="str">
        <f t="shared" si="448"/>
        <v/>
      </c>
      <c r="AR66" s="3" t="str">
        <f t="shared" si="449"/>
        <v/>
      </c>
      <c r="AS66" s="3" t="str">
        <f t="shared" ref="AS66" si="452">IF(AND(AQ66="Documentar",AR66="Asignar responsable"),CONCATENATE("- ",AQ66,", ",AR66),IF(AQ66="Documentar",CONCATENATE("- ",AQ66),IF(AR66="Asignar responsable",CONCATENATE("- ",AR66),"")))</f>
        <v/>
      </c>
      <c r="AT66" s="3" t="str">
        <f t="shared" si="450"/>
        <v>Establecer periodos de seguimiento adecuados</v>
      </c>
      <c r="AU66" s="3" t="str">
        <f t="shared" ref="AU66" si="453">IF(AT66="",AS66,IF(AS66="",CONCATENATE("- ",AT66),CONCATENATE(AS66,", ",AT66)))</f>
        <v>- Establecer periodos de seguimiento adecuados</v>
      </c>
      <c r="AV66" s="3" t="str">
        <f t="shared" si="451"/>
        <v/>
      </c>
      <c r="AW66" s="3" t="str">
        <f t="shared" ref="AW66" si="454">IF(AV66="",AU66,IF(AU66="",CONCATENATE("- ",AV66),CONCATENATE(AU66,", ",AV66)))</f>
        <v>- Establecer periodos de seguimiento adecuados</v>
      </c>
      <c r="AX66" s="502"/>
      <c r="AY66" s="502"/>
      <c r="AZ66" s="502"/>
      <c r="BA66" s="502"/>
      <c r="BB66" s="3" t="str">
        <f t="shared" si="234"/>
        <v/>
      </c>
      <c r="BC66" s="3" t="str">
        <f t="shared" si="235"/>
        <v/>
      </c>
      <c r="BD66" s="3" t="str">
        <f t="shared" si="236"/>
        <v/>
      </c>
      <c r="BE66" s="3" t="str">
        <f t="shared" si="237"/>
        <v/>
      </c>
      <c r="BF66" s="3" t="str">
        <f t="shared" si="238"/>
        <v/>
      </c>
      <c r="BG66" s="3" t="str">
        <f t="shared" si="239"/>
        <v/>
      </c>
      <c r="BH66" s="3" t="str">
        <f t="shared" si="240"/>
        <v/>
      </c>
      <c r="BI66" s="3" t="str">
        <f t="shared" si="25"/>
        <v/>
      </c>
      <c r="BJ66" s="3" t="str">
        <f t="shared" si="26"/>
        <v/>
      </c>
      <c r="BK66" s="3" t="str">
        <f t="shared" si="27"/>
        <v/>
      </c>
      <c r="BL66" s="3" t="str">
        <f t="shared" si="241"/>
        <v/>
      </c>
      <c r="BM66" s="3" t="str">
        <f t="shared" si="242"/>
        <v/>
      </c>
    </row>
    <row r="67" spans="1:65" ht="36" customHeight="1" x14ac:dyDescent="0.2">
      <c r="A67" s="503" t="str">
        <f>IDENTIFICACIÓN!C28</f>
        <v>20G</v>
      </c>
      <c r="B67" s="496" t="str">
        <f>IF(IDENTIFICACIÓN!D28="","",IDENTIFICACIÓN!D28)</f>
        <v>Gestión de Contratación. Celebración de contratos sin el cumplimiento de los requisitos internos y externos de carácter contractual</v>
      </c>
      <c r="C67" s="356">
        <v>1</v>
      </c>
      <c r="D67" s="56" t="s">
        <v>11</v>
      </c>
      <c r="E67" s="240">
        <f t="shared" si="4"/>
        <v>10</v>
      </c>
      <c r="F67" s="44" t="s">
        <v>596</v>
      </c>
      <c r="G67" s="18" t="str">
        <f t="shared" si="198"/>
        <v/>
      </c>
      <c r="H67" s="44" t="s">
        <v>20</v>
      </c>
      <c r="I67" s="18" t="str">
        <f t="shared" si="199"/>
        <v/>
      </c>
      <c r="J67" s="55" t="str">
        <f t="shared" si="200"/>
        <v>Posibilidad</v>
      </c>
      <c r="K67" s="43" t="s">
        <v>11</v>
      </c>
      <c r="L67" s="18">
        <f t="shared" si="201"/>
        <v>15</v>
      </c>
      <c r="M67" s="43" t="s">
        <v>11</v>
      </c>
      <c r="N67" s="18">
        <f t="shared" si="202"/>
        <v>30</v>
      </c>
      <c r="O67" s="43" t="s">
        <v>323</v>
      </c>
      <c r="P67" s="18">
        <f t="shared" si="203"/>
        <v>10</v>
      </c>
      <c r="Q67" s="43" t="s">
        <v>11</v>
      </c>
      <c r="R67" s="18">
        <f t="shared" si="204"/>
        <v>5</v>
      </c>
      <c r="S67" s="43" t="s">
        <v>11</v>
      </c>
      <c r="T67" s="18">
        <f t="shared" si="205"/>
        <v>15</v>
      </c>
      <c r="U67" s="43" t="s">
        <v>11</v>
      </c>
      <c r="V67" s="18">
        <f t="shared" si="206"/>
        <v>10</v>
      </c>
      <c r="W67" s="18">
        <f t="shared" si="207"/>
        <v>95</v>
      </c>
      <c r="X67" s="57" t="str">
        <f t="shared" si="208"/>
        <v>95                           Disminuye max 2 en Posibilidad</v>
      </c>
      <c r="Y67" s="57">
        <f t="shared" si="209"/>
        <v>2</v>
      </c>
      <c r="Z67" s="356">
        <f t="shared" si="210"/>
        <v>0</v>
      </c>
      <c r="AA67" s="497">
        <f t="shared" ref="AA67" si="455">IF(AB67=0,"",(ROUND((SUM(W67:W69)/AB67),0)))</f>
        <v>90</v>
      </c>
      <c r="AB67" s="500">
        <f t="shared" ref="AB67" si="456">COUNT(T67:T69)</f>
        <v>3</v>
      </c>
      <c r="AC67" s="3">
        <f t="shared" ref="AC67" si="457">SUM(Y67:Y69)</f>
        <v>6</v>
      </c>
      <c r="AD67" s="3">
        <f>ANALISIS!D30</f>
        <v>1</v>
      </c>
      <c r="AE67" s="3">
        <f t="shared" ref="AE67:AE68" si="458">IF((AD67-AC67)&gt;=1,(AD67-AC67),1)</f>
        <v>1</v>
      </c>
      <c r="AF67" s="501">
        <f t="shared" ref="AF67" si="459">(AE68*10)+AE67</f>
        <v>41</v>
      </c>
      <c r="AG67" s="355" t="str">
        <f t="shared" ref="AG67" si="460">IF(AE68=1,AH67,IF(AE68=2,AI67,IF(AE68=3,AJ67,IF(AE68=4,AK67,AL67))))</f>
        <v>ALTA 1:4</v>
      </c>
      <c r="AH67" s="46" t="str">
        <f t="shared" ref="AH67" si="461">IF($AF67=11,"BAJA 1:1",IF($AF67=12,"BAJA 2:1",IF($AF67=13,"BAJA 3:1",IF($AF67=14,"MODERADA 4:1","ALTA 5:1"))))</f>
        <v>ALTA 5:1</v>
      </c>
      <c r="AI67" s="46" t="str">
        <f t="shared" ref="AI67" si="462">IF($AF67=21,"BAJA 1:2",IF($AF67=22,"BAJA 2:2",IF($AF67=23,"MODERADA 3:2",IF($AF67=24,"ALTA 4:2","ALTA 5:2"))))</f>
        <v>ALTA 5:2</v>
      </c>
      <c r="AJ67" s="46" t="str">
        <f t="shared" ref="AJ67" si="463">IF($AF67=31,"MODERADA 1:3",IF($AF67=32,"MODERADA 2:3",IF($AF67=33,"ALTA 3:3",IF($AF67=34,"ALTA 4:3","EXTREMA 5:3"))))</f>
        <v>EXTREMA 5:3</v>
      </c>
      <c r="AK67" s="46" t="str">
        <f t="shared" ref="AK67" si="464">IF($AF67=41,"ALTA 1:4",IF($AF67=42,"ALTA 2:4",IF($AF67=43,"EXTREMA 3:4",IF($AF67=44,"EXTREMA 4:4","EXTREMA 5:4"))))</f>
        <v>ALTA 1:4</v>
      </c>
      <c r="AL67" s="46" t="str">
        <f t="shared" ref="AL67" si="465">IF($AF67=51,"ALTA 1:5",IF($AF67=52,"EXTREMA 2:5",IF($AF67=53,"EXTREMA 3:5",IF($AF67=54,"EXTREMA 4:5","EXTREMA 5:5"))))</f>
        <v>EXTREMA 5:5</v>
      </c>
      <c r="AM67" s="3" t="str">
        <f t="shared" si="222"/>
        <v/>
      </c>
      <c r="AN67" s="3" t="str">
        <f t="shared" si="223"/>
        <v/>
      </c>
      <c r="AO67" s="3" t="str">
        <f t="shared" si="224"/>
        <v/>
      </c>
      <c r="AP67" s="3" t="str">
        <f t="shared" si="225"/>
        <v/>
      </c>
      <c r="AQ67" s="3" t="str">
        <f t="shared" ref="AQ67" si="466">AM67</f>
        <v/>
      </c>
      <c r="AR67" s="3" t="str">
        <f t="shared" ref="AR67" si="467">AN67</f>
        <v/>
      </c>
      <c r="AT67" s="3" t="str">
        <f t="shared" ref="AT67" si="468">AO67</f>
        <v/>
      </c>
      <c r="AV67" s="3" t="str">
        <f t="shared" ref="AV67" si="469">AP67</f>
        <v/>
      </c>
      <c r="AX67" s="502" t="str">
        <f t="shared" ref="AX67" si="470">IF(AW69="","",CONCATENATE(AW69," (de) el(los) control(es) Efectivo(s) "))</f>
        <v xml:space="preserve">- Documentar (de) el(los) control(es) Efectivo(s) </v>
      </c>
      <c r="AY67" s="502" t="str">
        <f t="shared" ref="AY67" si="471">IF(CONCATENATE(N67:N69)="","",IF(AND(SUM(E67:E69)=10,SUM(N67:N69)&lt;30),"- Replantear control(es) NO efectivo(s) ",IF(AND(SUM(E67:E69)=20,SUM(N67:N69)&lt;60),"- Replantear control(es) NO efectivo(s) ",IF(AND(SUM(E67:E69)=30,SUM(N67:N69)&lt;90),"- Replantear control(es) NO efectivo(s) ",""))))</f>
        <v/>
      </c>
      <c r="AZ67" s="502" t="str">
        <f t="shared" ref="AZ67" si="472">IF(AND(AE67&gt;1,AE68&gt;1),"- Tomar Acciones Preventivas y Correctivas",IF(AE67&gt;1,"- Tomar Acciones Preventivas",IF(AE68&gt;1,"- Tomar Acciones Correctivas","")))</f>
        <v>- Tomar Acciones Correctivas</v>
      </c>
      <c r="BA67" s="502" t="str">
        <f t="shared" ref="BA67" si="473">CONCATENATE(AX67,AY67,AZ67)</f>
        <v>- Documentar (de) el(los) control(es) Efectivo(s) - Tomar Acciones Correctivas</v>
      </c>
      <c r="BB67" s="3" t="str">
        <f t="shared" si="234"/>
        <v>SI</v>
      </c>
      <c r="BC67" s="3" t="str">
        <f t="shared" si="235"/>
        <v/>
      </c>
      <c r="BD67" s="3" t="str">
        <f t="shared" si="236"/>
        <v>SI</v>
      </c>
      <c r="BE67" s="3" t="str">
        <f t="shared" si="237"/>
        <v/>
      </c>
      <c r="BF67" s="3" t="str">
        <f t="shared" si="238"/>
        <v>SI</v>
      </c>
      <c r="BG67" s="3" t="str">
        <f t="shared" si="239"/>
        <v/>
      </c>
      <c r="BH67" s="3" t="str">
        <f t="shared" si="240"/>
        <v>P</v>
      </c>
      <c r="BI67" s="3" t="str">
        <f t="shared" si="25"/>
        <v/>
      </c>
      <c r="BJ67" s="3" t="str">
        <f t="shared" si="26"/>
        <v>M</v>
      </c>
      <c r="BK67" s="3" t="str">
        <f t="shared" si="27"/>
        <v/>
      </c>
      <c r="BL67" s="3" t="str">
        <f t="shared" si="241"/>
        <v>SI</v>
      </c>
      <c r="BM67" s="3" t="str">
        <f t="shared" si="242"/>
        <v/>
      </c>
    </row>
    <row r="68" spans="1:65" ht="36" customHeight="1" x14ac:dyDescent="0.2">
      <c r="A68" s="503"/>
      <c r="B68" s="496"/>
      <c r="C68" s="356">
        <v>2</v>
      </c>
      <c r="D68" s="56" t="s">
        <v>11</v>
      </c>
      <c r="E68" s="240">
        <f t="shared" si="4"/>
        <v>10</v>
      </c>
      <c r="F68" s="44" t="s">
        <v>597</v>
      </c>
      <c r="G68" s="18" t="str">
        <f t="shared" si="198"/>
        <v/>
      </c>
      <c r="H68" s="44" t="s">
        <v>20</v>
      </c>
      <c r="I68" s="18" t="str">
        <f t="shared" si="199"/>
        <v/>
      </c>
      <c r="J68" s="55" t="str">
        <f t="shared" si="200"/>
        <v>Posibilidad</v>
      </c>
      <c r="K68" s="43" t="s">
        <v>11</v>
      </c>
      <c r="L68" s="18">
        <f t="shared" si="201"/>
        <v>15</v>
      </c>
      <c r="M68" s="43" t="s">
        <v>11</v>
      </c>
      <c r="N68" s="18">
        <f t="shared" si="202"/>
        <v>30</v>
      </c>
      <c r="O68" s="43" t="s">
        <v>323</v>
      </c>
      <c r="P68" s="18">
        <f t="shared" si="203"/>
        <v>10</v>
      </c>
      <c r="Q68" s="43" t="s">
        <v>11</v>
      </c>
      <c r="R68" s="18">
        <f t="shared" si="204"/>
        <v>5</v>
      </c>
      <c r="S68" s="43" t="s">
        <v>11</v>
      </c>
      <c r="T68" s="18">
        <f t="shared" si="205"/>
        <v>15</v>
      </c>
      <c r="U68" s="43" t="s">
        <v>11</v>
      </c>
      <c r="V68" s="18">
        <f t="shared" si="206"/>
        <v>10</v>
      </c>
      <c r="W68" s="18">
        <f t="shared" si="207"/>
        <v>95</v>
      </c>
      <c r="X68" s="57" t="str">
        <f t="shared" si="208"/>
        <v>95                           Disminuye max 2 en Posibilidad</v>
      </c>
      <c r="Y68" s="57">
        <f t="shared" si="209"/>
        <v>2</v>
      </c>
      <c r="Z68" s="356">
        <f t="shared" si="210"/>
        <v>0</v>
      </c>
      <c r="AA68" s="498"/>
      <c r="AB68" s="500"/>
      <c r="AC68" s="3">
        <f t="shared" ref="AC68" si="474">SUM(Z67:Z69)</f>
        <v>0</v>
      </c>
      <c r="AD68" s="3">
        <f>ANALISIS!G30</f>
        <v>4</v>
      </c>
      <c r="AE68" s="3">
        <f t="shared" si="458"/>
        <v>4</v>
      </c>
      <c r="AF68" s="501"/>
      <c r="AG68" s="355" t="str">
        <f t="shared" ref="AG68" si="475">IF(AE68=1,AH68,IF(AE68=2,AI68,IF(AE68=3,AJ68,IF(AE68=4,AK68,AL68))))</f>
        <v>- Reducir el Riesgo- Compartir o Transferir el Riesgo</v>
      </c>
      <c r="AH68" s="46" t="str">
        <f t="shared" ref="AH68" si="476">IF($AF67=11,"- Asumir el Riesgo",IF($AF67=12,"- Asumir el Riesgo- Evitar Posibilidad de Ocurrencia- Reducir el Riesgo",IF($AF67=13,"- Asumir el Riesgo- Evitar Posibilidad de Ocurrencia- Reducir el Riesgo",IF($AF67=14,"-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68" s="46" t="str">
        <f t="shared" ref="AI68" si="477">IF($AF67=21,"- Asumir el Riesgo- Reducir el Riesgo",IF($AF67=22,"- Asumir el Riesgo- Evitar Posibilidad de Ocurrencia- Reducir el Riesgo",IF($AF67=23,"- Asumir el Riesgo- Evitar Posibilidad de Ocurrencia- Reducir el Riesgo- Compartir o Transferir el Riesgo",IF($AF67=24,"- Evitar Posibilidad de Ocurrencia- Reducir el Riesgo- Compartir o Transferir el Riesgo","- Evitar Posibilidad de Ocurrencia- Reducir el Riesgo- Compartir o Transferir el Riesgo"))))</f>
        <v>- Evitar Posibilidad de Ocurrencia- Reducir el Riesgo- Compartir o Transferir el Riesgo</v>
      </c>
      <c r="AJ68" s="46" t="str">
        <f t="shared" ref="AJ68" si="478">IF($AF67=31,"- Asumir el Riesgo- Reducir el Riesgo- Compartir o Transferir el Riesgo",IF($AF67=32,"- Asumir el Riesgo- Evitar Posibilidad de Ocurrencia- Reducir el Reducir- Compartir o Transferir el Riesgo",IF($AF67=33,"- Evitar Posibilidad de Ocurrencia- Reducir el Riesgo- Compartir o Transferir el Riesgo",IF($AF67=34,"-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68" s="46" t="str">
        <f t="shared" ref="AK68" si="479">IF($AF67=41,"- Reducir el Riesgo- Compartir o Transferir el Riesgo",IF($AF67=42,"- Evitar Posibilidad de Ocurrencia- Reducir el Riesgo- Compartir o Transferir el Riesgo",IF($AF67=43,"- Eliminar Causa(s)- Evitar Posibilidad de Ocurrencia- Reducir el Riesgo- Compartir o Transferir el Riesgo",IF($AF67=44,"- Eliminar Causa(s)- Evitar Posibilidad de Ocurrencia- Reducir el Riesgo- Compartir o Transferir el Riesgo","- Eliminar Causa(s)- Evitar Posibilidad de Ocurrencia- Reducir el Riesgo- Compartir o Transferir el Riesgo"))))</f>
        <v>- Reducir el Riesgo- Compartir o Transferir el Riesgo</v>
      </c>
      <c r="AL68" s="46" t="str">
        <f t="shared" ref="AL68" si="480">IF($AF67=51,"- Reducir el Riesgo- Compartir o Transferir el Riesgo",IF($AF67=52,"- Eliminar Causa(s)- Evitar Posibilidad de Ocurrencia- Reducir el Riesgo- Compartir o Transferir el Riesgo",IF($AF67=53,"- Eliminar Causa(s)- Evitar Posibilidad de Ocurrencia- Reducir el Riesgo- Compartir o Transferir el Riesgo",IF($AF67=54,"-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68" s="3" t="str">
        <f t="shared" si="222"/>
        <v/>
      </c>
      <c r="AN68" s="3" t="str">
        <f t="shared" si="223"/>
        <v/>
      </c>
      <c r="AO68" s="3" t="str">
        <f t="shared" si="224"/>
        <v/>
      </c>
      <c r="AP68" s="3" t="str">
        <f t="shared" si="225"/>
        <v/>
      </c>
      <c r="AQ68" s="3" t="str">
        <f t="shared" ref="AQ68:AQ69" si="481">IF(AQ67="Documentar",AQ67,AM68)</f>
        <v/>
      </c>
      <c r="AR68" s="3" t="str">
        <f t="shared" ref="AR68:AR69" si="482">IF(AR67="Asignar responsable",AR67,AN68)</f>
        <v/>
      </c>
      <c r="AT68" s="3" t="str">
        <f t="shared" ref="AT68:AT69" si="483">IF(AT67="Establecer periodos de seguimiento adecuados",AT67,AO68)</f>
        <v/>
      </c>
      <c r="AV68" s="3" t="str">
        <f t="shared" ref="AV68:AV69" si="484">IF(AV67="Guardar Evidencias",AV67,AP68)</f>
        <v/>
      </c>
      <c r="AX68" s="502"/>
      <c r="AY68" s="502"/>
      <c r="AZ68" s="502"/>
      <c r="BA68" s="502"/>
      <c r="BB68" s="3" t="str">
        <f t="shared" si="234"/>
        <v>SI</v>
      </c>
      <c r="BC68" s="3" t="str">
        <f t="shared" si="235"/>
        <v/>
      </c>
      <c r="BD68" s="3" t="str">
        <f t="shared" si="236"/>
        <v>SI</v>
      </c>
      <c r="BE68" s="3" t="str">
        <f t="shared" si="237"/>
        <v/>
      </c>
      <c r="BF68" s="3" t="str">
        <f t="shared" si="238"/>
        <v>SI</v>
      </c>
      <c r="BG68" s="3" t="str">
        <f t="shared" si="239"/>
        <v/>
      </c>
      <c r="BH68" s="3" t="str">
        <f t="shared" si="240"/>
        <v>P</v>
      </c>
      <c r="BI68" s="3" t="str">
        <f t="shared" si="25"/>
        <v/>
      </c>
      <c r="BJ68" s="3" t="str">
        <f t="shared" si="26"/>
        <v>M</v>
      </c>
      <c r="BK68" s="3" t="str">
        <f t="shared" si="27"/>
        <v/>
      </c>
      <c r="BL68" s="3" t="str">
        <f t="shared" si="241"/>
        <v>SI</v>
      </c>
      <c r="BM68" s="3" t="str">
        <f t="shared" si="242"/>
        <v/>
      </c>
    </row>
    <row r="69" spans="1:65" ht="36" customHeight="1" x14ac:dyDescent="0.2">
      <c r="A69" s="503"/>
      <c r="B69" s="496"/>
      <c r="C69" s="356">
        <v>3</v>
      </c>
      <c r="D69" s="56" t="s">
        <v>11</v>
      </c>
      <c r="E69" s="240">
        <f t="shared" si="4"/>
        <v>10</v>
      </c>
      <c r="F69" s="44" t="s">
        <v>598</v>
      </c>
      <c r="G69" s="18" t="str">
        <f t="shared" si="198"/>
        <v/>
      </c>
      <c r="H69" s="44" t="s">
        <v>20</v>
      </c>
      <c r="I69" s="18" t="str">
        <f t="shared" si="199"/>
        <v/>
      </c>
      <c r="J69" s="55" t="str">
        <f t="shared" si="200"/>
        <v>Posibilidad</v>
      </c>
      <c r="K69" s="43" t="s">
        <v>10</v>
      </c>
      <c r="L69" s="18">
        <f t="shared" si="201"/>
        <v>0</v>
      </c>
      <c r="M69" s="43" t="s">
        <v>11</v>
      </c>
      <c r="N69" s="18">
        <f t="shared" si="202"/>
        <v>30</v>
      </c>
      <c r="O69" s="43" t="s">
        <v>323</v>
      </c>
      <c r="P69" s="18">
        <f t="shared" si="203"/>
        <v>10</v>
      </c>
      <c r="Q69" s="43" t="s">
        <v>11</v>
      </c>
      <c r="R69" s="18">
        <f t="shared" si="204"/>
        <v>5</v>
      </c>
      <c r="S69" s="43" t="s">
        <v>11</v>
      </c>
      <c r="T69" s="18">
        <f t="shared" si="205"/>
        <v>15</v>
      </c>
      <c r="U69" s="43" t="s">
        <v>11</v>
      </c>
      <c r="V69" s="18">
        <f t="shared" si="206"/>
        <v>10</v>
      </c>
      <c r="W69" s="18">
        <f t="shared" si="207"/>
        <v>80</v>
      </c>
      <c r="X69" s="57" t="str">
        <f t="shared" si="208"/>
        <v>80                           Disminuye max 2 en Posibilidad</v>
      </c>
      <c r="Y69" s="57">
        <f t="shared" si="209"/>
        <v>2</v>
      </c>
      <c r="Z69" s="356">
        <f t="shared" si="210"/>
        <v>0</v>
      </c>
      <c r="AA69" s="499"/>
      <c r="AB69" s="500"/>
      <c r="AM69" s="3" t="str">
        <f t="shared" si="222"/>
        <v>Documentar</v>
      </c>
      <c r="AN69" s="3" t="str">
        <f t="shared" si="223"/>
        <v/>
      </c>
      <c r="AO69" s="3" t="str">
        <f t="shared" si="224"/>
        <v/>
      </c>
      <c r="AP69" s="3" t="str">
        <f t="shared" si="225"/>
        <v/>
      </c>
      <c r="AQ69" s="3" t="str">
        <f t="shared" si="481"/>
        <v>Documentar</v>
      </c>
      <c r="AR69" s="3" t="str">
        <f t="shared" si="482"/>
        <v/>
      </c>
      <c r="AS69" s="3" t="str">
        <f t="shared" ref="AS69" si="485">IF(AND(AQ69="Documentar",AR69="Asignar responsable"),CONCATENATE("- ",AQ69,", ",AR69),IF(AQ69="Documentar",CONCATENATE("- ",AQ69),IF(AR69="Asignar responsable",CONCATENATE("- ",AR69),"")))</f>
        <v>- Documentar</v>
      </c>
      <c r="AT69" s="3" t="str">
        <f t="shared" si="483"/>
        <v/>
      </c>
      <c r="AU69" s="3" t="str">
        <f t="shared" ref="AU69" si="486">IF(AT69="",AS69,IF(AS69="",CONCATENATE("- ",AT69),CONCATENATE(AS69,", ",AT69)))</f>
        <v>- Documentar</v>
      </c>
      <c r="AV69" s="3" t="str">
        <f t="shared" si="484"/>
        <v/>
      </c>
      <c r="AW69" s="3" t="str">
        <f t="shared" ref="AW69" si="487">IF(AV69="",AU69,IF(AU69="",CONCATENATE("- ",AV69),CONCATENATE(AU69,", ",AV69)))</f>
        <v>- Documentar</v>
      </c>
      <c r="AX69" s="502"/>
      <c r="AY69" s="502"/>
      <c r="AZ69" s="502"/>
      <c r="BA69" s="502"/>
      <c r="BB69" s="3" t="str">
        <f t="shared" si="234"/>
        <v>NO</v>
      </c>
      <c r="BC69" s="3" t="str">
        <f t="shared" si="235"/>
        <v/>
      </c>
      <c r="BD69" s="3" t="str">
        <f t="shared" si="236"/>
        <v>SI</v>
      </c>
      <c r="BE69" s="3" t="str">
        <f t="shared" si="237"/>
        <v/>
      </c>
      <c r="BF69" s="3" t="str">
        <f t="shared" si="238"/>
        <v>SI</v>
      </c>
      <c r="BG69" s="3" t="str">
        <f t="shared" si="239"/>
        <v/>
      </c>
      <c r="BH69" s="3" t="str">
        <f t="shared" si="240"/>
        <v>P</v>
      </c>
      <c r="BI69" s="3" t="str">
        <f t="shared" si="25"/>
        <v/>
      </c>
      <c r="BJ69" s="3" t="str">
        <f t="shared" si="26"/>
        <v>M</v>
      </c>
      <c r="BK69" s="3" t="str">
        <f t="shared" si="27"/>
        <v/>
      </c>
      <c r="BL69" s="3" t="str">
        <f t="shared" si="241"/>
        <v>SI</v>
      </c>
      <c r="BM69" s="3" t="str">
        <f t="shared" si="242"/>
        <v/>
      </c>
    </row>
    <row r="70" spans="1:65" ht="36" customHeight="1" x14ac:dyDescent="0.2">
      <c r="A70" s="503" t="str">
        <f>IDENTIFICACIÓN!C29</f>
        <v>21G</v>
      </c>
      <c r="B70" s="496" t="str">
        <f>IF(IDENTIFICACIÓN!D29="","",IDENTIFICACIÓN!D29)</f>
        <v>Gestión de Contratación. Documentación incompleta en la carpeta contractual</v>
      </c>
      <c r="C70" s="356">
        <v>1</v>
      </c>
      <c r="D70" s="56" t="s">
        <v>11</v>
      </c>
      <c r="E70" s="240">
        <f t="shared" si="4"/>
        <v>10</v>
      </c>
      <c r="F70" s="44" t="s">
        <v>599</v>
      </c>
      <c r="G70" s="18" t="str">
        <f t="shared" si="198"/>
        <v/>
      </c>
      <c r="H70" s="44" t="s">
        <v>20</v>
      </c>
      <c r="I70" s="18" t="str">
        <f t="shared" si="199"/>
        <v/>
      </c>
      <c r="J70" s="55" t="str">
        <f t="shared" si="200"/>
        <v>Posibilidad</v>
      </c>
      <c r="K70" s="43" t="s">
        <v>11</v>
      </c>
      <c r="L70" s="18">
        <f t="shared" si="201"/>
        <v>15</v>
      </c>
      <c r="M70" s="43" t="s">
        <v>11</v>
      </c>
      <c r="N70" s="18">
        <f t="shared" si="202"/>
        <v>30</v>
      </c>
      <c r="O70" s="43" t="s">
        <v>323</v>
      </c>
      <c r="P70" s="18">
        <f t="shared" si="203"/>
        <v>10</v>
      </c>
      <c r="Q70" s="43" t="s">
        <v>11</v>
      </c>
      <c r="R70" s="18">
        <f t="shared" si="204"/>
        <v>5</v>
      </c>
      <c r="S70" s="43" t="s">
        <v>11</v>
      </c>
      <c r="T70" s="18">
        <f t="shared" si="205"/>
        <v>15</v>
      </c>
      <c r="U70" s="43" t="s">
        <v>11</v>
      </c>
      <c r="V70" s="18">
        <f t="shared" si="206"/>
        <v>10</v>
      </c>
      <c r="W70" s="18">
        <f t="shared" si="207"/>
        <v>95</v>
      </c>
      <c r="X70" s="57" t="str">
        <f t="shared" si="208"/>
        <v>95                           Disminuye max 2 en Posibilidad</v>
      </c>
      <c r="Y70" s="57">
        <f t="shared" si="209"/>
        <v>2</v>
      </c>
      <c r="Z70" s="356">
        <f t="shared" si="210"/>
        <v>0</v>
      </c>
      <c r="AA70" s="497">
        <f t="shared" ref="AA70" si="488">IF(AB70=0,"",(ROUND((SUM(W70:W72)/AB70),0)))</f>
        <v>95</v>
      </c>
      <c r="AB70" s="500">
        <f t="shared" ref="AB70" si="489">COUNT(T70:T72)</f>
        <v>1</v>
      </c>
      <c r="AC70" s="3">
        <f t="shared" ref="AC70" si="490">SUM(Y70:Y72)</f>
        <v>2</v>
      </c>
      <c r="AD70" s="3">
        <f>ANALISIS!D31</f>
        <v>3</v>
      </c>
      <c r="AE70" s="3">
        <f t="shared" ref="AE70:AE71" si="491">IF((AD70-AC70)&gt;=1,(AD70-AC70),1)</f>
        <v>1</v>
      </c>
      <c r="AF70" s="501">
        <f t="shared" ref="AF70" si="492">(AE71*10)+AE70</f>
        <v>41</v>
      </c>
      <c r="AG70" s="355" t="str">
        <f t="shared" ref="AG70" si="493">IF(AE71=1,AH70,IF(AE71=2,AI70,IF(AE71=3,AJ70,IF(AE71=4,AK70,AL70))))</f>
        <v>ALTA 1:4</v>
      </c>
      <c r="AH70" s="46" t="str">
        <f t="shared" ref="AH70" si="494">IF($AF70=11,"BAJA 1:1",IF($AF70=12,"BAJA 2:1",IF($AF70=13,"BAJA 3:1",IF($AF70=14,"MODERADA 4:1","ALTA 5:1"))))</f>
        <v>ALTA 5:1</v>
      </c>
      <c r="AI70" s="46" t="str">
        <f t="shared" ref="AI70" si="495">IF($AF70=21,"BAJA 1:2",IF($AF70=22,"BAJA 2:2",IF($AF70=23,"MODERADA 3:2",IF($AF70=24,"ALTA 4:2","ALTA 5:2"))))</f>
        <v>ALTA 5:2</v>
      </c>
      <c r="AJ70" s="46" t="str">
        <f t="shared" ref="AJ70" si="496">IF($AF70=31,"MODERADA 1:3",IF($AF70=32,"MODERADA 2:3",IF($AF70=33,"ALTA 3:3",IF($AF70=34,"ALTA 4:3","EXTREMA 5:3"))))</f>
        <v>EXTREMA 5:3</v>
      </c>
      <c r="AK70" s="46" t="str">
        <f t="shared" ref="AK70" si="497">IF($AF70=41,"ALTA 1:4",IF($AF70=42,"ALTA 2:4",IF($AF70=43,"EXTREMA 3:4",IF($AF70=44,"EXTREMA 4:4","EXTREMA 5:4"))))</f>
        <v>ALTA 1:4</v>
      </c>
      <c r="AL70" s="46" t="str">
        <f t="shared" ref="AL70" si="498">IF($AF70=51,"ALTA 1:5",IF($AF70=52,"EXTREMA 2:5",IF($AF70=53,"EXTREMA 3:5",IF($AF70=54,"EXTREMA 4:5","EXTREMA 5:5"))))</f>
        <v>EXTREMA 5:5</v>
      </c>
      <c r="AM70" s="3" t="str">
        <f t="shared" si="222"/>
        <v/>
      </c>
      <c r="AN70" s="3" t="str">
        <f t="shared" si="223"/>
        <v/>
      </c>
      <c r="AO70" s="3" t="str">
        <f t="shared" si="224"/>
        <v/>
      </c>
      <c r="AP70" s="3" t="str">
        <f t="shared" si="225"/>
        <v/>
      </c>
      <c r="AQ70" s="3" t="str">
        <f t="shared" ref="AQ70" si="499">AM70</f>
        <v/>
      </c>
      <c r="AR70" s="3" t="str">
        <f t="shared" ref="AR70" si="500">AN70</f>
        <v/>
      </c>
      <c r="AT70" s="3" t="str">
        <f t="shared" ref="AT70" si="501">AO70</f>
        <v/>
      </c>
      <c r="AV70" s="3" t="str">
        <f t="shared" ref="AV70" si="502">AP70</f>
        <v/>
      </c>
      <c r="AX70" s="502" t="str">
        <f t="shared" ref="AX70" si="503">IF(AW72="","",CONCATENATE(AW72," (de) el(los) control(es) Efectivo(s) "))</f>
        <v/>
      </c>
      <c r="AY70" s="502" t="str">
        <f t="shared" ref="AY70" si="504">IF(CONCATENATE(N70:N72)="","",IF(AND(SUM(E70:E72)=10,SUM(N70:N72)&lt;30),"- Replantear control(es) NO efectivo(s) ",IF(AND(SUM(E70:E72)=20,SUM(N70:N72)&lt;60),"- Replantear control(es) NO efectivo(s) ",IF(AND(SUM(E70:E72)=30,SUM(N70:N72)&lt;90),"- Replantear control(es) NO efectivo(s) ",""))))</f>
        <v/>
      </c>
      <c r="AZ70" s="502" t="str">
        <f t="shared" ref="AZ70" si="505">IF(AND(AE70&gt;1,AE71&gt;1),"- Tomar Acciones Preventivas y Correctivas",IF(AE70&gt;1,"- Tomar Acciones Preventivas",IF(AE71&gt;1,"- Tomar Acciones Correctivas","")))</f>
        <v>- Tomar Acciones Correctivas</v>
      </c>
      <c r="BA70" s="502" t="str">
        <f t="shared" ref="BA70" si="506">CONCATENATE(AX70,AY70,AZ70)</f>
        <v>- Tomar Acciones Correctivas</v>
      </c>
      <c r="BB70" s="3" t="str">
        <f t="shared" si="234"/>
        <v>SI</v>
      </c>
      <c r="BC70" s="3" t="str">
        <f t="shared" si="235"/>
        <v/>
      </c>
      <c r="BD70" s="3" t="str">
        <f t="shared" si="236"/>
        <v>SI</v>
      </c>
      <c r="BE70" s="3" t="str">
        <f t="shared" si="237"/>
        <v/>
      </c>
      <c r="BF70" s="3" t="str">
        <f t="shared" si="238"/>
        <v>SI</v>
      </c>
      <c r="BG70" s="3" t="str">
        <f t="shared" si="239"/>
        <v/>
      </c>
      <c r="BH70" s="3" t="str">
        <f t="shared" si="240"/>
        <v>P</v>
      </c>
      <c r="BI70" s="3" t="str">
        <f t="shared" si="25"/>
        <v/>
      </c>
      <c r="BJ70" s="3" t="str">
        <f t="shared" si="26"/>
        <v>M</v>
      </c>
      <c r="BK70" s="3" t="str">
        <f t="shared" si="27"/>
        <v/>
      </c>
      <c r="BL70" s="3" t="str">
        <f t="shared" si="241"/>
        <v>SI</v>
      </c>
      <c r="BM70" s="3" t="str">
        <f t="shared" si="242"/>
        <v/>
      </c>
    </row>
    <row r="71" spans="1:65" ht="36" customHeight="1" x14ac:dyDescent="0.2">
      <c r="A71" s="503"/>
      <c r="B71" s="496"/>
      <c r="C71" s="356">
        <v>2</v>
      </c>
      <c r="D71" s="56"/>
      <c r="E71" s="240" t="str">
        <f t="shared" si="4"/>
        <v/>
      </c>
      <c r="F71" s="44"/>
      <c r="G71" s="18" t="str">
        <f t="shared" si="198"/>
        <v/>
      </c>
      <c r="H71" s="44"/>
      <c r="I71" s="18" t="str">
        <f t="shared" si="199"/>
        <v/>
      </c>
      <c r="J71" s="55" t="str">
        <f t="shared" si="200"/>
        <v/>
      </c>
      <c r="K71" s="43"/>
      <c r="L71" s="18" t="str">
        <f t="shared" si="201"/>
        <v/>
      </c>
      <c r="M71" s="43"/>
      <c r="N71" s="18" t="str">
        <f t="shared" si="202"/>
        <v/>
      </c>
      <c r="O71" s="43"/>
      <c r="P71" s="18" t="str">
        <f t="shared" si="203"/>
        <v/>
      </c>
      <c r="Q71" s="43"/>
      <c r="R71" s="18" t="str">
        <f t="shared" si="204"/>
        <v/>
      </c>
      <c r="S71" s="43"/>
      <c r="T71" s="18" t="str">
        <f t="shared" si="205"/>
        <v/>
      </c>
      <c r="U71" s="43"/>
      <c r="V71" s="18" t="str">
        <f t="shared" si="206"/>
        <v/>
      </c>
      <c r="W71" s="18">
        <f t="shared" si="207"/>
        <v>0</v>
      </c>
      <c r="X71" s="57" t="str">
        <f t="shared" si="208"/>
        <v/>
      </c>
      <c r="Y71" s="57">
        <f t="shared" si="209"/>
        <v>0</v>
      </c>
      <c r="Z71" s="356">
        <f t="shared" si="210"/>
        <v>0</v>
      </c>
      <c r="AA71" s="498"/>
      <c r="AB71" s="500"/>
      <c r="AC71" s="3">
        <f t="shared" ref="AC71" si="507">SUM(Z70:Z72)</f>
        <v>0</v>
      </c>
      <c r="AD71" s="3">
        <f>ANALISIS!G31</f>
        <v>4</v>
      </c>
      <c r="AE71" s="3">
        <f t="shared" si="491"/>
        <v>4</v>
      </c>
      <c r="AF71" s="501"/>
      <c r="AG71" s="355" t="str">
        <f t="shared" ref="AG71" si="508">IF(AE71=1,AH71,IF(AE71=2,AI71,IF(AE71=3,AJ71,IF(AE71=4,AK71,AL71))))</f>
        <v>- Reducir el Riesgo- Compartir o Transferir el Riesgo</v>
      </c>
      <c r="AH71" s="46" t="str">
        <f t="shared" ref="AH71" si="509">IF($AF70=11,"- Asumir el Riesgo",IF($AF70=12,"- Asumir el Riesgo- Evitar Posibilidad de Ocurrencia- Reducir el Riesgo",IF($AF70=13,"- Asumir el Riesgo- Evitar Posibilidad de Ocurrencia- Reducir el Riesgo",IF($AF70=14,"-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71" s="46" t="str">
        <f t="shared" ref="AI71" si="510">IF($AF70=21,"- Asumir el Riesgo- Reducir el Riesgo",IF($AF70=22,"- Asumir el Riesgo- Evitar Posibilidad de Ocurrencia- Reducir el Riesgo",IF($AF70=23,"- Asumir el Riesgo- Evitar Posibilidad de Ocurrencia- Reducir el Riesgo- Compartir o Transferir el Riesgo",IF($AF70=24,"- Evitar Posibilidad de Ocurrencia- Reducir el Riesgo- Compartir o Transferir el Riesgo","- Evitar Posibilidad de Ocurrencia- Reducir el Riesgo- Compartir o Transferir el Riesgo"))))</f>
        <v>- Evitar Posibilidad de Ocurrencia- Reducir el Riesgo- Compartir o Transferir el Riesgo</v>
      </c>
      <c r="AJ71" s="46" t="str">
        <f t="shared" ref="AJ71" si="511">IF($AF70=31,"- Asumir el Riesgo- Reducir el Riesgo- Compartir o Transferir el Riesgo",IF($AF70=32,"- Asumir el Riesgo- Evitar Posibilidad de Ocurrencia- Reducir el Reducir- Compartir o Transferir el Riesgo",IF($AF70=33,"- Evitar Posibilidad de Ocurrencia- Reducir el Riesgo- Compartir o Transferir el Riesgo",IF($AF70=34,"-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71" s="46" t="str">
        <f t="shared" ref="AK71" si="512">IF($AF70=41,"- Reducir el Riesgo- Compartir o Transferir el Riesgo",IF($AF70=42,"- Evitar Posibilidad de Ocurrencia- Reducir el Riesgo- Compartir o Transferir el Riesgo",IF($AF70=43,"- Eliminar Causa(s)- Evitar Posibilidad de Ocurrencia- Reducir el Riesgo- Compartir o Transferir el Riesgo",IF($AF70=44,"- Eliminar Causa(s)- Evitar Posibilidad de Ocurrencia- Reducir el Riesgo- Compartir o Transferir el Riesgo","- Eliminar Causa(s)- Evitar Posibilidad de Ocurrencia- Reducir el Riesgo- Compartir o Transferir el Riesgo"))))</f>
        <v>- Reducir el Riesgo- Compartir o Transferir el Riesgo</v>
      </c>
      <c r="AL71" s="46" t="str">
        <f t="shared" ref="AL71" si="513">IF($AF70=51,"- Reducir el Riesgo- Compartir o Transferir el Riesgo",IF($AF70=52,"- Eliminar Causa(s)- Evitar Posibilidad de Ocurrencia- Reducir el Riesgo- Compartir o Transferir el Riesgo",IF($AF70=53,"- Eliminar Causa(s)- Evitar Posibilidad de Ocurrencia- Reducir el Riesgo- Compartir o Transferir el Riesgo",IF($AF70=54,"-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71" s="3" t="str">
        <f t="shared" si="222"/>
        <v/>
      </c>
      <c r="AN71" s="3" t="str">
        <f t="shared" si="223"/>
        <v/>
      </c>
      <c r="AO71" s="3" t="str">
        <f t="shared" si="224"/>
        <v/>
      </c>
      <c r="AP71" s="3" t="str">
        <f t="shared" si="225"/>
        <v/>
      </c>
      <c r="AQ71" s="3" t="str">
        <f t="shared" ref="AQ71:AQ72" si="514">IF(AQ70="Documentar",AQ70,AM71)</f>
        <v/>
      </c>
      <c r="AR71" s="3" t="str">
        <f t="shared" ref="AR71:AR72" si="515">IF(AR70="Asignar responsable",AR70,AN71)</f>
        <v/>
      </c>
      <c r="AT71" s="3" t="str">
        <f t="shared" ref="AT71:AT72" si="516">IF(AT70="Establecer periodos de seguimiento adecuados",AT70,AO71)</f>
        <v/>
      </c>
      <c r="AV71" s="3" t="str">
        <f t="shared" ref="AV71:AV72" si="517">IF(AV70="Guardar Evidencias",AV70,AP71)</f>
        <v/>
      </c>
      <c r="AX71" s="502"/>
      <c r="AY71" s="502"/>
      <c r="AZ71" s="502"/>
      <c r="BA71" s="502"/>
      <c r="BB71" s="3" t="str">
        <f t="shared" si="234"/>
        <v/>
      </c>
      <c r="BC71" s="3" t="str">
        <f t="shared" si="235"/>
        <v/>
      </c>
      <c r="BD71" s="3" t="str">
        <f t="shared" si="236"/>
        <v/>
      </c>
      <c r="BE71" s="3" t="str">
        <f t="shared" si="237"/>
        <v/>
      </c>
      <c r="BF71" s="3" t="str">
        <f t="shared" si="238"/>
        <v/>
      </c>
      <c r="BG71" s="3" t="str">
        <f t="shared" si="239"/>
        <v/>
      </c>
      <c r="BH71" s="3" t="str">
        <f t="shared" si="240"/>
        <v/>
      </c>
      <c r="BI71" s="3" t="str">
        <f t="shared" si="25"/>
        <v/>
      </c>
      <c r="BJ71" s="3" t="str">
        <f t="shared" si="26"/>
        <v/>
      </c>
      <c r="BK71" s="3" t="str">
        <f t="shared" si="27"/>
        <v/>
      </c>
      <c r="BL71" s="3" t="str">
        <f t="shared" si="241"/>
        <v/>
      </c>
      <c r="BM71" s="3" t="str">
        <f t="shared" si="242"/>
        <v/>
      </c>
    </row>
    <row r="72" spans="1:65" ht="36" customHeight="1" x14ac:dyDescent="0.2">
      <c r="A72" s="503"/>
      <c r="B72" s="496"/>
      <c r="C72" s="356">
        <v>3</v>
      </c>
      <c r="D72" s="56"/>
      <c r="E72" s="240" t="str">
        <f t="shared" si="4"/>
        <v/>
      </c>
      <c r="F72" s="44"/>
      <c r="G72" s="18" t="str">
        <f t="shared" si="198"/>
        <v/>
      </c>
      <c r="H72" s="44"/>
      <c r="I72" s="18" t="str">
        <f t="shared" si="199"/>
        <v/>
      </c>
      <c r="J72" s="55" t="str">
        <f t="shared" si="200"/>
        <v/>
      </c>
      <c r="K72" s="43"/>
      <c r="L72" s="18" t="str">
        <f t="shared" si="201"/>
        <v/>
      </c>
      <c r="M72" s="43"/>
      <c r="N72" s="18" t="str">
        <f t="shared" si="202"/>
        <v/>
      </c>
      <c r="O72" s="43"/>
      <c r="P72" s="18" t="str">
        <f t="shared" si="203"/>
        <v/>
      </c>
      <c r="Q72" s="43"/>
      <c r="R72" s="18" t="str">
        <f t="shared" si="204"/>
        <v/>
      </c>
      <c r="S72" s="43"/>
      <c r="T72" s="18" t="str">
        <f t="shared" si="205"/>
        <v/>
      </c>
      <c r="U72" s="43"/>
      <c r="V72" s="18" t="str">
        <f t="shared" si="206"/>
        <v/>
      </c>
      <c r="W72" s="18">
        <f t="shared" si="207"/>
        <v>0</v>
      </c>
      <c r="X72" s="57" t="str">
        <f t="shared" si="208"/>
        <v/>
      </c>
      <c r="Y72" s="57">
        <f t="shared" si="209"/>
        <v>0</v>
      </c>
      <c r="Z72" s="356">
        <f t="shared" si="210"/>
        <v>0</v>
      </c>
      <c r="AA72" s="499"/>
      <c r="AB72" s="500"/>
      <c r="AM72" s="3" t="str">
        <f t="shared" si="222"/>
        <v/>
      </c>
      <c r="AN72" s="3" t="str">
        <f t="shared" si="223"/>
        <v/>
      </c>
      <c r="AO72" s="3" t="str">
        <f t="shared" si="224"/>
        <v/>
      </c>
      <c r="AP72" s="3" t="str">
        <f t="shared" si="225"/>
        <v/>
      </c>
      <c r="AQ72" s="3" t="str">
        <f t="shared" si="514"/>
        <v/>
      </c>
      <c r="AR72" s="3" t="str">
        <f t="shared" si="515"/>
        <v/>
      </c>
      <c r="AS72" s="3" t="str">
        <f t="shared" ref="AS72" si="518">IF(AND(AQ72="Documentar",AR72="Asignar responsable"),CONCATENATE("- ",AQ72,", ",AR72),IF(AQ72="Documentar",CONCATENATE("- ",AQ72),IF(AR72="Asignar responsable",CONCATENATE("- ",AR72),"")))</f>
        <v/>
      </c>
      <c r="AT72" s="3" t="str">
        <f t="shared" si="516"/>
        <v/>
      </c>
      <c r="AU72" s="3" t="str">
        <f t="shared" ref="AU72" si="519">IF(AT72="",AS72,IF(AS72="",CONCATENATE("- ",AT72),CONCATENATE(AS72,", ",AT72)))</f>
        <v/>
      </c>
      <c r="AV72" s="3" t="str">
        <f t="shared" si="517"/>
        <v/>
      </c>
      <c r="AW72" s="3" t="str">
        <f t="shared" ref="AW72" si="520">IF(AV72="",AU72,IF(AU72="",CONCATENATE("- ",AV72),CONCATENATE(AU72,", ",AV72)))</f>
        <v/>
      </c>
      <c r="AX72" s="502"/>
      <c r="AY72" s="502"/>
      <c r="AZ72" s="502"/>
      <c r="BA72" s="502"/>
      <c r="BB72" s="3" t="str">
        <f t="shared" si="234"/>
        <v/>
      </c>
      <c r="BC72" s="3" t="str">
        <f t="shared" si="235"/>
        <v/>
      </c>
      <c r="BD72" s="3" t="str">
        <f t="shared" si="236"/>
        <v/>
      </c>
      <c r="BE72" s="3" t="str">
        <f t="shared" si="237"/>
        <v/>
      </c>
      <c r="BF72" s="3" t="str">
        <f t="shared" si="238"/>
        <v/>
      </c>
      <c r="BG72" s="3" t="str">
        <f t="shared" si="239"/>
        <v/>
      </c>
      <c r="BH72" s="3" t="str">
        <f t="shared" si="240"/>
        <v/>
      </c>
      <c r="BI72" s="3" t="str">
        <f t="shared" si="25"/>
        <v/>
      </c>
      <c r="BJ72" s="3" t="str">
        <f t="shared" si="26"/>
        <v/>
      </c>
      <c r="BK72" s="3" t="str">
        <f t="shared" si="27"/>
        <v/>
      </c>
      <c r="BL72" s="3" t="str">
        <f t="shared" si="241"/>
        <v/>
      </c>
      <c r="BM72" s="3" t="str">
        <f t="shared" si="242"/>
        <v/>
      </c>
    </row>
    <row r="73" spans="1:65" ht="36" customHeight="1" x14ac:dyDescent="0.2">
      <c r="A73" s="503" t="str">
        <f>IDENTIFICACIÓN!C30</f>
        <v>22G</v>
      </c>
      <c r="B73" s="496" t="str">
        <f>IF(IDENTIFICACIÓN!D30="","",IDENTIFICACIÓN!D30)</f>
        <v>Gestión Administrativa. Inseguridad en el campus</v>
      </c>
      <c r="C73" s="356">
        <v>1</v>
      </c>
      <c r="D73" s="56" t="s">
        <v>11</v>
      </c>
      <c r="E73" s="240">
        <f t="shared" si="4"/>
        <v>10</v>
      </c>
      <c r="F73" s="44" t="s">
        <v>600</v>
      </c>
      <c r="G73" s="18" t="str">
        <f t="shared" ref="G73:G93" si="521">IF($D73="SI",IF(ISBLANK(F73),"Decripcion",""),"")</f>
        <v/>
      </c>
      <c r="H73" s="44" t="s">
        <v>20</v>
      </c>
      <c r="I73" s="18" t="str">
        <f t="shared" ref="I73:I93" si="522">IF($D73="SI",IF(ISBLANK(H73),"Tipo",""),"")</f>
        <v/>
      </c>
      <c r="J73" s="55" t="str">
        <f t="shared" ref="J73:J93" si="523">IF(H73="Preventivo","Posibilidad",IF(H73="Correctivo","Impacto",""))</f>
        <v>Posibilidad</v>
      </c>
      <c r="K73" s="43" t="s">
        <v>10</v>
      </c>
      <c r="L73" s="18">
        <f t="shared" ref="L73:L93" si="524">IF($D73="SI",IF(K73="SI",15,IF(K73="NO",0,"P1")),"")</f>
        <v>0</v>
      </c>
      <c r="M73" s="43" t="s">
        <v>10</v>
      </c>
      <c r="N73" s="18">
        <f t="shared" ref="N73:N93" si="525">IF($D73="SI",IF(M73="SI",30,IF(M73="NO",0,"P2")),"")</f>
        <v>0</v>
      </c>
      <c r="O73" s="43" t="s">
        <v>323</v>
      </c>
      <c r="P73" s="18">
        <f t="shared" ref="P73:P93" si="526">IF($D73="SI",IF(O73="Automático",15,IF(O73="Manual",10,"P3")),"")</f>
        <v>10</v>
      </c>
      <c r="Q73" s="43" t="s">
        <v>11</v>
      </c>
      <c r="R73" s="18">
        <f t="shared" ref="R73:R93" si="527">IF($D73="SI",IF(Q73="SI",5,IF(Q73="NO",0,"P4")),"")</f>
        <v>5</v>
      </c>
      <c r="S73" s="43" t="s">
        <v>11</v>
      </c>
      <c r="T73" s="18">
        <f t="shared" ref="T73:T93" si="528">IF($D73="SI",IF(S73="SI",15,IF(S73="NO",0,"P5")),"")</f>
        <v>15</v>
      </c>
      <c r="U73" s="43" t="s">
        <v>11</v>
      </c>
      <c r="V73" s="18">
        <f t="shared" ref="V73:V93" si="529">IF($D73="SI",IF(U73="SI",10,IF(U73="NO",0,"P6")),"")</f>
        <v>10</v>
      </c>
      <c r="W73" s="18">
        <f t="shared" ref="W73:W93" si="530">IF(D73="SI",E73+L73+N73+P73+R73+T73+V73,0)</f>
        <v>50</v>
      </c>
      <c r="X73" s="57">
        <f t="shared" ref="X73:X93" si="531">IF(ISBLANK(D73),"",IF(D73="NO",0,IF(D73="SI",IF(OR(G73="Decripcion",I73="Tipo",L73="P1",N73="P2",P73="P3",R73="P4",T73="P5",V73="P6"),CONCATENATE("Falta diligenciar: ",G73," ",I73,IF(L73="P1"," Preg 1",),IF(N73="P2"," Preg 2",),IF(P73="P3"," Preg 3",),IF(R73="P4"," Preg 4",),IF(T73="P5"," Preg 5",),IF(V73="P6"," Preg 6",)),IF(W73&gt;76,CONCATENATE(W73,"                           Disminuye max 2 en ",J73),IF(AND(W73&gt;50,W73&lt;76),CONCATENATE(W73,"                           Disminuye max 1 en ", J73),W73))))))</f>
        <v>50</v>
      </c>
      <c r="Y73" s="57">
        <f t="shared" ref="Y73:Y93" si="532">IF(AND(W73&gt;50,W73&lt;76,J73="Posibilidad"),1,IF(AND(W73&gt;75,W73&lt;101,J73="Posibilidad"),2,0))</f>
        <v>0</v>
      </c>
      <c r="Z73" s="356">
        <f t="shared" ref="Z73:Z93" si="533">IF(AND(W73&gt;50,W73&lt;76,J73="Impacto"),1,IF(AND(W73&gt;75,W73&lt;101,J73="Impacto"),2,0))</f>
        <v>0</v>
      </c>
      <c r="AA73" s="497">
        <f t="shared" ref="AA73" si="534">IF(AB73=0,"",(ROUND((SUM(W73:W75)/AB73),0)))</f>
        <v>38</v>
      </c>
      <c r="AB73" s="500">
        <f t="shared" ref="AB73" si="535">COUNT(T73:T75)</f>
        <v>2</v>
      </c>
      <c r="AC73" s="3">
        <f t="shared" ref="AC73" si="536">SUM(Y73:Y75)</f>
        <v>0</v>
      </c>
      <c r="AD73" s="3">
        <f>ANALISIS!D32</f>
        <v>4</v>
      </c>
      <c r="AE73" s="3">
        <f t="shared" ref="AE73:AE74" si="537">IF((AD73-AC73)&gt;=1,(AD73-AC73),1)</f>
        <v>4</v>
      </c>
      <c r="AF73" s="501">
        <f t="shared" ref="AF73:AF91" si="538">(AE74*10)+AE73</f>
        <v>54</v>
      </c>
      <c r="AG73" s="355" t="str">
        <f t="shared" ref="AG73" si="539">IF(AE74=1,AH73,IF(AE74=2,AI73,IF(AE74=3,AJ73,IF(AE74=4,AK73,AL73))))</f>
        <v>EXTREMA 4:5</v>
      </c>
      <c r="AH73" s="46" t="str">
        <f t="shared" ref="AH73:AH91" si="540">IF($AF73=11,"BAJA 1:1",IF($AF73=12,"BAJA 2:1",IF($AF73=13,"BAJA 3:1",IF($AF73=14,"MODERADA 4:1","ALTA 5:1"))))</f>
        <v>ALTA 5:1</v>
      </c>
      <c r="AI73" s="46" t="str">
        <f t="shared" ref="AI73:AI91" si="541">IF($AF73=21,"BAJA 1:2",IF($AF73=22,"BAJA 2:2",IF($AF73=23,"MODERADA 3:2",IF($AF73=24,"ALTA 4:2","ALTA 5:2"))))</f>
        <v>ALTA 5:2</v>
      </c>
      <c r="AJ73" s="46" t="str">
        <f t="shared" ref="AJ73:AJ91" si="542">IF($AF73=31,"MODERADA 1:3",IF($AF73=32,"MODERADA 2:3",IF($AF73=33,"ALTA 3:3",IF($AF73=34,"ALTA 4:3","EXTREMA 5:3"))))</f>
        <v>EXTREMA 5:3</v>
      </c>
      <c r="AK73" s="46" t="str">
        <f t="shared" ref="AK73:AK91" si="543">IF($AF73=41,"ALTA 1:4",IF($AF73=42,"ALTA 2:4",IF($AF73=43,"EXTREMA 3:4",IF($AF73=44,"EXTREMA 4:4","EXTREMA 5:4"))))</f>
        <v>EXTREMA 5:4</v>
      </c>
      <c r="AL73" s="46" t="str">
        <f t="shared" ref="AL73:AL91" si="544">IF($AF73=51,"ALTA 1:5",IF($AF73=52,"EXTREMA 2:5",IF($AF73=53,"EXTREMA 3:5",IF($AF73=54,"EXTREMA 4:5","EXTREMA 5:5"))))</f>
        <v>EXTREMA 4:5</v>
      </c>
      <c r="AM73" s="3" t="str">
        <f t="shared" ref="AM73:AM93" si="545">IF(AND(N73=30,L73=0),$AM$8,"")</f>
        <v/>
      </c>
      <c r="AN73" s="3" t="str">
        <f t="shared" ref="AN73:AN93" si="546">IF(AND(N73=30,R73=0),$AN$8,"")</f>
        <v/>
      </c>
      <c r="AO73" s="3" t="str">
        <f t="shared" ref="AO73:AO93" si="547">IF(AND(N73=30,T73=0),$AO$8,"")</f>
        <v/>
      </c>
      <c r="AP73" s="3" t="str">
        <f t="shared" ref="AP73:AP93" si="548">IF(AND(N73=30,V73=0),$AP$8,"")</f>
        <v/>
      </c>
      <c r="AQ73" s="3" t="str">
        <f t="shared" ref="AQ73" si="549">AM73</f>
        <v/>
      </c>
      <c r="AR73" s="3" t="str">
        <f t="shared" ref="AR73" si="550">AN73</f>
        <v/>
      </c>
      <c r="AT73" s="3" t="str">
        <f t="shared" ref="AT73" si="551">AO73</f>
        <v/>
      </c>
      <c r="AV73" s="3" t="str">
        <f t="shared" ref="AV73" si="552">AP73</f>
        <v/>
      </c>
      <c r="AX73" s="502" t="str">
        <f t="shared" ref="AX73" si="553">IF(AW75="","",CONCATENATE(AW75," (de) el(los) control(es) Efectivo(s) "))</f>
        <v/>
      </c>
      <c r="AY73" s="502" t="str">
        <f t="shared" ref="AY73" si="554">IF(CONCATENATE(N73:N75)="","",IF(AND(SUM(E73:E75)=10,SUM(N73:N75)&lt;30),"- Replantear control(es) NO efectivo(s) ",IF(AND(SUM(E73:E75)=20,SUM(N73:N75)&lt;60),"- Replantear control(es) NO efectivo(s) ",IF(AND(SUM(E73:E75)=30,SUM(N73:N75)&lt;90),"- Replantear control(es) NO efectivo(s) ",""))))</f>
        <v xml:space="preserve">- Replantear control(es) NO efectivo(s) </v>
      </c>
      <c r="AZ73" s="502" t="str">
        <f t="shared" ref="AZ73" si="555">IF(AND(AE73&gt;1,AE74&gt;1),"- Tomar Acciones Preventivas y Correctivas",IF(AE73&gt;1,"- Tomar Acciones Preventivas",IF(AE74&gt;1,"- Tomar Acciones Correctivas","")))</f>
        <v>- Tomar Acciones Preventivas y Correctivas</v>
      </c>
      <c r="BA73" s="502" t="str">
        <f t="shared" ref="BA73" si="556">CONCATENATE(AX73,AY73,AZ73)</f>
        <v>- Replantear control(es) NO efectivo(s) - Tomar Acciones Preventivas y Correctivas</v>
      </c>
      <c r="BB73" s="3" t="str">
        <f t="shared" ref="BB73:BB93" si="557">IF(AND($N73=30,L73=15),"SI",IF(AND($N73=30,L73=0),"NO",""))</f>
        <v/>
      </c>
      <c r="BC73" s="3" t="str">
        <f t="shared" ref="BC73:BC93" si="558">IF(AND($N73=0,L73=15),"SI",IF(AND($N73=0,L73=0),"NO",""))</f>
        <v>NO</v>
      </c>
      <c r="BD73" s="3" t="str">
        <f t="shared" ref="BD73:BD93" si="559">IF(AND($N73=30,R73=5),"SI",IF(AND($N73=30,R73=0),"NO",""))</f>
        <v/>
      </c>
      <c r="BE73" s="3" t="str">
        <f t="shared" ref="BE73:BE93" si="560">IF(AND($N73=0,R73=5),"SI",IF(AND($N73=0,R73=0),"NO",""))</f>
        <v>SI</v>
      </c>
      <c r="BF73" s="3" t="str">
        <f t="shared" ref="BF73:BF93" si="561">IF(AND($N73=30,T73=15),"SI",IF(AND($N73=30,T73=0),"NO",""))</f>
        <v/>
      </c>
      <c r="BG73" s="3" t="str">
        <f t="shared" ref="BG73:BG93" si="562">IF(AND($N73=0,T73=15),"SI",IF(AND($N73=0,T73=0),"NO",""))</f>
        <v>SI</v>
      </c>
      <c r="BH73" s="3" t="str">
        <f t="shared" ref="BH73:BH93" si="563">IF(AND($N73=30,H73="Preventivo"),"P",IF(AND($N73=30,H73="Correctivo"),"C",""))</f>
        <v/>
      </c>
      <c r="BI73" s="3" t="str">
        <f t="shared" si="25"/>
        <v>P</v>
      </c>
      <c r="BJ73" s="3" t="str">
        <f t="shared" si="26"/>
        <v/>
      </c>
      <c r="BK73" s="3" t="str">
        <f t="shared" si="27"/>
        <v>M</v>
      </c>
      <c r="BL73" s="3" t="str">
        <f t="shared" ref="BL73:BL93" si="564">IF(AND($N73=30,V73=10),"SI",IF(AND($N73=30,V73=0),"NO",""))</f>
        <v/>
      </c>
      <c r="BM73" s="3" t="str">
        <f t="shared" ref="BM73:BM93" si="565">IF(AND($N73=0,V73=10),"SI",IF(AND($N73=0,V73=0),"NO",""))</f>
        <v>SI</v>
      </c>
    </row>
    <row r="74" spans="1:65" ht="36" customHeight="1" x14ac:dyDescent="0.2">
      <c r="A74" s="503"/>
      <c r="B74" s="496"/>
      <c r="C74" s="356">
        <v>2</v>
      </c>
      <c r="D74" s="56" t="s">
        <v>11</v>
      </c>
      <c r="E74" s="240">
        <f t="shared" si="4"/>
        <v>10</v>
      </c>
      <c r="F74" s="44" t="s">
        <v>601</v>
      </c>
      <c r="G74" s="18" t="str">
        <f t="shared" si="521"/>
        <v/>
      </c>
      <c r="H74" s="44" t="s">
        <v>20</v>
      </c>
      <c r="I74" s="18" t="str">
        <f t="shared" si="522"/>
        <v/>
      </c>
      <c r="J74" s="55" t="str">
        <f t="shared" si="523"/>
        <v>Posibilidad</v>
      </c>
      <c r="K74" s="43" t="s">
        <v>10</v>
      </c>
      <c r="L74" s="18">
        <f t="shared" si="524"/>
        <v>0</v>
      </c>
      <c r="M74" s="43" t="s">
        <v>10</v>
      </c>
      <c r="N74" s="18">
        <f t="shared" si="525"/>
        <v>0</v>
      </c>
      <c r="O74" s="43" t="s">
        <v>322</v>
      </c>
      <c r="P74" s="18">
        <f t="shared" si="526"/>
        <v>15</v>
      </c>
      <c r="Q74" s="43" t="s">
        <v>10</v>
      </c>
      <c r="R74" s="18">
        <f t="shared" si="527"/>
        <v>0</v>
      </c>
      <c r="S74" s="43" t="s">
        <v>10</v>
      </c>
      <c r="T74" s="18">
        <f t="shared" si="528"/>
        <v>0</v>
      </c>
      <c r="U74" s="43" t="s">
        <v>10</v>
      </c>
      <c r="V74" s="18">
        <f t="shared" si="529"/>
        <v>0</v>
      </c>
      <c r="W74" s="18">
        <f t="shared" si="530"/>
        <v>25</v>
      </c>
      <c r="X74" s="57">
        <f t="shared" si="531"/>
        <v>25</v>
      </c>
      <c r="Y74" s="57">
        <f t="shared" si="532"/>
        <v>0</v>
      </c>
      <c r="Z74" s="356">
        <f t="shared" si="533"/>
        <v>0</v>
      </c>
      <c r="AA74" s="498"/>
      <c r="AB74" s="500"/>
      <c r="AC74" s="3">
        <f t="shared" ref="AC74" si="566">SUM(Z73:Z75)</f>
        <v>0</v>
      </c>
      <c r="AD74" s="3">
        <f>ANALISIS!G32</f>
        <v>5</v>
      </c>
      <c r="AE74" s="3">
        <f t="shared" si="537"/>
        <v>5</v>
      </c>
      <c r="AF74" s="501"/>
      <c r="AG74" s="355" t="str">
        <f t="shared" ref="AG74" si="567">IF(AE74=1,AH74,IF(AE74=2,AI74,IF(AE74=3,AJ74,IF(AE74=4,AK74,AL74))))</f>
        <v>- Eliminar Causa(s)- Evitar Posibilidad de Ocurrencia- Reducir el Riesgo- Compartir o Transferir el Riesgo</v>
      </c>
      <c r="AH74" s="46" t="str">
        <f t="shared" ref="AH74" si="568">IF($AF73=11,"- Asumir el Riesgo",IF($AF73=12,"- Asumir el Riesgo- Evitar Posibilidad de Ocurrencia- Reducir el Riesgo",IF($AF73=13,"- Asumir el Riesgo- Evitar Posibilidad de Ocurrencia- Reducir el Riesgo",IF($AF73=14,"-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74" s="46" t="str">
        <f t="shared" ref="AI74" si="569">IF($AF73=21,"- Asumir el Riesgo- Reducir el Riesgo",IF($AF73=22,"- Asumir el Riesgo- Evitar Posibilidad de Ocurrencia- Reducir el Riesgo",IF($AF73=23,"- Asumir el Riesgo- Evitar Posibilidad de Ocurrencia- Reducir el Riesgo- Compartir o Transferir el Riesgo",IF($AF73=24,"- Evitar Posibilidad de Ocurrencia- Reducir el Riesgo- Compartir o Transferir el Riesgo","- Evitar Posibilidad de Ocurrencia- Reducir el Riesgo- Compartir o Transferir el Riesgo"))))</f>
        <v>- Evitar Posibilidad de Ocurrencia- Reducir el Riesgo- Compartir o Transferir el Riesgo</v>
      </c>
      <c r="AJ74" s="46" t="str">
        <f t="shared" ref="AJ74" si="570">IF($AF73=31,"- Asumir el Riesgo- Reducir el Riesgo- Compartir o Transferir el Riesgo",IF($AF73=32,"- Asumir el Riesgo- Evitar Posibilidad de Ocurrencia- Reducir el Reducir- Compartir o Transferir el Riesgo",IF($AF73=33,"- Evitar Posibilidad de Ocurrencia- Reducir el Riesgo- Compartir o Transferir el Riesgo",IF($AF73=34,"-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74" s="46" t="str">
        <f t="shared" ref="AK74" si="571">IF($AF73=41,"- Reducir el Riesgo- Compartir o Transferir el Riesgo",IF($AF73=42,"- Evitar Posibilidad de Ocurrencia- Reducir el Riesgo- Compartir o Transferir el Riesgo",IF($AF73=43,"- Eliminar Causa(s)- Evitar Posibilidad de Ocurrencia- Reducir el Riesgo- Compartir o Transferir el Riesgo",IF($AF73=44,"-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74" s="46" t="str">
        <f t="shared" ref="AL74" si="572">IF($AF73=51,"- Reducir el Riesgo- Compartir o Transferir el Riesgo",IF($AF73=52,"- Eliminar Causa(s)- Evitar Posibilidad de Ocurrencia- Reducir el Riesgo- Compartir o Transferir el Riesgo",IF($AF73=53,"- Eliminar Causa(s)- Evitar Posibilidad de Ocurrencia- Reducir el Riesgo- Compartir o Transferir el Riesgo",IF($AF73=54,"-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74" s="3" t="str">
        <f t="shared" si="545"/>
        <v/>
      </c>
      <c r="AN74" s="3" t="str">
        <f t="shared" si="546"/>
        <v/>
      </c>
      <c r="AO74" s="3" t="str">
        <f t="shared" si="547"/>
        <v/>
      </c>
      <c r="AP74" s="3" t="str">
        <f t="shared" si="548"/>
        <v/>
      </c>
      <c r="AQ74" s="3" t="str">
        <f t="shared" ref="AQ74:AQ75" si="573">IF(AQ73="Documentar",AQ73,AM74)</f>
        <v/>
      </c>
      <c r="AR74" s="3" t="str">
        <f t="shared" ref="AR74:AR75" si="574">IF(AR73="Asignar responsable",AR73,AN74)</f>
        <v/>
      </c>
      <c r="AT74" s="3" t="str">
        <f t="shared" ref="AT74:AT75" si="575">IF(AT73="Establecer periodos de seguimiento adecuados",AT73,AO74)</f>
        <v/>
      </c>
      <c r="AV74" s="3" t="str">
        <f t="shared" ref="AV74:AV75" si="576">IF(AV73="Guardar Evidencias",AV73,AP74)</f>
        <v/>
      </c>
      <c r="AX74" s="502"/>
      <c r="AY74" s="502"/>
      <c r="AZ74" s="502"/>
      <c r="BA74" s="502"/>
      <c r="BB74" s="3" t="str">
        <f t="shared" si="557"/>
        <v/>
      </c>
      <c r="BC74" s="3" t="str">
        <f t="shared" si="558"/>
        <v>NO</v>
      </c>
      <c r="BD74" s="3" t="str">
        <f t="shared" si="559"/>
        <v/>
      </c>
      <c r="BE74" s="3" t="str">
        <f t="shared" si="560"/>
        <v>NO</v>
      </c>
      <c r="BF74" s="3" t="str">
        <f t="shared" si="561"/>
        <v/>
      </c>
      <c r="BG74" s="3" t="str">
        <f t="shared" si="562"/>
        <v>NO</v>
      </c>
      <c r="BH74" s="3" t="str">
        <f t="shared" si="563"/>
        <v/>
      </c>
      <c r="BI74" s="3" t="str">
        <f t="shared" si="25"/>
        <v>P</v>
      </c>
      <c r="BJ74" s="3" t="str">
        <f t="shared" si="26"/>
        <v/>
      </c>
      <c r="BK74" s="3" t="str">
        <f t="shared" si="27"/>
        <v>A</v>
      </c>
      <c r="BL74" s="3" t="str">
        <f t="shared" si="564"/>
        <v/>
      </c>
      <c r="BM74" s="3" t="str">
        <f t="shared" si="565"/>
        <v>NO</v>
      </c>
    </row>
    <row r="75" spans="1:65" ht="36" customHeight="1" x14ac:dyDescent="0.2">
      <c r="A75" s="503"/>
      <c r="B75" s="496"/>
      <c r="C75" s="356">
        <v>3</v>
      </c>
      <c r="D75" s="56"/>
      <c r="E75" s="240" t="str">
        <f t="shared" si="4"/>
        <v/>
      </c>
      <c r="F75" s="44"/>
      <c r="G75" s="18" t="str">
        <f t="shared" si="521"/>
        <v/>
      </c>
      <c r="H75" s="44"/>
      <c r="I75" s="18" t="str">
        <f t="shared" si="522"/>
        <v/>
      </c>
      <c r="J75" s="55" t="str">
        <f t="shared" si="523"/>
        <v/>
      </c>
      <c r="K75" s="43"/>
      <c r="L75" s="18" t="str">
        <f t="shared" si="524"/>
        <v/>
      </c>
      <c r="M75" s="43"/>
      <c r="N75" s="18" t="str">
        <f t="shared" si="525"/>
        <v/>
      </c>
      <c r="O75" s="43"/>
      <c r="P75" s="18" t="str">
        <f t="shared" si="526"/>
        <v/>
      </c>
      <c r="Q75" s="43"/>
      <c r="R75" s="18" t="str">
        <f t="shared" si="527"/>
        <v/>
      </c>
      <c r="S75" s="43"/>
      <c r="T75" s="18" t="str">
        <f t="shared" si="528"/>
        <v/>
      </c>
      <c r="U75" s="43"/>
      <c r="V75" s="18" t="str">
        <f t="shared" si="529"/>
        <v/>
      </c>
      <c r="W75" s="18">
        <f t="shared" si="530"/>
        <v>0</v>
      </c>
      <c r="X75" s="57" t="str">
        <f t="shared" si="531"/>
        <v/>
      </c>
      <c r="Y75" s="57">
        <f t="shared" si="532"/>
        <v>0</v>
      </c>
      <c r="Z75" s="356">
        <f t="shared" si="533"/>
        <v>0</v>
      </c>
      <c r="AA75" s="499"/>
      <c r="AB75" s="500"/>
      <c r="AM75" s="3" t="str">
        <f t="shared" si="545"/>
        <v/>
      </c>
      <c r="AN75" s="3" t="str">
        <f t="shared" si="546"/>
        <v/>
      </c>
      <c r="AO75" s="3" t="str">
        <f t="shared" si="547"/>
        <v/>
      </c>
      <c r="AP75" s="3" t="str">
        <f t="shared" si="548"/>
        <v/>
      </c>
      <c r="AQ75" s="3" t="str">
        <f t="shared" si="573"/>
        <v/>
      </c>
      <c r="AR75" s="3" t="str">
        <f t="shared" si="574"/>
        <v/>
      </c>
      <c r="AS75" s="3" t="str">
        <f t="shared" ref="AS75" si="577">IF(AND(AQ75="Documentar",AR75="Asignar responsable"),CONCATENATE("- ",AQ75,", ",AR75),IF(AQ75="Documentar",CONCATENATE("- ",AQ75),IF(AR75="Asignar responsable",CONCATENATE("- ",AR75),"")))</f>
        <v/>
      </c>
      <c r="AT75" s="3" t="str">
        <f t="shared" si="575"/>
        <v/>
      </c>
      <c r="AU75" s="3" t="str">
        <f t="shared" ref="AU75" si="578">IF(AT75="",AS75,IF(AS75="",CONCATENATE("- ",AT75),CONCATENATE(AS75,", ",AT75)))</f>
        <v/>
      </c>
      <c r="AV75" s="3" t="str">
        <f t="shared" si="576"/>
        <v/>
      </c>
      <c r="AW75" s="3" t="str">
        <f t="shared" ref="AW75" si="579">IF(AV75="",AU75,IF(AU75="",CONCATENATE("- ",AV75),CONCATENATE(AU75,", ",AV75)))</f>
        <v/>
      </c>
      <c r="AX75" s="502"/>
      <c r="AY75" s="502"/>
      <c r="AZ75" s="502"/>
      <c r="BA75" s="502"/>
      <c r="BB75" s="3" t="str">
        <f t="shared" si="557"/>
        <v/>
      </c>
      <c r="BC75" s="3" t="str">
        <f t="shared" si="558"/>
        <v/>
      </c>
      <c r="BD75" s="3" t="str">
        <f t="shared" si="559"/>
        <v/>
      </c>
      <c r="BE75" s="3" t="str">
        <f t="shared" si="560"/>
        <v/>
      </c>
      <c r="BF75" s="3" t="str">
        <f t="shared" si="561"/>
        <v/>
      </c>
      <c r="BG75" s="3" t="str">
        <f t="shared" si="562"/>
        <v/>
      </c>
      <c r="BH75" s="3" t="str">
        <f t="shared" si="563"/>
        <v/>
      </c>
      <c r="BI75" s="3" t="str">
        <f t="shared" si="25"/>
        <v/>
      </c>
      <c r="BJ75" s="3" t="str">
        <f t="shared" si="26"/>
        <v/>
      </c>
      <c r="BK75" s="3" t="str">
        <f t="shared" si="27"/>
        <v/>
      </c>
      <c r="BL75" s="3" t="str">
        <f t="shared" si="564"/>
        <v/>
      </c>
      <c r="BM75" s="3" t="str">
        <f t="shared" si="565"/>
        <v/>
      </c>
    </row>
    <row r="76" spans="1:65" ht="36" customHeight="1" x14ac:dyDescent="0.2">
      <c r="A76" s="503" t="str">
        <f>IDENTIFICACIÓN!C31</f>
        <v>23G</v>
      </c>
      <c r="B76" s="496" t="str">
        <f>IF(IDENTIFICACIÓN!D31="","",IDENTIFICACIÓN!D31)</f>
        <v>Gestión Administrativa. Inadecuado gestión de los residuos</v>
      </c>
      <c r="C76" s="356">
        <v>1</v>
      </c>
      <c r="D76" s="56" t="s">
        <v>11</v>
      </c>
      <c r="E76" s="240">
        <f t="shared" si="4"/>
        <v>10</v>
      </c>
      <c r="F76" s="44" t="s">
        <v>602</v>
      </c>
      <c r="G76" s="18" t="str">
        <f t="shared" si="521"/>
        <v/>
      </c>
      <c r="H76" s="44" t="s">
        <v>20</v>
      </c>
      <c r="I76" s="18" t="str">
        <f t="shared" si="522"/>
        <v/>
      </c>
      <c r="J76" s="55" t="str">
        <f t="shared" si="523"/>
        <v>Posibilidad</v>
      </c>
      <c r="K76" s="43" t="s">
        <v>11</v>
      </c>
      <c r="L76" s="18">
        <f t="shared" si="524"/>
        <v>15</v>
      </c>
      <c r="M76" s="43" t="s">
        <v>10</v>
      </c>
      <c r="N76" s="18">
        <f t="shared" si="525"/>
        <v>0</v>
      </c>
      <c r="O76" s="43" t="s">
        <v>323</v>
      </c>
      <c r="P76" s="18">
        <f t="shared" si="526"/>
        <v>10</v>
      </c>
      <c r="Q76" s="43" t="s">
        <v>11</v>
      </c>
      <c r="R76" s="18">
        <f t="shared" si="527"/>
        <v>5</v>
      </c>
      <c r="S76" s="43" t="s">
        <v>10</v>
      </c>
      <c r="T76" s="18">
        <f t="shared" si="528"/>
        <v>0</v>
      </c>
      <c r="U76" s="43" t="s">
        <v>11</v>
      </c>
      <c r="V76" s="18">
        <f t="shared" si="529"/>
        <v>10</v>
      </c>
      <c r="W76" s="18">
        <f t="shared" si="530"/>
        <v>50</v>
      </c>
      <c r="X76" s="57">
        <f t="shared" si="531"/>
        <v>50</v>
      </c>
      <c r="Y76" s="57">
        <f t="shared" si="532"/>
        <v>0</v>
      </c>
      <c r="Z76" s="356">
        <f t="shared" si="533"/>
        <v>0</v>
      </c>
      <c r="AA76" s="497">
        <f t="shared" ref="AA76" si="580">IF(AB76=0,"",(ROUND((SUM(W76:W78)/AB76),0)))</f>
        <v>50</v>
      </c>
      <c r="AB76" s="500">
        <f t="shared" ref="AB76" si="581">COUNT(T76:T78)</f>
        <v>1</v>
      </c>
      <c r="AC76" s="3">
        <f t="shared" ref="AC76" si="582">SUM(Y76:Y78)</f>
        <v>0</v>
      </c>
      <c r="AD76" s="3">
        <f>ANALISIS!D33</f>
        <v>4</v>
      </c>
      <c r="AE76" s="3">
        <f t="shared" ref="AE76:AE77" si="583">IF((AD76-AC76)&gt;=1,(AD76-AC76),1)</f>
        <v>4</v>
      </c>
      <c r="AF76" s="501">
        <f t="shared" si="538"/>
        <v>44</v>
      </c>
      <c r="AG76" s="355" t="str">
        <f t="shared" ref="AG76" si="584">IF(AE77=1,AH76,IF(AE77=2,AI76,IF(AE77=3,AJ76,IF(AE77=4,AK76,AL76))))</f>
        <v>EXTREMA 4:4</v>
      </c>
      <c r="AH76" s="46" t="str">
        <f t="shared" si="540"/>
        <v>ALTA 5:1</v>
      </c>
      <c r="AI76" s="46" t="str">
        <f t="shared" si="541"/>
        <v>ALTA 5:2</v>
      </c>
      <c r="AJ76" s="46" t="str">
        <f t="shared" si="542"/>
        <v>EXTREMA 5:3</v>
      </c>
      <c r="AK76" s="46" t="str">
        <f t="shared" si="543"/>
        <v>EXTREMA 4:4</v>
      </c>
      <c r="AL76" s="46" t="str">
        <f t="shared" si="544"/>
        <v>EXTREMA 5:5</v>
      </c>
      <c r="AM76" s="3" t="str">
        <f t="shared" si="545"/>
        <v/>
      </c>
      <c r="AN76" s="3" t="str">
        <f t="shared" si="546"/>
        <v/>
      </c>
      <c r="AO76" s="3" t="str">
        <f t="shared" si="547"/>
        <v/>
      </c>
      <c r="AP76" s="3" t="str">
        <f t="shared" si="548"/>
        <v/>
      </c>
      <c r="AQ76" s="3" t="str">
        <f t="shared" ref="AQ76" si="585">AM76</f>
        <v/>
      </c>
      <c r="AR76" s="3" t="str">
        <f t="shared" ref="AR76" si="586">AN76</f>
        <v/>
      </c>
      <c r="AT76" s="3" t="str">
        <f t="shared" ref="AT76" si="587">AO76</f>
        <v/>
      </c>
      <c r="AV76" s="3" t="str">
        <f t="shared" ref="AV76" si="588">AP76</f>
        <v/>
      </c>
      <c r="AX76" s="502" t="str">
        <f t="shared" ref="AX76" si="589">IF(AW78="","",CONCATENATE(AW78," (de) el(los) control(es) Efectivo(s) "))</f>
        <v/>
      </c>
      <c r="AY76" s="502" t="str">
        <f t="shared" ref="AY76" si="590">IF(CONCATENATE(N76:N78)="","",IF(AND(SUM(E76:E78)=10,SUM(N76:N78)&lt;30),"- Replantear control(es) NO efectivo(s) ",IF(AND(SUM(E76:E78)=20,SUM(N76:N78)&lt;60),"- Replantear control(es) NO efectivo(s) ",IF(AND(SUM(E76:E78)=30,SUM(N76:N78)&lt;90),"- Replantear control(es) NO efectivo(s) ",""))))</f>
        <v xml:space="preserve">- Replantear control(es) NO efectivo(s) </v>
      </c>
      <c r="AZ76" s="502" t="str">
        <f t="shared" ref="AZ76" si="591">IF(AND(AE76&gt;1,AE77&gt;1),"- Tomar Acciones Preventivas y Correctivas",IF(AE76&gt;1,"- Tomar Acciones Preventivas",IF(AE77&gt;1,"- Tomar Acciones Correctivas","")))</f>
        <v>- Tomar Acciones Preventivas y Correctivas</v>
      </c>
      <c r="BA76" s="502" t="str">
        <f t="shared" ref="BA76" si="592">CONCATENATE(AX76,AY76,AZ76)</f>
        <v>- Replantear control(es) NO efectivo(s) - Tomar Acciones Preventivas y Correctivas</v>
      </c>
      <c r="BB76" s="3" t="str">
        <f t="shared" si="557"/>
        <v/>
      </c>
      <c r="BC76" s="3" t="str">
        <f t="shared" si="558"/>
        <v>SI</v>
      </c>
      <c r="BD76" s="3" t="str">
        <f t="shared" si="559"/>
        <v/>
      </c>
      <c r="BE76" s="3" t="str">
        <f t="shared" si="560"/>
        <v>SI</v>
      </c>
      <c r="BF76" s="3" t="str">
        <f t="shared" si="561"/>
        <v/>
      </c>
      <c r="BG76" s="3" t="str">
        <f t="shared" si="562"/>
        <v>NO</v>
      </c>
      <c r="BH76" s="3" t="str">
        <f t="shared" si="563"/>
        <v/>
      </c>
      <c r="BI76" s="3" t="str">
        <f t="shared" si="25"/>
        <v>P</v>
      </c>
      <c r="BJ76" s="3" t="str">
        <f t="shared" si="26"/>
        <v/>
      </c>
      <c r="BK76" s="3" t="str">
        <f t="shared" si="27"/>
        <v>M</v>
      </c>
      <c r="BL76" s="3" t="str">
        <f t="shared" si="564"/>
        <v/>
      </c>
      <c r="BM76" s="3" t="str">
        <f t="shared" si="565"/>
        <v>SI</v>
      </c>
    </row>
    <row r="77" spans="1:65" ht="36" customHeight="1" x14ac:dyDescent="0.2">
      <c r="A77" s="503"/>
      <c r="B77" s="496"/>
      <c r="C77" s="356">
        <v>2</v>
      </c>
      <c r="D77" s="56"/>
      <c r="E77" s="240" t="str">
        <f t="shared" si="4"/>
        <v/>
      </c>
      <c r="F77" s="44"/>
      <c r="G77" s="18" t="str">
        <f t="shared" si="521"/>
        <v/>
      </c>
      <c r="H77" s="44"/>
      <c r="I77" s="18" t="str">
        <f t="shared" si="522"/>
        <v/>
      </c>
      <c r="J77" s="55" t="str">
        <f t="shared" si="523"/>
        <v/>
      </c>
      <c r="K77" s="43"/>
      <c r="L77" s="18" t="str">
        <f t="shared" si="524"/>
        <v/>
      </c>
      <c r="M77" s="43"/>
      <c r="N77" s="18" t="str">
        <f t="shared" si="525"/>
        <v/>
      </c>
      <c r="O77" s="43"/>
      <c r="P77" s="18" t="str">
        <f t="shared" si="526"/>
        <v/>
      </c>
      <c r="Q77" s="43"/>
      <c r="R77" s="18" t="str">
        <f t="shared" si="527"/>
        <v/>
      </c>
      <c r="S77" s="43"/>
      <c r="T77" s="18" t="str">
        <f t="shared" si="528"/>
        <v/>
      </c>
      <c r="U77" s="43"/>
      <c r="V77" s="18" t="str">
        <f t="shared" si="529"/>
        <v/>
      </c>
      <c r="W77" s="18">
        <f t="shared" si="530"/>
        <v>0</v>
      </c>
      <c r="X77" s="57" t="str">
        <f t="shared" si="531"/>
        <v/>
      </c>
      <c r="Y77" s="57">
        <f t="shared" si="532"/>
        <v>0</v>
      </c>
      <c r="Z77" s="356">
        <f t="shared" si="533"/>
        <v>0</v>
      </c>
      <c r="AA77" s="498"/>
      <c r="AB77" s="500"/>
      <c r="AC77" s="3">
        <f t="shared" ref="AC77" si="593">SUM(Z76:Z78)</f>
        <v>0</v>
      </c>
      <c r="AD77" s="3">
        <f>ANALISIS!G33</f>
        <v>4</v>
      </c>
      <c r="AE77" s="3">
        <f t="shared" si="583"/>
        <v>4</v>
      </c>
      <c r="AF77" s="501"/>
      <c r="AG77" s="355" t="str">
        <f t="shared" ref="AG77" si="594">IF(AE77=1,AH77,IF(AE77=2,AI77,IF(AE77=3,AJ77,IF(AE77=4,AK77,AL77))))</f>
        <v>- Eliminar Causa(s)- Evitar Posibilidad de Ocurrencia- Reducir el Riesgo- Compartir o Transferir el Riesgo</v>
      </c>
      <c r="AH77" s="46" t="str">
        <f t="shared" ref="AH77" si="595">IF($AF76=11,"- Asumir el Riesgo",IF($AF76=12,"- Asumir el Riesgo- Evitar Posibilidad de Ocurrencia- Reducir el Riesgo",IF($AF76=13,"- Asumir el Riesgo- Evitar Posibilidad de Ocurrencia- Reducir el Riesgo",IF($AF76=14,"-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77" s="46" t="str">
        <f t="shared" ref="AI77" si="596">IF($AF76=21,"- Asumir el Riesgo- Reducir el Riesgo",IF($AF76=22,"- Asumir el Riesgo- Evitar Posibilidad de Ocurrencia- Reducir el Riesgo",IF($AF76=23,"- Asumir el Riesgo- Evitar Posibilidad de Ocurrencia- Reducir el Riesgo- Compartir o Transferir el Riesgo",IF($AF76=24,"- Evitar Posibilidad de Ocurrencia- Reducir el Riesgo- Compartir o Transferir el Riesgo","- Evitar Posibilidad de Ocurrencia- Reducir el Riesgo- Compartir o Transferir el Riesgo"))))</f>
        <v>- Evitar Posibilidad de Ocurrencia- Reducir el Riesgo- Compartir o Transferir el Riesgo</v>
      </c>
      <c r="AJ77" s="46" t="str">
        <f t="shared" ref="AJ77" si="597">IF($AF76=31,"- Asumir el Riesgo- Reducir el Riesgo- Compartir o Transferir el Riesgo",IF($AF76=32,"- Asumir el Riesgo- Evitar Posibilidad de Ocurrencia- Reducir el Reducir- Compartir o Transferir el Riesgo",IF($AF76=33,"- Evitar Posibilidad de Ocurrencia- Reducir el Riesgo- Compartir o Transferir el Riesgo",IF($AF76=34,"-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77" s="46" t="str">
        <f t="shared" ref="AK77" si="598">IF($AF76=41,"- Reducir el Riesgo- Compartir o Transferir el Riesgo",IF($AF76=42,"- Evitar Posibilidad de Ocurrencia- Reducir el Riesgo- Compartir o Transferir el Riesgo",IF($AF76=43,"- Eliminar Causa(s)- Evitar Posibilidad de Ocurrencia- Reducir el Riesgo- Compartir o Transferir el Riesgo",IF($AF76=44,"-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77" s="46" t="str">
        <f t="shared" ref="AL77" si="599">IF($AF76=51,"- Reducir el Riesgo- Compartir o Transferir el Riesgo",IF($AF76=52,"- Eliminar Causa(s)- Evitar Posibilidad de Ocurrencia- Reducir el Riesgo- Compartir o Transferir el Riesgo",IF($AF76=53,"- Eliminar Causa(s)- Evitar Posibilidad de Ocurrencia- Reducir el Riesgo- Compartir o Transferir el Riesgo",IF($AF76=54,"-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77" s="3" t="str">
        <f t="shared" si="545"/>
        <v/>
      </c>
      <c r="AN77" s="3" t="str">
        <f t="shared" si="546"/>
        <v/>
      </c>
      <c r="AO77" s="3" t="str">
        <f t="shared" si="547"/>
        <v/>
      </c>
      <c r="AP77" s="3" t="str">
        <f t="shared" si="548"/>
        <v/>
      </c>
      <c r="AQ77" s="3" t="str">
        <f t="shared" ref="AQ77:AQ78" si="600">IF(AQ76="Documentar",AQ76,AM77)</f>
        <v/>
      </c>
      <c r="AR77" s="3" t="str">
        <f t="shared" ref="AR77:AR78" si="601">IF(AR76="Asignar responsable",AR76,AN77)</f>
        <v/>
      </c>
      <c r="AT77" s="3" t="str">
        <f t="shared" ref="AT77:AT78" si="602">IF(AT76="Establecer periodos de seguimiento adecuados",AT76,AO77)</f>
        <v/>
      </c>
      <c r="AV77" s="3" t="str">
        <f t="shared" ref="AV77:AV78" si="603">IF(AV76="Guardar Evidencias",AV76,AP77)</f>
        <v/>
      </c>
      <c r="AX77" s="502"/>
      <c r="AY77" s="502"/>
      <c r="AZ77" s="502"/>
      <c r="BA77" s="502"/>
      <c r="BB77" s="3" t="str">
        <f t="shared" si="557"/>
        <v/>
      </c>
      <c r="BC77" s="3" t="str">
        <f t="shared" si="558"/>
        <v/>
      </c>
      <c r="BD77" s="3" t="str">
        <f t="shared" si="559"/>
        <v/>
      </c>
      <c r="BE77" s="3" t="str">
        <f t="shared" si="560"/>
        <v/>
      </c>
      <c r="BF77" s="3" t="str">
        <f t="shared" si="561"/>
        <v/>
      </c>
      <c r="BG77" s="3" t="str">
        <f t="shared" si="562"/>
        <v/>
      </c>
      <c r="BH77" s="3" t="str">
        <f t="shared" si="563"/>
        <v/>
      </c>
      <c r="BI77" s="3" t="str">
        <f t="shared" si="25"/>
        <v/>
      </c>
      <c r="BJ77" s="3" t="str">
        <f t="shared" si="26"/>
        <v/>
      </c>
      <c r="BK77" s="3" t="str">
        <f t="shared" si="27"/>
        <v/>
      </c>
      <c r="BL77" s="3" t="str">
        <f t="shared" si="564"/>
        <v/>
      </c>
      <c r="BM77" s="3" t="str">
        <f t="shared" si="565"/>
        <v/>
      </c>
    </row>
    <row r="78" spans="1:65" ht="36" customHeight="1" x14ac:dyDescent="0.2">
      <c r="A78" s="503"/>
      <c r="B78" s="496"/>
      <c r="C78" s="356">
        <v>3</v>
      </c>
      <c r="D78" s="56"/>
      <c r="E78" s="240" t="str">
        <f t="shared" si="4"/>
        <v/>
      </c>
      <c r="F78" s="44"/>
      <c r="G78" s="18" t="str">
        <f t="shared" si="521"/>
        <v/>
      </c>
      <c r="H78" s="44"/>
      <c r="I78" s="18" t="str">
        <f t="shared" si="522"/>
        <v/>
      </c>
      <c r="J78" s="55" t="str">
        <f t="shared" si="523"/>
        <v/>
      </c>
      <c r="K78" s="43"/>
      <c r="L78" s="18" t="str">
        <f t="shared" si="524"/>
        <v/>
      </c>
      <c r="M78" s="43"/>
      <c r="N78" s="18" t="str">
        <f t="shared" si="525"/>
        <v/>
      </c>
      <c r="O78" s="43"/>
      <c r="P78" s="18" t="str">
        <f t="shared" si="526"/>
        <v/>
      </c>
      <c r="Q78" s="43"/>
      <c r="R78" s="18" t="str">
        <f t="shared" si="527"/>
        <v/>
      </c>
      <c r="S78" s="43"/>
      <c r="T78" s="18" t="str">
        <f t="shared" si="528"/>
        <v/>
      </c>
      <c r="U78" s="43"/>
      <c r="V78" s="18" t="str">
        <f t="shared" si="529"/>
        <v/>
      </c>
      <c r="W78" s="18">
        <f t="shared" si="530"/>
        <v>0</v>
      </c>
      <c r="X78" s="57" t="str">
        <f t="shared" si="531"/>
        <v/>
      </c>
      <c r="Y78" s="57">
        <f t="shared" si="532"/>
        <v>0</v>
      </c>
      <c r="Z78" s="356">
        <f t="shared" si="533"/>
        <v>0</v>
      </c>
      <c r="AA78" s="499"/>
      <c r="AB78" s="500"/>
      <c r="AM78" s="3" t="str">
        <f t="shared" si="545"/>
        <v/>
      </c>
      <c r="AN78" s="3" t="str">
        <f t="shared" si="546"/>
        <v/>
      </c>
      <c r="AO78" s="3" t="str">
        <f t="shared" si="547"/>
        <v/>
      </c>
      <c r="AP78" s="3" t="str">
        <f t="shared" si="548"/>
        <v/>
      </c>
      <c r="AQ78" s="3" t="str">
        <f t="shared" si="600"/>
        <v/>
      </c>
      <c r="AR78" s="3" t="str">
        <f t="shared" si="601"/>
        <v/>
      </c>
      <c r="AS78" s="3" t="str">
        <f t="shared" ref="AS78" si="604">IF(AND(AQ78="Documentar",AR78="Asignar responsable"),CONCATENATE("- ",AQ78,", ",AR78),IF(AQ78="Documentar",CONCATENATE("- ",AQ78),IF(AR78="Asignar responsable",CONCATENATE("- ",AR78),"")))</f>
        <v/>
      </c>
      <c r="AT78" s="3" t="str">
        <f t="shared" si="602"/>
        <v/>
      </c>
      <c r="AU78" s="3" t="str">
        <f t="shared" ref="AU78" si="605">IF(AT78="",AS78,IF(AS78="",CONCATENATE("- ",AT78),CONCATENATE(AS78,", ",AT78)))</f>
        <v/>
      </c>
      <c r="AV78" s="3" t="str">
        <f t="shared" si="603"/>
        <v/>
      </c>
      <c r="AW78" s="3" t="str">
        <f t="shared" ref="AW78" si="606">IF(AV78="",AU78,IF(AU78="",CONCATENATE("- ",AV78),CONCATENATE(AU78,", ",AV78)))</f>
        <v/>
      </c>
      <c r="AX78" s="502"/>
      <c r="AY78" s="502"/>
      <c r="AZ78" s="502"/>
      <c r="BA78" s="502"/>
      <c r="BB78" s="3" t="str">
        <f t="shared" si="557"/>
        <v/>
      </c>
      <c r="BC78" s="3" t="str">
        <f t="shared" si="558"/>
        <v/>
      </c>
      <c r="BD78" s="3" t="str">
        <f t="shared" si="559"/>
        <v/>
      </c>
      <c r="BE78" s="3" t="str">
        <f t="shared" si="560"/>
        <v/>
      </c>
      <c r="BF78" s="3" t="str">
        <f t="shared" si="561"/>
        <v/>
      </c>
      <c r="BG78" s="3" t="str">
        <f t="shared" si="562"/>
        <v/>
      </c>
      <c r="BH78" s="3" t="str">
        <f t="shared" si="563"/>
        <v/>
      </c>
      <c r="BI78" s="3" t="str">
        <f t="shared" si="25"/>
        <v/>
      </c>
      <c r="BJ78" s="3" t="str">
        <f t="shared" si="26"/>
        <v/>
      </c>
      <c r="BK78" s="3" t="str">
        <f t="shared" si="27"/>
        <v/>
      </c>
      <c r="BL78" s="3" t="str">
        <f t="shared" si="564"/>
        <v/>
      </c>
      <c r="BM78" s="3" t="str">
        <f t="shared" si="565"/>
        <v/>
      </c>
    </row>
    <row r="79" spans="1:65" ht="36" customHeight="1" x14ac:dyDescent="0.2">
      <c r="A79" s="503" t="str">
        <f>IDENTIFICACIÓN!C32</f>
        <v>24G</v>
      </c>
      <c r="B79" s="496" t="str">
        <f>IF(IDENTIFICACIÓN!D32="","",IDENTIFICACIÓN!D32)</f>
        <v>Gestión del Talento Humano. Deficiente desempeño laboral de los funcionarios de la Universidad.</v>
      </c>
      <c r="C79" s="356">
        <v>1</v>
      </c>
      <c r="D79" s="56" t="s">
        <v>11</v>
      </c>
      <c r="E79" s="240">
        <f t="shared" si="4"/>
        <v>10</v>
      </c>
      <c r="F79" s="44" t="s">
        <v>603</v>
      </c>
      <c r="G79" s="18" t="str">
        <f t="shared" si="521"/>
        <v/>
      </c>
      <c r="H79" s="44" t="s">
        <v>20</v>
      </c>
      <c r="I79" s="18" t="str">
        <f t="shared" si="522"/>
        <v/>
      </c>
      <c r="J79" s="55" t="str">
        <f t="shared" si="523"/>
        <v>Posibilidad</v>
      </c>
      <c r="K79" s="43" t="s">
        <v>11</v>
      </c>
      <c r="L79" s="18">
        <f t="shared" si="524"/>
        <v>15</v>
      </c>
      <c r="M79" s="43" t="s">
        <v>10</v>
      </c>
      <c r="N79" s="18">
        <f t="shared" si="525"/>
        <v>0</v>
      </c>
      <c r="O79" s="43" t="s">
        <v>323</v>
      </c>
      <c r="P79" s="18">
        <f t="shared" si="526"/>
        <v>10</v>
      </c>
      <c r="Q79" s="43" t="s">
        <v>11</v>
      </c>
      <c r="R79" s="18">
        <f t="shared" si="527"/>
        <v>5</v>
      </c>
      <c r="S79" s="43" t="s">
        <v>10</v>
      </c>
      <c r="T79" s="18">
        <f t="shared" si="528"/>
        <v>0</v>
      </c>
      <c r="U79" s="43" t="s">
        <v>10</v>
      </c>
      <c r="V79" s="18">
        <f t="shared" si="529"/>
        <v>0</v>
      </c>
      <c r="W79" s="18">
        <f t="shared" si="530"/>
        <v>40</v>
      </c>
      <c r="X79" s="57">
        <f t="shared" si="531"/>
        <v>40</v>
      </c>
      <c r="Y79" s="57">
        <f t="shared" si="532"/>
        <v>0</v>
      </c>
      <c r="Z79" s="356">
        <f t="shared" si="533"/>
        <v>0</v>
      </c>
      <c r="AA79" s="497">
        <f t="shared" ref="AA79" si="607">IF(AB79=0,"",(ROUND((SUM(W79:W81)/AB79),0)))</f>
        <v>53</v>
      </c>
      <c r="AB79" s="500">
        <f t="shared" ref="AB79" si="608">COUNT(T79:T81)</f>
        <v>2</v>
      </c>
      <c r="AC79" s="3">
        <f t="shared" ref="AC79" si="609">SUM(Y79:Y81)</f>
        <v>1</v>
      </c>
      <c r="AD79" s="3">
        <f>ANALISIS!D34</f>
        <v>5</v>
      </c>
      <c r="AE79" s="3">
        <f t="shared" ref="AE79:AE80" si="610">IF((AD79-AC79)&gt;=1,(AD79-AC79),1)</f>
        <v>4</v>
      </c>
      <c r="AF79" s="501">
        <f t="shared" si="538"/>
        <v>44</v>
      </c>
      <c r="AG79" s="355" t="str">
        <f t="shared" ref="AG79" si="611">IF(AE80=1,AH79,IF(AE80=2,AI79,IF(AE80=3,AJ79,IF(AE80=4,AK79,AL79))))</f>
        <v>EXTREMA 4:4</v>
      </c>
      <c r="AH79" s="46" t="str">
        <f t="shared" si="540"/>
        <v>ALTA 5:1</v>
      </c>
      <c r="AI79" s="46" t="str">
        <f t="shared" si="541"/>
        <v>ALTA 5:2</v>
      </c>
      <c r="AJ79" s="46" t="str">
        <f t="shared" si="542"/>
        <v>EXTREMA 5:3</v>
      </c>
      <c r="AK79" s="46" t="str">
        <f t="shared" si="543"/>
        <v>EXTREMA 4:4</v>
      </c>
      <c r="AL79" s="46" t="str">
        <f t="shared" si="544"/>
        <v>EXTREMA 5:5</v>
      </c>
      <c r="AM79" s="3" t="str">
        <f t="shared" si="545"/>
        <v/>
      </c>
      <c r="AN79" s="3" t="str">
        <f t="shared" si="546"/>
        <v/>
      </c>
      <c r="AO79" s="3" t="str">
        <f t="shared" si="547"/>
        <v/>
      </c>
      <c r="AP79" s="3" t="str">
        <f t="shared" si="548"/>
        <v/>
      </c>
      <c r="AQ79" s="3" t="str">
        <f t="shared" ref="AQ79" si="612">AM79</f>
        <v/>
      </c>
      <c r="AR79" s="3" t="str">
        <f t="shared" ref="AR79" si="613">AN79</f>
        <v/>
      </c>
      <c r="AT79" s="3" t="str">
        <f t="shared" ref="AT79" si="614">AO79</f>
        <v/>
      </c>
      <c r="AV79" s="3" t="str">
        <f t="shared" ref="AV79" si="615">AP79</f>
        <v/>
      </c>
      <c r="AX79" s="502" t="str">
        <f t="shared" ref="AX79" si="616">IF(AW81="","",CONCATENATE(AW81," (de) el(los) control(es) Efectivo(s) "))</f>
        <v xml:space="preserve">- Documentar, Establecer periodos de seguimiento adecuados (de) el(los) control(es) Efectivo(s) </v>
      </c>
      <c r="AY79" s="502" t="str">
        <f t="shared" ref="AY79" si="617">IF(CONCATENATE(N79:N81)="","",IF(AND(SUM(E79:E81)=10,SUM(N79:N81)&lt;30),"- Replantear control(es) NO efectivo(s) ",IF(AND(SUM(E79:E81)=20,SUM(N79:N81)&lt;60),"- Replantear control(es) NO efectivo(s) ",IF(AND(SUM(E79:E81)=30,SUM(N79:N81)&lt;90),"- Replantear control(es) NO efectivo(s) ",""))))</f>
        <v xml:space="preserve">- Replantear control(es) NO efectivo(s) </v>
      </c>
      <c r="AZ79" s="502" t="str">
        <f t="shared" ref="AZ79" si="618">IF(AND(AE79&gt;1,AE80&gt;1),"- Tomar Acciones Preventivas y Correctivas",IF(AE79&gt;1,"- Tomar Acciones Preventivas",IF(AE80&gt;1,"- Tomar Acciones Correctivas","")))</f>
        <v>- Tomar Acciones Preventivas y Correctivas</v>
      </c>
      <c r="BA79" s="502" t="str">
        <f t="shared" ref="BA79" si="619">CONCATENATE(AX79,AY79,AZ79)</f>
        <v>- Documentar, Establecer periodos de seguimiento adecuados (de) el(los) control(es) Efectivo(s) - Replantear control(es) NO efectivo(s) - Tomar Acciones Preventivas y Correctivas</v>
      </c>
      <c r="BB79" s="3" t="str">
        <f t="shared" si="557"/>
        <v/>
      </c>
      <c r="BC79" s="3" t="str">
        <f t="shared" si="558"/>
        <v>SI</v>
      </c>
      <c r="BD79" s="3" t="str">
        <f t="shared" si="559"/>
        <v/>
      </c>
      <c r="BE79" s="3" t="str">
        <f t="shared" si="560"/>
        <v>SI</v>
      </c>
      <c r="BF79" s="3" t="str">
        <f t="shared" si="561"/>
        <v/>
      </c>
      <c r="BG79" s="3" t="str">
        <f t="shared" si="562"/>
        <v>NO</v>
      </c>
      <c r="BH79" s="3" t="str">
        <f t="shared" si="563"/>
        <v/>
      </c>
      <c r="BI79" s="3" t="str">
        <f t="shared" si="25"/>
        <v>P</v>
      </c>
      <c r="BJ79" s="3" t="str">
        <f t="shared" si="26"/>
        <v/>
      </c>
      <c r="BK79" s="3" t="str">
        <f t="shared" si="27"/>
        <v>M</v>
      </c>
      <c r="BL79" s="3" t="str">
        <f t="shared" si="564"/>
        <v/>
      </c>
      <c r="BM79" s="3" t="str">
        <f t="shared" si="565"/>
        <v>NO</v>
      </c>
    </row>
    <row r="80" spans="1:65" ht="36" customHeight="1" x14ac:dyDescent="0.2">
      <c r="A80" s="503"/>
      <c r="B80" s="496"/>
      <c r="C80" s="356">
        <v>2</v>
      </c>
      <c r="D80" s="56" t="s">
        <v>11</v>
      </c>
      <c r="E80" s="240">
        <f t="shared" si="4"/>
        <v>10</v>
      </c>
      <c r="F80" s="44" t="s">
        <v>604</v>
      </c>
      <c r="G80" s="18" t="str">
        <f t="shared" si="521"/>
        <v/>
      </c>
      <c r="H80" s="44" t="s">
        <v>20</v>
      </c>
      <c r="I80" s="18" t="str">
        <f t="shared" si="522"/>
        <v/>
      </c>
      <c r="J80" s="55" t="str">
        <f t="shared" si="523"/>
        <v>Posibilidad</v>
      </c>
      <c r="K80" s="43" t="s">
        <v>10</v>
      </c>
      <c r="L80" s="18">
        <f t="shared" si="524"/>
        <v>0</v>
      </c>
      <c r="M80" s="43" t="s">
        <v>11</v>
      </c>
      <c r="N80" s="18">
        <f t="shared" si="525"/>
        <v>30</v>
      </c>
      <c r="O80" s="43" t="s">
        <v>323</v>
      </c>
      <c r="P80" s="18">
        <f t="shared" si="526"/>
        <v>10</v>
      </c>
      <c r="Q80" s="43" t="s">
        <v>11</v>
      </c>
      <c r="R80" s="18">
        <f t="shared" si="527"/>
        <v>5</v>
      </c>
      <c r="S80" s="43" t="s">
        <v>10</v>
      </c>
      <c r="T80" s="18">
        <f t="shared" si="528"/>
        <v>0</v>
      </c>
      <c r="U80" s="43" t="s">
        <v>11</v>
      </c>
      <c r="V80" s="18">
        <f t="shared" si="529"/>
        <v>10</v>
      </c>
      <c r="W80" s="18">
        <f t="shared" si="530"/>
        <v>65</v>
      </c>
      <c r="X80" s="57" t="str">
        <f t="shared" si="531"/>
        <v>65                           Disminuye max 1 en Posibilidad</v>
      </c>
      <c r="Y80" s="57">
        <f t="shared" si="532"/>
        <v>1</v>
      </c>
      <c r="Z80" s="356">
        <f t="shared" si="533"/>
        <v>0</v>
      </c>
      <c r="AA80" s="498"/>
      <c r="AB80" s="500"/>
      <c r="AC80" s="3">
        <f t="shared" ref="AC80" si="620">SUM(Z79:Z81)</f>
        <v>0</v>
      </c>
      <c r="AD80" s="3">
        <f>ANALISIS!G34</f>
        <v>4</v>
      </c>
      <c r="AE80" s="3">
        <f t="shared" si="610"/>
        <v>4</v>
      </c>
      <c r="AF80" s="501"/>
      <c r="AG80" s="355" t="str">
        <f t="shared" ref="AG80" si="621">IF(AE80=1,AH80,IF(AE80=2,AI80,IF(AE80=3,AJ80,IF(AE80=4,AK80,AL80))))</f>
        <v>- Eliminar Causa(s)- Evitar Posibilidad de Ocurrencia- Reducir el Riesgo- Compartir o Transferir el Riesgo</v>
      </c>
      <c r="AH80" s="46" t="str">
        <f t="shared" ref="AH80" si="622">IF($AF79=11,"- Asumir el Riesgo",IF($AF79=12,"- Asumir el Riesgo- Evitar Posibilidad de Ocurrencia- Reducir el Riesgo",IF($AF79=13,"- Asumir el Riesgo- Evitar Posibilidad de Ocurrencia- Reducir el Riesgo",IF($AF79=14,"-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0" s="46" t="str">
        <f t="shared" ref="AI80" si="623">IF($AF79=21,"- Asumir el Riesgo- Reducir el Riesgo",IF($AF79=22,"- Asumir el Riesgo- Evitar Posibilidad de Ocurrencia- Reducir el Riesgo",IF($AF79=23,"- Asumir el Riesgo- Evitar Posibilidad de Ocurrencia- Reducir el Riesgo- Compartir o Transferir el Riesgo",IF($AF79=24,"- Evitar Posibilidad de Ocurrencia- Reducir el Riesgo- Compartir o Transferir el Riesgo","- Evitar Posibilidad de Ocurrencia- Reducir el Riesgo- Compartir o Transferir el Riesgo"))))</f>
        <v>- Evitar Posibilidad de Ocurrencia- Reducir el Riesgo- Compartir o Transferir el Riesgo</v>
      </c>
      <c r="AJ80" s="46" t="str">
        <f t="shared" ref="AJ80" si="624">IF($AF79=31,"- Asumir el Riesgo- Reducir el Riesgo- Compartir o Transferir el Riesgo",IF($AF79=32,"- Asumir el Riesgo- Evitar Posibilidad de Ocurrencia- Reducir el Reducir- Compartir o Transferir el Riesgo",IF($AF79=33,"- Evitar Posibilidad de Ocurrencia- Reducir el Riesgo- Compartir o Transferir el Riesgo",IF($AF79=34,"-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0" s="46" t="str">
        <f t="shared" ref="AK80" si="625">IF($AF79=41,"- Reducir el Riesgo- Compartir o Transferir el Riesgo",IF($AF79=42,"- Evitar Posibilidad de Ocurrencia- Reducir el Riesgo- Compartir o Transferir el Riesgo",IF($AF79=43,"- Eliminar Causa(s)- Evitar Posibilidad de Ocurrencia- Reducir el Riesgo- Compartir o Transferir el Riesgo",IF($AF79=44,"-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80" s="46" t="str">
        <f t="shared" ref="AL80" si="626">IF($AF79=51,"- Reducir el Riesgo- Compartir o Transferir el Riesgo",IF($AF79=52,"- Eliminar Causa(s)- Evitar Posibilidad de Ocurrencia- Reducir el Riesgo- Compartir o Transferir el Riesgo",IF($AF79=53,"- Eliminar Causa(s)- Evitar Posibilidad de Ocurrencia- Reducir el Riesgo- Compartir o Transferir el Riesgo",IF($AF79=54,"-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0" s="3" t="str">
        <f t="shared" si="545"/>
        <v>Documentar</v>
      </c>
      <c r="AN80" s="3" t="str">
        <f t="shared" si="546"/>
        <v/>
      </c>
      <c r="AO80" s="3" t="str">
        <f t="shared" si="547"/>
        <v>Establecer periodos de seguimiento adecuados</v>
      </c>
      <c r="AP80" s="3" t="str">
        <f t="shared" si="548"/>
        <v/>
      </c>
      <c r="AQ80" s="3" t="str">
        <f t="shared" ref="AQ80:AQ81" si="627">IF(AQ79="Documentar",AQ79,AM80)</f>
        <v>Documentar</v>
      </c>
      <c r="AR80" s="3" t="str">
        <f t="shared" ref="AR80:AR81" si="628">IF(AR79="Asignar responsable",AR79,AN80)</f>
        <v/>
      </c>
      <c r="AT80" s="3" t="str">
        <f t="shared" ref="AT80:AT81" si="629">IF(AT79="Establecer periodos de seguimiento adecuados",AT79,AO80)</f>
        <v>Establecer periodos de seguimiento adecuados</v>
      </c>
      <c r="AV80" s="3" t="str">
        <f t="shared" ref="AV80:AV81" si="630">IF(AV79="Guardar Evidencias",AV79,AP80)</f>
        <v/>
      </c>
      <c r="AX80" s="502"/>
      <c r="AY80" s="502"/>
      <c r="AZ80" s="502"/>
      <c r="BA80" s="502"/>
      <c r="BB80" s="3" t="str">
        <f t="shared" si="557"/>
        <v>NO</v>
      </c>
      <c r="BC80" s="3" t="str">
        <f t="shared" si="558"/>
        <v/>
      </c>
      <c r="BD80" s="3" t="str">
        <f t="shared" si="559"/>
        <v>SI</v>
      </c>
      <c r="BE80" s="3" t="str">
        <f t="shared" si="560"/>
        <v/>
      </c>
      <c r="BF80" s="3" t="str">
        <f t="shared" si="561"/>
        <v>NO</v>
      </c>
      <c r="BG80" s="3" t="str">
        <f t="shared" si="562"/>
        <v/>
      </c>
      <c r="BH80" s="3" t="str">
        <f t="shared" si="563"/>
        <v>P</v>
      </c>
      <c r="BI80" s="3" t="str">
        <f t="shared" si="25"/>
        <v/>
      </c>
      <c r="BJ80" s="3" t="str">
        <f t="shared" si="26"/>
        <v>M</v>
      </c>
      <c r="BK80" s="3" t="str">
        <f t="shared" si="27"/>
        <v/>
      </c>
      <c r="BL80" s="3" t="str">
        <f t="shared" si="564"/>
        <v>SI</v>
      </c>
      <c r="BM80" s="3" t="str">
        <f t="shared" si="565"/>
        <v/>
      </c>
    </row>
    <row r="81" spans="1:65" ht="36" customHeight="1" x14ac:dyDescent="0.2">
      <c r="A81" s="503"/>
      <c r="B81" s="496"/>
      <c r="C81" s="356">
        <v>3</v>
      </c>
      <c r="D81" s="56"/>
      <c r="E81" s="240" t="str">
        <f t="shared" si="4"/>
        <v/>
      </c>
      <c r="F81" s="44"/>
      <c r="G81" s="18" t="str">
        <f t="shared" si="521"/>
        <v/>
      </c>
      <c r="H81" s="44"/>
      <c r="I81" s="18" t="str">
        <f t="shared" si="522"/>
        <v/>
      </c>
      <c r="J81" s="55" t="str">
        <f t="shared" si="523"/>
        <v/>
      </c>
      <c r="K81" s="43"/>
      <c r="L81" s="18" t="str">
        <f t="shared" si="524"/>
        <v/>
      </c>
      <c r="M81" s="43"/>
      <c r="N81" s="18" t="str">
        <f t="shared" si="525"/>
        <v/>
      </c>
      <c r="O81" s="43"/>
      <c r="P81" s="18" t="str">
        <f t="shared" si="526"/>
        <v/>
      </c>
      <c r="Q81" s="43"/>
      <c r="R81" s="18" t="str">
        <f t="shared" si="527"/>
        <v/>
      </c>
      <c r="S81" s="43"/>
      <c r="T81" s="18" t="str">
        <f t="shared" si="528"/>
        <v/>
      </c>
      <c r="U81" s="43"/>
      <c r="V81" s="18" t="str">
        <f t="shared" si="529"/>
        <v/>
      </c>
      <c r="W81" s="18">
        <f t="shared" si="530"/>
        <v>0</v>
      </c>
      <c r="X81" s="57" t="str">
        <f t="shared" si="531"/>
        <v/>
      </c>
      <c r="Y81" s="57">
        <f t="shared" si="532"/>
        <v>0</v>
      </c>
      <c r="Z81" s="356">
        <f t="shared" si="533"/>
        <v>0</v>
      </c>
      <c r="AA81" s="499"/>
      <c r="AB81" s="500"/>
      <c r="AM81" s="3" t="str">
        <f t="shared" si="545"/>
        <v/>
      </c>
      <c r="AN81" s="3" t="str">
        <f t="shared" si="546"/>
        <v/>
      </c>
      <c r="AO81" s="3" t="str">
        <f t="shared" si="547"/>
        <v/>
      </c>
      <c r="AP81" s="3" t="str">
        <f t="shared" si="548"/>
        <v/>
      </c>
      <c r="AQ81" s="3" t="str">
        <f t="shared" si="627"/>
        <v>Documentar</v>
      </c>
      <c r="AR81" s="3" t="str">
        <f t="shared" si="628"/>
        <v/>
      </c>
      <c r="AS81" s="3" t="str">
        <f t="shared" ref="AS81" si="631">IF(AND(AQ81="Documentar",AR81="Asignar responsable"),CONCATENATE("- ",AQ81,", ",AR81),IF(AQ81="Documentar",CONCATENATE("- ",AQ81),IF(AR81="Asignar responsable",CONCATENATE("- ",AR81),"")))</f>
        <v>- Documentar</v>
      </c>
      <c r="AT81" s="3" t="str">
        <f t="shared" si="629"/>
        <v>Establecer periodos de seguimiento adecuados</v>
      </c>
      <c r="AU81" s="3" t="str">
        <f t="shared" ref="AU81" si="632">IF(AT81="",AS81,IF(AS81="",CONCATENATE("- ",AT81),CONCATENATE(AS81,", ",AT81)))</f>
        <v>- Documentar, Establecer periodos de seguimiento adecuados</v>
      </c>
      <c r="AV81" s="3" t="str">
        <f t="shared" si="630"/>
        <v/>
      </c>
      <c r="AW81" s="3" t="str">
        <f t="shared" ref="AW81" si="633">IF(AV81="",AU81,IF(AU81="",CONCATENATE("- ",AV81),CONCATENATE(AU81,", ",AV81)))</f>
        <v>- Documentar, Establecer periodos de seguimiento adecuados</v>
      </c>
      <c r="AX81" s="502"/>
      <c r="AY81" s="502"/>
      <c r="AZ81" s="502"/>
      <c r="BA81" s="502"/>
      <c r="BB81" s="3" t="str">
        <f t="shared" si="557"/>
        <v/>
      </c>
      <c r="BC81" s="3" t="str">
        <f t="shared" si="558"/>
        <v/>
      </c>
      <c r="BD81" s="3" t="str">
        <f t="shared" si="559"/>
        <v/>
      </c>
      <c r="BE81" s="3" t="str">
        <f t="shared" si="560"/>
        <v/>
      </c>
      <c r="BF81" s="3" t="str">
        <f t="shared" si="561"/>
        <v/>
      </c>
      <c r="BG81" s="3" t="str">
        <f t="shared" si="562"/>
        <v/>
      </c>
      <c r="BH81" s="3" t="str">
        <f t="shared" si="563"/>
        <v/>
      </c>
      <c r="BI81" s="3" t="str">
        <f t="shared" si="25"/>
        <v/>
      </c>
      <c r="BJ81" s="3" t="str">
        <f t="shared" si="26"/>
        <v/>
      </c>
      <c r="BK81" s="3" t="str">
        <f t="shared" si="27"/>
        <v/>
      </c>
      <c r="BL81" s="3" t="str">
        <f t="shared" si="564"/>
        <v/>
      </c>
      <c r="BM81" s="3" t="str">
        <f t="shared" si="565"/>
        <v/>
      </c>
    </row>
    <row r="82" spans="1:65" ht="36" customHeight="1" x14ac:dyDescent="0.2">
      <c r="A82" s="503" t="str">
        <f>IDENTIFICACIÓN!C33</f>
        <v>25G</v>
      </c>
      <c r="B82" s="496" t="str">
        <f>IF(IDENTIFICACIÓN!D33="","",IDENTIFICACIÓN!D33)</f>
        <v>Gestión del Talento Humano. Falta de plan de incentivos y/o estímulos.</v>
      </c>
      <c r="C82" s="356">
        <v>1</v>
      </c>
      <c r="D82" s="56" t="s">
        <v>10</v>
      </c>
      <c r="E82" s="240">
        <f t="shared" si="4"/>
        <v>0</v>
      </c>
      <c r="F82" s="44"/>
      <c r="G82" s="18" t="str">
        <f t="shared" si="521"/>
        <v/>
      </c>
      <c r="H82" s="44"/>
      <c r="I82" s="18" t="str">
        <f t="shared" si="522"/>
        <v/>
      </c>
      <c r="J82" s="55" t="str">
        <f t="shared" si="523"/>
        <v/>
      </c>
      <c r="K82" s="43"/>
      <c r="L82" s="18" t="str">
        <f t="shared" si="524"/>
        <v/>
      </c>
      <c r="M82" s="43"/>
      <c r="N82" s="18" t="str">
        <f t="shared" si="525"/>
        <v/>
      </c>
      <c r="O82" s="43"/>
      <c r="P82" s="18" t="str">
        <f t="shared" si="526"/>
        <v/>
      </c>
      <c r="Q82" s="43"/>
      <c r="R82" s="18" t="str">
        <f t="shared" si="527"/>
        <v/>
      </c>
      <c r="S82" s="43"/>
      <c r="T82" s="18" t="str">
        <f t="shared" si="528"/>
        <v/>
      </c>
      <c r="U82" s="43"/>
      <c r="V82" s="18" t="str">
        <f t="shared" si="529"/>
        <v/>
      </c>
      <c r="W82" s="18">
        <f t="shared" si="530"/>
        <v>0</v>
      </c>
      <c r="X82" s="57">
        <f t="shared" si="531"/>
        <v>0</v>
      </c>
      <c r="Y82" s="57">
        <f t="shared" si="532"/>
        <v>0</v>
      </c>
      <c r="Z82" s="356">
        <f t="shared" si="533"/>
        <v>0</v>
      </c>
      <c r="AA82" s="497" t="str">
        <f t="shared" ref="AA82" si="634">IF(AB82=0,"",(ROUND((SUM(W82:W84)/AB82),0)))</f>
        <v/>
      </c>
      <c r="AB82" s="500">
        <f t="shared" ref="AB82" si="635">COUNT(T82:T84)</f>
        <v>0</v>
      </c>
      <c r="AC82" s="3">
        <f t="shared" ref="AC82" si="636">SUM(Y82:Y84)</f>
        <v>0</v>
      </c>
      <c r="AD82" s="3">
        <f>ANALISIS!D35</f>
        <v>5</v>
      </c>
      <c r="AE82" s="3">
        <f t="shared" ref="AE82:AE83" si="637">IF((AD82-AC82)&gt;=1,(AD82-AC82),1)</f>
        <v>5</v>
      </c>
      <c r="AF82" s="501">
        <f t="shared" si="538"/>
        <v>35</v>
      </c>
      <c r="AG82" s="355" t="str">
        <f t="shared" ref="AG82" si="638">IF(AE83=1,AH82,IF(AE83=2,AI82,IF(AE83=3,AJ82,IF(AE83=4,AK82,AL82))))</f>
        <v>EXTREMA 5:3</v>
      </c>
      <c r="AH82" s="46" t="str">
        <f t="shared" si="540"/>
        <v>ALTA 5:1</v>
      </c>
      <c r="AI82" s="46" t="str">
        <f t="shared" si="541"/>
        <v>ALTA 5:2</v>
      </c>
      <c r="AJ82" s="46" t="str">
        <f t="shared" si="542"/>
        <v>EXTREMA 5:3</v>
      </c>
      <c r="AK82" s="46" t="str">
        <f t="shared" si="543"/>
        <v>EXTREMA 5:4</v>
      </c>
      <c r="AL82" s="46" t="str">
        <f t="shared" si="544"/>
        <v>EXTREMA 5:5</v>
      </c>
      <c r="AM82" s="3" t="str">
        <f t="shared" si="545"/>
        <v/>
      </c>
      <c r="AN82" s="3" t="str">
        <f t="shared" si="546"/>
        <v/>
      </c>
      <c r="AO82" s="3" t="str">
        <f t="shared" si="547"/>
        <v/>
      </c>
      <c r="AP82" s="3" t="str">
        <f t="shared" si="548"/>
        <v/>
      </c>
      <c r="AQ82" s="3" t="str">
        <f t="shared" ref="AQ82" si="639">AM82</f>
        <v/>
      </c>
      <c r="AR82" s="3" t="str">
        <f t="shared" ref="AR82" si="640">AN82</f>
        <v/>
      </c>
      <c r="AT82" s="3" t="str">
        <f t="shared" ref="AT82" si="641">AO82</f>
        <v/>
      </c>
      <c r="AV82" s="3" t="str">
        <f t="shared" ref="AV82" si="642">AP82</f>
        <v/>
      </c>
      <c r="AX82" s="502" t="str">
        <f t="shared" ref="AX82" si="643">IF(AW84="","",CONCATENATE(AW84," (de) el(los) control(es) Efectivo(s) "))</f>
        <v/>
      </c>
      <c r="AY82" s="502" t="str">
        <f t="shared" ref="AY82" si="644">IF(CONCATENATE(N82:N84)="","",IF(AND(SUM(E82:E84)=10,SUM(N82:N84)&lt;30),"- Replantear control(es) NO efectivo(s) ",IF(AND(SUM(E82:E84)=20,SUM(N82:N84)&lt;60),"- Replantear control(es) NO efectivo(s) ",IF(AND(SUM(E82:E84)=30,SUM(N82:N84)&lt;90),"- Replantear control(es) NO efectivo(s) ",""))))</f>
        <v/>
      </c>
      <c r="AZ82" s="502" t="str">
        <f t="shared" ref="AZ82" si="645">IF(AND(AE82&gt;1,AE83&gt;1),"- Tomar Acciones Preventivas y Correctivas",IF(AE82&gt;1,"- Tomar Acciones Preventivas",IF(AE83&gt;1,"- Tomar Acciones Correctivas","")))</f>
        <v>- Tomar Acciones Preventivas y Correctivas</v>
      </c>
      <c r="BA82" s="502" t="str">
        <f t="shared" ref="BA82" si="646">CONCATENATE(AX82,AY82,AZ82)</f>
        <v>- Tomar Acciones Preventivas y Correctivas</v>
      </c>
      <c r="BB82" s="3" t="str">
        <f t="shared" si="557"/>
        <v/>
      </c>
      <c r="BC82" s="3" t="str">
        <f t="shared" si="558"/>
        <v/>
      </c>
      <c r="BD82" s="3" t="str">
        <f t="shared" si="559"/>
        <v/>
      </c>
      <c r="BE82" s="3" t="str">
        <f t="shared" si="560"/>
        <v/>
      </c>
      <c r="BF82" s="3" t="str">
        <f t="shared" si="561"/>
        <v/>
      </c>
      <c r="BG82" s="3" t="str">
        <f t="shared" si="562"/>
        <v/>
      </c>
      <c r="BH82" s="3" t="str">
        <f t="shared" si="563"/>
        <v/>
      </c>
      <c r="BI82" s="3" t="str">
        <f t="shared" si="25"/>
        <v/>
      </c>
      <c r="BJ82" s="3" t="str">
        <f t="shared" si="26"/>
        <v/>
      </c>
      <c r="BK82" s="3" t="str">
        <f t="shared" si="27"/>
        <v/>
      </c>
      <c r="BL82" s="3" t="str">
        <f t="shared" si="564"/>
        <v/>
      </c>
      <c r="BM82" s="3" t="str">
        <f t="shared" si="565"/>
        <v/>
      </c>
    </row>
    <row r="83" spans="1:65" ht="36" customHeight="1" x14ac:dyDescent="0.2">
      <c r="A83" s="503"/>
      <c r="B83" s="496"/>
      <c r="C83" s="356">
        <v>2</v>
      </c>
      <c r="D83" s="56"/>
      <c r="E83" s="240" t="str">
        <f t="shared" si="4"/>
        <v/>
      </c>
      <c r="F83" s="44"/>
      <c r="G83" s="18" t="str">
        <f t="shared" si="521"/>
        <v/>
      </c>
      <c r="H83" s="44"/>
      <c r="I83" s="18" t="str">
        <f t="shared" si="522"/>
        <v/>
      </c>
      <c r="J83" s="55" t="str">
        <f t="shared" si="523"/>
        <v/>
      </c>
      <c r="K83" s="43"/>
      <c r="L83" s="18" t="str">
        <f t="shared" si="524"/>
        <v/>
      </c>
      <c r="M83" s="43"/>
      <c r="N83" s="18" t="str">
        <f t="shared" si="525"/>
        <v/>
      </c>
      <c r="O83" s="43"/>
      <c r="P83" s="18" t="str">
        <f t="shared" si="526"/>
        <v/>
      </c>
      <c r="Q83" s="43"/>
      <c r="R83" s="18" t="str">
        <f t="shared" si="527"/>
        <v/>
      </c>
      <c r="S83" s="43"/>
      <c r="T83" s="18" t="str">
        <f t="shared" si="528"/>
        <v/>
      </c>
      <c r="U83" s="43"/>
      <c r="V83" s="18" t="str">
        <f t="shared" si="529"/>
        <v/>
      </c>
      <c r="W83" s="18">
        <f t="shared" si="530"/>
        <v>0</v>
      </c>
      <c r="X83" s="57" t="str">
        <f t="shared" si="531"/>
        <v/>
      </c>
      <c r="Y83" s="57">
        <f t="shared" si="532"/>
        <v>0</v>
      </c>
      <c r="Z83" s="356">
        <f t="shared" si="533"/>
        <v>0</v>
      </c>
      <c r="AA83" s="498"/>
      <c r="AB83" s="500"/>
      <c r="AC83" s="3">
        <f t="shared" ref="AC83" si="647">SUM(Z82:Z84)</f>
        <v>0</v>
      </c>
      <c r="AD83" s="3">
        <f>ANALISIS!G35</f>
        <v>3</v>
      </c>
      <c r="AE83" s="3">
        <f t="shared" si="637"/>
        <v>3</v>
      </c>
      <c r="AF83" s="501"/>
      <c r="AG83" s="355" t="str">
        <f t="shared" ref="AG83" si="648">IF(AE83=1,AH83,IF(AE83=2,AI83,IF(AE83=3,AJ83,IF(AE83=4,AK83,AL83))))</f>
        <v>- Eliminar Causa(s)- Evitar Posibilidad de Ocurrencia- Reducir el Riesgo- Compartir o Transferir el Riesgo</v>
      </c>
      <c r="AH83" s="46" t="str">
        <f t="shared" ref="AH83" si="649">IF($AF82=11,"- Asumir el Riesgo",IF($AF82=12,"- Asumir el Riesgo- Evitar Posibilidad de Ocurrencia- Reducir el Riesgo",IF($AF82=13,"- Asumir el Riesgo- Evitar Posibilidad de Ocurrencia- Reducir el Riesgo",IF($AF82=14,"-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3" s="46" t="str">
        <f t="shared" ref="AI83" si="650">IF($AF82=21,"- Asumir el Riesgo- Reducir el Riesgo",IF($AF82=22,"- Asumir el Riesgo- Evitar Posibilidad de Ocurrencia- Reducir el Riesgo",IF($AF82=23,"- Asumir el Riesgo- Evitar Posibilidad de Ocurrencia- Reducir el Riesgo- Compartir o Transferir el Riesgo",IF($AF82=24,"- Evitar Posibilidad de Ocurrencia- Reducir el Riesgo- Compartir o Transferir el Riesgo","- Evitar Posibilidad de Ocurrencia- Reducir el Riesgo- Compartir o Transferir el Riesgo"))))</f>
        <v>- Evitar Posibilidad de Ocurrencia- Reducir el Riesgo- Compartir o Transferir el Riesgo</v>
      </c>
      <c r="AJ83" s="46" t="str">
        <f t="shared" ref="AJ83" si="651">IF($AF82=31,"- Asumir el Riesgo- Reducir el Riesgo- Compartir o Transferir el Riesgo",IF($AF82=32,"- Asumir el Riesgo- Evitar Posibilidad de Ocurrencia- Reducir el Reducir- Compartir o Transferir el Riesgo",IF($AF82=33,"- Evitar Posibilidad de Ocurrencia- Reducir el Riesgo- Compartir o Transferir el Riesgo",IF($AF82=34,"-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3" s="46" t="str">
        <f t="shared" ref="AK83" si="652">IF($AF82=41,"- Reducir el Riesgo- Compartir o Transferir el Riesgo",IF($AF82=42,"- Evitar Posibilidad de Ocurrencia- Reducir el Riesgo- Compartir o Transferir el Riesgo",IF($AF82=43,"- Eliminar Causa(s)- Evitar Posibilidad de Ocurrencia- Reducir el Riesgo- Compartir o Transferir el Riesgo",IF($AF82=44,"-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83" s="46" t="str">
        <f t="shared" ref="AL83" si="653">IF($AF82=51,"- Reducir el Riesgo- Compartir o Transferir el Riesgo",IF($AF82=52,"- Eliminar Causa(s)- Evitar Posibilidad de Ocurrencia- Reducir el Riesgo- Compartir o Transferir el Riesgo",IF($AF82=53,"- Eliminar Causa(s)- Evitar Posibilidad de Ocurrencia- Reducir el Riesgo- Compartir o Transferir el Riesgo",IF($AF82=54,"-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3" s="3" t="str">
        <f t="shared" si="545"/>
        <v/>
      </c>
      <c r="AN83" s="3" t="str">
        <f t="shared" si="546"/>
        <v/>
      </c>
      <c r="AO83" s="3" t="str">
        <f t="shared" si="547"/>
        <v/>
      </c>
      <c r="AP83" s="3" t="str">
        <f t="shared" si="548"/>
        <v/>
      </c>
      <c r="AQ83" s="3" t="str">
        <f t="shared" ref="AQ83:AQ84" si="654">IF(AQ82="Documentar",AQ82,AM83)</f>
        <v/>
      </c>
      <c r="AR83" s="3" t="str">
        <f t="shared" ref="AR83:AR84" si="655">IF(AR82="Asignar responsable",AR82,AN83)</f>
        <v/>
      </c>
      <c r="AT83" s="3" t="str">
        <f t="shared" ref="AT83:AT84" si="656">IF(AT82="Establecer periodos de seguimiento adecuados",AT82,AO83)</f>
        <v/>
      </c>
      <c r="AV83" s="3" t="str">
        <f t="shared" ref="AV83:AV84" si="657">IF(AV82="Guardar Evidencias",AV82,AP83)</f>
        <v/>
      </c>
      <c r="AX83" s="502"/>
      <c r="AY83" s="502"/>
      <c r="AZ83" s="502"/>
      <c r="BA83" s="502"/>
      <c r="BB83" s="3" t="str">
        <f t="shared" si="557"/>
        <v/>
      </c>
      <c r="BC83" s="3" t="str">
        <f t="shared" si="558"/>
        <v/>
      </c>
      <c r="BD83" s="3" t="str">
        <f t="shared" si="559"/>
        <v/>
      </c>
      <c r="BE83" s="3" t="str">
        <f t="shared" si="560"/>
        <v/>
      </c>
      <c r="BF83" s="3" t="str">
        <f t="shared" si="561"/>
        <v/>
      </c>
      <c r="BG83" s="3" t="str">
        <f t="shared" si="562"/>
        <v/>
      </c>
      <c r="BH83" s="3" t="str">
        <f t="shared" si="563"/>
        <v/>
      </c>
      <c r="BI83" s="3" t="str">
        <f t="shared" si="25"/>
        <v/>
      </c>
      <c r="BJ83" s="3" t="str">
        <f t="shared" si="26"/>
        <v/>
      </c>
      <c r="BK83" s="3" t="str">
        <f t="shared" si="27"/>
        <v/>
      </c>
      <c r="BL83" s="3" t="str">
        <f t="shared" si="564"/>
        <v/>
      </c>
      <c r="BM83" s="3" t="str">
        <f t="shared" si="565"/>
        <v/>
      </c>
    </row>
    <row r="84" spans="1:65" ht="36" customHeight="1" x14ac:dyDescent="0.2">
      <c r="A84" s="503"/>
      <c r="B84" s="496"/>
      <c r="C84" s="356">
        <v>3</v>
      </c>
      <c r="D84" s="56"/>
      <c r="E84" s="240" t="str">
        <f t="shared" si="4"/>
        <v/>
      </c>
      <c r="F84" s="44"/>
      <c r="G84" s="18" t="str">
        <f t="shared" si="521"/>
        <v/>
      </c>
      <c r="H84" s="44"/>
      <c r="I84" s="18" t="str">
        <f t="shared" si="522"/>
        <v/>
      </c>
      <c r="J84" s="55" t="str">
        <f t="shared" si="523"/>
        <v/>
      </c>
      <c r="K84" s="43"/>
      <c r="L84" s="18" t="str">
        <f t="shared" si="524"/>
        <v/>
      </c>
      <c r="M84" s="43"/>
      <c r="N84" s="18" t="str">
        <f t="shared" si="525"/>
        <v/>
      </c>
      <c r="O84" s="43"/>
      <c r="P84" s="18" t="str">
        <f t="shared" si="526"/>
        <v/>
      </c>
      <c r="Q84" s="43"/>
      <c r="R84" s="18" t="str">
        <f t="shared" si="527"/>
        <v/>
      </c>
      <c r="S84" s="43"/>
      <c r="T84" s="18" t="str">
        <f t="shared" si="528"/>
        <v/>
      </c>
      <c r="U84" s="43"/>
      <c r="V84" s="18" t="str">
        <f t="shared" si="529"/>
        <v/>
      </c>
      <c r="W84" s="18">
        <f t="shared" si="530"/>
        <v>0</v>
      </c>
      <c r="X84" s="57" t="str">
        <f t="shared" si="531"/>
        <v/>
      </c>
      <c r="Y84" s="57">
        <f t="shared" si="532"/>
        <v>0</v>
      </c>
      <c r="Z84" s="356">
        <f t="shared" si="533"/>
        <v>0</v>
      </c>
      <c r="AA84" s="499"/>
      <c r="AB84" s="500"/>
      <c r="AM84" s="3" t="str">
        <f t="shared" si="545"/>
        <v/>
      </c>
      <c r="AN84" s="3" t="str">
        <f t="shared" si="546"/>
        <v/>
      </c>
      <c r="AO84" s="3" t="str">
        <f t="shared" si="547"/>
        <v/>
      </c>
      <c r="AP84" s="3" t="str">
        <f t="shared" si="548"/>
        <v/>
      </c>
      <c r="AQ84" s="3" t="str">
        <f t="shared" si="654"/>
        <v/>
      </c>
      <c r="AR84" s="3" t="str">
        <f t="shared" si="655"/>
        <v/>
      </c>
      <c r="AS84" s="3" t="str">
        <f t="shared" ref="AS84" si="658">IF(AND(AQ84="Documentar",AR84="Asignar responsable"),CONCATENATE("- ",AQ84,", ",AR84),IF(AQ84="Documentar",CONCATENATE("- ",AQ84),IF(AR84="Asignar responsable",CONCATENATE("- ",AR84),"")))</f>
        <v/>
      </c>
      <c r="AT84" s="3" t="str">
        <f t="shared" si="656"/>
        <v/>
      </c>
      <c r="AU84" s="3" t="str">
        <f t="shared" ref="AU84" si="659">IF(AT84="",AS84,IF(AS84="",CONCATENATE("- ",AT84),CONCATENATE(AS84,", ",AT84)))</f>
        <v/>
      </c>
      <c r="AV84" s="3" t="str">
        <f t="shared" si="657"/>
        <v/>
      </c>
      <c r="AW84" s="3" t="str">
        <f t="shared" ref="AW84" si="660">IF(AV84="",AU84,IF(AU84="",CONCATENATE("- ",AV84),CONCATENATE(AU84,", ",AV84)))</f>
        <v/>
      </c>
      <c r="AX84" s="502"/>
      <c r="AY84" s="502"/>
      <c r="AZ84" s="502"/>
      <c r="BA84" s="502"/>
      <c r="BB84" s="3" t="str">
        <f t="shared" si="557"/>
        <v/>
      </c>
      <c r="BC84" s="3" t="str">
        <f t="shared" si="558"/>
        <v/>
      </c>
      <c r="BD84" s="3" t="str">
        <f t="shared" si="559"/>
        <v/>
      </c>
      <c r="BE84" s="3" t="str">
        <f t="shared" si="560"/>
        <v/>
      </c>
      <c r="BF84" s="3" t="str">
        <f t="shared" si="561"/>
        <v/>
      </c>
      <c r="BG84" s="3" t="str">
        <f t="shared" si="562"/>
        <v/>
      </c>
      <c r="BH84" s="3" t="str">
        <f t="shared" si="563"/>
        <v/>
      </c>
      <c r="BI84" s="3" t="str">
        <f t="shared" si="25"/>
        <v/>
      </c>
      <c r="BJ84" s="3" t="str">
        <f t="shared" si="26"/>
        <v/>
      </c>
      <c r="BK84" s="3" t="str">
        <f t="shared" si="27"/>
        <v/>
      </c>
      <c r="BL84" s="3" t="str">
        <f t="shared" si="564"/>
        <v/>
      </c>
      <c r="BM84" s="3" t="str">
        <f t="shared" si="565"/>
        <v/>
      </c>
    </row>
    <row r="85" spans="1:65" ht="36" customHeight="1" x14ac:dyDescent="0.2">
      <c r="A85" s="503" t="str">
        <f>IDENTIFICACIÓN!C34</f>
        <v>26G</v>
      </c>
      <c r="B85" s="496" t="str">
        <f>IF(IDENTIFICACIÓN!D34="","",IDENTIFICACIÓN!D34)</f>
        <v>Gestión del Talento Humano. Demoras en la afilicación de catedráticos y ocasionales al Sistema de Seguridad Social Integral, y de los contratistas y estudiantes de Práctica a la Administradora de Riesgos Laborales.</v>
      </c>
      <c r="C85" s="356">
        <v>1</v>
      </c>
      <c r="D85" s="56" t="s">
        <v>11</v>
      </c>
      <c r="E85" s="240">
        <f t="shared" si="4"/>
        <v>10</v>
      </c>
      <c r="F85" s="44" t="s">
        <v>605</v>
      </c>
      <c r="G85" s="18" t="str">
        <f t="shared" si="521"/>
        <v/>
      </c>
      <c r="H85" s="44" t="s">
        <v>20</v>
      </c>
      <c r="I85" s="18" t="str">
        <f t="shared" si="522"/>
        <v/>
      </c>
      <c r="J85" s="55" t="str">
        <f t="shared" si="523"/>
        <v>Posibilidad</v>
      </c>
      <c r="K85" s="43" t="s">
        <v>11</v>
      </c>
      <c r="L85" s="18">
        <f t="shared" si="524"/>
        <v>15</v>
      </c>
      <c r="M85" s="43" t="s">
        <v>10</v>
      </c>
      <c r="N85" s="18">
        <f t="shared" si="525"/>
        <v>0</v>
      </c>
      <c r="O85" s="43" t="s">
        <v>323</v>
      </c>
      <c r="P85" s="18">
        <f t="shared" si="526"/>
        <v>10</v>
      </c>
      <c r="Q85" s="43" t="s">
        <v>11</v>
      </c>
      <c r="R85" s="18">
        <f t="shared" si="527"/>
        <v>5</v>
      </c>
      <c r="S85" s="43" t="s">
        <v>10</v>
      </c>
      <c r="T85" s="18">
        <f t="shared" si="528"/>
        <v>0</v>
      </c>
      <c r="U85" s="43" t="s">
        <v>11</v>
      </c>
      <c r="V85" s="18">
        <f t="shared" si="529"/>
        <v>10</v>
      </c>
      <c r="W85" s="18">
        <f t="shared" si="530"/>
        <v>50</v>
      </c>
      <c r="X85" s="57">
        <f t="shared" si="531"/>
        <v>50</v>
      </c>
      <c r="Y85" s="57">
        <f t="shared" si="532"/>
        <v>0</v>
      </c>
      <c r="Z85" s="356">
        <f t="shared" si="533"/>
        <v>0</v>
      </c>
      <c r="AA85" s="497">
        <f t="shared" ref="AA85" si="661">IF(AB85=0,"",(ROUND((SUM(W85:W87)/AB85),0)))</f>
        <v>43</v>
      </c>
      <c r="AB85" s="500">
        <f t="shared" ref="AB85" si="662">COUNT(T85:T87)</f>
        <v>2</v>
      </c>
      <c r="AC85" s="3">
        <f t="shared" ref="AC85" si="663">SUM(Y85:Y87)</f>
        <v>0</v>
      </c>
      <c r="AD85" s="3">
        <f>ANALISIS!D36</f>
        <v>5</v>
      </c>
      <c r="AE85" s="3">
        <f t="shared" ref="AE85:AE86" si="664">IF((AD85-AC85)&gt;=1,(AD85-AC85),1)</f>
        <v>5</v>
      </c>
      <c r="AF85" s="501">
        <f t="shared" si="538"/>
        <v>35</v>
      </c>
      <c r="AG85" s="355" t="str">
        <f t="shared" ref="AG85" si="665">IF(AE86=1,AH85,IF(AE86=2,AI85,IF(AE86=3,AJ85,IF(AE86=4,AK85,AL85))))</f>
        <v>EXTREMA 5:3</v>
      </c>
      <c r="AH85" s="46" t="str">
        <f t="shared" si="540"/>
        <v>ALTA 5:1</v>
      </c>
      <c r="AI85" s="46" t="str">
        <f t="shared" si="541"/>
        <v>ALTA 5:2</v>
      </c>
      <c r="AJ85" s="46" t="str">
        <f t="shared" si="542"/>
        <v>EXTREMA 5:3</v>
      </c>
      <c r="AK85" s="46" t="str">
        <f t="shared" si="543"/>
        <v>EXTREMA 5:4</v>
      </c>
      <c r="AL85" s="46" t="str">
        <f t="shared" si="544"/>
        <v>EXTREMA 5:5</v>
      </c>
      <c r="AM85" s="3" t="str">
        <f t="shared" si="545"/>
        <v/>
      </c>
      <c r="AN85" s="3" t="str">
        <f t="shared" si="546"/>
        <v/>
      </c>
      <c r="AO85" s="3" t="str">
        <f t="shared" si="547"/>
        <v/>
      </c>
      <c r="AP85" s="3" t="str">
        <f t="shared" si="548"/>
        <v/>
      </c>
      <c r="AQ85" s="3" t="str">
        <f t="shared" ref="AQ85" si="666">AM85</f>
        <v/>
      </c>
      <c r="AR85" s="3" t="str">
        <f t="shared" ref="AR85" si="667">AN85</f>
        <v/>
      </c>
      <c r="AT85" s="3" t="str">
        <f t="shared" ref="AT85" si="668">AO85</f>
        <v/>
      </c>
      <c r="AV85" s="3" t="str">
        <f t="shared" ref="AV85" si="669">AP85</f>
        <v/>
      </c>
      <c r="AX85" s="502" t="str">
        <f t="shared" ref="AX85" si="670">IF(AW87="","",CONCATENATE(AW87," (de) el(los) control(es) Efectivo(s) "))</f>
        <v/>
      </c>
      <c r="AY85" s="502" t="str">
        <f t="shared" ref="AY85" si="671">IF(CONCATENATE(N85:N87)="","",IF(AND(SUM(E85:E87)=10,SUM(N85:N87)&lt;30),"- Replantear control(es) NO efectivo(s) ",IF(AND(SUM(E85:E87)=20,SUM(N85:N87)&lt;60),"- Replantear control(es) NO efectivo(s) ",IF(AND(SUM(E85:E87)=30,SUM(N85:N87)&lt;90),"- Replantear control(es) NO efectivo(s) ",""))))</f>
        <v xml:space="preserve">- Replantear control(es) NO efectivo(s) </v>
      </c>
      <c r="AZ85" s="502" t="str">
        <f t="shared" ref="AZ85" si="672">IF(AND(AE85&gt;1,AE86&gt;1),"- Tomar Acciones Preventivas y Correctivas",IF(AE85&gt;1,"- Tomar Acciones Preventivas",IF(AE86&gt;1,"- Tomar Acciones Correctivas","")))</f>
        <v>- Tomar Acciones Preventivas y Correctivas</v>
      </c>
      <c r="BA85" s="502" t="str">
        <f t="shared" ref="BA85" si="673">CONCATENATE(AX85,AY85,AZ85)</f>
        <v>- Replantear control(es) NO efectivo(s) - Tomar Acciones Preventivas y Correctivas</v>
      </c>
      <c r="BB85" s="3" t="str">
        <f t="shared" si="557"/>
        <v/>
      </c>
      <c r="BC85" s="3" t="str">
        <f t="shared" si="558"/>
        <v>SI</v>
      </c>
      <c r="BD85" s="3" t="str">
        <f t="shared" si="559"/>
        <v/>
      </c>
      <c r="BE85" s="3" t="str">
        <f t="shared" si="560"/>
        <v>SI</v>
      </c>
      <c r="BF85" s="3" t="str">
        <f t="shared" si="561"/>
        <v/>
      </c>
      <c r="BG85" s="3" t="str">
        <f t="shared" si="562"/>
        <v>NO</v>
      </c>
      <c r="BH85" s="3" t="str">
        <f t="shared" si="563"/>
        <v/>
      </c>
      <c r="BI85" s="3" t="str">
        <f t="shared" si="25"/>
        <v>P</v>
      </c>
      <c r="BJ85" s="3" t="str">
        <f t="shared" si="26"/>
        <v/>
      </c>
      <c r="BK85" s="3" t="str">
        <f t="shared" si="27"/>
        <v>M</v>
      </c>
      <c r="BL85" s="3" t="str">
        <f t="shared" si="564"/>
        <v/>
      </c>
      <c r="BM85" s="3" t="str">
        <f t="shared" si="565"/>
        <v>SI</v>
      </c>
    </row>
    <row r="86" spans="1:65" ht="36" customHeight="1" x14ac:dyDescent="0.2">
      <c r="A86" s="503"/>
      <c r="B86" s="496"/>
      <c r="C86" s="356">
        <v>2</v>
      </c>
      <c r="D86" s="56" t="s">
        <v>11</v>
      </c>
      <c r="E86" s="240">
        <f t="shared" si="4"/>
        <v>10</v>
      </c>
      <c r="F86" s="44" t="s">
        <v>606</v>
      </c>
      <c r="G86" s="18" t="str">
        <f t="shared" si="521"/>
        <v/>
      </c>
      <c r="H86" s="44" t="s">
        <v>20</v>
      </c>
      <c r="I86" s="18" t="str">
        <f t="shared" si="522"/>
        <v/>
      </c>
      <c r="J86" s="55" t="str">
        <f t="shared" si="523"/>
        <v>Posibilidad</v>
      </c>
      <c r="K86" s="43" t="s">
        <v>10</v>
      </c>
      <c r="L86" s="18">
        <f t="shared" si="524"/>
        <v>0</v>
      </c>
      <c r="M86" s="43" t="s">
        <v>10</v>
      </c>
      <c r="N86" s="18">
        <f t="shared" si="525"/>
        <v>0</v>
      </c>
      <c r="O86" s="43" t="s">
        <v>323</v>
      </c>
      <c r="P86" s="18">
        <f t="shared" si="526"/>
        <v>10</v>
      </c>
      <c r="Q86" s="43" t="s">
        <v>11</v>
      </c>
      <c r="R86" s="18">
        <f t="shared" si="527"/>
        <v>5</v>
      </c>
      <c r="S86" s="43" t="s">
        <v>10</v>
      </c>
      <c r="T86" s="18">
        <f t="shared" si="528"/>
        <v>0</v>
      </c>
      <c r="U86" s="43" t="s">
        <v>11</v>
      </c>
      <c r="V86" s="18">
        <f t="shared" si="529"/>
        <v>10</v>
      </c>
      <c r="W86" s="18">
        <f t="shared" si="530"/>
        <v>35</v>
      </c>
      <c r="X86" s="57">
        <f t="shared" si="531"/>
        <v>35</v>
      </c>
      <c r="Y86" s="57">
        <f t="shared" si="532"/>
        <v>0</v>
      </c>
      <c r="Z86" s="356">
        <f t="shared" si="533"/>
        <v>0</v>
      </c>
      <c r="AA86" s="498"/>
      <c r="AB86" s="500"/>
      <c r="AC86" s="3">
        <f t="shared" ref="AC86" si="674">SUM(Z85:Z87)</f>
        <v>0</v>
      </c>
      <c r="AD86" s="3">
        <f>ANALISIS!G35</f>
        <v>3</v>
      </c>
      <c r="AE86" s="3">
        <f t="shared" si="664"/>
        <v>3</v>
      </c>
      <c r="AF86" s="501"/>
      <c r="AG86" s="355" t="str">
        <f t="shared" ref="AG86" si="675">IF(AE86=1,AH86,IF(AE86=2,AI86,IF(AE86=3,AJ86,IF(AE86=4,AK86,AL86))))</f>
        <v>- Eliminar Causa(s)- Evitar Posibilidad de Ocurrencia- Reducir el Riesgo- Compartir o Transferir el Riesgo</v>
      </c>
      <c r="AH86" s="46" t="str">
        <f t="shared" ref="AH86" si="676">IF($AF85=11,"- Asumir el Riesgo",IF($AF85=12,"- Asumir el Riesgo- Evitar Posibilidad de Ocurrencia- Reducir el Riesgo",IF($AF85=13,"- Asumir el Riesgo- Evitar Posibilidad de Ocurrencia- Reducir el Riesgo",IF($AF85=14,"-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6" s="46" t="str">
        <f t="shared" ref="AI86" si="677">IF($AF85=21,"- Asumir el Riesgo- Reducir el Riesgo",IF($AF85=22,"- Asumir el Riesgo- Evitar Posibilidad de Ocurrencia- Reducir el Riesgo",IF($AF85=23,"- Asumir el Riesgo- Evitar Posibilidad de Ocurrencia- Reducir el Riesgo- Compartir o Transferir el Riesgo",IF($AF85=24,"- Evitar Posibilidad de Ocurrencia- Reducir el Riesgo- Compartir o Transferir el Riesgo","- Evitar Posibilidad de Ocurrencia- Reducir el Riesgo- Compartir o Transferir el Riesgo"))))</f>
        <v>- Evitar Posibilidad de Ocurrencia- Reducir el Riesgo- Compartir o Transferir el Riesgo</v>
      </c>
      <c r="AJ86" s="46" t="str">
        <f t="shared" ref="AJ86" si="678">IF($AF85=31,"- Asumir el Riesgo- Reducir el Riesgo- Compartir o Transferir el Riesgo",IF($AF85=32,"- Asumir el Riesgo- Evitar Posibilidad de Ocurrencia- Reducir el Reducir- Compartir o Transferir el Riesgo",IF($AF85=33,"- Evitar Posibilidad de Ocurrencia- Reducir el Riesgo- Compartir o Transferir el Riesgo",IF($AF85=34,"-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6" s="46" t="str">
        <f t="shared" ref="AK86" si="679">IF($AF85=41,"- Reducir el Riesgo- Compartir o Transferir el Riesgo",IF($AF85=42,"- Evitar Posibilidad de Ocurrencia- Reducir el Riesgo- Compartir o Transferir el Riesgo",IF($AF85=43,"- Eliminar Causa(s)- Evitar Posibilidad de Ocurrencia- Reducir el Riesgo- Compartir o Transferir el Riesgo",IF($AF85=44,"-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L86" s="46" t="str">
        <f t="shared" ref="AL86" si="680">IF($AF85=51,"- Reducir el Riesgo- Compartir o Transferir el Riesgo",IF($AF85=52,"- Eliminar Causa(s)- Evitar Posibilidad de Ocurrencia- Reducir el Riesgo- Compartir o Transferir el Riesgo",IF($AF85=53,"- Eliminar Causa(s)- Evitar Posibilidad de Ocurrencia- Reducir el Riesgo- Compartir o Transferir el Riesgo",IF($AF85=54,"-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6" s="3" t="str">
        <f t="shared" si="545"/>
        <v/>
      </c>
      <c r="AN86" s="3" t="str">
        <f t="shared" si="546"/>
        <v/>
      </c>
      <c r="AO86" s="3" t="str">
        <f t="shared" si="547"/>
        <v/>
      </c>
      <c r="AP86" s="3" t="str">
        <f t="shared" si="548"/>
        <v/>
      </c>
      <c r="AQ86" s="3" t="str">
        <f t="shared" ref="AQ86:AQ87" si="681">IF(AQ85="Documentar",AQ85,AM86)</f>
        <v/>
      </c>
      <c r="AR86" s="3" t="str">
        <f t="shared" ref="AR86:AR87" si="682">IF(AR85="Asignar responsable",AR85,AN86)</f>
        <v/>
      </c>
      <c r="AT86" s="3" t="str">
        <f t="shared" ref="AT86:AT87" si="683">IF(AT85="Establecer periodos de seguimiento adecuados",AT85,AO86)</f>
        <v/>
      </c>
      <c r="AV86" s="3" t="str">
        <f t="shared" ref="AV86:AV87" si="684">IF(AV85="Guardar Evidencias",AV85,AP86)</f>
        <v/>
      </c>
      <c r="AX86" s="502"/>
      <c r="AY86" s="502"/>
      <c r="AZ86" s="502"/>
      <c r="BA86" s="502"/>
      <c r="BB86" s="3" t="str">
        <f t="shared" si="557"/>
        <v/>
      </c>
      <c r="BC86" s="3" t="str">
        <f t="shared" si="558"/>
        <v>NO</v>
      </c>
      <c r="BD86" s="3" t="str">
        <f t="shared" si="559"/>
        <v/>
      </c>
      <c r="BE86" s="3" t="str">
        <f t="shared" si="560"/>
        <v>SI</v>
      </c>
      <c r="BF86" s="3" t="str">
        <f t="shared" si="561"/>
        <v/>
      </c>
      <c r="BG86" s="3" t="str">
        <f t="shared" si="562"/>
        <v>NO</v>
      </c>
      <c r="BH86" s="3" t="str">
        <f t="shared" si="563"/>
        <v/>
      </c>
      <c r="BI86" s="3" t="str">
        <f t="shared" si="25"/>
        <v>P</v>
      </c>
      <c r="BJ86" s="3" t="str">
        <f t="shared" si="26"/>
        <v/>
      </c>
      <c r="BK86" s="3" t="str">
        <f t="shared" si="27"/>
        <v>M</v>
      </c>
      <c r="BL86" s="3" t="str">
        <f t="shared" si="564"/>
        <v/>
      </c>
      <c r="BM86" s="3" t="str">
        <f t="shared" si="565"/>
        <v>SI</v>
      </c>
    </row>
    <row r="87" spans="1:65" ht="36" customHeight="1" x14ac:dyDescent="0.2">
      <c r="A87" s="503"/>
      <c r="B87" s="496"/>
      <c r="C87" s="356">
        <v>3</v>
      </c>
      <c r="D87" s="56"/>
      <c r="E87" s="240" t="str">
        <f t="shared" si="4"/>
        <v/>
      </c>
      <c r="F87" s="44"/>
      <c r="G87" s="18" t="str">
        <f t="shared" si="521"/>
        <v/>
      </c>
      <c r="H87" s="44"/>
      <c r="I87" s="18" t="str">
        <f t="shared" si="522"/>
        <v/>
      </c>
      <c r="J87" s="55" t="str">
        <f t="shared" si="523"/>
        <v/>
      </c>
      <c r="K87" s="43"/>
      <c r="L87" s="18" t="str">
        <f t="shared" si="524"/>
        <v/>
      </c>
      <c r="M87" s="43"/>
      <c r="N87" s="18" t="str">
        <f t="shared" si="525"/>
        <v/>
      </c>
      <c r="O87" s="43"/>
      <c r="P87" s="18" t="str">
        <f t="shared" si="526"/>
        <v/>
      </c>
      <c r="Q87" s="43"/>
      <c r="R87" s="18" t="str">
        <f t="shared" si="527"/>
        <v/>
      </c>
      <c r="S87" s="43"/>
      <c r="T87" s="18" t="str">
        <f t="shared" si="528"/>
        <v/>
      </c>
      <c r="U87" s="43"/>
      <c r="V87" s="18" t="str">
        <f t="shared" si="529"/>
        <v/>
      </c>
      <c r="W87" s="18">
        <f t="shared" si="530"/>
        <v>0</v>
      </c>
      <c r="X87" s="57" t="str">
        <f t="shared" si="531"/>
        <v/>
      </c>
      <c r="Y87" s="57">
        <f t="shared" si="532"/>
        <v>0</v>
      </c>
      <c r="Z87" s="356">
        <f t="shared" si="533"/>
        <v>0</v>
      </c>
      <c r="AA87" s="499"/>
      <c r="AB87" s="500"/>
      <c r="AM87" s="3" t="str">
        <f t="shared" si="545"/>
        <v/>
      </c>
      <c r="AN87" s="3" t="str">
        <f t="shared" si="546"/>
        <v/>
      </c>
      <c r="AO87" s="3" t="str">
        <f t="shared" si="547"/>
        <v/>
      </c>
      <c r="AP87" s="3" t="str">
        <f t="shared" si="548"/>
        <v/>
      </c>
      <c r="AQ87" s="3" t="str">
        <f t="shared" si="681"/>
        <v/>
      </c>
      <c r="AR87" s="3" t="str">
        <f t="shared" si="682"/>
        <v/>
      </c>
      <c r="AS87" s="3" t="str">
        <f t="shared" ref="AS87" si="685">IF(AND(AQ87="Documentar",AR87="Asignar responsable"),CONCATENATE("- ",AQ87,", ",AR87),IF(AQ87="Documentar",CONCATENATE("- ",AQ87),IF(AR87="Asignar responsable",CONCATENATE("- ",AR87),"")))</f>
        <v/>
      </c>
      <c r="AT87" s="3" t="str">
        <f t="shared" si="683"/>
        <v/>
      </c>
      <c r="AU87" s="3" t="str">
        <f t="shared" ref="AU87" si="686">IF(AT87="",AS87,IF(AS87="",CONCATENATE("- ",AT87),CONCATENATE(AS87,", ",AT87)))</f>
        <v/>
      </c>
      <c r="AV87" s="3" t="str">
        <f t="shared" si="684"/>
        <v/>
      </c>
      <c r="AW87" s="3" t="str">
        <f t="shared" ref="AW87" si="687">IF(AV87="",AU87,IF(AU87="",CONCATENATE("- ",AV87),CONCATENATE(AU87,", ",AV87)))</f>
        <v/>
      </c>
      <c r="AX87" s="502"/>
      <c r="AY87" s="502"/>
      <c r="AZ87" s="502"/>
      <c r="BA87" s="502"/>
      <c r="BB87" s="3" t="str">
        <f t="shared" si="557"/>
        <v/>
      </c>
      <c r="BC87" s="3" t="str">
        <f t="shared" si="558"/>
        <v/>
      </c>
      <c r="BD87" s="3" t="str">
        <f t="shared" si="559"/>
        <v/>
      </c>
      <c r="BE87" s="3" t="str">
        <f t="shared" si="560"/>
        <v/>
      </c>
      <c r="BF87" s="3" t="str">
        <f t="shared" si="561"/>
        <v/>
      </c>
      <c r="BG87" s="3" t="str">
        <f t="shared" si="562"/>
        <v/>
      </c>
      <c r="BH87" s="3" t="str">
        <f t="shared" si="563"/>
        <v/>
      </c>
      <c r="BI87" s="3" t="str">
        <f t="shared" si="25"/>
        <v/>
      </c>
      <c r="BJ87" s="3" t="str">
        <f t="shared" si="26"/>
        <v/>
      </c>
      <c r="BK87" s="3" t="str">
        <f t="shared" si="27"/>
        <v/>
      </c>
      <c r="BL87" s="3" t="str">
        <f t="shared" si="564"/>
        <v/>
      </c>
      <c r="BM87" s="3" t="str">
        <f t="shared" si="565"/>
        <v/>
      </c>
    </row>
    <row r="88" spans="1:65" ht="36" customHeight="1" x14ac:dyDescent="0.2">
      <c r="A88" s="503" t="str">
        <f>IDENTIFICACIÓN!C35</f>
        <v>27G</v>
      </c>
      <c r="B88" s="496" t="str">
        <f>IF(IDENTIFICACIÓN!D35="","",IDENTIFICACIÓN!D35)</f>
        <v>Evaluación Independiente. Deficiente evaluación y verificacion de la existencia, nivel de desarrollo y grado de efectividad del Sistema de Control Interno</v>
      </c>
      <c r="C88" s="356">
        <v>1</v>
      </c>
      <c r="D88" s="56" t="s">
        <v>11</v>
      </c>
      <c r="E88" s="240">
        <f t="shared" si="4"/>
        <v>10</v>
      </c>
      <c r="F88" s="44" t="s">
        <v>607</v>
      </c>
      <c r="G88" s="18" t="str">
        <f t="shared" si="521"/>
        <v/>
      </c>
      <c r="H88" s="44" t="s">
        <v>20</v>
      </c>
      <c r="I88" s="18" t="str">
        <f t="shared" si="522"/>
        <v/>
      </c>
      <c r="J88" s="55" t="str">
        <f t="shared" si="523"/>
        <v>Posibilidad</v>
      </c>
      <c r="K88" s="43" t="s">
        <v>11</v>
      </c>
      <c r="L88" s="18">
        <f t="shared" si="524"/>
        <v>15</v>
      </c>
      <c r="M88" s="43" t="s">
        <v>11</v>
      </c>
      <c r="N88" s="18">
        <f t="shared" si="525"/>
        <v>30</v>
      </c>
      <c r="O88" s="43" t="s">
        <v>323</v>
      </c>
      <c r="P88" s="18">
        <f t="shared" si="526"/>
        <v>10</v>
      </c>
      <c r="Q88" s="43" t="s">
        <v>11</v>
      </c>
      <c r="R88" s="18">
        <f t="shared" si="527"/>
        <v>5</v>
      </c>
      <c r="S88" s="43" t="s">
        <v>11</v>
      </c>
      <c r="T88" s="18">
        <f t="shared" si="528"/>
        <v>15</v>
      </c>
      <c r="U88" s="43" t="s">
        <v>11</v>
      </c>
      <c r="V88" s="18">
        <f t="shared" si="529"/>
        <v>10</v>
      </c>
      <c r="W88" s="18">
        <f t="shared" si="530"/>
        <v>95</v>
      </c>
      <c r="X88" s="57" t="str">
        <f t="shared" si="531"/>
        <v>95                           Disminuye max 2 en Posibilidad</v>
      </c>
      <c r="Y88" s="57">
        <f t="shared" si="532"/>
        <v>2</v>
      </c>
      <c r="Z88" s="356">
        <f t="shared" si="533"/>
        <v>0</v>
      </c>
      <c r="AA88" s="497">
        <f t="shared" ref="AA88" si="688">IF(AB88=0,"",(ROUND((SUM(W88:W90)/AB88),0)))</f>
        <v>95</v>
      </c>
      <c r="AB88" s="500">
        <f t="shared" ref="AB88" si="689">COUNT(T88:T90)</f>
        <v>3</v>
      </c>
      <c r="AC88" s="3">
        <f t="shared" ref="AC88" si="690">SUM(Y88:Y90)</f>
        <v>6</v>
      </c>
      <c r="AD88" s="3">
        <f>ANALISIS!D37</f>
        <v>1</v>
      </c>
      <c r="AE88" s="3">
        <f t="shared" ref="AE88:AE89" si="691">IF((AD88-AC88)&gt;=1,(AD88-AC88),1)</f>
        <v>1</v>
      </c>
      <c r="AF88" s="501">
        <f t="shared" si="538"/>
        <v>41</v>
      </c>
      <c r="AG88" s="355" t="str">
        <f t="shared" ref="AG88" si="692">IF(AE89=1,AH88,IF(AE89=2,AI88,IF(AE89=3,AJ88,IF(AE89=4,AK88,AL88))))</f>
        <v>ALTA 1:4</v>
      </c>
      <c r="AH88" s="46" t="str">
        <f t="shared" si="540"/>
        <v>ALTA 5:1</v>
      </c>
      <c r="AI88" s="46" t="str">
        <f t="shared" si="541"/>
        <v>ALTA 5:2</v>
      </c>
      <c r="AJ88" s="46" t="str">
        <f t="shared" si="542"/>
        <v>EXTREMA 5:3</v>
      </c>
      <c r="AK88" s="46" t="str">
        <f t="shared" si="543"/>
        <v>ALTA 1:4</v>
      </c>
      <c r="AL88" s="46" t="str">
        <f t="shared" si="544"/>
        <v>EXTREMA 5:5</v>
      </c>
      <c r="AM88" s="3" t="str">
        <f t="shared" si="545"/>
        <v/>
      </c>
      <c r="AN88" s="3" t="str">
        <f t="shared" si="546"/>
        <v/>
      </c>
      <c r="AO88" s="3" t="str">
        <f t="shared" si="547"/>
        <v/>
      </c>
      <c r="AP88" s="3" t="str">
        <f t="shared" si="548"/>
        <v/>
      </c>
      <c r="AQ88" s="3" t="str">
        <f t="shared" ref="AQ88" si="693">AM88</f>
        <v/>
      </c>
      <c r="AR88" s="3" t="str">
        <f t="shared" ref="AR88" si="694">AN88</f>
        <v/>
      </c>
      <c r="AT88" s="3" t="str">
        <f t="shared" ref="AT88" si="695">AO88</f>
        <v/>
      </c>
      <c r="AV88" s="3" t="str">
        <f t="shared" ref="AV88" si="696">AP88</f>
        <v/>
      </c>
      <c r="AX88" s="502" t="str">
        <f t="shared" ref="AX88" si="697">IF(AW90="","",CONCATENATE(AW90," (de) el(los) control(es) Efectivo(s) "))</f>
        <v/>
      </c>
      <c r="AY88" s="502" t="str">
        <f t="shared" ref="AY88" si="698">IF(CONCATENATE(N88:N90)="","",IF(AND(SUM(E88:E90)=10,SUM(N88:N90)&lt;30),"- Replantear control(es) NO efectivo(s) ",IF(AND(SUM(E88:E90)=20,SUM(N88:N90)&lt;60),"- Replantear control(es) NO efectivo(s) ",IF(AND(SUM(E88:E90)=30,SUM(N88:N90)&lt;90),"- Replantear control(es) NO efectivo(s) ",""))))</f>
        <v/>
      </c>
      <c r="AZ88" s="502" t="str">
        <f t="shared" ref="AZ88" si="699">IF(AND(AE88&gt;1,AE89&gt;1),"- Tomar Acciones Preventivas y Correctivas",IF(AE88&gt;1,"- Tomar Acciones Preventivas",IF(AE89&gt;1,"- Tomar Acciones Correctivas","")))</f>
        <v>- Tomar Acciones Correctivas</v>
      </c>
      <c r="BA88" s="502" t="str">
        <f t="shared" ref="BA88" si="700">CONCATENATE(AX88,AY88,AZ88)</f>
        <v>- Tomar Acciones Correctivas</v>
      </c>
      <c r="BB88" s="3" t="str">
        <f t="shared" si="557"/>
        <v>SI</v>
      </c>
      <c r="BC88" s="3" t="str">
        <f t="shared" si="558"/>
        <v/>
      </c>
      <c r="BD88" s="3" t="str">
        <f t="shared" si="559"/>
        <v>SI</v>
      </c>
      <c r="BE88" s="3" t="str">
        <f t="shared" si="560"/>
        <v/>
      </c>
      <c r="BF88" s="3" t="str">
        <f t="shared" si="561"/>
        <v>SI</v>
      </c>
      <c r="BG88" s="3" t="str">
        <f t="shared" si="562"/>
        <v/>
      </c>
      <c r="BH88" s="3" t="str">
        <f t="shared" si="563"/>
        <v>P</v>
      </c>
      <c r="BI88" s="3" t="str">
        <f t="shared" si="25"/>
        <v/>
      </c>
      <c r="BJ88" s="3" t="str">
        <f t="shared" si="26"/>
        <v>M</v>
      </c>
      <c r="BK88" s="3" t="str">
        <f t="shared" si="27"/>
        <v/>
      </c>
      <c r="BL88" s="3" t="str">
        <f t="shared" si="564"/>
        <v>SI</v>
      </c>
      <c r="BM88" s="3" t="str">
        <f t="shared" si="565"/>
        <v/>
      </c>
    </row>
    <row r="89" spans="1:65" ht="36" customHeight="1" x14ac:dyDescent="0.2">
      <c r="A89" s="503"/>
      <c r="B89" s="496"/>
      <c r="C89" s="356">
        <v>2</v>
      </c>
      <c r="D89" s="56" t="s">
        <v>11</v>
      </c>
      <c r="E89" s="240">
        <f t="shared" si="4"/>
        <v>10</v>
      </c>
      <c r="F89" s="44" t="s">
        <v>608</v>
      </c>
      <c r="G89" s="18" t="str">
        <f t="shared" si="521"/>
        <v/>
      </c>
      <c r="H89" s="44" t="s">
        <v>20</v>
      </c>
      <c r="I89" s="18" t="str">
        <f t="shared" si="522"/>
        <v/>
      </c>
      <c r="J89" s="55" t="str">
        <f t="shared" si="523"/>
        <v>Posibilidad</v>
      </c>
      <c r="K89" s="43" t="s">
        <v>11</v>
      </c>
      <c r="L89" s="18">
        <f t="shared" si="524"/>
        <v>15</v>
      </c>
      <c r="M89" s="43" t="s">
        <v>11</v>
      </c>
      <c r="N89" s="18">
        <f t="shared" si="525"/>
        <v>30</v>
      </c>
      <c r="O89" s="43" t="s">
        <v>323</v>
      </c>
      <c r="P89" s="18">
        <f t="shared" si="526"/>
        <v>10</v>
      </c>
      <c r="Q89" s="43" t="s">
        <v>11</v>
      </c>
      <c r="R89" s="18">
        <f t="shared" si="527"/>
        <v>5</v>
      </c>
      <c r="S89" s="43" t="s">
        <v>11</v>
      </c>
      <c r="T89" s="18">
        <f t="shared" si="528"/>
        <v>15</v>
      </c>
      <c r="U89" s="43" t="s">
        <v>11</v>
      </c>
      <c r="V89" s="18">
        <f t="shared" si="529"/>
        <v>10</v>
      </c>
      <c r="W89" s="18">
        <f t="shared" si="530"/>
        <v>95</v>
      </c>
      <c r="X89" s="57" t="str">
        <f t="shared" si="531"/>
        <v>95                           Disminuye max 2 en Posibilidad</v>
      </c>
      <c r="Y89" s="57">
        <f t="shared" si="532"/>
        <v>2</v>
      </c>
      <c r="Z89" s="356">
        <f t="shared" si="533"/>
        <v>0</v>
      </c>
      <c r="AA89" s="498"/>
      <c r="AB89" s="500"/>
      <c r="AC89" s="3">
        <f t="shared" ref="AC89" si="701">SUM(Z88:Z90)</f>
        <v>0</v>
      </c>
      <c r="AD89" s="3">
        <f>ANALISIS!G37</f>
        <v>4</v>
      </c>
      <c r="AE89" s="3">
        <f t="shared" si="691"/>
        <v>4</v>
      </c>
      <c r="AF89" s="501"/>
      <c r="AG89" s="355" t="str">
        <f t="shared" ref="AG89" si="702">IF(AE89=1,AH89,IF(AE89=2,AI89,IF(AE89=3,AJ89,IF(AE89=4,AK89,AL89))))</f>
        <v>- Reducir el Riesgo- Compartir o Transferir el Riesgo</v>
      </c>
      <c r="AH89" s="46" t="str">
        <f t="shared" ref="AH89" si="703">IF($AF88=11,"- Asumir el Riesgo",IF($AF88=12,"- Asumir el Riesgo- Evitar Posibilidad de Ocurrencia- Reducir el Riesgo",IF($AF88=13,"- Asumir el Riesgo- Evitar Posibilidad de Ocurrencia- Reducir el Riesgo",IF($AF88=14,"-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89" s="46" t="str">
        <f t="shared" ref="AI89" si="704">IF($AF88=21,"- Asumir el Riesgo- Reducir el Riesgo",IF($AF88=22,"- Asumir el Riesgo- Evitar Posibilidad de Ocurrencia- Reducir el Riesgo",IF($AF88=23,"- Asumir el Riesgo- Evitar Posibilidad de Ocurrencia- Reducir el Riesgo- Compartir o Transferir el Riesgo",IF($AF88=24,"- Evitar Posibilidad de Ocurrencia- Reducir el Riesgo- Compartir o Transferir el Riesgo","- Evitar Posibilidad de Ocurrencia- Reducir el Riesgo- Compartir o Transferir el Riesgo"))))</f>
        <v>- Evitar Posibilidad de Ocurrencia- Reducir el Riesgo- Compartir o Transferir el Riesgo</v>
      </c>
      <c r="AJ89" s="46" t="str">
        <f t="shared" ref="AJ89" si="705">IF($AF88=31,"- Asumir el Riesgo- Reducir el Riesgo- Compartir o Transferir el Riesgo",IF($AF88=32,"- Asumir el Riesgo- Evitar Posibilidad de Ocurrencia- Reducir el Reducir- Compartir o Transferir el Riesgo",IF($AF88=33,"- Evitar Posibilidad de Ocurrencia- Reducir el Riesgo- Compartir o Transferir el Riesgo",IF($AF88=34,"-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89" s="46" t="str">
        <f t="shared" ref="AK89" si="706">IF($AF88=41,"- Reducir el Riesgo- Compartir o Transferir el Riesgo",IF($AF88=42,"- Evitar Posibilidad de Ocurrencia- Reducir el Riesgo- Compartir o Transferir el Riesgo",IF($AF88=43,"- Eliminar Causa(s)- Evitar Posibilidad de Ocurrencia- Reducir el Riesgo- Compartir o Transferir el Riesgo",IF($AF88=44,"- Eliminar Causa(s)- Evitar Posibilidad de Ocurrencia- Reducir el Riesgo- Compartir o Transferir el Riesgo","- Eliminar Causa(s)- Evitar Posibilidad de Ocurrencia- Reducir el Riesgo- Compartir o Transferir el Riesgo"))))</f>
        <v>- Reducir el Riesgo- Compartir o Transferir el Riesgo</v>
      </c>
      <c r="AL89" s="46" t="str">
        <f t="shared" ref="AL89" si="707">IF($AF88=51,"- Reducir el Riesgo- Compartir o Transferir el Riesgo",IF($AF88=52,"- Eliminar Causa(s)- Evitar Posibilidad de Ocurrencia- Reducir el Riesgo- Compartir o Transferir el Riesgo",IF($AF88=53,"- Eliminar Causa(s)- Evitar Posibilidad de Ocurrencia- Reducir el Riesgo- Compartir o Transferir el Riesgo",IF($AF88=54,"-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89" s="3" t="str">
        <f t="shared" si="545"/>
        <v/>
      </c>
      <c r="AN89" s="3" t="str">
        <f t="shared" si="546"/>
        <v/>
      </c>
      <c r="AO89" s="3" t="str">
        <f t="shared" si="547"/>
        <v/>
      </c>
      <c r="AP89" s="3" t="str">
        <f t="shared" si="548"/>
        <v/>
      </c>
      <c r="AQ89" s="3" t="str">
        <f t="shared" ref="AQ89:AQ90" si="708">IF(AQ88="Documentar",AQ88,AM89)</f>
        <v/>
      </c>
      <c r="AR89" s="3" t="str">
        <f t="shared" ref="AR89:AR90" si="709">IF(AR88="Asignar responsable",AR88,AN89)</f>
        <v/>
      </c>
      <c r="AT89" s="3" t="str">
        <f t="shared" ref="AT89:AT90" si="710">IF(AT88="Establecer periodos de seguimiento adecuados",AT88,AO89)</f>
        <v/>
      </c>
      <c r="AV89" s="3" t="str">
        <f t="shared" ref="AV89:AV90" si="711">IF(AV88="Guardar Evidencias",AV88,AP89)</f>
        <v/>
      </c>
      <c r="AX89" s="502"/>
      <c r="AY89" s="502"/>
      <c r="AZ89" s="502"/>
      <c r="BA89" s="502"/>
      <c r="BB89" s="3" t="str">
        <f t="shared" si="557"/>
        <v>SI</v>
      </c>
      <c r="BC89" s="3" t="str">
        <f t="shared" si="558"/>
        <v/>
      </c>
      <c r="BD89" s="3" t="str">
        <f t="shared" si="559"/>
        <v>SI</v>
      </c>
      <c r="BE89" s="3" t="str">
        <f t="shared" si="560"/>
        <v/>
      </c>
      <c r="BF89" s="3" t="str">
        <f t="shared" si="561"/>
        <v>SI</v>
      </c>
      <c r="BG89" s="3" t="str">
        <f t="shared" si="562"/>
        <v/>
      </c>
      <c r="BH89" s="3" t="str">
        <f t="shared" si="563"/>
        <v>P</v>
      </c>
      <c r="BI89" s="3" t="str">
        <f t="shared" si="25"/>
        <v/>
      </c>
      <c r="BJ89" s="3" t="str">
        <f t="shared" si="26"/>
        <v>M</v>
      </c>
      <c r="BK89" s="3" t="str">
        <f t="shared" si="27"/>
        <v/>
      </c>
      <c r="BL89" s="3" t="str">
        <f t="shared" si="564"/>
        <v>SI</v>
      </c>
      <c r="BM89" s="3" t="str">
        <f t="shared" si="565"/>
        <v/>
      </c>
    </row>
    <row r="90" spans="1:65" ht="36" customHeight="1" x14ac:dyDescent="0.2">
      <c r="A90" s="503"/>
      <c r="B90" s="496"/>
      <c r="C90" s="356">
        <v>3</v>
      </c>
      <c r="D90" s="56" t="s">
        <v>11</v>
      </c>
      <c r="E90" s="240">
        <f t="shared" si="4"/>
        <v>10</v>
      </c>
      <c r="F90" s="44" t="s">
        <v>609</v>
      </c>
      <c r="G90" s="18" t="str">
        <f t="shared" si="521"/>
        <v/>
      </c>
      <c r="H90" s="44" t="s">
        <v>20</v>
      </c>
      <c r="I90" s="18" t="str">
        <f t="shared" si="522"/>
        <v/>
      </c>
      <c r="J90" s="55" t="str">
        <f t="shared" si="523"/>
        <v>Posibilidad</v>
      </c>
      <c r="K90" s="43" t="s">
        <v>11</v>
      </c>
      <c r="L90" s="18">
        <f t="shared" si="524"/>
        <v>15</v>
      </c>
      <c r="M90" s="43" t="s">
        <v>11</v>
      </c>
      <c r="N90" s="18">
        <f t="shared" si="525"/>
        <v>30</v>
      </c>
      <c r="O90" s="43" t="s">
        <v>323</v>
      </c>
      <c r="P90" s="18">
        <f t="shared" si="526"/>
        <v>10</v>
      </c>
      <c r="Q90" s="43" t="s">
        <v>11</v>
      </c>
      <c r="R90" s="18">
        <f t="shared" si="527"/>
        <v>5</v>
      </c>
      <c r="S90" s="43" t="s">
        <v>11</v>
      </c>
      <c r="T90" s="18">
        <f t="shared" si="528"/>
        <v>15</v>
      </c>
      <c r="U90" s="43" t="s">
        <v>11</v>
      </c>
      <c r="V90" s="18">
        <f t="shared" si="529"/>
        <v>10</v>
      </c>
      <c r="W90" s="18">
        <f t="shared" si="530"/>
        <v>95</v>
      </c>
      <c r="X90" s="57" t="str">
        <f t="shared" si="531"/>
        <v>95                           Disminuye max 2 en Posibilidad</v>
      </c>
      <c r="Y90" s="57">
        <f t="shared" si="532"/>
        <v>2</v>
      </c>
      <c r="Z90" s="356">
        <f t="shared" si="533"/>
        <v>0</v>
      </c>
      <c r="AA90" s="499"/>
      <c r="AB90" s="500"/>
      <c r="AM90" s="3" t="str">
        <f t="shared" si="545"/>
        <v/>
      </c>
      <c r="AN90" s="3" t="str">
        <f t="shared" si="546"/>
        <v/>
      </c>
      <c r="AO90" s="3" t="str">
        <f t="shared" si="547"/>
        <v/>
      </c>
      <c r="AP90" s="3" t="str">
        <f t="shared" si="548"/>
        <v/>
      </c>
      <c r="AQ90" s="3" t="str">
        <f t="shared" si="708"/>
        <v/>
      </c>
      <c r="AR90" s="3" t="str">
        <f t="shared" si="709"/>
        <v/>
      </c>
      <c r="AS90" s="3" t="str">
        <f t="shared" ref="AS90" si="712">IF(AND(AQ90="Documentar",AR90="Asignar responsable"),CONCATENATE("- ",AQ90,", ",AR90),IF(AQ90="Documentar",CONCATENATE("- ",AQ90),IF(AR90="Asignar responsable",CONCATENATE("- ",AR90),"")))</f>
        <v/>
      </c>
      <c r="AT90" s="3" t="str">
        <f t="shared" si="710"/>
        <v/>
      </c>
      <c r="AU90" s="3" t="str">
        <f t="shared" ref="AU90" si="713">IF(AT90="",AS90,IF(AS90="",CONCATENATE("- ",AT90),CONCATENATE(AS90,", ",AT90)))</f>
        <v/>
      </c>
      <c r="AV90" s="3" t="str">
        <f t="shared" si="711"/>
        <v/>
      </c>
      <c r="AW90" s="3" t="str">
        <f t="shared" ref="AW90" si="714">IF(AV90="",AU90,IF(AU90="",CONCATENATE("- ",AV90),CONCATENATE(AU90,", ",AV90)))</f>
        <v/>
      </c>
      <c r="AX90" s="502"/>
      <c r="AY90" s="502"/>
      <c r="AZ90" s="502"/>
      <c r="BA90" s="502"/>
      <c r="BB90" s="3" t="str">
        <f t="shared" si="557"/>
        <v>SI</v>
      </c>
      <c r="BC90" s="3" t="str">
        <f t="shared" si="558"/>
        <v/>
      </c>
      <c r="BD90" s="3" t="str">
        <f t="shared" si="559"/>
        <v>SI</v>
      </c>
      <c r="BE90" s="3" t="str">
        <f t="shared" si="560"/>
        <v/>
      </c>
      <c r="BF90" s="3" t="str">
        <f t="shared" si="561"/>
        <v>SI</v>
      </c>
      <c r="BG90" s="3" t="str">
        <f t="shared" si="562"/>
        <v/>
      </c>
      <c r="BH90" s="3" t="str">
        <f t="shared" si="563"/>
        <v>P</v>
      </c>
      <c r="BI90" s="3" t="str">
        <f t="shared" si="25"/>
        <v/>
      </c>
      <c r="BJ90" s="3" t="str">
        <f t="shared" si="26"/>
        <v>M</v>
      </c>
      <c r="BK90" s="3" t="str">
        <f t="shared" si="27"/>
        <v/>
      </c>
      <c r="BL90" s="3" t="str">
        <f t="shared" si="564"/>
        <v>SI</v>
      </c>
      <c r="BM90" s="3" t="str">
        <f t="shared" si="565"/>
        <v/>
      </c>
    </row>
    <row r="91" spans="1:65" ht="36" customHeight="1" x14ac:dyDescent="0.2">
      <c r="A91" s="503" t="str">
        <f>IDENTIFICACIÓN!C36</f>
        <v>28G</v>
      </c>
      <c r="B91" s="496" t="str">
        <f>IF(IDENTIFICACIÓN!D36="","",IDENTIFICACIÓN!D36)</f>
        <v>Evaluación Independiente. Deficiente evaluación del nivel de avance de las acciones pactadas en los planes de mejoramiento</v>
      </c>
      <c r="C91" s="356">
        <v>1</v>
      </c>
      <c r="D91" s="56" t="s">
        <v>11</v>
      </c>
      <c r="E91" s="240">
        <f t="shared" si="4"/>
        <v>10</v>
      </c>
      <c r="F91" s="44" t="s">
        <v>610</v>
      </c>
      <c r="G91" s="18" t="str">
        <f t="shared" si="521"/>
        <v/>
      </c>
      <c r="H91" s="44" t="s">
        <v>20</v>
      </c>
      <c r="I91" s="18" t="str">
        <f t="shared" si="522"/>
        <v/>
      </c>
      <c r="J91" s="55" t="str">
        <f t="shared" si="523"/>
        <v>Posibilidad</v>
      </c>
      <c r="K91" s="43" t="s">
        <v>11</v>
      </c>
      <c r="L91" s="18">
        <f t="shared" si="524"/>
        <v>15</v>
      </c>
      <c r="M91" s="43" t="s">
        <v>11</v>
      </c>
      <c r="N91" s="18">
        <f t="shared" si="525"/>
        <v>30</v>
      </c>
      <c r="O91" s="43" t="s">
        <v>323</v>
      </c>
      <c r="P91" s="18">
        <f t="shared" si="526"/>
        <v>10</v>
      </c>
      <c r="Q91" s="43" t="s">
        <v>11</v>
      </c>
      <c r="R91" s="18">
        <f t="shared" si="527"/>
        <v>5</v>
      </c>
      <c r="S91" s="43" t="s">
        <v>11</v>
      </c>
      <c r="T91" s="18">
        <f t="shared" si="528"/>
        <v>15</v>
      </c>
      <c r="U91" s="43" t="s">
        <v>11</v>
      </c>
      <c r="V91" s="18">
        <f t="shared" si="529"/>
        <v>10</v>
      </c>
      <c r="W91" s="18">
        <f t="shared" si="530"/>
        <v>95</v>
      </c>
      <c r="X91" s="57" t="str">
        <f t="shared" si="531"/>
        <v>95                           Disminuye max 2 en Posibilidad</v>
      </c>
      <c r="Y91" s="57">
        <f t="shared" si="532"/>
        <v>2</v>
      </c>
      <c r="Z91" s="356">
        <f t="shared" si="533"/>
        <v>0</v>
      </c>
      <c r="AA91" s="497">
        <f t="shared" ref="AA91" si="715">IF(AB91=0,"",(ROUND((SUM(W91:W93)/AB91),0)))</f>
        <v>95</v>
      </c>
      <c r="AB91" s="500">
        <f t="shared" ref="AB91" si="716">COUNT(T91:T93)</f>
        <v>3</v>
      </c>
      <c r="AC91" s="3">
        <f t="shared" ref="AC91" si="717">SUM(Y91:Y93)</f>
        <v>6</v>
      </c>
      <c r="AD91" s="3">
        <f>ANALISIS!D38</f>
        <v>2</v>
      </c>
      <c r="AE91" s="3">
        <f t="shared" ref="AE91:AE92" si="718">IF((AD91-AC91)&gt;=1,(AD91-AC91),1)</f>
        <v>1</v>
      </c>
      <c r="AF91" s="501">
        <f t="shared" si="538"/>
        <v>41</v>
      </c>
      <c r="AG91" s="355" t="str">
        <f t="shared" ref="AG91" si="719">IF(AE92=1,AH91,IF(AE92=2,AI91,IF(AE92=3,AJ91,IF(AE92=4,AK91,AL91))))</f>
        <v>ALTA 1:4</v>
      </c>
      <c r="AH91" s="46" t="str">
        <f t="shared" si="540"/>
        <v>ALTA 5:1</v>
      </c>
      <c r="AI91" s="46" t="str">
        <f t="shared" si="541"/>
        <v>ALTA 5:2</v>
      </c>
      <c r="AJ91" s="46" t="str">
        <f t="shared" si="542"/>
        <v>EXTREMA 5:3</v>
      </c>
      <c r="AK91" s="46" t="str">
        <f t="shared" si="543"/>
        <v>ALTA 1:4</v>
      </c>
      <c r="AL91" s="46" t="str">
        <f t="shared" si="544"/>
        <v>EXTREMA 5:5</v>
      </c>
      <c r="AM91" s="3" t="str">
        <f t="shared" si="545"/>
        <v/>
      </c>
      <c r="AN91" s="3" t="str">
        <f t="shared" si="546"/>
        <v/>
      </c>
      <c r="AO91" s="3" t="str">
        <f t="shared" si="547"/>
        <v/>
      </c>
      <c r="AP91" s="3" t="str">
        <f t="shared" si="548"/>
        <v/>
      </c>
      <c r="AQ91" s="3" t="str">
        <f t="shared" ref="AQ91" si="720">AM91</f>
        <v/>
      </c>
      <c r="AR91" s="3" t="str">
        <f t="shared" ref="AR91" si="721">AN91</f>
        <v/>
      </c>
      <c r="AT91" s="3" t="str">
        <f t="shared" ref="AT91" si="722">AO91</f>
        <v/>
      </c>
      <c r="AV91" s="3" t="str">
        <f t="shared" ref="AV91" si="723">AP91</f>
        <v/>
      </c>
      <c r="AX91" s="502" t="str">
        <f t="shared" ref="AX91" si="724">IF(AW93="","",CONCATENATE(AW93," (de) el(los) control(es) Efectivo(s) "))</f>
        <v/>
      </c>
      <c r="AY91" s="502" t="str">
        <f t="shared" ref="AY91" si="725">IF(CONCATENATE(N91:N93)="","",IF(AND(SUM(E91:E93)=10,SUM(N91:N93)&lt;30),"- Replantear control(es) NO efectivo(s) ",IF(AND(SUM(E91:E93)=20,SUM(N91:N93)&lt;60),"- Replantear control(es) NO efectivo(s) ",IF(AND(SUM(E91:E93)=30,SUM(N91:N93)&lt;90),"- Replantear control(es) NO efectivo(s) ",""))))</f>
        <v/>
      </c>
      <c r="AZ91" s="502" t="str">
        <f t="shared" ref="AZ91" si="726">IF(AND(AE91&gt;1,AE92&gt;1),"- Tomar Acciones Preventivas y Correctivas",IF(AE91&gt;1,"- Tomar Acciones Preventivas",IF(AE92&gt;1,"- Tomar Acciones Correctivas","")))</f>
        <v>- Tomar Acciones Correctivas</v>
      </c>
      <c r="BA91" s="502" t="str">
        <f t="shared" ref="BA91" si="727">CONCATENATE(AX91,AY91,AZ91)</f>
        <v>- Tomar Acciones Correctivas</v>
      </c>
      <c r="BB91" s="3" t="str">
        <f t="shared" si="557"/>
        <v>SI</v>
      </c>
      <c r="BC91" s="3" t="str">
        <f t="shared" si="558"/>
        <v/>
      </c>
      <c r="BD91" s="3" t="str">
        <f t="shared" si="559"/>
        <v>SI</v>
      </c>
      <c r="BE91" s="3" t="str">
        <f t="shared" si="560"/>
        <v/>
      </c>
      <c r="BF91" s="3" t="str">
        <f t="shared" si="561"/>
        <v>SI</v>
      </c>
      <c r="BG91" s="3" t="str">
        <f t="shared" si="562"/>
        <v/>
      </c>
      <c r="BH91" s="3" t="str">
        <f t="shared" si="563"/>
        <v>P</v>
      </c>
      <c r="BI91" s="3" t="str">
        <f t="shared" si="25"/>
        <v/>
      </c>
      <c r="BJ91" s="3" t="str">
        <f t="shared" si="26"/>
        <v>M</v>
      </c>
      <c r="BK91" s="3" t="str">
        <f t="shared" si="27"/>
        <v/>
      </c>
      <c r="BL91" s="3" t="str">
        <f t="shared" si="564"/>
        <v>SI</v>
      </c>
      <c r="BM91" s="3" t="str">
        <f t="shared" si="565"/>
        <v/>
      </c>
    </row>
    <row r="92" spans="1:65" ht="36" customHeight="1" x14ac:dyDescent="0.2">
      <c r="A92" s="503"/>
      <c r="B92" s="496"/>
      <c r="C92" s="356">
        <v>2</v>
      </c>
      <c r="D92" s="56" t="s">
        <v>11</v>
      </c>
      <c r="E92" s="240">
        <f t="shared" si="4"/>
        <v>10</v>
      </c>
      <c r="F92" s="44" t="s">
        <v>611</v>
      </c>
      <c r="G92" s="18" t="str">
        <f t="shared" si="521"/>
        <v/>
      </c>
      <c r="H92" s="44" t="s">
        <v>20</v>
      </c>
      <c r="I92" s="18" t="str">
        <f t="shared" si="522"/>
        <v/>
      </c>
      <c r="J92" s="55" t="str">
        <f t="shared" si="523"/>
        <v>Posibilidad</v>
      </c>
      <c r="K92" s="43" t="s">
        <v>11</v>
      </c>
      <c r="L92" s="18">
        <f t="shared" si="524"/>
        <v>15</v>
      </c>
      <c r="M92" s="43" t="s">
        <v>11</v>
      </c>
      <c r="N92" s="18">
        <f t="shared" si="525"/>
        <v>30</v>
      </c>
      <c r="O92" s="43" t="s">
        <v>323</v>
      </c>
      <c r="P92" s="18">
        <f t="shared" si="526"/>
        <v>10</v>
      </c>
      <c r="Q92" s="43" t="s">
        <v>11</v>
      </c>
      <c r="R92" s="18">
        <f t="shared" si="527"/>
        <v>5</v>
      </c>
      <c r="S92" s="43" t="s">
        <v>11</v>
      </c>
      <c r="T92" s="18">
        <f t="shared" si="528"/>
        <v>15</v>
      </c>
      <c r="U92" s="43" t="s">
        <v>11</v>
      </c>
      <c r="V92" s="18">
        <f t="shared" si="529"/>
        <v>10</v>
      </c>
      <c r="W92" s="18">
        <f t="shared" si="530"/>
        <v>95</v>
      </c>
      <c r="X92" s="57" t="str">
        <f t="shared" si="531"/>
        <v>95                           Disminuye max 2 en Posibilidad</v>
      </c>
      <c r="Y92" s="57">
        <f t="shared" si="532"/>
        <v>2</v>
      </c>
      <c r="Z92" s="356">
        <f t="shared" si="533"/>
        <v>0</v>
      </c>
      <c r="AA92" s="498"/>
      <c r="AB92" s="500"/>
      <c r="AC92" s="3">
        <f t="shared" ref="AC92" si="728">SUM(Z91:Z93)</f>
        <v>0</v>
      </c>
      <c r="AD92" s="3">
        <f>ANALISIS!G38</f>
        <v>4</v>
      </c>
      <c r="AE92" s="3">
        <f t="shared" si="718"/>
        <v>4</v>
      </c>
      <c r="AF92" s="501"/>
      <c r="AG92" s="355" t="str">
        <f t="shared" ref="AG92" si="729">IF(AE92=1,AH92,IF(AE92=2,AI92,IF(AE92=3,AJ92,IF(AE92=4,AK92,AL92))))</f>
        <v>- Reducir el Riesgo- Compartir o Transferir el Riesgo</v>
      </c>
      <c r="AH92" s="46" t="str">
        <f t="shared" ref="AH92" si="730">IF($AF91=11,"- Asumir el Riesgo",IF($AF91=12,"- Asumir el Riesgo- Evitar Posibilidad de Ocurrencia- Reducir el Riesgo",IF($AF91=13,"- Asumir el Riesgo- Evitar Posibilidad de Ocurrencia- Reducir el Riesgo",IF($AF91=14,"- Asumir el Riesgo- Evitar Posibilidad de Ocurrencia- Reducir el Riesgo- Compartir o Transferir el Riesgo","- Evitar Posibilidad de Ocurrencia- Reducir el Riesgo- Compartir o Transferir el riesgo"))))</f>
        <v>- Evitar Posibilidad de Ocurrencia- Reducir el Riesgo- Compartir o Transferir el riesgo</v>
      </c>
      <c r="AI92" s="46" t="str">
        <f t="shared" ref="AI92" si="731">IF($AF91=21,"- Asumir el Riesgo- Reducir el Riesgo",IF($AF91=22,"- Asumir el Riesgo- Evitar Posibilidad de Ocurrencia- Reducir el Riesgo",IF($AF91=23,"- Asumir el Riesgo- Evitar Posibilidad de Ocurrencia- Reducir el Riesgo- Compartir o Transferir el Riesgo",IF($AF91=24,"- Evitar Posibilidad de Ocurrencia- Reducir el Riesgo- Compartir o Transferir el Riesgo","- Evitar Posibilidad de Ocurrencia- Reducir el Riesgo- Compartir o Transferir el Riesgo"))))</f>
        <v>- Evitar Posibilidad de Ocurrencia- Reducir el Riesgo- Compartir o Transferir el Riesgo</v>
      </c>
      <c r="AJ92" s="46" t="str">
        <f t="shared" ref="AJ92" si="732">IF($AF91=31,"- Asumir el Riesgo- Reducir el Riesgo- Compartir o Transferir el Riesgo",IF($AF91=32,"- Asumir el Riesgo- Evitar Posibilidad de Ocurrencia- Reducir el Reducir- Compartir o Transferir el Riesgo",IF($AF91=33,"- Evitar Posibilidad de Ocurrencia- Reducir el Riesgo- Compartir o Transferir el Riesgo",IF($AF91=34,"-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K92" s="46" t="str">
        <f t="shared" ref="AK92" si="733">IF($AF91=41,"- Reducir el Riesgo- Compartir o Transferir el Riesgo",IF($AF91=42,"- Evitar Posibilidad de Ocurrencia- Reducir el Riesgo- Compartir o Transferir el Riesgo",IF($AF91=43,"- Eliminar Causa(s)- Evitar Posibilidad de Ocurrencia- Reducir el Riesgo- Compartir o Transferir el Riesgo",IF($AF91=44,"- Eliminar Causa(s)- Evitar Posibilidad de Ocurrencia- Reducir el Riesgo- Compartir o Transferir el Riesgo","- Eliminar Causa(s)- Evitar Posibilidad de Ocurrencia- Reducir el Riesgo- Compartir o Transferir el Riesgo"))))</f>
        <v>- Reducir el Riesgo- Compartir o Transferir el Riesgo</v>
      </c>
      <c r="AL92" s="46" t="str">
        <f t="shared" ref="AL92" si="734">IF($AF91=51,"- Reducir el Riesgo- Compartir o Transferir el Riesgo",IF($AF91=52,"- Eliminar Causa(s)- Evitar Posibilidad de Ocurrencia- Reducir el Riesgo- Compartir o Transferir el Riesgo",IF($AF91=53,"- Eliminar Causa(s)- Evitar Posibilidad de Ocurrencia- Reducir el Riesgo- Compartir o Transferir el Riesgo",IF($AF91=54,"- Eliminar Causa(s)- Evitar Posibilidad de Ocurrencia- Reducir el Riesgo- Compartir o Transferir el Riesgo","- Eliminar Causa(s)- Evitar Posibilidad de Ocurrencia- Reducir el Riesgo- Compartir o Transferir el Riesgo"))))</f>
        <v>- Eliminar Causa(s)- Evitar Posibilidad de Ocurrencia- Reducir el Riesgo- Compartir o Transferir el Riesgo</v>
      </c>
      <c r="AM92" s="3" t="str">
        <f t="shared" si="545"/>
        <v/>
      </c>
      <c r="AN92" s="3" t="str">
        <f t="shared" si="546"/>
        <v/>
      </c>
      <c r="AO92" s="3" t="str">
        <f t="shared" si="547"/>
        <v/>
      </c>
      <c r="AP92" s="3" t="str">
        <f t="shared" si="548"/>
        <v/>
      </c>
      <c r="AQ92" s="3" t="str">
        <f t="shared" ref="AQ92:AQ93" si="735">IF(AQ91="Documentar",AQ91,AM92)</f>
        <v/>
      </c>
      <c r="AR92" s="3" t="str">
        <f t="shared" ref="AR92:AR93" si="736">IF(AR91="Asignar responsable",AR91,AN92)</f>
        <v/>
      </c>
      <c r="AT92" s="3" t="str">
        <f t="shared" ref="AT92:AT93" si="737">IF(AT91="Establecer periodos de seguimiento adecuados",AT91,AO92)</f>
        <v/>
      </c>
      <c r="AV92" s="3" t="str">
        <f t="shared" ref="AV92:AV93" si="738">IF(AV91="Guardar Evidencias",AV91,AP92)</f>
        <v/>
      </c>
      <c r="AX92" s="502"/>
      <c r="AY92" s="502"/>
      <c r="AZ92" s="502"/>
      <c r="BA92" s="502"/>
      <c r="BB92" s="3" t="str">
        <f t="shared" si="557"/>
        <v>SI</v>
      </c>
      <c r="BC92" s="3" t="str">
        <f t="shared" si="558"/>
        <v/>
      </c>
      <c r="BD92" s="3" t="str">
        <f t="shared" si="559"/>
        <v>SI</v>
      </c>
      <c r="BE92" s="3" t="str">
        <f t="shared" si="560"/>
        <v/>
      </c>
      <c r="BF92" s="3" t="str">
        <f t="shared" si="561"/>
        <v>SI</v>
      </c>
      <c r="BG92" s="3" t="str">
        <f t="shared" si="562"/>
        <v/>
      </c>
      <c r="BH92" s="3" t="str">
        <f t="shared" si="563"/>
        <v>P</v>
      </c>
      <c r="BI92" s="3" t="str">
        <f t="shared" si="25"/>
        <v/>
      </c>
      <c r="BJ92" s="3" t="str">
        <f t="shared" si="26"/>
        <v>M</v>
      </c>
      <c r="BK92" s="3" t="str">
        <f t="shared" si="27"/>
        <v/>
      </c>
      <c r="BL92" s="3" t="str">
        <f t="shared" si="564"/>
        <v>SI</v>
      </c>
      <c r="BM92" s="3" t="str">
        <f t="shared" si="565"/>
        <v/>
      </c>
    </row>
    <row r="93" spans="1:65" ht="36" customHeight="1" thickBot="1" x14ac:dyDescent="0.25">
      <c r="A93" s="503"/>
      <c r="B93" s="496"/>
      <c r="C93" s="356">
        <v>3</v>
      </c>
      <c r="D93" s="56" t="s">
        <v>11</v>
      </c>
      <c r="E93" s="240">
        <f t="shared" si="4"/>
        <v>10</v>
      </c>
      <c r="F93" s="44" t="s">
        <v>612</v>
      </c>
      <c r="G93" s="18" t="str">
        <f t="shared" si="521"/>
        <v/>
      </c>
      <c r="H93" s="44" t="s">
        <v>20</v>
      </c>
      <c r="I93" s="18" t="str">
        <f t="shared" si="522"/>
        <v/>
      </c>
      <c r="J93" s="55" t="str">
        <f t="shared" si="523"/>
        <v>Posibilidad</v>
      </c>
      <c r="K93" s="43" t="s">
        <v>11</v>
      </c>
      <c r="L93" s="18">
        <f t="shared" si="524"/>
        <v>15</v>
      </c>
      <c r="M93" s="43" t="s">
        <v>11</v>
      </c>
      <c r="N93" s="18">
        <f t="shared" si="525"/>
        <v>30</v>
      </c>
      <c r="O93" s="43" t="s">
        <v>323</v>
      </c>
      <c r="P93" s="18">
        <f t="shared" si="526"/>
        <v>10</v>
      </c>
      <c r="Q93" s="43" t="s">
        <v>11</v>
      </c>
      <c r="R93" s="18">
        <f t="shared" si="527"/>
        <v>5</v>
      </c>
      <c r="S93" s="43" t="s">
        <v>11</v>
      </c>
      <c r="T93" s="18">
        <f t="shared" si="528"/>
        <v>15</v>
      </c>
      <c r="U93" s="43" t="s">
        <v>11</v>
      </c>
      <c r="V93" s="18">
        <f t="shared" si="529"/>
        <v>10</v>
      </c>
      <c r="W93" s="18">
        <f t="shared" si="530"/>
        <v>95</v>
      </c>
      <c r="X93" s="57" t="str">
        <f t="shared" si="531"/>
        <v>95                           Disminuye max 2 en Posibilidad</v>
      </c>
      <c r="Y93" s="57">
        <f t="shared" si="532"/>
        <v>2</v>
      </c>
      <c r="Z93" s="356">
        <f t="shared" si="533"/>
        <v>0</v>
      </c>
      <c r="AA93" s="499"/>
      <c r="AB93" s="500"/>
      <c r="AM93" s="3" t="str">
        <f t="shared" si="545"/>
        <v/>
      </c>
      <c r="AN93" s="3" t="str">
        <f t="shared" si="546"/>
        <v/>
      </c>
      <c r="AO93" s="3" t="str">
        <f t="shared" si="547"/>
        <v/>
      </c>
      <c r="AP93" s="3" t="str">
        <f t="shared" si="548"/>
        <v/>
      </c>
      <c r="AQ93" s="3" t="str">
        <f t="shared" si="735"/>
        <v/>
      </c>
      <c r="AR93" s="3" t="str">
        <f t="shared" si="736"/>
        <v/>
      </c>
      <c r="AS93" s="3" t="str">
        <f t="shared" ref="AS93" si="739">IF(AND(AQ93="Documentar",AR93="Asignar responsable"),CONCATENATE("- ",AQ93,", ",AR93),IF(AQ93="Documentar",CONCATENATE("- ",AQ93),IF(AR93="Asignar responsable",CONCATENATE("- ",AR93),"")))</f>
        <v/>
      </c>
      <c r="AT93" s="3" t="str">
        <f t="shared" si="737"/>
        <v/>
      </c>
      <c r="AU93" s="3" t="str">
        <f t="shared" ref="AU93" si="740">IF(AT93="",AS93,IF(AS93="",CONCATENATE("- ",AT93),CONCATENATE(AS93,", ",AT93)))</f>
        <v/>
      </c>
      <c r="AV93" s="3" t="str">
        <f t="shared" si="738"/>
        <v/>
      </c>
      <c r="AW93" s="3" t="str">
        <f t="shared" ref="AW93" si="741">IF(AV93="",AU93,IF(AU93="",CONCATENATE("- ",AV93),CONCATENATE(AU93,", ",AV93)))</f>
        <v/>
      </c>
      <c r="AX93" s="502"/>
      <c r="AY93" s="502"/>
      <c r="AZ93" s="502"/>
      <c r="BA93" s="502"/>
      <c r="BB93" s="3" t="str">
        <f t="shared" si="557"/>
        <v>SI</v>
      </c>
      <c r="BC93" s="3" t="str">
        <f t="shared" si="558"/>
        <v/>
      </c>
      <c r="BD93" s="3" t="str">
        <f t="shared" si="559"/>
        <v>SI</v>
      </c>
      <c r="BE93" s="3" t="str">
        <f t="shared" si="560"/>
        <v/>
      </c>
      <c r="BF93" s="3" t="str">
        <f t="shared" si="561"/>
        <v>SI</v>
      </c>
      <c r="BG93" s="3" t="str">
        <f t="shared" si="562"/>
        <v/>
      </c>
      <c r="BH93" s="3" t="str">
        <f t="shared" si="563"/>
        <v>P</v>
      </c>
      <c r="BI93" s="3" t="str">
        <f t="shared" si="25"/>
        <v/>
      </c>
      <c r="BJ93" s="3" t="str">
        <f t="shared" si="26"/>
        <v>M</v>
      </c>
      <c r="BK93" s="3" t="str">
        <f t="shared" si="27"/>
        <v/>
      </c>
      <c r="BL93" s="3" t="str">
        <f t="shared" si="564"/>
        <v>SI</v>
      </c>
      <c r="BM93" s="3" t="str">
        <f t="shared" si="565"/>
        <v/>
      </c>
    </row>
    <row r="94" spans="1:65" ht="25.5" customHeight="1" thickTop="1" thickBot="1" x14ac:dyDescent="0.25">
      <c r="A94" s="460" t="str">
        <f>IDENTIFICACIÓN!A37</f>
        <v>RIESGOS DE CORRUPCIÓN</v>
      </c>
      <c r="B94" s="461"/>
      <c r="C94" s="461"/>
      <c r="D94" s="461"/>
      <c r="E94" s="461"/>
      <c r="F94" s="461"/>
      <c r="G94" s="461"/>
      <c r="H94" s="461"/>
      <c r="I94" s="461"/>
      <c r="J94" s="461"/>
      <c r="K94" s="461"/>
      <c r="L94" s="461"/>
      <c r="M94" s="461"/>
      <c r="N94" s="461"/>
      <c r="O94" s="461"/>
      <c r="P94" s="461"/>
      <c r="Q94" s="461"/>
      <c r="R94" s="461"/>
      <c r="S94" s="461"/>
      <c r="T94" s="461"/>
      <c r="U94" s="461"/>
      <c r="V94" s="461"/>
      <c r="W94" s="461"/>
      <c r="X94" s="461"/>
      <c r="Y94" s="461"/>
      <c r="Z94" s="461"/>
      <c r="AA94" s="462"/>
      <c r="AB94" s="42"/>
    </row>
    <row r="95" spans="1:65" ht="36" customHeight="1" thickTop="1" x14ac:dyDescent="0.2">
      <c r="A95" s="493" t="str">
        <f>IDENTIFICACIÓN!C38</f>
        <v>1C</v>
      </c>
      <c r="B95" s="496" t="str">
        <f>IF(IDENTIFICACIÓN!D38="","",IDENTIFICACIÓN!D38)</f>
        <v>Relaciones Interinstitucionales. Tráfico de Influencias</v>
      </c>
      <c r="C95" s="248">
        <v>1</v>
      </c>
      <c r="D95" s="56" t="s">
        <v>10</v>
      </c>
      <c r="E95" s="240">
        <f t="shared" si="4"/>
        <v>0</v>
      </c>
      <c r="F95" s="44"/>
      <c r="G95" s="18" t="str">
        <f t="shared" ref="G95:G97" si="742">IF($D95="SI",IF(ISBLANK(F95),"Decripcion",""),"")</f>
        <v/>
      </c>
      <c r="H95" s="44"/>
      <c r="I95" s="18" t="str">
        <f t="shared" ref="I95:I97" si="743">IF($D95="SI",IF(ISBLANK(H95),"Tipo",""),"")</f>
        <v/>
      </c>
      <c r="J95" s="55" t="str">
        <f t="shared" ref="J95:J109" si="744">IF(H95="Preventivo","Posibilidad",IF(H95="Correctivo","No Aplica",""))</f>
        <v/>
      </c>
      <c r="K95" s="43"/>
      <c r="L95" s="18" t="str">
        <f t="shared" ref="L95:L97" si="745">IF($D95="SI",IF(K95="SI",15,IF(K95="NO",0,"P1")),"")</f>
        <v/>
      </c>
      <c r="M95" s="43"/>
      <c r="N95" s="18" t="str">
        <f t="shared" ref="N95:N97" si="746">IF($D95="SI",IF(M95="SI",30,IF(M95="NO",0,"P2")),"")</f>
        <v/>
      </c>
      <c r="O95" s="43"/>
      <c r="P95" s="18" t="str">
        <f t="shared" ref="P95:P97" si="747">IF($D95="SI",IF(O95="Automático",15,IF(O95="Manual",10,"P3")),"")</f>
        <v/>
      </c>
      <c r="Q95" s="43"/>
      <c r="R95" s="18" t="str">
        <f t="shared" ref="R95:R97" si="748">IF($D95="SI",IF(Q95="SI",5,IF(Q95="NO",0,"P4")),"")</f>
        <v/>
      </c>
      <c r="S95" s="43"/>
      <c r="T95" s="18" t="str">
        <f t="shared" ref="T95:T97" si="749">IF($D95="SI",IF(S95="SI",15,IF(S95="NO",0,"P5")),"")</f>
        <v/>
      </c>
      <c r="U95" s="43"/>
      <c r="V95" s="18" t="str">
        <f t="shared" ref="V95:V97" si="750">IF($D95="SI",IF(U95="SI",10,IF(U95="NO",0,"P6")),"")</f>
        <v/>
      </c>
      <c r="W95" s="18">
        <f t="shared" ref="W95:W97" si="751">IF(D95="SI",E95+L95+N95+P95+R95+T95+V95,0)</f>
        <v>0</v>
      </c>
      <c r="X95" s="57">
        <f>IF(ISBLANK(D95),"",IF(D95="NO",0,IF(D95="SI",IF(OR(G95="Decripcion",I95="Tipo",L95="P1",N95="P2",P95="P3",R95="P4",T95="P5",V95="P6"),CONCATENATE("Falta diligenciar: ",G95," ",I95,IF(L95="P1"," Preg 1",),IF(N95="P2"," Preg 2",),IF(P95="P3"," Preg 3",),IF(R95="P4"," Preg 4",),IF(T95="P5"," Preg 5",),IF(V95="P6"," Preg 6",)),IF(AND(W95&gt;76,J95="Posibilidad"),CONCATENATE(W95,"                           Disminuye en ",J95),W95)))))</f>
        <v>0</v>
      </c>
      <c r="Y95" s="57">
        <f>IF(AND(W95&gt;75,W95&lt;101,J95="Posibilidad"),1,0)</f>
        <v>0</v>
      </c>
      <c r="Z95" s="248"/>
      <c r="AA95" s="497" t="str">
        <f>IF(AB95=0,"",(ROUND((SUM(W95:W97)/AB95),0)))</f>
        <v/>
      </c>
      <c r="AB95" s="500">
        <f>COUNT(T95:T97)</f>
        <v>0</v>
      </c>
      <c r="AC95" s="3">
        <f>SUM(Y95:Y97)</f>
        <v>0</v>
      </c>
      <c r="AD95" s="3">
        <f>ANALISIS!D40</f>
        <v>3</v>
      </c>
      <c r="AE95" s="3">
        <f>IF(AND(AD95=5,AC95&gt;1),3,AD95)</f>
        <v>3</v>
      </c>
      <c r="AF95" s="501">
        <f>AE95</f>
        <v>3</v>
      </c>
      <c r="AG95" s="247" t="str">
        <f>IF(AF95=3,"MODERADA",IF(AF95=5,"EXTREMA",""))</f>
        <v>MODERADA</v>
      </c>
      <c r="AH95" s="46"/>
      <c r="AI95" s="46"/>
      <c r="AJ95" s="46"/>
      <c r="AK95" s="46"/>
      <c r="AL95" s="46"/>
      <c r="AM95" s="3" t="str">
        <f t="shared" ref="AM95:AM97" si="752">IF(AND(N95=30,L95=0),$AM$8,"")</f>
        <v/>
      </c>
      <c r="AN95" s="3" t="str">
        <f t="shared" ref="AN95:AN97" si="753">IF(AND(N95=30,R95=0),$AN$8,"")</f>
        <v/>
      </c>
      <c r="AO95" s="3" t="str">
        <f t="shared" ref="AO95:AO97" si="754">IF(AND(N95=30,T95=0),$AO$8,"")</f>
        <v/>
      </c>
      <c r="AP95" s="3" t="str">
        <f t="shared" ref="AP95:AP97" si="755">IF(AND(N95=30,V95=0),$AP$8,"")</f>
        <v/>
      </c>
      <c r="AQ95" s="3" t="str">
        <f>AM95</f>
        <v/>
      </c>
      <c r="AR95" s="3" t="str">
        <f t="shared" ref="AR95" si="756">AN95</f>
        <v/>
      </c>
      <c r="AT95" s="3" t="str">
        <f t="shared" ref="AT95" si="757">AO95</f>
        <v/>
      </c>
      <c r="AV95" s="3" t="str">
        <f t="shared" ref="AV95" si="758">AP95</f>
        <v/>
      </c>
      <c r="AX95" s="502" t="str">
        <f t="shared" ref="AX95" si="759">IF(AW97="","",CONCATENATE(AW97," (de) el(los) control(es) Efectivo(s) "))</f>
        <v/>
      </c>
      <c r="AY95" s="502" t="str">
        <f t="shared" ref="AY95" si="760">IF(CONCATENATE(N95:N97)="","",IF(AND(SUM(E95:E97)=10,SUM(N95:N97)&lt;30),"- Replantear control(es) NO efectivo(s) ",IF(AND(SUM(E95:E97)=20,SUM(N95:N97)&lt;60),"- Replantear control(es) NO efectivo(s) ",IF(AND(SUM(E95:E97)=30,SUM(N95:N97)&lt;90),"- Replantear control(es) NO efectivo(s) ",""))))</f>
        <v/>
      </c>
      <c r="AZ95" s="502" t="str">
        <f>IF(AND(AE95&gt;1,AE96&gt;1),"- Tomar Acciones Preventivas y Correctivas",IF(AE95&gt;1,"- Tomar Acciones Preventivas",IF(AE96&gt;1,"- Tomar Acciones Correctivas","")))</f>
        <v>- Tomar Acciones Preventivas</v>
      </c>
      <c r="BA95" s="502" t="str">
        <f t="shared" ref="BA95" si="761">CONCATENATE(AX95,AY95,AZ95)</f>
        <v>- Tomar Acciones Preventivas</v>
      </c>
      <c r="BB95" s="3" t="str">
        <f t="shared" ref="BB95:BB97" si="762">IF(AND($N95=30,L95=15),"SI",IF(AND($N95=30,L95=0),"NO",""))</f>
        <v/>
      </c>
      <c r="BC95" s="3" t="str">
        <f t="shared" ref="BC95:BC97" si="763">IF(AND($N95=0,L95=15),"SI",IF(AND($N95=0,L95=0),"NO",""))</f>
        <v/>
      </c>
      <c r="BD95" s="3" t="str">
        <f t="shared" ref="BD95:BD97" si="764">IF(AND($N95=30,R95=5),"SI",IF(AND($N95=30,R95=0),"NO",""))</f>
        <v/>
      </c>
      <c r="BE95" s="3" t="str">
        <f t="shared" ref="BE95:BE97" si="765">IF(AND($N95=0,R95=5),"SI",IF(AND($N95=0,R95=0),"NO",""))</f>
        <v/>
      </c>
      <c r="BF95" s="3" t="str">
        <f t="shared" ref="BF95:BF97" si="766">IF(AND($N95=30,T95=15),"SI",IF(AND($N95=30,T95=0),"NO",""))</f>
        <v/>
      </c>
      <c r="BG95" s="3" t="str">
        <f t="shared" ref="BG95:BG97" si="767">IF(AND($N95=0,T95=15),"SI",IF(AND($N95=0,T95=0),"NO",""))</f>
        <v/>
      </c>
      <c r="BH95" s="3" t="str">
        <f t="shared" ref="BH95:BH97" si="768">IF(AND($N95=30,H95="Preventivo"),"P",IF(AND($N95=30,H95="Correctivo"),"C",""))</f>
        <v/>
      </c>
      <c r="BI95" s="3" t="str">
        <f t="shared" si="25"/>
        <v/>
      </c>
      <c r="BJ95" s="3" t="str">
        <f t="shared" si="26"/>
        <v/>
      </c>
      <c r="BK95" s="3" t="str">
        <f t="shared" si="27"/>
        <v/>
      </c>
      <c r="BL95" s="3" t="str">
        <f t="shared" ref="BL95:BL97" si="769">IF(AND($N95=30,V95=10),"SI",IF(AND($N95=30,V95=0),"NO",""))</f>
        <v/>
      </c>
      <c r="BM95" s="3" t="str">
        <f t="shared" ref="BM95:BM97" si="770">IF(AND($N95=0,V95=10),"SI",IF(AND($N95=0,V95=0),"NO",""))</f>
        <v/>
      </c>
    </row>
    <row r="96" spans="1:65" ht="36" customHeight="1" x14ac:dyDescent="0.2">
      <c r="A96" s="494"/>
      <c r="B96" s="496"/>
      <c r="C96" s="248">
        <v>2</v>
      </c>
      <c r="D96" s="56"/>
      <c r="E96" s="240" t="str">
        <f t="shared" si="4"/>
        <v/>
      </c>
      <c r="F96" s="44"/>
      <c r="G96" s="18" t="str">
        <f t="shared" si="742"/>
        <v/>
      </c>
      <c r="H96" s="44"/>
      <c r="I96" s="18" t="str">
        <f t="shared" si="743"/>
        <v/>
      </c>
      <c r="J96" s="55" t="str">
        <f t="shared" si="744"/>
        <v/>
      </c>
      <c r="K96" s="43"/>
      <c r="L96" s="18" t="str">
        <f t="shared" si="745"/>
        <v/>
      </c>
      <c r="M96" s="43"/>
      <c r="N96" s="18" t="str">
        <f t="shared" si="746"/>
        <v/>
      </c>
      <c r="O96" s="43"/>
      <c r="P96" s="18" t="str">
        <f t="shared" si="747"/>
        <v/>
      </c>
      <c r="Q96" s="43"/>
      <c r="R96" s="18" t="str">
        <f t="shared" si="748"/>
        <v/>
      </c>
      <c r="S96" s="43"/>
      <c r="T96" s="18" t="str">
        <f t="shared" si="749"/>
        <v/>
      </c>
      <c r="U96" s="43"/>
      <c r="V96" s="18" t="str">
        <f t="shared" si="750"/>
        <v/>
      </c>
      <c r="W96" s="18">
        <f t="shared" si="751"/>
        <v>0</v>
      </c>
      <c r="X96" s="57" t="str">
        <f t="shared" ref="X96:X97" si="771">IF(ISBLANK(D96),"",IF(D96="NO",0,IF(D96="SI",IF(OR(G96="Decripcion",I96="Tipo",L96="P1",N96="P2",P96="P3",R96="P4",T96="P5",V96="P6"),CONCATENATE("Falta diligenciar: ",G96," ",I96,IF(L96="P1"," Preg 1",),IF(N96="P2"," Preg 2",),IF(P96="P3"," Preg 3",),IF(R96="P4"," Preg 4",),IF(T96="P5"," Preg 5",),IF(V96="P6"," Preg 6",)),IF(AND(W96&gt;76,J96="Posibilidad"),CONCATENATE(W96,"                           Disminuye en ",J96),W96)))))</f>
        <v/>
      </c>
      <c r="Y96" s="57">
        <f t="shared" ref="Y96:Y97" si="772">IF(AND(W96&gt;75,W96&lt;101,J96="Posibilidad"),1,0)</f>
        <v>0</v>
      </c>
      <c r="Z96" s="248"/>
      <c r="AA96" s="498"/>
      <c r="AB96" s="500"/>
      <c r="AC96" s="3" t="s">
        <v>352</v>
      </c>
      <c r="AF96" s="501"/>
      <c r="AG96" s="46" t="str">
        <f>IF(AG95&gt;0,"- Evitar Posibilidad de Ocurrencia- Reducir el Riesgo","")</f>
        <v>- Evitar Posibilidad de Ocurrencia- Reducir el Riesgo</v>
      </c>
      <c r="AH96" s="46"/>
      <c r="AI96" s="46"/>
      <c r="AJ96" s="46"/>
      <c r="AK96" s="46"/>
      <c r="AL96" s="46"/>
      <c r="AM96" s="3" t="str">
        <f t="shared" si="752"/>
        <v/>
      </c>
      <c r="AN96" s="3" t="str">
        <f t="shared" si="753"/>
        <v/>
      </c>
      <c r="AO96" s="3" t="str">
        <f t="shared" si="754"/>
        <v/>
      </c>
      <c r="AP96" s="3" t="str">
        <f t="shared" si="755"/>
        <v/>
      </c>
      <c r="AQ96" s="3" t="str">
        <f>IF(AQ95="Documentar",AQ95,AM96)</f>
        <v/>
      </c>
      <c r="AR96" s="3" t="str">
        <f t="shared" ref="AR96:AR97" si="773">IF(AR95="Asignar responsable",AR95,AN96)</f>
        <v/>
      </c>
      <c r="AT96" s="3" t="str">
        <f t="shared" ref="AT96:AT97" si="774">IF(AT95="Establecer periodos de seguimiento adecuados",AT95,AO96)</f>
        <v/>
      </c>
      <c r="AV96" s="3" t="str">
        <f t="shared" ref="AV96:AV97" si="775">IF(AV95="Guardar Evidencias",AV95,AP96)</f>
        <v/>
      </c>
      <c r="AX96" s="502"/>
      <c r="AY96" s="502"/>
      <c r="AZ96" s="502"/>
      <c r="BA96" s="502"/>
      <c r="BB96" s="3" t="str">
        <f t="shared" si="762"/>
        <v/>
      </c>
      <c r="BC96" s="3" t="str">
        <f t="shared" si="763"/>
        <v/>
      </c>
      <c r="BD96" s="3" t="str">
        <f t="shared" si="764"/>
        <v/>
      </c>
      <c r="BE96" s="3" t="str">
        <f t="shared" si="765"/>
        <v/>
      </c>
      <c r="BF96" s="3" t="str">
        <f t="shared" si="766"/>
        <v/>
      </c>
      <c r="BG96" s="3" t="str">
        <f t="shared" si="767"/>
        <v/>
      </c>
      <c r="BH96" s="3" t="str">
        <f t="shared" si="768"/>
        <v/>
      </c>
      <c r="BI96" s="3" t="str">
        <f t="shared" si="25"/>
        <v/>
      </c>
      <c r="BJ96" s="3" t="str">
        <f t="shared" si="26"/>
        <v/>
      </c>
      <c r="BK96" s="3" t="str">
        <f t="shared" si="27"/>
        <v/>
      </c>
      <c r="BL96" s="3" t="str">
        <f t="shared" si="769"/>
        <v/>
      </c>
      <c r="BM96" s="3" t="str">
        <f t="shared" si="770"/>
        <v/>
      </c>
    </row>
    <row r="97" spans="1:65" ht="36" customHeight="1" thickBot="1" x14ac:dyDescent="0.25">
      <c r="A97" s="495"/>
      <c r="B97" s="496"/>
      <c r="C97" s="248">
        <v>3</v>
      </c>
      <c r="D97" s="56"/>
      <c r="E97" s="240" t="str">
        <f t="shared" si="4"/>
        <v/>
      </c>
      <c r="F97" s="44"/>
      <c r="G97" s="18" t="str">
        <f t="shared" si="742"/>
        <v/>
      </c>
      <c r="H97" s="44"/>
      <c r="I97" s="18" t="str">
        <f t="shared" si="743"/>
        <v/>
      </c>
      <c r="J97" s="55" t="str">
        <f t="shared" si="744"/>
        <v/>
      </c>
      <c r="K97" s="43"/>
      <c r="L97" s="18" t="str">
        <f t="shared" si="745"/>
        <v/>
      </c>
      <c r="M97" s="43"/>
      <c r="N97" s="18" t="str">
        <f t="shared" si="746"/>
        <v/>
      </c>
      <c r="O97" s="43"/>
      <c r="P97" s="18" t="str">
        <f t="shared" si="747"/>
        <v/>
      </c>
      <c r="Q97" s="43"/>
      <c r="R97" s="18" t="str">
        <f t="shared" si="748"/>
        <v/>
      </c>
      <c r="S97" s="43"/>
      <c r="T97" s="18" t="str">
        <f t="shared" si="749"/>
        <v/>
      </c>
      <c r="U97" s="43"/>
      <c r="V97" s="18" t="str">
        <f t="shared" si="750"/>
        <v/>
      </c>
      <c r="W97" s="18">
        <f t="shared" si="751"/>
        <v>0</v>
      </c>
      <c r="X97" s="57" t="str">
        <f t="shared" si="771"/>
        <v/>
      </c>
      <c r="Y97" s="57">
        <f t="shared" si="772"/>
        <v>0</v>
      </c>
      <c r="Z97" s="248"/>
      <c r="AA97" s="499"/>
      <c r="AB97" s="500"/>
      <c r="AM97" s="3" t="str">
        <f t="shared" si="752"/>
        <v/>
      </c>
      <c r="AN97" s="3" t="str">
        <f t="shared" si="753"/>
        <v/>
      </c>
      <c r="AO97" s="3" t="str">
        <f t="shared" si="754"/>
        <v/>
      </c>
      <c r="AP97" s="3" t="str">
        <f t="shared" si="755"/>
        <v/>
      </c>
      <c r="AQ97" s="3" t="str">
        <f>IF(AQ96="Documentar",AQ96,AM97)</f>
        <v/>
      </c>
      <c r="AR97" s="3" t="str">
        <f t="shared" si="773"/>
        <v/>
      </c>
      <c r="AS97" s="3" t="str">
        <f>IF(AND(AQ97="Documentar",AR97="Asignar responsable"),CONCATENATE("- ",AQ97,", ",AR97),IF(AQ97="Documentar",CONCATENATE("- ",AQ97),IF(AR97="Asignar responsable",CONCATENATE("- ",AR97),"")))</f>
        <v/>
      </c>
      <c r="AT97" s="3" t="str">
        <f t="shared" si="774"/>
        <v/>
      </c>
      <c r="AU97" s="3" t="str">
        <f t="shared" ref="AU97" si="776">IF(AT97="",AS97,IF(AS97="",CONCATENATE("- ",AT97),CONCATENATE(AS97,", ",AT97)))</f>
        <v/>
      </c>
      <c r="AV97" s="3" t="str">
        <f t="shared" si="775"/>
        <v/>
      </c>
      <c r="AW97" s="3" t="str">
        <f t="shared" ref="AW97" si="777">IF(AV97="",AU97,IF(AU97="",CONCATENATE("- ",AV97),CONCATENATE(AU97,", ",AV97)))</f>
        <v/>
      </c>
      <c r="AX97" s="502"/>
      <c r="AY97" s="502"/>
      <c r="AZ97" s="502"/>
      <c r="BA97" s="502"/>
      <c r="BB97" s="3" t="str">
        <f t="shared" si="762"/>
        <v/>
      </c>
      <c r="BC97" s="3" t="str">
        <f t="shared" si="763"/>
        <v/>
      </c>
      <c r="BD97" s="3" t="str">
        <f t="shared" si="764"/>
        <v/>
      </c>
      <c r="BE97" s="3" t="str">
        <f t="shared" si="765"/>
        <v/>
      </c>
      <c r="BF97" s="3" t="str">
        <f t="shared" si="766"/>
        <v/>
      </c>
      <c r="BG97" s="3" t="str">
        <f t="shared" si="767"/>
        <v/>
      </c>
      <c r="BH97" s="3" t="str">
        <f t="shared" si="768"/>
        <v/>
      </c>
      <c r="BI97" s="3" t="str">
        <f t="shared" si="25"/>
        <v/>
      </c>
      <c r="BJ97" s="3" t="str">
        <f t="shared" si="26"/>
        <v/>
      </c>
      <c r="BK97" s="3" t="str">
        <f t="shared" si="27"/>
        <v/>
      </c>
      <c r="BL97" s="3" t="str">
        <f t="shared" si="769"/>
        <v/>
      </c>
      <c r="BM97" s="3" t="str">
        <f t="shared" si="770"/>
        <v/>
      </c>
    </row>
    <row r="98" spans="1:65" ht="36" customHeight="1" thickTop="1" x14ac:dyDescent="0.2">
      <c r="A98" s="493" t="str">
        <f>IDENTIFICACIÓN!C39</f>
        <v>2C</v>
      </c>
      <c r="B98" s="496" t="str">
        <f>IF(IDENTIFICACIÓN!D39="","",IDENTIFICACIÓN!D39)</f>
        <v>Dirección y Planeación. Ausencia o debilidad de procesos y procedimientos para la gestión administrativa y misional</v>
      </c>
      <c r="C98" s="248">
        <v>1</v>
      </c>
      <c r="D98" s="56" t="s">
        <v>11</v>
      </c>
      <c r="E98" s="240">
        <f t="shared" si="4"/>
        <v>10</v>
      </c>
      <c r="F98" s="44" t="s">
        <v>613</v>
      </c>
      <c r="G98" s="18" t="str">
        <f t="shared" ref="G98:G100" si="778">IF($D98="SI",IF(ISBLANK(F98),"Decripcion",""),"")</f>
        <v/>
      </c>
      <c r="H98" s="44" t="s">
        <v>20</v>
      </c>
      <c r="I98" s="18" t="str">
        <f t="shared" ref="I98:I100" si="779">IF($D98="SI",IF(ISBLANK(H98),"Tipo",""),"")</f>
        <v/>
      </c>
      <c r="J98" s="55" t="str">
        <f t="shared" si="744"/>
        <v>Posibilidad</v>
      </c>
      <c r="K98" s="43" t="s">
        <v>11</v>
      </c>
      <c r="L98" s="18">
        <f t="shared" ref="L98:L100" si="780">IF($D98="SI",IF(K98="SI",15,IF(K98="NO",0,"P1")),"")</f>
        <v>15</v>
      </c>
      <c r="M98" s="43" t="s">
        <v>11</v>
      </c>
      <c r="N98" s="18">
        <f t="shared" ref="N98:N100" si="781">IF($D98="SI",IF(M98="SI",30,IF(M98="NO",0,"P2")),"")</f>
        <v>30</v>
      </c>
      <c r="O98" s="43" t="s">
        <v>323</v>
      </c>
      <c r="P98" s="18">
        <f t="shared" ref="P98:P100" si="782">IF($D98="SI",IF(O98="Automático",15,IF(O98="Manual",10,"P3")),"")</f>
        <v>10</v>
      </c>
      <c r="Q98" s="43" t="s">
        <v>11</v>
      </c>
      <c r="R98" s="18">
        <f t="shared" ref="R98:R100" si="783">IF($D98="SI",IF(Q98="SI",5,IF(Q98="NO",0,"P4")),"")</f>
        <v>5</v>
      </c>
      <c r="S98" s="43" t="s">
        <v>11</v>
      </c>
      <c r="T98" s="18">
        <f t="shared" ref="T98:T100" si="784">IF($D98="SI",IF(S98="SI",15,IF(S98="NO",0,"P5")),"")</f>
        <v>15</v>
      </c>
      <c r="U98" s="43" t="s">
        <v>11</v>
      </c>
      <c r="V98" s="18">
        <f t="shared" ref="V98:V100" si="785">IF($D98="SI",IF(U98="SI",10,IF(U98="NO",0,"P6")),"")</f>
        <v>10</v>
      </c>
      <c r="W98" s="18">
        <f t="shared" ref="W98:W100" si="786">IF(D98="SI",E98+L98+N98+P98+R98+T98+V98,0)</f>
        <v>95</v>
      </c>
      <c r="X98" s="57" t="str">
        <f>IF(ISBLANK(D98),"",IF(D98="NO",0,IF(D98="SI",IF(OR(G98="Decripcion",I98="Tipo",L98="P1",N98="P2",P98="P3",R98="P4",T98="P5",V98="P6"),CONCATENATE("Falta diligenciar: ",G98," ",I98,IF(L98="P1"," Preg 1",),IF(N98="P2"," Preg 2",),IF(P98="P3"," Preg 3",),IF(R98="P4"," Preg 4",),IF(T98="P5"," Preg 5",),IF(V98="P6"," Preg 6",)),IF(AND(W98&gt;76,J98="Posibilidad"),CONCATENATE(W98,"                           Disminuye en ",J98),W98)))))</f>
        <v>95                           Disminuye en Posibilidad</v>
      </c>
      <c r="Y98" s="57">
        <f>IF(AND(W98&gt;75,W98&lt;101,J98="Posibilidad"),1,0)</f>
        <v>1</v>
      </c>
      <c r="Z98" s="248"/>
      <c r="AA98" s="497">
        <f>IF(AB98=0,"",(ROUND((SUM(W98:W100)/AB98),0)))</f>
        <v>95</v>
      </c>
      <c r="AB98" s="500">
        <f>COUNT(T98:T100)</f>
        <v>1</v>
      </c>
      <c r="AC98" s="3">
        <f>SUM(Y98:Y100)</f>
        <v>1</v>
      </c>
      <c r="AD98" s="3">
        <f>ANALISIS!D41</f>
        <v>3</v>
      </c>
      <c r="AE98" s="3">
        <f>IF(AND(AD98=5,AC98&gt;1),3,AD98)</f>
        <v>3</v>
      </c>
      <c r="AF98" s="501">
        <f>AE98</f>
        <v>3</v>
      </c>
      <c r="AG98" s="306" t="str">
        <f>IF(AF98=3,"MODERADA",IF(AF98=5,"EXTREMA",""))</f>
        <v>MODERADA</v>
      </c>
      <c r="AH98" s="46"/>
      <c r="AI98" s="46"/>
      <c r="AJ98" s="46"/>
      <c r="AK98" s="46"/>
      <c r="AL98" s="46"/>
      <c r="AM98" s="3" t="str">
        <f t="shared" ref="AM98:AM100" si="787">IF(AND(N98=30,L98=0),$AM$8,"")</f>
        <v/>
      </c>
      <c r="AN98" s="3" t="str">
        <f t="shared" ref="AN98:AN100" si="788">IF(AND(N98=30,R98=0),$AN$8,"")</f>
        <v/>
      </c>
      <c r="AO98" s="3" t="str">
        <f t="shared" ref="AO98:AO100" si="789">IF(AND(N98=30,T98=0),$AO$8,"")</f>
        <v/>
      </c>
      <c r="AP98" s="3" t="str">
        <f t="shared" ref="AP98:AP100" si="790">IF(AND(N98=30,V98=0),$AP$8,"")</f>
        <v/>
      </c>
      <c r="AQ98" s="3" t="str">
        <f>AM98</f>
        <v/>
      </c>
      <c r="AR98" s="3" t="str">
        <f t="shared" ref="AR98" si="791">AN98</f>
        <v/>
      </c>
      <c r="AT98" s="3" t="str">
        <f t="shared" ref="AT98" si="792">AO98</f>
        <v/>
      </c>
      <c r="AV98" s="3" t="str">
        <f t="shared" ref="AV98" si="793">AP98</f>
        <v/>
      </c>
      <c r="AX98" s="502" t="str">
        <f t="shared" ref="AX98" si="794">IF(AW100="","",CONCATENATE(AW100," (de) el(los) control(es) Efectivo(s) "))</f>
        <v/>
      </c>
      <c r="AY98" s="502" t="str">
        <f t="shared" ref="AY98" si="795">IF(CONCATENATE(N98:N100)="","",IF(AND(SUM(E98:E100)=10,SUM(N98:N100)&lt;30),"- Replantear control(es) NO efectivo(s) ",IF(AND(SUM(E98:E100)=20,SUM(N98:N100)&lt;60),"- Replantear control(es) NO efectivo(s) ",IF(AND(SUM(E98:E100)=30,SUM(N98:N100)&lt;90),"- Replantear control(es) NO efectivo(s) ",""))))</f>
        <v/>
      </c>
      <c r="AZ98" s="502" t="str">
        <f>IF(AND(AE98&gt;1,AE99&gt;1),"- Tomar Acciones Preventivas y Correctivas",IF(AE98&gt;1,"- Tomar Acciones Preventivas",IF(AE99&gt;1,"- Tomar Acciones Correctivas","")))</f>
        <v>- Tomar Acciones Preventivas</v>
      </c>
      <c r="BA98" s="502" t="str">
        <f t="shared" ref="BA98" si="796">CONCATENATE(AX98,AY98,AZ98)</f>
        <v>- Tomar Acciones Preventivas</v>
      </c>
      <c r="BB98" s="3" t="str">
        <f t="shared" ref="BB98:BB100" si="797">IF(AND($N98=30,L98=15),"SI",IF(AND($N98=30,L98=0),"NO",""))</f>
        <v>SI</v>
      </c>
      <c r="BC98" s="3" t="str">
        <f t="shared" ref="BC98:BC100" si="798">IF(AND($N98=0,L98=15),"SI",IF(AND($N98=0,L98=0),"NO",""))</f>
        <v/>
      </c>
      <c r="BD98" s="3" t="str">
        <f t="shared" ref="BD98:BD100" si="799">IF(AND($N98=30,R98=5),"SI",IF(AND($N98=30,R98=0),"NO",""))</f>
        <v>SI</v>
      </c>
      <c r="BE98" s="3" t="str">
        <f t="shared" ref="BE98:BE100" si="800">IF(AND($N98=0,R98=5),"SI",IF(AND($N98=0,R98=0),"NO",""))</f>
        <v/>
      </c>
      <c r="BF98" s="3" t="str">
        <f t="shared" ref="BF98:BF100" si="801">IF(AND($N98=30,T98=15),"SI",IF(AND($N98=30,T98=0),"NO",""))</f>
        <v>SI</v>
      </c>
      <c r="BG98" s="3" t="str">
        <f t="shared" ref="BG98:BG100" si="802">IF(AND($N98=0,T98=15),"SI",IF(AND($N98=0,T98=0),"NO",""))</f>
        <v/>
      </c>
      <c r="BH98" s="3" t="str">
        <f t="shared" ref="BH98:BH100" si="803">IF(AND($N98=30,H98="Preventivo"),"P",IF(AND($N98=30,H98="Correctivo"),"C",""))</f>
        <v>P</v>
      </c>
      <c r="BI98" s="3" t="str">
        <f t="shared" si="25"/>
        <v/>
      </c>
      <c r="BJ98" s="3" t="str">
        <f t="shared" si="26"/>
        <v>M</v>
      </c>
      <c r="BK98" s="3" t="str">
        <f t="shared" si="27"/>
        <v/>
      </c>
      <c r="BL98" s="3" t="str">
        <f t="shared" ref="BL98:BL100" si="804">IF(AND($N98=30,V98=10),"SI",IF(AND($N98=30,V98=0),"NO",""))</f>
        <v>SI</v>
      </c>
      <c r="BM98" s="3" t="str">
        <f t="shared" ref="BM98:BM100" si="805">IF(AND($N98=0,V98=10),"SI",IF(AND($N98=0,V98=0),"NO",""))</f>
        <v/>
      </c>
    </row>
    <row r="99" spans="1:65" ht="36" customHeight="1" x14ac:dyDescent="0.2">
      <c r="A99" s="494"/>
      <c r="B99" s="496"/>
      <c r="C99" s="248">
        <v>2</v>
      </c>
      <c r="D99" s="56"/>
      <c r="E99" s="240" t="str">
        <f t="shared" si="4"/>
        <v/>
      </c>
      <c r="F99" s="44"/>
      <c r="G99" s="18" t="str">
        <f t="shared" si="778"/>
        <v/>
      </c>
      <c r="H99" s="44"/>
      <c r="I99" s="18" t="str">
        <f t="shared" si="779"/>
        <v/>
      </c>
      <c r="J99" s="55" t="str">
        <f t="shared" si="744"/>
        <v/>
      </c>
      <c r="K99" s="43"/>
      <c r="L99" s="18" t="str">
        <f t="shared" si="780"/>
        <v/>
      </c>
      <c r="M99" s="43"/>
      <c r="N99" s="18" t="str">
        <f t="shared" si="781"/>
        <v/>
      </c>
      <c r="O99" s="43"/>
      <c r="P99" s="18" t="str">
        <f t="shared" si="782"/>
        <v/>
      </c>
      <c r="Q99" s="43"/>
      <c r="R99" s="18" t="str">
        <f t="shared" si="783"/>
        <v/>
      </c>
      <c r="S99" s="43"/>
      <c r="T99" s="18" t="str">
        <f t="shared" si="784"/>
        <v/>
      </c>
      <c r="U99" s="43"/>
      <c r="V99" s="18" t="str">
        <f t="shared" si="785"/>
        <v/>
      </c>
      <c r="W99" s="18">
        <f t="shared" si="786"/>
        <v>0</v>
      </c>
      <c r="X99" s="57" t="str">
        <f t="shared" ref="X99:X100" si="806">IF(ISBLANK(D99),"",IF(D99="NO",0,IF(D99="SI",IF(OR(G99="Decripcion",I99="Tipo",L99="P1",N99="P2",P99="P3",R99="P4",T99="P5",V99="P6"),CONCATENATE("Falta diligenciar: ",G99," ",I99,IF(L99="P1"," Preg 1",),IF(N99="P2"," Preg 2",),IF(P99="P3"," Preg 3",),IF(R99="P4"," Preg 4",),IF(T99="P5"," Preg 5",),IF(V99="P6"," Preg 6",)),IF(AND(W99&gt;76,J99="Posibilidad"),CONCATENATE(W99,"                           Disminuye en ",J99),W99)))))</f>
        <v/>
      </c>
      <c r="Y99" s="57">
        <f t="shared" ref="Y99:Y100" si="807">IF(AND(W99&gt;75,W99&lt;101,J99="Posibilidad"),1,0)</f>
        <v>0</v>
      </c>
      <c r="Z99" s="248"/>
      <c r="AA99" s="498"/>
      <c r="AB99" s="500"/>
      <c r="AC99" s="3" t="s">
        <v>352</v>
      </c>
      <c r="AF99" s="501"/>
      <c r="AG99" s="46" t="str">
        <f>IF(AG98&gt;0,"- Evitar Posibilidad de Ocurrencia- Reducir el Riesgo","")</f>
        <v>- Evitar Posibilidad de Ocurrencia- Reducir el Riesgo</v>
      </c>
      <c r="AH99" s="46"/>
      <c r="AI99" s="46"/>
      <c r="AJ99" s="46"/>
      <c r="AK99" s="46"/>
      <c r="AL99" s="46"/>
      <c r="AM99" s="3" t="str">
        <f t="shared" si="787"/>
        <v/>
      </c>
      <c r="AN99" s="3" t="str">
        <f t="shared" si="788"/>
        <v/>
      </c>
      <c r="AO99" s="3" t="str">
        <f t="shared" si="789"/>
        <v/>
      </c>
      <c r="AP99" s="3" t="str">
        <f t="shared" si="790"/>
        <v/>
      </c>
      <c r="AQ99" s="3" t="str">
        <f>IF(AQ98="Documentar",AQ98,AM99)</f>
        <v/>
      </c>
      <c r="AR99" s="3" t="str">
        <f t="shared" ref="AR99:AR100" si="808">IF(AR98="Asignar responsable",AR98,AN99)</f>
        <v/>
      </c>
      <c r="AT99" s="3" t="str">
        <f t="shared" ref="AT99:AT100" si="809">IF(AT98="Establecer periodos de seguimiento adecuados",AT98,AO99)</f>
        <v/>
      </c>
      <c r="AV99" s="3" t="str">
        <f t="shared" ref="AV99:AV100" si="810">IF(AV98="Guardar Evidencias",AV98,AP99)</f>
        <v/>
      </c>
      <c r="AX99" s="502"/>
      <c r="AY99" s="502"/>
      <c r="AZ99" s="502"/>
      <c r="BA99" s="502"/>
      <c r="BB99" s="3" t="str">
        <f t="shared" si="797"/>
        <v/>
      </c>
      <c r="BC99" s="3" t="str">
        <f t="shared" si="798"/>
        <v/>
      </c>
      <c r="BD99" s="3" t="str">
        <f t="shared" si="799"/>
        <v/>
      </c>
      <c r="BE99" s="3" t="str">
        <f t="shared" si="800"/>
        <v/>
      </c>
      <c r="BF99" s="3" t="str">
        <f t="shared" si="801"/>
        <v/>
      </c>
      <c r="BG99" s="3" t="str">
        <f t="shared" si="802"/>
        <v/>
      </c>
      <c r="BH99" s="3" t="str">
        <f t="shared" si="803"/>
        <v/>
      </c>
      <c r="BI99" s="3" t="str">
        <f t="shared" si="25"/>
        <v/>
      </c>
      <c r="BJ99" s="3" t="str">
        <f t="shared" si="26"/>
        <v/>
      </c>
      <c r="BK99" s="3" t="str">
        <f t="shared" si="27"/>
        <v/>
      </c>
      <c r="BL99" s="3" t="str">
        <f t="shared" si="804"/>
        <v/>
      </c>
      <c r="BM99" s="3" t="str">
        <f t="shared" si="805"/>
        <v/>
      </c>
    </row>
    <row r="100" spans="1:65" ht="36" customHeight="1" thickBot="1" x14ac:dyDescent="0.25">
      <c r="A100" s="495"/>
      <c r="B100" s="496"/>
      <c r="C100" s="248">
        <v>3</v>
      </c>
      <c r="D100" s="56"/>
      <c r="E100" s="240" t="str">
        <f t="shared" si="4"/>
        <v/>
      </c>
      <c r="F100" s="44"/>
      <c r="G100" s="18" t="str">
        <f t="shared" si="778"/>
        <v/>
      </c>
      <c r="H100" s="44"/>
      <c r="I100" s="18" t="str">
        <f t="shared" si="779"/>
        <v/>
      </c>
      <c r="J100" s="55" t="str">
        <f t="shared" si="744"/>
        <v/>
      </c>
      <c r="K100" s="43"/>
      <c r="L100" s="18" t="str">
        <f t="shared" si="780"/>
        <v/>
      </c>
      <c r="M100" s="43"/>
      <c r="N100" s="18" t="str">
        <f t="shared" si="781"/>
        <v/>
      </c>
      <c r="O100" s="43"/>
      <c r="P100" s="18" t="str">
        <f t="shared" si="782"/>
        <v/>
      </c>
      <c r="Q100" s="43"/>
      <c r="R100" s="18" t="str">
        <f t="shared" si="783"/>
        <v/>
      </c>
      <c r="S100" s="43"/>
      <c r="T100" s="18" t="str">
        <f t="shared" si="784"/>
        <v/>
      </c>
      <c r="U100" s="43"/>
      <c r="V100" s="18" t="str">
        <f t="shared" si="785"/>
        <v/>
      </c>
      <c r="W100" s="18">
        <f t="shared" si="786"/>
        <v>0</v>
      </c>
      <c r="X100" s="57" t="str">
        <f t="shared" si="806"/>
        <v/>
      </c>
      <c r="Y100" s="57">
        <f t="shared" si="807"/>
        <v>0</v>
      </c>
      <c r="Z100" s="248"/>
      <c r="AA100" s="499"/>
      <c r="AB100" s="500"/>
      <c r="AM100" s="3" t="str">
        <f t="shared" si="787"/>
        <v/>
      </c>
      <c r="AN100" s="3" t="str">
        <f t="shared" si="788"/>
        <v/>
      </c>
      <c r="AO100" s="3" t="str">
        <f t="shared" si="789"/>
        <v/>
      </c>
      <c r="AP100" s="3" t="str">
        <f t="shared" si="790"/>
        <v/>
      </c>
      <c r="AQ100" s="3" t="str">
        <f>IF(AQ99="Documentar",AQ99,AM100)</f>
        <v/>
      </c>
      <c r="AR100" s="3" t="str">
        <f t="shared" si="808"/>
        <v/>
      </c>
      <c r="AS100" s="3" t="str">
        <f>IF(AND(AQ100="Documentar",AR100="Asignar responsable"),CONCATENATE("- ",AQ100,", ",AR100),IF(AQ100="Documentar",CONCATENATE("- ",AQ100),IF(AR100="Asignar responsable",CONCATENATE("- ",AR100),"")))</f>
        <v/>
      </c>
      <c r="AT100" s="3" t="str">
        <f t="shared" si="809"/>
        <v/>
      </c>
      <c r="AU100" s="3" t="str">
        <f t="shared" ref="AU100" si="811">IF(AT100="",AS100,IF(AS100="",CONCATENATE("- ",AT100),CONCATENATE(AS100,", ",AT100)))</f>
        <v/>
      </c>
      <c r="AV100" s="3" t="str">
        <f t="shared" si="810"/>
        <v/>
      </c>
      <c r="AW100" s="3" t="str">
        <f t="shared" ref="AW100" si="812">IF(AV100="",AU100,IF(AU100="",CONCATENATE("- ",AV100),CONCATENATE(AU100,", ",AV100)))</f>
        <v/>
      </c>
      <c r="AX100" s="502"/>
      <c r="AY100" s="502"/>
      <c r="AZ100" s="502"/>
      <c r="BA100" s="502"/>
      <c r="BB100" s="3" t="str">
        <f t="shared" si="797"/>
        <v/>
      </c>
      <c r="BC100" s="3" t="str">
        <f t="shared" si="798"/>
        <v/>
      </c>
      <c r="BD100" s="3" t="str">
        <f t="shared" si="799"/>
        <v/>
      </c>
      <c r="BE100" s="3" t="str">
        <f t="shared" si="800"/>
        <v/>
      </c>
      <c r="BF100" s="3" t="str">
        <f t="shared" si="801"/>
        <v/>
      </c>
      <c r="BG100" s="3" t="str">
        <f t="shared" si="802"/>
        <v/>
      </c>
      <c r="BH100" s="3" t="str">
        <f t="shared" si="803"/>
        <v/>
      </c>
      <c r="BI100" s="3" t="str">
        <f t="shared" si="25"/>
        <v/>
      </c>
      <c r="BJ100" s="3" t="str">
        <f t="shared" si="26"/>
        <v/>
      </c>
      <c r="BK100" s="3" t="str">
        <f t="shared" si="27"/>
        <v/>
      </c>
      <c r="BL100" s="3" t="str">
        <f t="shared" si="804"/>
        <v/>
      </c>
      <c r="BM100" s="3" t="str">
        <f t="shared" si="805"/>
        <v/>
      </c>
    </row>
    <row r="101" spans="1:65" ht="36" customHeight="1" thickTop="1" x14ac:dyDescent="0.2">
      <c r="A101" s="493" t="str">
        <f>IDENTIFICACIÓN!C40</f>
        <v>3C</v>
      </c>
      <c r="B101" s="496" t="str">
        <f>IF(IDENTIFICACIÓN!D40="","",IDENTIFICACIÓN!D40)</f>
        <v>Dirección y Planeación. Prevaricato</v>
      </c>
      <c r="C101" s="248">
        <v>1</v>
      </c>
      <c r="D101" s="56" t="s">
        <v>11</v>
      </c>
      <c r="E101" s="240">
        <f t="shared" si="4"/>
        <v>10</v>
      </c>
      <c r="F101" s="44" t="s">
        <v>614</v>
      </c>
      <c r="G101" s="18" t="str">
        <f t="shared" ref="G101:G103" si="813">IF($D101="SI",IF(ISBLANK(F101),"Decripcion",""),"")</f>
        <v/>
      </c>
      <c r="H101" s="44" t="s">
        <v>20</v>
      </c>
      <c r="I101" s="18" t="str">
        <f t="shared" ref="I101:I103" si="814">IF($D101="SI",IF(ISBLANK(H101),"Tipo",""),"")</f>
        <v/>
      </c>
      <c r="J101" s="55" t="str">
        <f t="shared" si="744"/>
        <v>Posibilidad</v>
      </c>
      <c r="K101" s="43" t="s">
        <v>11</v>
      </c>
      <c r="L101" s="18">
        <f t="shared" ref="L101:L103" si="815">IF($D101="SI",IF(K101="SI",15,IF(K101="NO",0,"P1")),"")</f>
        <v>15</v>
      </c>
      <c r="M101" s="43" t="s">
        <v>11</v>
      </c>
      <c r="N101" s="18">
        <f t="shared" ref="N101:N103" si="816">IF($D101="SI",IF(M101="SI",30,IF(M101="NO",0,"P2")),"")</f>
        <v>30</v>
      </c>
      <c r="O101" s="43" t="s">
        <v>323</v>
      </c>
      <c r="P101" s="18">
        <f t="shared" ref="P101:P103" si="817">IF($D101="SI",IF(O101="Automático",15,IF(O101="Manual",10,"P3")),"")</f>
        <v>10</v>
      </c>
      <c r="Q101" s="43" t="s">
        <v>11</v>
      </c>
      <c r="R101" s="18">
        <f t="shared" ref="R101:R103" si="818">IF($D101="SI",IF(Q101="SI",5,IF(Q101="NO",0,"P4")),"")</f>
        <v>5</v>
      </c>
      <c r="S101" s="43" t="s">
        <v>11</v>
      </c>
      <c r="T101" s="18">
        <f t="shared" ref="T101:T103" si="819">IF($D101="SI",IF(S101="SI",15,IF(S101="NO",0,"P5")),"")</f>
        <v>15</v>
      </c>
      <c r="U101" s="43" t="s">
        <v>11</v>
      </c>
      <c r="V101" s="18">
        <f t="shared" ref="V101:V103" si="820">IF($D101="SI",IF(U101="SI",10,IF(U101="NO",0,"P6")),"")</f>
        <v>10</v>
      </c>
      <c r="W101" s="18">
        <f t="shared" ref="W101:W103" si="821">IF(D101="SI",E101+L101+N101+P101+R101+T101+V101,0)</f>
        <v>95</v>
      </c>
      <c r="X101" s="57" t="str">
        <f>IF(ISBLANK(D101),"",IF(D101="NO",0,IF(D101="SI",IF(OR(G101="Decripcion",I101="Tipo",L101="P1",N101="P2",P101="P3",R101="P4",T101="P5",V101="P6"),CONCATENATE("Falta diligenciar: ",G101," ",I101,IF(L101="P1"," Preg 1",),IF(N101="P2"," Preg 2",),IF(P101="P3"," Preg 3",),IF(R101="P4"," Preg 4",),IF(T101="P5"," Preg 5",),IF(V101="P6"," Preg 6",)),IF(AND(W101&gt;76,J101="Posibilidad"),CONCATENATE(W101,"                           Disminuye en ",J101),W101)))))</f>
        <v>95                           Disminuye en Posibilidad</v>
      </c>
      <c r="Y101" s="57">
        <f>IF(AND(W101&gt;75,W101&lt;101,J101="Posibilidad"),1,0)</f>
        <v>1</v>
      </c>
      <c r="Z101" s="248"/>
      <c r="AA101" s="497">
        <f>IF(AB101=0,"",(ROUND((SUM(W101:W103)/AB101),0)))</f>
        <v>95</v>
      </c>
      <c r="AB101" s="500">
        <f>COUNT(T101:T103)</f>
        <v>1</v>
      </c>
      <c r="AC101" s="3">
        <f>SUM(Y101:Y103)</f>
        <v>1</v>
      </c>
      <c r="AD101" s="3">
        <f>ANALISIS!D42</f>
        <v>3</v>
      </c>
      <c r="AE101" s="3">
        <f>IF(AND(AD101=5,AC101&gt;1),3,AD101)</f>
        <v>3</v>
      </c>
      <c r="AF101" s="501">
        <f>AE101</f>
        <v>3</v>
      </c>
      <c r="AG101" s="306" t="str">
        <f>IF(AF101=3,"MODERADA",IF(AF101=5,"EXTREMA",""))</f>
        <v>MODERADA</v>
      </c>
      <c r="AH101" s="46"/>
      <c r="AI101" s="46"/>
      <c r="AJ101" s="46"/>
      <c r="AK101" s="46"/>
      <c r="AL101" s="46"/>
      <c r="AM101" s="3" t="str">
        <f t="shared" ref="AM101:AM103" si="822">IF(AND(N101=30,L101=0),$AM$8,"")</f>
        <v/>
      </c>
      <c r="AN101" s="3" t="str">
        <f t="shared" ref="AN101:AN103" si="823">IF(AND(N101=30,R101=0),$AN$8,"")</f>
        <v/>
      </c>
      <c r="AO101" s="3" t="str">
        <f t="shared" ref="AO101:AO103" si="824">IF(AND(N101=30,T101=0),$AO$8,"")</f>
        <v/>
      </c>
      <c r="AP101" s="3" t="str">
        <f t="shared" ref="AP101:AP103" si="825">IF(AND(N101=30,V101=0),$AP$8,"")</f>
        <v/>
      </c>
      <c r="AQ101" s="3" t="str">
        <f>AM101</f>
        <v/>
      </c>
      <c r="AR101" s="3" t="str">
        <f t="shared" ref="AR101" si="826">AN101</f>
        <v/>
      </c>
      <c r="AT101" s="3" t="str">
        <f t="shared" ref="AT101" si="827">AO101</f>
        <v/>
      </c>
      <c r="AV101" s="3" t="str">
        <f t="shared" ref="AV101" si="828">AP101</f>
        <v/>
      </c>
      <c r="AX101" s="502" t="str">
        <f t="shared" ref="AX101" si="829">IF(AW103="","",CONCATENATE(AW103," (de) el(los) control(es) Efectivo(s) "))</f>
        <v/>
      </c>
      <c r="AY101" s="502" t="str">
        <f t="shared" ref="AY101" si="830">IF(CONCATENATE(N101:N103)="","",IF(AND(SUM(E101:E103)=10,SUM(N101:N103)&lt;30),"- Replantear control(es) NO efectivo(s) ",IF(AND(SUM(E101:E103)=20,SUM(N101:N103)&lt;60),"- Replantear control(es) NO efectivo(s) ",IF(AND(SUM(E101:E103)=30,SUM(N101:N103)&lt;90),"- Replantear control(es) NO efectivo(s) ",""))))</f>
        <v/>
      </c>
      <c r="AZ101" s="502" t="str">
        <f>IF(AND(AE101&gt;1,AE102&gt;1),"- Tomar Acciones Preventivas y Correctivas",IF(AE101&gt;1,"- Tomar Acciones Preventivas",IF(AE102&gt;1,"- Tomar Acciones Correctivas","")))</f>
        <v>- Tomar Acciones Preventivas</v>
      </c>
      <c r="BA101" s="502" t="str">
        <f t="shared" ref="BA101" si="831">CONCATENATE(AX101,AY101,AZ101)</f>
        <v>- Tomar Acciones Preventivas</v>
      </c>
      <c r="BB101" s="3" t="str">
        <f t="shared" ref="BB101:BB103" si="832">IF(AND($N101=30,L101=15),"SI",IF(AND($N101=30,L101=0),"NO",""))</f>
        <v>SI</v>
      </c>
      <c r="BC101" s="3" t="str">
        <f t="shared" ref="BC101:BC103" si="833">IF(AND($N101=0,L101=15),"SI",IF(AND($N101=0,L101=0),"NO",""))</f>
        <v/>
      </c>
      <c r="BD101" s="3" t="str">
        <f t="shared" ref="BD101:BD103" si="834">IF(AND($N101=30,R101=5),"SI",IF(AND($N101=30,R101=0),"NO",""))</f>
        <v>SI</v>
      </c>
      <c r="BE101" s="3" t="str">
        <f t="shared" ref="BE101:BE103" si="835">IF(AND($N101=0,R101=5),"SI",IF(AND($N101=0,R101=0),"NO",""))</f>
        <v/>
      </c>
      <c r="BF101" s="3" t="str">
        <f t="shared" ref="BF101:BF103" si="836">IF(AND($N101=30,T101=15),"SI",IF(AND($N101=30,T101=0),"NO",""))</f>
        <v>SI</v>
      </c>
      <c r="BG101" s="3" t="str">
        <f t="shared" ref="BG101:BG103" si="837">IF(AND($N101=0,T101=15),"SI",IF(AND($N101=0,T101=0),"NO",""))</f>
        <v/>
      </c>
      <c r="BH101" s="3" t="str">
        <f t="shared" ref="BH101:BH103" si="838">IF(AND($N101=30,H101="Preventivo"),"P",IF(AND($N101=30,H101="Correctivo"),"C",""))</f>
        <v>P</v>
      </c>
      <c r="BI101" s="3" t="str">
        <f t="shared" si="25"/>
        <v/>
      </c>
      <c r="BJ101" s="3" t="str">
        <f t="shared" si="26"/>
        <v>M</v>
      </c>
      <c r="BK101" s="3" t="str">
        <f t="shared" si="27"/>
        <v/>
      </c>
      <c r="BL101" s="3" t="str">
        <f t="shared" ref="BL101:BL103" si="839">IF(AND($N101=30,V101=10),"SI",IF(AND($N101=30,V101=0),"NO",""))</f>
        <v>SI</v>
      </c>
      <c r="BM101" s="3" t="str">
        <f t="shared" ref="BM101:BM103" si="840">IF(AND($N101=0,V101=10),"SI",IF(AND($N101=0,V101=0),"NO",""))</f>
        <v/>
      </c>
    </row>
    <row r="102" spans="1:65" ht="36" customHeight="1" x14ac:dyDescent="0.2">
      <c r="A102" s="494"/>
      <c r="B102" s="496"/>
      <c r="C102" s="248">
        <v>2</v>
      </c>
      <c r="D102" s="56"/>
      <c r="E102" s="240" t="str">
        <f t="shared" si="4"/>
        <v/>
      </c>
      <c r="F102" s="44"/>
      <c r="G102" s="18" t="str">
        <f t="shared" si="813"/>
        <v/>
      </c>
      <c r="H102" s="44"/>
      <c r="I102" s="18" t="str">
        <f t="shared" si="814"/>
        <v/>
      </c>
      <c r="J102" s="55" t="str">
        <f t="shared" si="744"/>
        <v/>
      </c>
      <c r="K102" s="43"/>
      <c r="L102" s="18" t="str">
        <f t="shared" si="815"/>
        <v/>
      </c>
      <c r="M102" s="43"/>
      <c r="N102" s="18" t="str">
        <f t="shared" si="816"/>
        <v/>
      </c>
      <c r="O102" s="43"/>
      <c r="P102" s="18" t="str">
        <f t="shared" si="817"/>
        <v/>
      </c>
      <c r="Q102" s="43"/>
      <c r="R102" s="18" t="str">
        <f t="shared" si="818"/>
        <v/>
      </c>
      <c r="S102" s="43"/>
      <c r="T102" s="18" t="str">
        <f t="shared" si="819"/>
        <v/>
      </c>
      <c r="U102" s="43"/>
      <c r="V102" s="18" t="str">
        <f t="shared" si="820"/>
        <v/>
      </c>
      <c r="W102" s="18">
        <f t="shared" si="821"/>
        <v>0</v>
      </c>
      <c r="X102" s="57" t="str">
        <f t="shared" ref="X102:X103" si="841">IF(ISBLANK(D102),"",IF(D102="NO",0,IF(D102="SI",IF(OR(G102="Decripcion",I102="Tipo",L102="P1",N102="P2",P102="P3",R102="P4",T102="P5",V102="P6"),CONCATENATE("Falta diligenciar: ",G102," ",I102,IF(L102="P1"," Preg 1",),IF(N102="P2"," Preg 2",),IF(P102="P3"," Preg 3",),IF(R102="P4"," Preg 4",),IF(T102="P5"," Preg 5",),IF(V102="P6"," Preg 6",)),IF(AND(W102&gt;76,J102="Posibilidad"),CONCATENATE(W102,"                           Disminuye en ",J102),W102)))))</f>
        <v/>
      </c>
      <c r="Y102" s="57">
        <f t="shared" ref="Y102:Y103" si="842">IF(AND(W102&gt;75,W102&lt;101,J102="Posibilidad"),1,0)</f>
        <v>0</v>
      </c>
      <c r="Z102" s="248"/>
      <c r="AA102" s="498"/>
      <c r="AB102" s="500"/>
      <c r="AC102" s="3" t="s">
        <v>352</v>
      </c>
      <c r="AF102" s="501"/>
      <c r="AG102" s="46" t="str">
        <f>IF(AG101&gt;0,"- Evitar Posibilidad de Ocurrencia- Reducir el Riesgo","")</f>
        <v>- Evitar Posibilidad de Ocurrencia- Reducir el Riesgo</v>
      </c>
      <c r="AH102" s="46"/>
      <c r="AI102" s="46"/>
      <c r="AJ102" s="46"/>
      <c r="AK102" s="46"/>
      <c r="AL102" s="46"/>
      <c r="AM102" s="3" t="str">
        <f t="shared" si="822"/>
        <v/>
      </c>
      <c r="AN102" s="3" t="str">
        <f t="shared" si="823"/>
        <v/>
      </c>
      <c r="AO102" s="3" t="str">
        <f t="shared" si="824"/>
        <v/>
      </c>
      <c r="AP102" s="3" t="str">
        <f t="shared" si="825"/>
        <v/>
      </c>
      <c r="AQ102" s="3" t="str">
        <f>IF(AQ101="Documentar",AQ101,AM102)</f>
        <v/>
      </c>
      <c r="AR102" s="3" t="str">
        <f t="shared" ref="AR102:AR103" si="843">IF(AR101="Asignar responsable",AR101,AN102)</f>
        <v/>
      </c>
      <c r="AT102" s="3" t="str">
        <f t="shared" ref="AT102:AT103" si="844">IF(AT101="Establecer periodos de seguimiento adecuados",AT101,AO102)</f>
        <v/>
      </c>
      <c r="AV102" s="3" t="str">
        <f t="shared" ref="AV102:AV103" si="845">IF(AV101="Guardar Evidencias",AV101,AP102)</f>
        <v/>
      </c>
      <c r="AX102" s="502"/>
      <c r="AY102" s="502"/>
      <c r="AZ102" s="502"/>
      <c r="BA102" s="502"/>
      <c r="BB102" s="3" t="str">
        <f t="shared" si="832"/>
        <v/>
      </c>
      <c r="BC102" s="3" t="str">
        <f t="shared" si="833"/>
        <v/>
      </c>
      <c r="BD102" s="3" t="str">
        <f t="shared" si="834"/>
        <v/>
      </c>
      <c r="BE102" s="3" t="str">
        <f t="shared" si="835"/>
        <v/>
      </c>
      <c r="BF102" s="3" t="str">
        <f t="shared" si="836"/>
        <v/>
      </c>
      <c r="BG102" s="3" t="str">
        <f t="shared" si="837"/>
        <v/>
      </c>
      <c r="BH102" s="3" t="str">
        <f t="shared" si="838"/>
        <v/>
      </c>
      <c r="BI102" s="3" t="str">
        <f t="shared" si="25"/>
        <v/>
      </c>
      <c r="BJ102" s="3" t="str">
        <f t="shared" si="26"/>
        <v/>
      </c>
      <c r="BK102" s="3" t="str">
        <f t="shared" si="27"/>
        <v/>
      </c>
      <c r="BL102" s="3" t="str">
        <f t="shared" si="839"/>
        <v/>
      </c>
      <c r="BM102" s="3" t="str">
        <f t="shared" si="840"/>
        <v/>
      </c>
    </row>
    <row r="103" spans="1:65" ht="36" customHeight="1" thickBot="1" x14ac:dyDescent="0.25">
      <c r="A103" s="495"/>
      <c r="B103" s="496"/>
      <c r="C103" s="248">
        <v>3</v>
      </c>
      <c r="D103" s="56"/>
      <c r="E103" s="240" t="str">
        <f t="shared" si="4"/>
        <v/>
      </c>
      <c r="F103" s="44"/>
      <c r="G103" s="18" t="str">
        <f t="shared" si="813"/>
        <v/>
      </c>
      <c r="H103" s="44"/>
      <c r="I103" s="18" t="str">
        <f t="shared" si="814"/>
        <v/>
      </c>
      <c r="J103" s="55" t="str">
        <f t="shared" si="744"/>
        <v/>
      </c>
      <c r="K103" s="43"/>
      <c r="L103" s="18" t="str">
        <f t="shared" si="815"/>
        <v/>
      </c>
      <c r="M103" s="43"/>
      <c r="N103" s="18" t="str">
        <f t="shared" si="816"/>
        <v/>
      </c>
      <c r="O103" s="43"/>
      <c r="P103" s="18" t="str">
        <f t="shared" si="817"/>
        <v/>
      </c>
      <c r="Q103" s="43"/>
      <c r="R103" s="18" t="str">
        <f t="shared" si="818"/>
        <v/>
      </c>
      <c r="S103" s="43"/>
      <c r="T103" s="18" t="str">
        <f t="shared" si="819"/>
        <v/>
      </c>
      <c r="U103" s="43"/>
      <c r="V103" s="18" t="str">
        <f t="shared" si="820"/>
        <v/>
      </c>
      <c r="W103" s="18">
        <f t="shared" si="821"/>
        <v>0</v>
      </c>
      <c r="X103" s="57" t="str">
        <f t="shared" si="841"/>
        <v/>
      </c>
      <c r="Y103" s="57">
        <f t="shared" si="842"/>
        <v>0</v>
      </c>
      <c r="Z103" s="248"/>
      <c r="AA103" s="499"/>
      <c r="AB103" s="500"/>
      <c r="AM103" s="3" t="str">
        <f t="shared" si="822"/>
        <v/>
      </c>
      <c r="AN103" s="3" t="str">
        <f t="shared" si="823"/>
        <v/>
      </c>
      <c r="AO103" s="3" t="str">
        <f t="shared" si="824"/>
        <v/>
      </c>
      <c r="AP103" s="3" t="str">
        <f t="shared" si="825"/>
        <v/>
      </c>
      <c r="AQ103" s="3" t="str">
        <f>IF(AQ102="Documentar",AQ102,AM103)</f>
        <v/>
      </c>
      <c r="AR103" s="3" t="str">
        <f t="shared" si="843"/>
        <v/>
      </c>
      <c r="AS103" s="3" t="str">
        <f>IF(AND(AQ103="Documentar",AR103="Asignar responsable"),CONCATENATE("- ",AQ103,", ",AR103),IF(AQ103="Documentar",CONCATENATE("- ",AQ103),IF(AR103="Asignar responsable",CONCATENATE("- ",AR103),"")))</f>
        <v/>
      </c>
      <c r="AT103" s="3" t="str">
        <f t="shared" si="844"/>
        <v/>
      </c>
      <c r="AU103" s="3" t="str">
        <f t="shared" ref="AU103" si="846">IF(AT103="",AS103,IF(AS103="",CONCATENATE("- ",AT103),CONCATENATE(AS103,", ",AT103)))</f>
        <v/>
      </c>
      <c r="AV103" s="3" t="str">
        <f t="shared" si="845"/>
        <v/>
      </c>
      <c r="AW103" s="3" t="str">
        <f t="shared" ref="AW103" si="847">IF(AV103="",AU103,IF(AU103="",CONCATENATE("- ",AV103),CONCATENATE(AU103,", ",AV103)))</f>
        <v/>
      </c>
      <c r="AX103" s="502"/>
      <c r="AY103" s="502"/>
      <c r="AZ103" s="502"/>
      <c r="BA103" s="502"/>
      <c r="BB103" s="3" t="str">
        <f t="shared" si="832"/>
        <v/>
      </c>
      <c r="BC103" s="3" t="str">
        <f t="shared" si="833"/>
        <v/>
      </c>
      <c r="BD103" s="3" t="str">
        <f t="shared" si="834"/>
        <v/>
      </c>
      <c r="BE103" s="3" t="str">
        <f t="shared" si="835"/>
        <v/>
      </c>
      <c r="BF103" s="3" t="str">
        <f t="shared" si="836"/>
        <v/>
      </c>
      <c r="BG103" s="3" t="str">
        <f t="shared" si="837"/>
        <v/>
      </c>
      <c r="BH103" s="3" t="str">
        <f t="shared" si="838"/>
        <v/>
      </c>
      <c r="BI103" s="3" t="str">
        <f t="shared" si="25"/>
        <v/>
      </c>
      <c r="BJ103" s="3" t="str">
        <f t="shared" si="26"/>
        <v/>
      </c>
      <c r="BK103" s="3" t="str">
        <f t="shared" si="27"/>
        <v/>
      </c>
      <c r="BL103" s="3" t="str">
        <f t="shared" si="839"/>
        <v/>
      </c>
      <c r="BM103" s="3" t="str">
        <f t="shared" si="840"/>
        <v/>
      </c>
    </row>
    <row r="104" spans="1:65" ht="36" customHeight="1" thickTop="1" x14ac:dyDescent="0.2">
      <c r="A104" s="493" t="str">
        <f>IDENTIFICACIÓN!C41</f>
        <v>4C</v>
      </c>
      <c r="B104" s="496" t="str">
        <f>IF(IDENTIFICACIÓN!D41="","",IDENTIFICACIÓN!D41)</f>
        <v>Dirección y Planeación. Malversación de Recursos</v>
      </c>
      <c r="C104" s="248">
        <v>1</v>
      </c>
      <c r="D104" s="56" t="s">
        <v>11</v>
      </c>
      <c r="E104" s="240">
        <f t="shared" si="4"/>
        <v>10</v>
      </c>
      <c r="F104" s="44" t="s">
        <v>614</v>
      </c>
      <c r="G104" s="18" t="str">
        <f t="shared" ref="G104:G109" si="848">IF($D104="SI",IF(ISBLANK(F104),"Decripcion",""),"")</f>
        <v/>
      </c>
      <c r="H104" s="44" t="s">
        <v>20</v>
      </c>
      <c r="I104" s="18" t="str">
        <f t="shared" ref="I104:I109" si="849">IF($D104="SI",IF(ISBLANK(H104),"Tipo",""),"")</f>
        <v/>
      </c>
      <c r="J104" s="55" t="str">
        <f t="shared" si="744"/>
        <v>Posibilidad</v>
      </c>
      <c r="K104" s="43" t="s">
        <v>11</v>
      </c>
      <c r="L104" s="18">
        <f t="shared" ref="L104:L109" si="850">IF($D104="SI",IF(K104="SI",15,IF(K104="NO",0,"P1")),"")</f>
        <v>15</v>
      </c>
      <c r="M104" s="43" t="s">
        <v>11</v>
      </c>
      <c r="N104" s="18">
        <f t="shared" ref="N104:N109" si="851">IF($D104="SI",IF(M104="SI",30,IF(M104="NO",0,"P2")),"")</f>
        <v>30</v>
      </c>
      <c r="O104" s="43" t="s">
        <v>323</v>
      </c>
      <c r="P104" s="18">
        <f t="shared" ref="P104:P109" si="852">IF($D104="SI",IF(O104="Automático",15,IF(O104="Manual",10,"P3")),"")</f>
        <v>10</v>
      </c>
      <c r="Q104" s="43" t="s">
        <v>11</v>
      </c>
      <c r="R104" s="18">
        <f t="shared" ref="R104:R109" si="853">IF($D104="SI",IF(Q104="SI",5,IF(Q104="NO",0,"P4")),"")</f>
        <v>5</v>
      </c>
      <c r="S104" s="43" t="s">
        <v>11</v>
      </c>
      <c r="T104" s="18">
        <f t="shared" ref="T104:T109" si="854">IF($D104="SI",IF(S104="SI",15,IF(S104="NO",0,"P5")),"")</f>
        <v>15</v>
      </c>
      <c r="U104" s="43" t="s">
        <v>11</v>
      </c>
      <c r="V104" s="18">
        <f t="shared" ref="V104:V109" si="855">IF($D104="SI",IF(U104="SI",10,IF(U104="NO",0,"P6")),"")</f>
        <v>10</v>
      </c>
      <c r="W104" s="18">
        <f t="shared" ref="W104:W109" si="856">IF(D104="SI",E104+L104+N104+P104+R104+T104+V104,0)</f>
        <v>95</v>
      </c>
      <c r="X104" s="57" t="str">
        <f>IF(ISBLANK(D104),"",IF(D104="NO",0,IF(D104="SI",IF(OR(G104="Decripcion",I104="Tipo",L104="P1",N104="P2",P104="P3",R104="P4",T104="P5",V104="P6"),CONCATENATE("Falta diligenciar: ",G104," ",I104,IF(L104="P1"," Preg 1",),IF(N104="P2"," Preg 2",),IF(P104="P3"," Preg 3",),IF(R104="P4"," Preg 4",),IF(T104="P5"," Preg 5",),IF(V104="P6"," Preg 6",)),IF(AND(W104&gt;76,J104="Posibilidad"),CONCATENATE(W104,"                           Disminuye en ",J104),W104)))))</f>
        <v>95                           Disminuye en Posibilidad</v>
      </c>
      <c r="Y104" s="57">
        <f>IF(AND(W104&gt;75,W104&lt;101,J104="Posibilidad"),1,0)</f>
        <v>1</v>
      </c>
      <c r="Z104" s="248"/>
      <c r="AA104" s="497">
        <f>IF(AB104=0,"",(ROUND((SUM(W104:W106)/AB104),0)))</f>
        <v>95</v>
      </c>
      <c r="AB104" s="500">
        <f>COUNT(T104:T106)</f>
        <v>1</v>
      </c>
      <c r="AC104" s="3">
        <f>SUM(Y104:Y106)</f>
        <v>1</v>
      </c>
      <c r="AD104" s="3">
        <f>ANALISIS!D43</f>
        <v>3</v>
      </c>
      <c r="AE104" s="3">
        <f>IF(AND(AD104=5,AC104&gt;1),3,AD104)</f>
        <v>3</v>
      </c>
      <c r="AF104" s="501">
        <f>AE104</f>
        <v>3</v>
      </c>
      <c r="AG104" s="306" t="str">
        <f>IF(AF104=3,"MODERADA",IF(AF104=5,"EXTREMA",""))</f>
        <v>MODERADA</v>
      </c>
      <c r="AH104" s="46"/>
      <c r="AI104" s="46"/>
      <c r="AJ104" s="46"/>
      <c r="AK104" s="46"/>
      <c r="AL104" s="46"/>
      <c r="AM104" s="3" t="str">
        <f t="shared" ref="AM104:AM109" si="857">IF(AND(N104=30,L104=0),$AM$8,"")</f>
        <v/>
      </c>
      <c r="AN104" s="3" t="str">
        <f t="shared" ref="AN104:AN109" si="858">IF(AND(N104=30,R104=0),$AN$8,"")</f>
        <v/>
      </c>
      <c r="AO104" s="3" t="str">
        <f t="shared" ref="AO104:AO109" si="859">IF(AND(N104=30,T104=0),$AO$8,"")</f>
        <v/>
      </c>
      <c r="AP104" s="3" t="str">
        <f t="shared" ref="AP104:AP109" si="860">IF(AND(N104=30,V104=0),$AP$8,"")</f>
        <v/>
      </c>
      <c r="AQ104" s="3" t="str">
        <f>AM104</f>
        <v/>
      </c>
      <c r="AR104" s="3" t="str">
        <f t="shared" ref="AR104" si="861">AN104</f>
        <v/>
      </c>
      <c r="AT104" s="3" t="str">
        <f t="shared" ref="AT104" si="862">AO104</f>
        <v/>
      </c>
      <c r="AV104" s="3" t="str">
        <f t="shared" ref="AV104" si="863">AP104</f>
        <v/>
      </c>
      <c r="AX104" s="502" t="str">
        <f t="shared" ref="AX104" si="864">IF(AW106="","",CONCATENATE(AW106," (de) el(los) control(es) Efectivo(s) "))</f>
        <v/>
      </c>
      <c r="AY104" s="502" t="str">
        <f t="shared" ref="AY104" si="865">IF(CONCATENATE(N104:N106)="","",IF(AND(SUM(E104:E106)=10,SUM(N104:N106)&lt;30),"- Replantear control(es) NO efectivo(s) ",IF(AND(SUM(E104:E106)=20,SUM(N104:N106)&lt;60),"- Replantear control(es) NO efectivo(s) ",IF(AND(SUM(E104:E106)=30,SUM(N104:N106)&lt;90),"- Replantear control(es) NO efectivo(s) ",""))))</f>
        <v/>
      </c>
      <c r="AZ104" s="502" t="str">
        <f>IF(AND(AE104&gt;1,AE105&gt;1),"- Tomar Acciones Preventivas y Correctivas",IF(AE104&gt;1,"- Tomar Acciones Preventivas",IF(AE105&gt;1,"- Tomar Acciones Correctivas","")))</f>
        <v>- Tomar Acciones Preventivas</v>
      </c>
      <c r="BA104" s="502" t="str">
        <f t="shared" ref="BA104" si="866">CONCATENATE(AX104,AY104,AZ104)</f>
        <v>- Tomar Acciones Preventivas</v>
      </c>
      <c r="BB104" s="3" t="str">
        <f t="shared" ref="BB104:BB109" si="867">IF(AND($N104=30,L104=15),"SI",IF(AND($N104=30,L104=0),"NO",""))</f>
        <v>SI</v>
      </c>
      <c r="BC104" s="3" t="str">
        <f t="shared" ref="BC104:BC109" si="868">IF(AND($N104=0,L104=15),"SI",IF(AND($N104=0,L104=0),"NO",""))</f>
        <v/>
      </c>
      <c r="BD104" s="3" t="str">
        <f t="shared" ref="BD104:BD109" si="869">IF(AND($N104=30,R104=5),"SI",IF(AND($N104=30,R104=0),"NO",""))</f>
        <v>SI</v>
      </c>
      <c r="BE104" s="3" t="str">
        <f t="shared" ref="BE104:BE109" si="870">IF(AND($N104=0,R104=5),"SI",IF(AND($N104=0,R104=0),"NO",""))</f>
        <v/>
      </c>
      <c r="BF104" s="3" t="str">
        <f t="shared" ref="BF104:BF109" si="871">IF(AND($N104=30,T104=15),"SI",IF(AND($N104=30,T104=0),"NO",""))</f>
        <v>SI</v>
      </c>
      <c r="BG104" s="3" t="str">
        <f t="shared" ref="BG104:BG109" si="872">IF(AND($N104=0,T104=15),"SI",IF(AND($N104=0,T104=0),"NO",""))</f>
        <v/>
      </c>
      <c r="BH104" s="3" t="str">
        <f t="shared" ref="BH104:BH109" si="873">IF(AND($N104=30,H104="Preventivo"),"P",IF(AND($N104=30,H104="Correctivo"),"C",""))</f>
        <v>P</v>
      </c>
      <c r="BI104" s="3" t="str">
        <f t="shared" si="25"/>
        <v/>
      </c>
      <c r="BJ104" s="3" t="str">
        <f t="shared" si="26"/>
        <v>M</v>
      </c>
      <c r="BK104" s="3" t="str">
        <f t="shared" si="27"/>
        <v/>
      </c>
      <c r="BL104" s="3" t="str">
        <f t="shared" ref="BL104:BL109" si="874">IF(AND($N104=30,V104=10),"SI",IF(AND($N104=30,V104=0),"NO",""))</f>
        <v>SI</v>
      </c>
      <c r="BM104" s="3" t="str">
        <f t="shared" ref="BM104:BM109" si="875">IF(AND($N104=0,V104=10),"SI",IF(AND($N104=0,V104=0),"NO",""))</f>
        <v/>
      </c>
    </row>
    <row r="105" spans="1:65" ht="36" customHeight="1" x14ac:dyDescent="0.2">
      <c r="A105" s="494"/>
      <c r="B105" s="496"/>
      <c r="C105" s="248">
        <v>2</v>
      </c>
      <c r="D105" s="56"/>
      <c r="E105" s="240" t="str">
        <f t="shared" si="4"/>
        <v/>
      </c>
      <c r="F105" s="44"/>
      <c r="G105" s="18" t="str">
        <f t="shared" si="848"/>
        <v/>
      </c>
      <c r="H105" s="44"/>
      <c r="I105" s="18" t="str">
        <f t="shared" si="849"/>
        <v/>
      </c>
      <c r="J105" s="55" t="str">
        <f t="shared" si="744"/>
        <v/>
      </c>
      <c r="K105" s="43"/>
      <c r="L105" s="18" t="str">
        <f t="shared" si="850"/>
        <v/>
      </c>
      <c r="M105" s="43"/>
      <c r="N105" s="18" t="str">
        <f t="shared" si="851"/>
        <v/>
      </c>
      <c r="O105" s="43"/>
      <c r="P105" s="18" t="str">
        <f t="shared" si="852"/>
        <v/>
      </c>
      <c r="Q105" s="43"/>
      <c r="R105" s="18" t="str">
        <f t="shared" si="853"/>
        <v/>
      </c>
      <c r="S105" s="43"/>
      <c r="T105" s="18" t="str">
        <f t="shared" si="854"/>
        <v/>
      </c>
      <c r="U105" s="43"/>
      <c r="V105" s="18" t="str">
        <f t="shared" si="855"/>
        <v/>
      </c>
      <c r="W105" s="18">
        <f t="shared" si="856"/>
        <v>0</v>
      </c>
      <c r="X105" s="57" t="str">
        <f t="shared" ref="X105:X106" si="876">IF(ISBLANK(D105),"",IF(D105="NO",0,IF(D105="SI",IF(OR(G105="Decripcion",I105="Tipo",L105="P1",N105="P2",P105="P3",R105="P4",T105="P5",V105="P6"),CONCATENATE("Falta diligenciar: ",G105," ",I105,IF(L105="P1"," Preg 1",),IF(N105="P2"," Preg 2",),IF(P105="P3"," Preg 3",),IF(R105="P4"," Preg 4",),IF(T105="P5"," Preg 5",),IF(V105="P6"," Preg 6",)),IF(AND(W105&gt;76,J105="Posibilidad"),CONCATENATE(W105,"                           Disminuye en ",J105),W105)))))</f>
        <v/>
      </c>
      <c r="Y105" s="57">
        <f t="shared" ref="Y105:Y106" si="877">IF(AND(W105&gt;75,W105&lt;101,J105="Posibilidad"),1,0)</f>
        <v>0</v>
      </c>
      <c r="Z105" s="248"/>
      <c r="AA105" s="498"/>
      <c r="AB105" s="500"/>
      <c r="AC105" s="3" t="s">
        <v>352</v>
      </c>
      <c r="AF105" s="501"/>
      <c r="AG105" s="46" t="str">
        <f>IF(AG104&gt;0,"- Evitar Posibilidad de Ocurrencia- Reducir el Riesgo","")</f>
        <v>- Evitar Posibilidad de Ocurrencia- Reducir el Riesgo</v>
      </c>
      <c r="AH105" s="46"/>
      <c r="AI105" s="46"/>
      <c r="AJ105" s="46"/>
      <c r="AK105" s="46"/>
      <c r="AL105" s="46"/>
      <c r="AM105" s="3" t="str">
        <f t="shared" si="857"/>
        <v/>
      </c>
      <c r="AN105" s="3" t="str">
        <f t="shared" si="858"/>
        <v/>
      </c>
      <c r="AO105" s="3" t="str">
        <f t="shared" si="859"/>
        <v/>
      </c>
      <c r="AP105" s="3" t="str">
        <f t="shared" si="860"/>
        <v/>
      </c>
      <c r="AQ105" s="3" t="str">
        <f>IF(AQ104="Documentar",AQ104,AM105)</f>
        <v/>
      </c>
      <c r="AR105" s="3" t="str">
        <f t="shared" ref="AR105:AR106" si="878">IF(AR104="Asignar responsable",AR104,AN105)</f>
        <v/>
      </c>
      <c r="AT105" s="3" t="str">
        <f t="shared" ref="AT105:AT106" si="879">IF(AT104="Establecer periodos de seguimiento adecuados",AT104,AO105)</f>
        <v/>
      </c>
      <c r="AV105" s="3" t="str">
        <f t="shared" ref="AV105:AV106" si="880">IF(AV104="Guardar Evidencias",AV104,AP105)</f>
        <v/>
      </c>
      <c r="AX105" s="502"/>
      <c r="AY105" s="502"/>
      <c r="AZ105" s="502"/>
      <c r="BA105" s="502"/>
      <c r="BB105" s="3" t="str">
        <f t="shared" si="867"/>
        <v/>
      </c>
      <c r="BC105" s="3" t="str">
        <f t="shared" si="868"/>
        <v/>
      </c>
      <c r="BD105" s="3" t="str">
        <f t="shared" si="869"/>
        <v/>
      </c>
      <c r="BE105" s="3" t="str">
        <f t="shared" si="870"/>
        <v/>
      </c>
      <c r="BF105" s="3" t="str">
        <f t="shared" si="871"/>
        <v/>
      </c>
      <c r="BG105" s="3" t="str">
        <f t="shared" si="872"/>
        <v/>
      </c>
      <c r="BH105" s="3" t="str">
        <f t="shared" si="873"/>
        <v/>
      </c>
      <c r="BI105" s="3" t="str">
        <f t="shared" si="25"/>
        <v/>
      </c>
      <c r="BJ105" s="3" t="str">
        <f t="shared" si="26"/>
        <v/>
      </c>
      <c r="BK105" s="3" t="str">
        <f t="shared" si="27"/>
        <v/>
      </c>
      <c r="BL105" s="3" t="str">
        <f t="shared" si="874"/>
        <v/>
      </c>
      <c r="BM105" s="3" t="str">
        <f t="shared" si="875"/>
        <v/>
      </c>
    </row>
    <row r="106" spans="1:65" ht="36" customHeight="1" thickBot="1" x14ac:dyDescent="0.25">
      <c r="A106" s="495"/>
      <c r="B106" s="496"/>
      <c r="C106" s="248">
        <v>3</v>
      </c>
      <c r="D106" s="56"/>
      <c r="E106" s="240" t="str">
        <f t="shared" si="4"/>
        <v/>
      </c>
      <c r="F106" s="44"/>
      <c r="G106" s="18" t="str">
        <f t="shared" si="848"/>
        <v/>
      </c>
      <c r="H106" s="44"/>
      <c r="I106" s="18" t="str">
        <f t="shared" si="849"/>
        <v/>
      </c>
      <c r="J106" s="55" t="str">
        <f t="shared" si="744"/>
        <v/>
      </c>
      <c r="K106" s="43"/>
      <c r="L106" s="18" t="str">
        <f t="shared" si="850"/>
        <v/>
      </c>
      <c r="M106" s="43"/>
      <c r="N106" s="18" t="str">
        <f t="shared" si="851"/>
        <v/>
      </c>
      <c r="O106" s="43"/>
      <c r="P106" s="18" t="str">
        <f t="shared" si="852"/>
        <v/>
      </c>
      <c r="Q106" s="43"/>
      <c r="R106" s="18" t="str">
        <f t="shared" si="853"/>
        <v/>
      </c>
      <c r="S106" s="43"/>
      <c r="T106" s="18" t="str">
        <f t="shared" si="854"/>
        <v/>
      </c>
      <c r="U106" s="43"/>
      <c r="V106" s="18" t="str">
        <f t="shared" si="855"/>
        <v/>
      </c>
      <c r="W106" s="18">
        <f t="shared" si="856"/>
        <v>0</v>
      </c>
      <c r="X106" s="57" t="str">
        <f t="shared" si="876"/>
        <v/>
      </c>
      <c r="Y106" s="57">
        <f t="shared" si="877"/>
        <v>0</v>
      </c>
      <c r="Z106" s="248"/>
      <c r="AA106" s="499"/>
      <c r="AB106" s="500"/>
      <c r="AM106" s="3" t="str">
        <f t="shared" si="857"/>
        <v/>
      </c>
      <c r="AN106" s="3" t="str">
        <f t="shared" si="858"/>
        <v/>
      </c>
      <c r="AO106" s="3" t="str">
        <f t="shared" si="859"/>
        <v/>
      </c>
      <c r="AP106" s="3" t="str">
        <f t="shared" si="860"/>
        <v/>
      </c>
      <c r="AQ106" s="3" t="str">
        <f>IF(AQ105="Documentar",AQ105,AM106)</f>
        <v/>
      </c>
      <c r="AR106" s="3" t="str">
        <f t="shared" si="878"/>
        <v/>
      </c>
      <c r="AS106" s="3" t="str">
        <f>IF(AND(AQ106="Documentar",AR106="Asignar responsable"),CONCATENATE("- ",AQ106,", ",AR106),IF(AQ106="Documentar",CONCATENATE("- ",AQ106),IF(AR106="Asignar responsable",CONCATENATE("- ",AR106),"")))</f>
        <v/>
      </c>
      <c r="AT106" s="3" t="str">
        <f t="shared" si="879"/>
        <v/>
      </c>
      <c r="AU106" s="3" t="str">
        <f t="shared" ref="AU106" si="881">IF(AT106="",AS106,IF(AS106="",CONCATENATE("- ",AT106),CONCATENATE(AS106,", ",AT106)))</f>
        <v/>
      </c>
      <c r="AV106" s="3" t="str">
        <f t="shared" si="880"/>
        <v/>
      </c>
      <c r="AW106" s="3" t="str">
        <f t="shared" ref="AW106" si="882">IF(AV106="",AU106,IF(AU106="",CONCATENATE("- ",AV106),CONCATENATE(AU106,", ",AV106)))</f>
        <v/>
      </c>
      <c r="AX106" s="502"/>
      <c r="AY106" s="502"/>
      <c r="AZ106" s="502"/>
      <c r="BA106" s="502"/>
      <c r="BB106" s="3" t="str">
        <f t="shared" si="867"/>
        <v/>
      </c>
      <c r="BC106" s="3" t="str">
        <f t="shared" si="868"/>
        <v/>
      </c>
      <c r="BD106" s="3" t="str">
        <f t="shared" si="869"/>
        <v/>
      </c>
      <c r="BE106" s="3" t="str">
        <f t="shared" si="870"/>
        <v/>
      </c>
      <c r="BF106" s="3" t="str">
        <f t="shared" si="871"/>
        <v/>
      </c>
      <c r="BG106" s="3" t="str">
        <f t="shared" si="872"/>
        <v/>
      </c>
      <c r="BH106" s="3" t="str">
        <f t="shared" si="873"/>
        <v/>
      </c>
      <c r="BI106" s="3" t="str">
        <f t="shared" si="25"/>
        <v/>
      </c>
      <c r="BJ106" s="3" t="str">
        <f t="shared" si="26"/>
        <v/>
      </c>
      <c r="BK106" s="3" t="str">
        <f t="shared" si="27"/>
        <v/>
      </c>
      <c r="BL106" s="3" t="str">
        <f t="shared" si="874"/>
        <v/>
      </c>
      <c r="BM106" s="3" t="str">
        <f t="shared" si="875"/>
        <v/>
      </c>
    </row>
    <row r="107" spans="1:65" ht="36" customHeight="1" thickTop="1" x14ac:dyDescent="0.2">
      <c r="A107" s="493" t="str">
        <f>IDENTIFICACIÓN!C42</f>
        <v>5C</v>
      </c>
      <c r="B107" s="496" t="str">
        <f>IF(IDENTIFICACIÓN!D42="","",IDENTIFICACIÓN!D42)</f>
        <v>Acreditación. Deficiencias en el manejo documental y de archivo</v>
      </c>
      <c r="C107" s="248">
        <v>1</v>
      </c>
      <c r="D107" s="56" t="s">
        <v>11</v>
      </c>
      <c r="E107" s="240">
        <f t="shared" si="4"/>
        <v>10</v>
      </c>
      <c r="F107" s="44" t="s">
        <v>570</v>
      </c>
      <c r="G107" s="18" t="str">
        <f t="shared" si="848"/>
        <v/>
      </c>
      <c r="H107" s="44" t="s">
        <v>20</v>
      </c>
      <c r="I107" s="18" t="str">
        <f t="shared" si="849"/>
        <v/>
      </c>
      <c r="J107" s="55" t="str">
        <f t="shared" si="744"/>
        <v>Posibilidad</v>
      </c>
      <c r="K107" s="43" t="s">
        <v>11</v>
      </c>
      <c r="L107" s="18">
        <f t="shared" si="850"/>
        <v>15</v>
      </c>
      <c r="M107" s="43" t="s">
        <v>11</v>
      </c>
      <c r="N107" s="18">
        <f t="shared" si="851"/>
        <v>30</v>
      </c>
      <c r="O107" s="43" t="s">
        <v>323</v>
      </c>
      <c r="P107" s="18">
        <f t="shared" si="852"/>
        <v>10</v>
      </c>
      <c r="Q107" s="43" t="s">
        <v>11</v>
      </c>
      <c r="R107" s="18">
        <f t="shared" si="853"/>
        <v>5</v>
      </c>
      <c r="S107" s="43" t="s">
        <v>11</v>
      </c>
      <c r="T107" s="18">
        <f t="shared" si="854"/>
        <v>15</v>
      </c>
      <c r="U107" s="43" t="s">
        <v>11</v>
      </c>
      <c r="V107" s="18">
        <f t="shared" si="855"/>
        <v>10</v>
      </c>
      <c r="W107" s="18">
        <f t="shared" si="856"/>
        <v>95</v>
      </c>
      <c r="X107" s="57" t="str">
        <f>IF(ISBLANK(D107),"",IF(D107="NO",0,IF(D107="SI",IF(OR(G107="Decripcion",I107="Tipo",L107="P1",N107="P2",P107="P3",R107="P4",T107="P5",V107="P6"),CONCATENATE("Falta diligenciar: ",G107," ",I107,IF(L107="P1"," Preg 1",),IF(N107="P2"," Preg 2",),IF(P107="P3"," Preg 3",),IF(R107="P4"," Preg 4",),IF(T107="P5"," Preg 5",),IF(V107="P6"," Preg 6",)),IF(AND(W107&gt;76,J107="Posibilidad"),CONCATENATE(W107,"                           Disminuye en ",J107),W107)))))</f>
        <v>95                           Disminuye en Posibilidad</v>
      </c>
      <c r="Y107" s="57">
        <f>IF(AND(W107&gt;75,W107&lt;101,J107="Posibilidad"),1,0)</f>
        <v>1</v>
      </c>
      <c r="Z107" s="248"/>
      <c r="AA107" s="497">
        <f>IF(AB107=0,"",(ROUND((SUM(W107:W109)/AB107),0)))</f>
        <v>95</v>
      </c>
      <c r="AB107" s="500">
        <f>COUNT(T107:T109)</f>
        <v>2</v>
      </c>
      <c r="AC107" s="3">
        <f>SUM(Y107:Y109)</f>
        <v>2</v>
      </c>
      <c r="AD107" s="3">
        <f>ANALISIS!D44</f>
        <v>3</v>
      </c>
      <c r="AE107" s="3">
        <f>IF(AND(AD107=5,AC107&gt;1),3,AD107)</f>
        <v>3</v>
      </c>
      <c r="AF107" s="501">
        <f>AE107</f>
        <v>3</v>
      </c>
      <c r="AG107" s="306" t="str">
        <f>IF(AF107=3,"MODERADA",IF(AF107=5,"EXTREMA",""))</f>
        <v>MODERADA</v>
      </c>
      <c r="AH107" s="46"/>
      <c r="AI107" s="46"/>
      <c r="AJ107" s="46"/>
      <c r="AK107" s="46"/>
      <c r="AL107" s="46"/>
      <c r="AM107" s="3" t="str">
        <f t="shared" si="857"/>
        <v/>
      </c>
      <c r="AN107" s="3" t="str">
        <f t="shared" si="858"/>
        <v/>
      </c>
      <c r="AO107" s="3" t="str">
        <f t="shared" si="859"/>
        <v/>
      </c>
      <c r="AP107" s="3" t="str">
        <f t="shared" si="860"/>
        <v/>
      </c>
      <c r="AQ107" s="3" t="str">
        <f>AM107</f>
        <v/>
      </c>
      <c r="AR107" s="3" t="str">
        <f t="shared" ref="AR107" si="883">AN107</f>
        <v/>
      </c>
      <c r="AT107" s="3" t="str">
        <f t="shared" ref="AT107" si="884">AO107</f>
        <v/>
      </c>
      <c r="AV107" s="3" t="str">
        <f t="shared" ref="AV107" si="885">AP107</f>
        <v/>
      </c>
      <c r="AX107" s="502" t="str">
        <f t="shared" ref="AX107" si="886">IF(AW109="","",CONCATENATE(AW109," (de) el(los) control(es) Efectivo(s) "))</f>
        <v/>
      </c>
      <c r="AY107" s="502" t="str">
        <f t="shared" ref="AY107" si="887">IF(CONCATENATE(N107:N109)="","",IF(AND(SUM(E107:E109)=10,SUM(N107:N109)&lt;30),"- Replantear control(es) NO efectivo(s) ",IF(AND(SUM(E107:E109)=20,SUM(N107:N109)&lt;60),"- Replantear control(es) NO efectivo(s) ",IF(AND(SUM(E107:E109)=30,SUM(N107:N109)&lt;90),"- Replantear control(es) NO efectivo(s) ",""))))</f>
        <v/>
      </c>
      <c r="AZ107" s="502" t="str">
        <f>IF(AND(AE107&gt;1,AE108&gt;1),"- Tomar Acciones Preventivas y Correctivas",IF(AE107&gt;1,"- Tomar Acciones Preventivas",IF(AE108&gt;1,"- Tomar Acciones Correctivas","")))</f>
        <v>- Tomar Acciones Preventivas</v>
      </c>
      <c r="BA107" s="502" t="str">
        <f t="shared" ref="BA107" si="888">CONCATENATE(AX107,AY107,AZ107)</f>
        <v>- Tomar Acciones Preventivas</v>
      </c>
      <c r="BB107" s="3" t="str">
        <f t="shared" si="867"/>
        <v>SI</v>
      </c>
      <c r="BC107" s="3" t="str">
        <f t="shared" si="868"/>
        <v/>
      </c>
      <c r="BD107" s="3" t="str">
        <f t="shared" si="869"/>
        <v>SI</v>
      </c>
      <c r="BE107" s="3" t="str">
        <f t="shared" si="870"/>
        <v/>
      </c>
      <c r="BF107" s="3" t="str">
        <f t="shared" si="871"/>
        <v>SI</v>
      </c>
      <c r="BG107" s="3" t="str">
        <f t="shared" si="872"/>
        <v/>
      </c>
      <c r="BH107" s="3" t="str">
        <f t="shared" si="873"/>
        <v>P</v>
      </c>
      <c r="BI107" s="3" t="str">
        <f t="shared" si="25"/>
        <v/>
      </c>
      <c r="BJ107" s="3" t="str">
        <f t="shared" si="26"/>
        <v>M</v>
      </c>
      <c r="BK107" s="3" t="str">
        <f t="shared" si="27"/>
        <v/>
      </c>
      <c r="BL107" s="3" t="str">
        <f t="shared" si="874"/>
        <v>SI</v>
      </c>
      <c r="BM107" s="3" t="str">
        <f t="shared" si="875"/>
        <v/>
      </c>
    </row>
    <row r="108" spans="1:65" ht="36" customHeight="1" x14ac:dyDescent="0.2">
      <c r="A108" s="494"/>
      <c r="B108" s="496"/>
      <c r="C108" s="248">
        <v>2</v>
      </c>
      <c r="D108" s="56" t="s">
        <v>11</v>
      </c>
      <c r="E108" s="240">
        <f t="shared" si="4"/>
        <v>10</v>
      </c>
      <c r="F108" s="44" t="s">
        <v>615</v>
      </c>
      <c r="G108" s="18" t="str">
        <f t="shared" si="848"/>
        <v/>
      </c>
      <c r="H108" s="44" t="s">
        <v>20</v>
      </c>
      <c r="I108" s="18" t="str">
        <f t="shared" si="849"/>
        <v/>
      </c>
      <c r="J108" s="55" t="str">
        <f t="shared" si="744"/>
        <v>Posibilidad</v>
      </c>
      <c r="K108" s="43" t="s">
        <v>11</v>
      </c>
      <c r="L108" s="18">
        <f t="shared" si="850"/>
        <v>15</v>
      </c>
      <c r="M108" s="43" t="s">
        <v>11</v>
      </c>
      <c r="N108" s="18">
        <f t="shared" si="851"/>
        <v>30</v>
      </c>
      <c r="O108" s="43" t="s">
        <v>323</v>
      </c>
      <c r="P108" s="18">
        <f t="shared" si="852"/>
        <v>10</v>
      </c>
      <c r="Q108" s="43" t="s">
        <v>11</v>
      </c>
      <c r="R108" s="18">
        <f t="shared" si="853"/>
        <v>5</v>
      </c>
      <c r="S108" s="43" t="s">
        <v>11</v>
      </c>
      <c r="T108" s="18">
        <f t="shared" si="854"/>
        <v>15</v>
      </c>
      <c r="U108" s="43" t="s">
        <v>11</v>
      </c>
      <c r="V108" s="18">
        <f t="shared" si="855"/>
        <v>10</v>
      </c>
      <c r="W108" s="18">
        <f t="shared" si="856"/>
        <v>95</v>
      </c>
      <c r="X108" s="57" t="str">
        <f t="shared" ref="X108:X110" si="889">IF(ISBLANK(D108),"",IF(D108="NO",0,IF(D108="SI",IF(OR(G108="Decripcion",I108="Tipo",L108="P1",N108="P2",P108="P3",R108="P4",T108="P5",V108="P6"),CONCATENATE("Falta diligenciar: ",G108," ",I108,IF(L108="P1"," Preg 1",),IF(N108="P2"," Preg 2",),IF(P108="P3"," Preg 3",),IF(R108="P4"," Preg 4",),IF(T108="P5"," Preg 5",),IF(V108="P6"," Preg 6",)),IF(AND(W108&gt;76,J108="Posibilidad"),CONCATENATE(W108,"                           Disminuye en ",J108),W108)))))</f>
        <v>95                           Disminuye en Posibilidad</v>
      </c>
      <c r="Y108" s="57">
        <f t="shared" ref="Y108:Y110" si="890">IF(AND(W108&gt;75,W108&lt;101,J108="Posibilidad"),1,0)</f>
        <v>1</v>
      </c>
      <c r="Z108" s="248"/>
      <c r="AA108" s="498"/>
      <c r="AB108" s="500"/>
      <c r="AC108" s="3" t="s">
        <v>352</v>
      </c>
      <c r="AF108" s="501"/>
      <c r="AG108" s="46" t="str">
        <f>IF(AG107&gt;0,"- Evitar Posibilidad de Ocurrencia- Reducir el Riesgo","")</f>
        <v>- Evitar Posibilidad de Ocurrencia- Reducir el Riesgo</v>
      </c>
      <c r="AH108" s="46"/>
      <c r="AI108" s="46"/>
      <c r="AJ108" s="46"/>
      <c r="AK108" s="46"/>
      <c r="AL108" s="46"/>
      <c r="AM108" s="3" t="str">
        <f t="shared" si="857"/>
        <v/>
      </c>
      <c r="AN108" s="3" t="str">
        <f t="shared" si="858"/>
        <v/>
      </c>
      <c r="AO108" s="3" t="str">
        <f t="shared" si="859"/>
        <v/>
      </c>
      <c r="AP108" s="3" t="str">
        <f t="shared" si="860"/>
        <v/>
      </c>
      <c r="AQ108" s="3" t="str">
        <f>IF(AQ107="Documentar",AQ107,AM108)</f>
        <v/>
      </c>
      <c r="AR108" s="3" t="str">
        <f t="shared" ref="AR108:AR109" si="891">IF(AR107="Asignar responsable",AR107,AN108)</f>
        <v/>
      </c>
      <c r="AT108" s="3" t="str">
        <f t="shared" ref="AT108:AT109" si="892">IF(AT107="Establecer periodos de seguimiento adecuados",AT107,AO108)</f>
        <v/>
      </c>
      <c r="AV108" s="3" t="str">
        <f t="shared" ref="AV108:AV109" si="893">IF(AV107="Guardar Evidencias",AV107,AP108)</f>
        <v/>
      </c>
      <c r="AX108" s="502"/>
      <c r="AY108" s="502"/>
      <c r="AZ108" s="502"/>
      <c r="BA108" s="502"/>
      <c r="BB108" s="3" t="str">
        <f t="shared" si="867"/>
        <v>SI</v>
      </c>
      <c r="BC108" s="3" t="str">
        <f t="shared" si="868"/>
        <v/>
      </c>
      <c r="BD108" s="3" t="str">
        <f t="shared" si="869"/>
        <v>SI</v>
      </c>
      <c r="BE108" s="3" t="str">
        <f t="shared" si="870"/>
        <v/>
      </c>
      <c r="BF108" s="3" t="str">
        <f t="shared" si="871"/>
        <v>SI</v>
      </c>
      <c r="BG108" s="3" t="str">
        <f t="shared" si="872"/>
        <v/>
      </c>
      <c r="BH108" s="3" t="str">
        <f t="shared" si="873"/>
        <v>P</v>
      </c>
      <c r="BI108" s="3" t="str">
        <f t="shared" si="25"/>
        <v/>
      </c>
      <c r="BJ108" s="3" t="str">
        <f t="shared" si="26"/>
        <v>M</v>
      </c>
      <c r="BK108" s="3" t="str">
        <f t="shared" si="27"/>
        <v/>
      </c>
      <c r="BL108" s="3" t="str">
        <f t="shared" si="874"/>
        <v>SI</v>
      </c>
      <c r="BM108" s="3" t="str">
        <f t="shared" si="875"/>
        <v/>
      </c>
    </row>
    <row r="109" spans="1:65" ht="36" customHeight="1" thickBot="1" x14ac:dyDescent="0.25">
      <c r="A109" s="495"/>
      <c r="B109" s="496"/>
      <c r="C109" s="248">
        <v>3</v>
      </c>
      <c r="D109" s="56"/>
      <c r="E109" s="240" t="str">
        <f t="shared" si="4"/>
        <v/>
      </c>
      <c r="F109" s="44"/>
      <c r="G109" s="18" t="str">
        <f t="shared" si="848"/>
        <v/>
      </c>
      <c r="H109" s="44"/>
      <c r="I109" s="18" t="str">
        <f t="shared" si="849"/>
        <v/>
      </c>
      <c r="J109" s="55" t="str">
        <f t="shared" si="744"/>
        <v/>
      </c>
      <c r="K109" s="43"/>
      <c r="L109" s="18" t="str">
        <f t="shared" si="850"/>
        <v/>
      </c>
      <c r="M109" s="43"/>
      <c r="N109" s="18" t="str">
        <f t="shared" si="851"/>
        <v/>
      </c>
      <c r="O109" s="43"/>
      <c r="P109" s="18" t="str">
        <f t="shared" si="852"/>
        <v/>
      </c>
      <c r="Q109" s="43"/>
      <c r="R109" s="18" t="str">
        <f t="shared" si="853"/>
        <v/>
      </c>
      <c r="S109" s="43"/>
      <c r="T109" s="18" t="str">
        <f t="shared" si="854"/>
        <v/>
      </c>
      <c r="U109" s="43"/>
      <c r="V109" s="18" t="str">
        <f t="shared" si="855"/>
        <v/>
      </c>
      <c r="W109" s="18">
        <f t="shared" si="856"/>
        <v>0</v>
      </c>
      <c r="X109" s="57" t="str">
        <f t="shared" si="889"/>
        <v/>
      </c>
      <c r="Y109" s="57">
        <f t="shared" si="890"/>
        <v>0</v>
      </c>
      <c r="Z109" s="248"/>
      <c r="AA109" s="499"/>
      <c r="AB109" s="500"/>
      <c r="AM109" s="3" t="str">
        <f t="shared" si="857"/>
        <v/>
      </c>
      <c r="AN109" s="3" t="str">
        <f t="shared" si="858"/>
        <v/>
      </c>
      <c r="AO109" s="3" t="str">
        <f t="shared" si="859"/>
        <v/>
      </c>
      <c r="AP109" s="3" t="str">
        <f t="shared" si="860"/>
        <v/>
      </c>
      <c r="AQ109" s="3" t="str">
        <f>IF(AQ108="Documentar",AQ108,AM109)</f>
        <v/>
      </c>
      <c r="AR109" s="3" t="str">
        <f t="shared" si="891"/>
        <v/>
      </c>
      <c r="AS109" s="3" t="str">
        <f>IF(AND(AQ109="Documentar",AR109="Asignar responsable"),CONCATENATE("- ",AQ109,", ",AR109),IF(AQ109="Documentar",CONCATENATE("- ",AQ109),IF(AR109="Asignar responsable",CONCATENATE("- ",AR109),"")))</f>
        <v/>
      </c>
      <c r="AT109" s="3" t="str">
        <f t="shared" si="892"/>
        <v/>
      </c>
      <c r="AU109" s="3" t="str">
        <f t="shared" ref="AU109" si="894">IF(AT109="",AS109,IF(AS109="",CONCATENATE("- ",AT109),CONCATENATE(AS109,", ",AT109)))</f>
        <v/>
      </c>
      <c r="AV109" s="3" t="str">
        <f t="shared" si="893"/>
        <v/>
      </c>
      <c r="AW109" s="3" t="str">
        <f t="shared" ref="AW109" si="895">IF(AV109="",AU109,IF(AU109="",CONCATENATE("- ",AV109),CONCATENATE(AU109,", ",AV109)))</f>
        <v/>
      </c>
      <c r="AX109" s="502"/>
      <c r="AY109" s="502"/>
      <c r="AZ109" s="502"/>
      <c r="BA109" s="502"/>
      <c r="BB109" s="3" t="str">
        <f t="shared" si="867"/>
        <v/>
      </c>
      <c r="BC109" s="3" t="str">
        <f t="shared" si="868"/>
        <v/>
      </c>
      <c r="BD109" s="3" t="str">
        <f t="shared" si="869"/>
        <v/>
      </c>
      <c r="BE109" s="3" t="str">
        <f t="shared" si="870"/>
        <v/>
      </c>
      <c r="BF109" s="3" t="str">
        <f t="shared" si="871"/>
        <v/>
      </c>
      <c r="BG109" s="3" t="str">
        <f t="shared" si="872"/>
        <v/>
      </c>
      <c r="BH109" s="3" t="str">
        <f t="shared" si="873"/>
        <v/>
      </c>
      <c r="BI109" s="3" t="str">
        <f t="shared" si="25"/>
        <v/>
      </c>
      <c r="BJ109" s="3" t="str">
        <f t="shared" si="26"/>
        <v/>
      </c>
      <c r="BK109" s="3" t="str">
        <f t="shared" si="27"/>
        <v/>
      </c>
      <c r="BL109" s="3" t="str">
        <f t="shared" si="874"/>
        <v/>
      </c>
      <c r="BM109" s="3" t="str">
        <f t="shared" si="875"/>
        <v/>
      </c>
    </row>
    <row r="110" spans="1:65" ht="36.75" thickTop="1" x14ac:dyDescent="0.2">
      <c r="A110" s="493" t="str">
        <f>IDENTIFICACIÓN!C43</f>
        <v>6C</v>
      </c>
      <c r="B110" s="496" t="str">
        <f>IF(IDENTIFICACIÓN!D43="","",IDENTIFICACIÓN!D43)</f>
        <v>Acreditación. Concentración de información de determinadas actividades o procesos en una persona</v>
      </c>
      <c r="C110" s="356">
        <v>1</v>
      </c>
      <c r="D110" s="56" t="s">
        <v>11</v>
      </c>
      <c r="E110" s="240">
        <f t="shared" si="4"/>
        <v>10</v>
      </c>
      <c r="F110" s="44" t="s">
        <v>570</v>
      </c>
      <c r="G110" s="18" t="str">
        <f t="shared" ref="G110:G127" si="896">IF($D110="SI",IF(ISBLANK(F110),"Decripcion",""),"")</f>
        <v/>
      </c>
      <c r="H110" s="44" t="s">
        <v>20</v>
      </c>
      <c r="I110" s="18" t="str">
        <f t="shared" ref="I110:I127" si="897">IF($D110="SI",IF(ISBLANK(H110),"Tipo",""),"")</f>
        <v/>
      </c>
      <c r="J110" s="55" t="str">
        <f t="shared" ref="J110:J127" si="898">IF(H110="Preventivo","Posibilidad",IF(H110="Correctivo","No Aplica",""))</f>
        <v>Posibilidad</v>
      </c>
      <c r="K110" s="43" t="s">
        <v>11</v>
      </c>
      <c r="L110" s="18">
        <f t="shared" ref="L110:L127" si="899">IF($D110="SI",IF(K110="SI",15,IF(K110="NO",0,"P1")),"")</f>
        <v>15</v>
      </c>
      <c r="M110" s="43" t="s">
        <v>11</v>
      </c>
      <c r="N110" s="18">
        <f t="shared" ref="N110:N127" si="900">IF($D110="SI",IF(M110="SI",30,IF(M110="NO",0,"P2")),"")</f>
        <v>30</v>
      </c>
      <c r="O110" s="43" t="s">
        <v>323</v>
      </c>
      <c r="P110" s="18">
        <f t="shared" ref="P110:P127" si="901">IF($D110="SI",IF(O110="Automático",15,IF(O110="Manual",10,"P3")),"")</f>
        <v>10</v>
      </c>
      <c r="Q110" s="43" t="s">
        <v>11</v>
      </c>
      <c r="R110" s="18">
        <f t="shared" ref="R110:R127" si="902">IF($D110="SI",IF(Q110="SI",5,IF(Q110="NO",0,"P4")),"")</f>
        <v>5</v>
      </c>
      <c r="S110" s="43" t="s">
        <v>11</v>
      </c>
      <c r="T110" s="18">
        <f t="shared" ref="T110:T127" si="903">IF($D110="SI",IF(S110="SI",15,IF(S110="NO",0,"P5")),"")</f>
        <v>15</v>
      </c>
      <c r="U110" s="43" t="s">
        <v>11</v>
      </c>
      <c r="V110" s="18">
        <f t="shared" ref="V110:V127" si="904">IF($D110="SI",IF(U110="SI",10,IF(U110="NO",0,"P6")),"")</f>
        <v>10</v>
      </c>
      <c r="W110" s="18">
        <f t="shared" ref="W110:W127" si="905">IF(D110="SI",E110+L110+N110+P110+R110+T110+V110,0)</f>
        <v>95</v>
      </c>
      <c r="X110" s="57" t="str">
        <f t="shared" si="889"/>
        <v>95                           Disminuye en Posibilidad</v>
      </c>
      <c r="Y110" s="57">
        <f t="shared" si="890"/>
        <v>1</v>
      </c>
      <c r="Z110" s="356"/>
      <c r="AA110" s="497">
        <f t="shared" ref="AA110" si="906">IF(AB110=0,"",(ROUND((SUM(W110:W112)/AB110),0)))</f>
        <v>95</v>
      </c>
      <c r="AB110" s="500">
        <f t="shared" ref="AB110" si="907">COUNT(T110:T112)</f>
        <v>2</v>
      </c>
      <c r="AC110" s="3">
        <f t="shared" ref="AC110" si="908">SUM(Y110:Y112)</f>
        <v>2</v>
      </c>
      <c r="AD110" s="3">
        <f>ANALISIS!D45</f>
        <v>3</v>
      </c>
      <c r="AE110" s="3">
        <f t="shared" ref="AE110" si="909">IF(AND(AD110=5,AC110&gt;1),3,AD110)</f>
        <v>3</v>
      </c>
      <c r="AF110" s="501">
        <f t="shared" ref="AF110" si="910">AE110</f>
        <v>3</v>
      </c>
      <c r="AG110" s="355" t="str">
        <f t="shared" ref="AG110" si="911">IF(AF110=3,"MODERADA",IF(AF110=5,"EXTREMA",""))</f>
        <v>MODERADA</v>
      </c>
      <c r="AH110" s="46"/>
      <c r="AI110" s="46"/>
      <c r="AJ110" s="46"/>
      <c r="AK110" s="46"/>
      <c r="AL110" s="46"/>
      <c r="AM110" s="3" t="str">
        <f t="shared" ref="AM110:AM127" si="912">IF(AND(N110=30,L110=0),$AM$8,"")</f>
        <v/>
      </c>
      <c r="AN110" s="3" t="str">
        <f t="shared" ref="AN110:AN127" si="913">IF(AND(N110=30,R110=0),$AN$8,"")</f>
        <v/>
      </c>
      <c r="AO110" s="3" t="str">
        <f t="shared" ref="AO110:AO127" si="914">IF(AND(N110=30,T110=0),$AO$8,"")</f>
        <v/>
      </c>
      <c r="AP110" s="3" t="str">
        <f t="shared" ref="AP110:AP127" si="915">IF(AND(N110=30,V110=0),$AP$8,"")</f>
        <v/>
      </c>
      <c r="AQ110" s="3" t="str">
        <f t="shared" ref="AQ110" si="916">AM110</f>
        <v/>
      </c>
      <c r="AR110" s="3" t="str">
        <f t="shared" ref="AR110" si="917">AN110</f>
        <v/>
      </c>
      <c r="AT110" s="3" t="str">
        <f t="shared" ref="AT110" si="918">AO110</f>
        <v/>
      </c>
      <c r="AV110" s="3" t="str">
        <f t="shared" ref="AV110" si="919">AP110</f>
        <v/>
      </c>
      <c r="AX110" s="502" t="str">
        <f t="shared" ref="AX110" si="920">IF(AW112="","",CONCATENATE(AW112," (de) el(los) control(es) Efectivo(s) "))</f>
        <v/>
      </c>
      <c r="AY110" s="502" t="str">
        <f t="shared" ref="AY110" si="921">IF(CONCATENATE(N110:N112)="","",IF(AND(SUM(E110:E112)=10,SUM(N110:N112)&lt;30),"- Replantear control(es) NO efectivo(s) ",IF(AND(SUM(E110:E112)=20,SUM(N110:N112)&lt;60),"- Replantear control(es) NO efectivo(s) ",IF(AND(SUM(E110:E112)=30,SUM(N110:N112)&lt;90),"- Replantear control(es) NO efectivo(s) ",""))))</f>
        <v/>
      </c>
      <c r="AZ110" s="502" t="str">
        <f t="shared" ref="AZ110" si="922">IF(AND(AE110&gt;1,AE111&gt;1),"- Tomar Acciones Preventivas y Correctivas",IF(AE110&gt;1,"- Tomar Acciones Preventivas",IF(AE111&gt;1,"- Tomar Acciones Correctivas","")))</f>
        <v>- Tomar Acciones Preventivas</v>
      </c>
      <c r="BA110" s="502" t="str">
        <f t="shared" ref="BA110" si="923">CONCATENATE(AX110,AY110,AZ110)</f>
        <v>- Tomar Acciones Preventivas</v>
      </c>
      <c r="BB110" s="3" t="str">
        <f t="shared" ref="BB110:BB127" si="924">IF(AND($N110=30,L110=15),"SI",IF(AND($N110=30,L110=0),"NO",""))</f>
        <v>SI</v>
      </c>
      <c r="BC110" s="3" t="str">
        <f t="shared" ref="BC110:BC127" si="925">IF(AND($N110=0,L110=15),"SI",IF(AND($N110=0,L110=0),"NO",""))</f>
        <v/>
      </c>
      <c r="BD110" s="3" t="str">
        <f t="shared" ref="BD110:BD127" si="926">IF(AND($N110=30,R110=5),"SI",IF(AND($N110=30,R110=0),"NO",""))</f>
        <v>SI</v>
      </c>
      <c r="BE110" s="3" t="str">
        <f t="shared" ref="BE110:BE127" si="927">IF(AND($N110=0,R110=5),"SI",IF(AND($N110=0,R110=0),"NO",""))</f>
        <v/>
      </c>
      <c r="BF110" s="3" t="str">
        <f t="shared" ref="BF110:BF127" si="928">IF(AND($N110=30,T110=15),"SI",IF(AND($N110=30,T110=0),"NO",""))</f>
        <v>SI</v>
      </c>
      <c r="BG110" s="3" t="str">
        <f t="shared" ref="BG110:BG127" si="929">IF(AND($N110=0,T110=15),"SI",IF(AND($N110=0,T110=0),"NO",""))</f>
        <v/>
      </c>
      <c r="BH110" s="3" t="str">
        <f t="shared" ref="BH110:BH127" si="930">IF(AND($N110=30,H110="Preventivo"),"P",IF(AND($N110=30,H110="Correctivo"),"C",""))</f>
        <v>P</v>
      </c>
      <c r="BI110" s="3" t="str">
        <f t="shared" si="25"/>
        <v/>
      </c>
      <c r="BJ110" s="3" t="str">
        <f t="shared" si="26"/>
        <v>M</v>
      </c>
      <c r="BK110" s="3" t="str">
        <f t="shared" si="27"/>
        <v/>
      </c>
      <c r="BL110" s="3" t="str">
        <f t="shared" ref="BL110:BL127" si="931">IF(AND($N110=30,V110=10),"SI",IF(AND($N110=30,V110=0),"NO",""))</f>
        <v>SI</v>
      </c>
      <c r="BM110" s="3" t="str">
        <f t="shared" ref="BM110:BM127" si="932">IF(AND($N110=0,V110=10),"SI",IF(AND($N110=0,V110=0),"NO",""))</f>
        <v/>
      </c>
    </row>
    <row r="111" spans="1:65" ht="36" x14ac:dyDescent="0.2">
      <c r="A111" s="494"/>
      <c r="B111" s="496"/>
      <c r="C111" s="356">
        <v>2</v>
      </c>
      <c r="D111" s="56" t="s">
        <v>11</v>
      </c>
      <c r="E111" s="240">
        <f t="shared" ref="E111:E174" si="933">IF($D111="","",IF($D111="SI",10,0))</f>
        <v>10</v>
      </c>
      <c r="F111" s="44" t="s">
        <v>615</v>
      </c>
      <c r="G111" s="18" t="str">
        <f t="shared" si="896"/>
        <v/>
      </c>
      <c r="H111" s="44" t="s">
        <v>20</v>
      </c>
      <c r="I111" s="18" t="str">
        <f t="shared" si="897"/>
        <v/>
      </c>
      <c r="J111" s="55" t="str">
        <f t="shared" si="898"/>
        <v>Posibilidad</v>
      </c>
      <c r="K111" s="43" t="s">
        <v>11</v>
      </c>
      <c r="L111" s="18">
        <f t="shared" si="899"/>
        <v>15</v>
      </c>
      <c r="M111" s="43" t="s">
        <v>11</v>
      </c>
      <c r="N111" s="18">
        <f t="shared" si="900"/>
        <v>30</v>
      </c>
      <c r="O111" s="43" t="s">
        <v>323</v>
      </c>
      <c r="P111" s="18">
        <f t="shared" si="901"/>
        <v>10</v>
      </c>
      <c r="Q111" s="43" t="s">
        <v>11</v>
      </c>
      <c r="R111" s="18">
        <f t="shared" si="902"/>
        <v>5</v>
      </c>
      <c r="S111" s="43" t="s">
        <v>11</v>
      </c>
      <c r="T111" s="18">
        <f t="shared" si="903"/>
        <v>15</v>
      </c>
      <c r="U111" s="43" t="s">
        <v>11</v>
      </c>
      <c r="V111" s="18">
        <f t="shared" si="904"/>
        <v>10</v>
      </c>
      <c r="W111" s="18">
        <f t="shared" si="905"/>
        <v>95</v>
      </c>
      <c r="X111" s="57" t="str">
        <f t="shared" ref="X111:X127" si="934">IF(ISBLANK(D111),"",IF(D111="NO",0,IF(D111="SI",IF(OR(G111="Decripcion",I111="Tipo",L111="P1",N111="P2",P111="P3",R111="P4",T111="P5",V111="P6"),CONCATENATE("Falta diligenciar: ",G111," ",I111,IF(L111="P1"," Preg 1",),IF(N111="P2"," Preg 2",),IF(P111="P3"," Preg 3",),IF(R111="P4"," Preg 4",),IF(T111="P5"," Preg 5",),IF(V111="P6"," Preg 6",)),IF(AND(W111&gt;76,J111="Posibilidad"),CONCATENATE(W111,"                           Disminuye en ",J111),W111)))))</f>
        <v>95                           Disminuye en Posibilidad</v>
      </c>
      <c r="Y111" s="57">
        <f t="shared" ref="Y111:Y127" si="935">IF(AND(W111&gt;75,W111&lt;101,J111="Posibilidad"),1,0)</f>
        <v>1</v>
      </c>
      <c r="Z111" s="356"/>
      <c r="AA111" s="498"/>
      <c r="AB111" s="500"/>
      <c r="AC111" s="3" t="s">
        <v>352</v>
      </c>
      <c r="AF111" s="501"/>
      <c r="AG111" s="46" t="str">
        <f t="shared" ref="AG111" si="936">IF(AG110&gt;0,"- Evitar Posibilidad de Ocurrencia- Reducir el Riesgo","")</f>
        <v>- Evitar Posibilidad de Ocurrencia- Reducir el Riesgo</v>
      </c>
      <c r="AH111" s="46"/>
      <c r="AI111" s="46"/>
      <c r="AJ111" s="46"/>
      <c r="AK111" s="46"/>
      <c r="AL111" s="46"/>
      <c r="AM111" s="3" t="str">
        <f t="shared" si="912"/>
        <v/>
      </c>
      <c r="AN111" s="3" t="str">
        <f t="shared" si="913"/>
        <v/>
      </c>
      <c r="AO111" s="3" t="str">
        <f t="shared" si="914"/>
        <v/>
      </c>
      <c r="AP111" s="3" t="str">
        <f t="shared" si="915"/>
        <v/>
      </c>
      <c r="AQ111" s="3" t="str">
        <f t="shared" ref="AQ111:AQ112" si="937">IF(AQ110="Documentar",AQ110,AM111)</f>
        <v/>
      </c>
      <c r="AR111" s="3" t="str">
        <f t="shared" ref="AR111:AR112" si="938">IF(AR110="Asignar responsable",AR110,AN111)</f>
        <v/>
      </c>
      <c r="AT111" s="3" t="str">
        <f t="shared" ref="AT111:AT112" si="939">IF(AT110="Establecer periodos de seguimiento adecuados",AT110,AO111)</f>
        <v/>
      </c>
      <c r="AV111" s="3" t="str">
        <f t="shared" ref="AV111:AV112" si="940">IF(AV110="Guardar Evidencias",AV110,AP111)</f>
        <v/>
      </c>
      <c r="AX111" s="502"/>
      <c r="AY111" s="502"/>
      <c r="AZ111" s="502"/>
      <c r="BA111" s="502"/>
      <c r="BB111" s="3" t="str">
        <f t="shared" si="924"/>
        <v>SI</v>
      </c>
      <c r="BC111" s="3" t="str">
        <f t="shared" si="925"/>
        <v/>
      </c>
      <c r="BD111" s="3" t="str">
        <f t="shared" si="926"/>
        <v>SI</v>
      </c>
      <c r="BE111" s="3" t="str">
        <f t="shared" si="927"/>
        <v/>
      </c>
      <c r="BF111" s="3" t="str">
        <f t="shared" si="928"/>
        <v>SI</v>
      </c>
      <c r="BG111" s="3" t="str">
        <f t="shared" si="929"/>
        <v/>
      </c>
      <c r="BH111" s="3" t="str">
        <f t="shared" si="930"/>
        <v>P</v>
      </c>
      <c r="BI111" s="3" t="str">
        <f t="shared" ref="BI111:BI174" si="941">IF(AND($N111=0,$H111="Preventivo"),"P",IF(AND($N111=0,$H111="Correctivo"),"C",""))</f>
        <v/>
      </c>
      <c r="BJ111" s="3" t="str">
        <f t="shared" ref="BJ111:BJ174" si="942">IF(AND($N111=30,$O111="Automático"),"A",IF(AND($N111=30,$O111="Manual"),"M",""))</f>
        <v>M</v>
      </c>
      <c r="BK111" s="3" t="str">
        <f t="shared" ref="BK111:BK174" si="943">IF(AND($N111=0,$O111="Automático"),"A",IF(AND($N111=0,$O111="Manual"),"M",""))</f>
        <v/>
      </c>
      <c r="BL111" s="3" t="str">
        <f t="shared" si="931"/>
        <v>SI</v>
      </c>
      <c r="BM111" s="3" t="str">
        <f t="shared" si="932"/>
        <v/>
      </c>
    </row>
    <row r="112" spans="1:65" ht="16.5" thickBot="1" x14ac:dyDescent="0.25">
      <c r="A112" s="495"/>
      <c r="B112" s="496"/>
      <c r="C112" s="356">
        <v>3</v>
      </c>
      <c r="D112" s="56"/>
      <c r="E112" s="240" t="str">
        <f t="shared" si="933"/>
        <v/>
      </c>
      <c r="F112" s="44"/>
      <c r="G112" s="18" t="str">
        <f t="shared" si="896"/>
        <v/>
      </c>
      <c r="H112" s="44"/>
      <c r="I112" s="18" t="str">
        <f t="shared" si="897"/>
        <v/>
      </c>
      <c r="J112" s="55" t="str">
        <f t="shared" si="898"/>
        <v/>
      </c>
      <c r="K112" s="43"/>
      <c r="L112" s="18" t="str">
        <f t="shared" si="899"/>
        <v/>
      </c>
      <c r="M112" s="43"/>
      <c r="N112" s="18" t="str">
        <f t="shared" si="900"/>
        <v/>
      </c>
      <c r="O112" s="43"/>
      <c r="P112" s="18" t="str">
        <f t="shared" si="901"/>
        <v/>
      </c>
      <c r="Q112" s="43"/>
      <c r="R112" s="18" t="str">
        <f t="shared" si="902"/>
        <v/>
      </c>
      <c r="S112" s="43"/>
      <c r="T112" s="18" t="str">
        <f t="shared" si="903"/>
        <v/>
      </c>
      <c r="U112" s="43"/>
      <c r="V112" s="18" t="str">
        <f t="shared" si="904"/>
        <v/>
      </c>
      <c r="W112" s="18">
        <f t="shared" si="905"/>
        <v>0</v>
      </c>
      <c r="X112" s="57" t="str">
        <f t="shared" si="934"/>
        <v/>
      </c>
      <c r="Y112" s="57">
        <f t="shared" si="935"/>
        <v>0</v>
      </c>
      <c r="Z112" s="356"/>
      <c r="AA112" s="499"/>
      <c r="AB112" s="500"/>
      <c r="AM112" s="3" t="str">
        <f t="shared" si="912"/>
        <v/>
      </c>
      <c r="AN112" s="3" t="str">
        <f t="shared" si="913"/>
        <v/>
      </c>
      <c r="AO112" s="3" t="str">
        <f t="shared" si="914"/>
        <v/>
      </c>
      <c r="AP112" s="3" t="str">
        <f t="shared" si="915"/>
        <v/>
      </c>
      <c r="AQ112" s="3" t="str">
        <f t="shared" si="937"/>
        <v/>
      </c>
      <c r="AR112" s="3" t="str">
        <f t="shared" si="938"/>
        <v/>
      </c>
      <c r="AS112" s="3" t="str">
        <f t="shared" ref="AS112" si="944">IF(AND(AQ112="Documentar",AR112="Asignar responsable"),CONCATENATE("- ",AQ112,", ",AR112),IF(AQ112="Documentar",CONCATENATE("- ",AQ112),IF(AR112="Asignar responsable",CONCATENATE("- ",AR112),"")))</f>
        <v/>
      </c>
      <c r="AT112" s="3" t="str">
        <f t="shared" si="939"/>
        <v/>
      </c>
      <c r="AU112" s="3" t="str">
        <f t="shared" ref="AU112" si="945">IF(AT112="",AS112,IF(AS112="",CONCATENATE("- ",AT112),CONCATENATE(AS112,", ",AT112)))</f>
        <v/>
      </c>
      <c r="AV112" s="3" t="str">
        <f t="shared" si="940"/>
        <v/>
      </c>
      <c r="AW112" s="3" t="str">
        <f t="shared" ref="AW112" si="946">IF(AV112="",AU112,IF(AU112="",CONCATENATE("- ",AV112),CONCATENATE(AU112,", ",AV112)))</f>
        <v/>
      </c>
      <c r="AX112" s="502"/>
      <c r="AY112" s="502"/>
      <c r="AZ112" s="502"/>
      <c r="BA112" s="502"/>
      <c r="BB112" s="3" t="str">
        <f t="shared" si="924"/>
        <v/>
      </c>
      <c r="BC112" s="3" t="str">
        <f t="shared" si="925"/>
        <v/>
      </c>
      <c r="BD112" s="3" t="str">
        <f t="shared" si="926"/>
        <v/>
      </c>
      <c r="BE112" s="3" t="str">
        <f t="shared" si="927"/>
        <v/>
      </c>
      <c r="BF112" s="3" t="str">
        <f t="shared" si="928"/>
        <v/>
      </c>
      <c r="BG112" s="3" t="str">
        <f t="shared" si="929"/>
        <v/>
      </c>
      <c r="BH112" s="3" t="str">
        <f t="shared" si="930"/>
        <v/>
      </c>
      <c r="BI112" s="3" t="str">
        <f t="shared" si="941"/>
        <v/>
      </c>
      <c r="BJ112" s="3" t="str">
        <f t="shared" si="942"/>
        <v/>
      </c>
      <c r="BK112" s="3" t="str">
        <f t="shared" si="943"/>
        <v/>
      </c>
      <c r="BL112" s="3" t="str">
        <f t="shared" si="931"/>
        <v/>
      </c>
      <c r="BM112" s="3" t="str">
        <f t="shared" si="932"/>
        <v/>
      </c>
    </row>
    <row r="113" spans="1:65" ht="36.75" thickTop="1" x14ac:dyDescent="0.2">
      <c r="A113" s="493" t="str">
        <f>IDENTIFICACIÓN!C44</f>
        <v>7C</v>
      </c>
      <c r="B113" s="496" t="str">
        <f>IF(IDENTIFICACIÓN!D44="","",IDENTIFICACIÓN!D44)</f>
        <v>Gestión de la Calidad. Concentración de información de determinadas actividades o procesos en una persona</v>
      </c>
      <c r="C113" s="356">
        <v>1</v>
      </c>
      <c r="D113" s="56" t="s">
        <v>11</v>
      </c>
      <c r="E113" s="240">
        <f t="shared" si="933"/>
        <v>10</v>
      </c>
      <c r="F113" s="44" t="s">
        <v>616</v>
      </c>
      <c r="G113" s="18" t="str">
        <f t="shared" si="896"/>
        <v/>
      </c>
      <c r="H113" s="44" t="s">
        <v>20</v>
      </c>
      <c r="I113" s="18" t="str">
        <f t="shared" si="897"/>
        <v/>
      </c>
      <c r="J113" s="55" t="str">
        <f t="shared" si="898"/>
        <v>Posibilidad</v>
      </c>
      <c r="K113" s="43" t="s">
        <v>11</v>
      </c>
      <c r="L113" s="18">
        <f t="shared" si="899"/>
        <v>15</v>
      </c>
      <c r="M113" s="43" t="s">
        <v>11</v>
      </c>
      <c r="N113" s="18">
        <f t="shared" si="900"/>
        <v>30</v>
      </c>
      <c r="O113" s="43" t="s">
        <v>323</v>
      </c>
      <c r="P113" s="18">
        <f t="shared" si="901"/>
        <v>10</v>
      </c>
      <c r="Q113" s="43" t="s">
        <v>11</v>
      </c>
      <c r="R113" s="18">
        <f t="shared" si="902"/>
        <v>5</v>
      </c>
      <c r="S113" s="43" t="s">
        <v>11</v>
      </c>
      <c r="T113" s="18">
        <f t="shared" si="903"/>
        <v>15</v>
      </c>
      <c r="U113" s="43" t="s">
        <v>11</v>
      </c>
      <c r="V113" s="18">
        <f t="shared" si="904"/>
        <v>10</v>
      </c>
      <c r="W113" s="18">
        <f t="shared" si="905"/>
        <v>95</v>
      </c>
      <c r="X113" s="57" t="str">
        <f t="shared" si="934"/>
        <v>95                           Disminuye en Posibilidad</v>
      </c>
      <c r="Y113" s="57">
        <f t="shared" si="935"/>
        <v>1</v>
      </c>
      <c r="Z113" s="356"/>
      <c r="AA113" s="497">
        <f t="shared" ref="AA113" si="947">IF(AB113=0,"",(ROUND((SUM(W113:W115)/AB113),0)))</f>
        <v>95</v>
      </c>
      <c r="AB113" s="500">
        <f t="shared" ref="AB113" si="948">COUNT(T113:T115)</f>
        <v>1</v>
      </c>
      <c r="AC113" s="3">
        <f t="shared" ref="AC113" si="949">SUM(Y113:Y115)</f>
        <v>1</v>
      </c>
      <c r="AD113" s="3">
        <f>ANALISIS!D46</f>
        <v>3</v>
      </c>
      <c r="AE113" s="3">
        <f t="shared" ref="AE113" si="950">IF(AND(AD113=5,AC113&gt;1),3,AD113)</f>
        <v>3</v>
      </c>
      <c r="AF113" s="501">
        <f t="shared" ref="AF113" si="951">AE113</f>
        <v>3</v>
      </c>
      <c r="AG113" s="355" t="str">
        <f t="shared" ref="AG113" si="952">IF(AF113=3,"MODERADA",IF(AF113=5,"EXTREMA",""))</f>
        <v>MODERADA</v>
      </c>
      <c r="AH113" s="46"/>
      <c r="AI113" s="46"/>
      <c r="AJ113" s="46"/>
      <c r="AK113" s="46"/>
      <c r="AL113" s="46"/>
      <c r="AM113" s="3" t="str">
        <f t="shared" si="912"/>
        <v/>
      </c>
      <c r="AN113" s="3" t="str">
        <f t="shared" si="913"/>
        <v/>
      </c>
      <c r="AO113" s="3" t="str">
        <f t="shared" si="914"/>
        <v/>
      </c>
      <c r="AP113" s="3" t="str">
        <f t="shared" si="915"/>
        <v/>
      </c>
      <c r="AQ113" s="3" t="str">
        <f t="shared" ref="AQ113" si="953">AM113</f>
        <v/>
      </c>
      <c r="AR113" s="3" t="str">
        <f t="shared" ref="AR113" si="954">AN113</f>
        <v/>
      </c>
      <c r="AT113" s="3" t="str">
        <f t="shared" ref="AT113" si="955">AO113</f>
        <v/>
      </c>
      <c r="AV113" s="3" t="str">
        <f t="shared" ref="AV113" si="956">AP113</f>
        <v/>
      </c>
      <c r="AX113" s="502" t="str">
        <f t="shared" ref="AX113" si="957">IF(AW115="","",CONCATENATE(AW115," (de) el(los) control(es) Efectivo(s) "))</f>
        <v/>
      </c>
      <c r="AY113" s="502" t="str">
        <f t="shared" ref="AY113" si="958">IF(CONCATENATE(N113:N115)="","",IF(AND(SUM(E113:E115)=10,SUM(N113:N115)&lt;30),"- Replantear control(es) NO efectivo(s) ",IF(AND(SUM(E113:E115)=20,SUM(N113:N115)&lt;60),"- Replantear control(es) NO efectivo(s) ",IF(AND(SUM(E113:E115)=30,SUM(N113:N115)&lt;90),"- Replantear control(es) NO efectivo(s) ",""))))</f>
        <v/>
      </c>
      <c r="AZ113" s="502" t="str">
        <f t="shared" ref="AZ113" si="959">IF(AND(AE113&gt;1,AE114&gt;1),"- Tomar Acciones Preventivas y Correctivas",IF(AE113&gt;1,"- Tomar Acciones Preventivas",IF(AE114&gt;1,"- Tomar Acciones Correctivas","")))</f>
        <v>- Tomar Acciones Preventivas</v>
      </c>
      <c r="BA113" s="502" t="str">
        <f t="shared" ref="BA113" si="960">CONCATENATE(AX113,AY113,AZ113)</f>
        <v>- Tomar Acciones Preventivas</v>
      </c>
      <c r="BB113" s="3" t="str">
        <f t="shared" si="924"/>
        <v>SI</v>
      </c>
      <c r="BC113" s="3" t="str">
        <f t="shared" si="925"/>
        <v/>
      </c>
      <c r="BD113" s="3" t="str">
        <f t="shared" si="926"/>
        <v>SI</v>
      </c>
      <c r="BE113" s="3" t="str">
        <f t="shared" si="927"/>
        <v/>
      </c>
      <c r="BF113" s="3" t="str">
        <f t="shared" si="928"/>
        <v>SI</v>
      </c>
      <c r="BG113" s="3" t="str">
        <f t="shared" si="929"/>
        <v/>
      </c>
      <c r="BH113" s="3" t="str">
        <f t="shared" si="930"/>
        <v>P</v>
      </c>
      <c r="BI113" s="3" t="str">
        <f t="shared" si="941"/>
        <v/>
      </c>
      <c r="BJ113" s="3" t="str">
        <f t="shared" si="942"/>
        <v>M</v>
      </c>
      <c r="BK113" s="3" t="str">
        <f t="shared" si="943"/>
        <v/>
      </c>
      <c r="BL113" s="3" t="str">
        <f t="shared" si="931"/>
        <v>SI</v>
      </c>
      <c r="BM113" s="3" t="str">
        <f t="shared" si="932"/>
        <v/>
      </c>
    </row>
    <row r="114" spans="1:65" ht="31.5" x14ac:dyDescent="0.2">
      <c r="A114" s="494"/>
      <c r="B114" s="496"/>
      <c r="C114" s="356">
        <v>2</v>
      </c>
      <c r="D114" s="56"/>
      <c r="E114" s="240" t="str">
        <f t="shared" si="933"/>
        <v/>
      </c>
      <c r="F114" s="44"/>
      <c r="G114" s="18" t="str">
        <f t="shared" si="896"/>
        <v/>
      </c>
      <c r="H114" s="44"/>
      <c r="I114" s="18" t="str">
        <f t="shared" si="897"/>
        <v/>
      </c>
      <c r="J114" s="55" t="str">
        <f t="shared" si="898"/>
        <v/>
      </c>
      <c r="K114" s="43"/>
      <c r="L114" s="18" t="str">
        <f t="shared" si="899"/>
        <v/>
      </c>
      <c r="M114" s="43"/>
      <c r="N114" s="18" t="str">
        <f t="shared" si="900"/>
        <v/>
      </c>
      <c r="O114" s="43"/>
      <c r="P114" s="18" t="str">
        <f t="shared" si="901"/>
        <v/>
      </c>
      <c r="Q114" s="43"/>
      <c r="R114" s="18" t="str">
        <f t="shared" si="902"/>
        <v/>
      </c>
      <c r="S114" s="43"/>
      <c r="T114" s="18" t="str">
        <f t="shared" si="903"/>
        <v/>
      </c>
      <c r="U114" s="43"/>
      <c r="V114" s="18" t="str">
        <f t="shared" si="904"/>
        <v/>
      </c>
      <c r="W114" s="18">
        <f t="shared" si="905"/>
        <v>0</v>
      </c>
      <c r="X114" s="57" t="str">
        <f t="shared" si="934"/>
        <v/>
      </c>
      <c r="Y114" s="57">
        <f t="shared" si="935"/>
        <v>0</v>
      </c>
      <c r="Z114" s="356"/>
      <c r="AA114" s="498"/>
      <c r="AB114" s="500"/>
      <c r="AC114" s="3" t="s">
        <v>352</v>
      </c>
      <c r="AF114" s="501"/>
      <c r="AG114" s="46" t="str">
        <f t="shared" ref="AG114" si="961">IF(AG113&gt;0,"- Evitar Posibilidad de Ocurrencia- Reducir el Riesgo","")</f>
        <v>- Evitar Posibilidad de Ocurrencia- Reducir el Riesgo</v>
      </c>
      <c r="AH114" s="46"/>
      <c r="AI114" s="46"/>
      <c r="AJ114" s="46"/>
      <c r="AK114" s="46"/>
      <c r="AL114" s="46"/>
      <c r="AM114" s="3" t="str">
        <f t="shared" si="912"/>
        <v/>
      </c>
      <c r="AN114" s="3" t="str">
        <f t="shared" si="913"/>
        <v/>
      </c>
      <c r="AO114" s="3" t="str">
        <f t="shared" si="914"/>
        <v/>
      </c>
      <c r="AP114" s="3" t="str">
        <f t="shared" si="915"/>
        <v/>
      </c>
      <c r="AQ114" s="3" t="str">
        <f t="shared" ref="AQ114:AQ115" si="962">IF(AQ113="Documentar",AQ113,AM114)</f>
        <v/>
      </c>
      <c r="AR114" s="3" t="str">
        <f t="shared" ref="AR114:AR115" si="963">IF(AR113="Asignar responsable",AR113,AN114)</f>
        <v/>
      </c>
      <c r="AT114" s="3" t="str">
        <f t="shared" ref="AT114:AT115" si="964">IF(AT113="Establecer periodos de seguimiento adecuados",AT113,AO114)</f>
        <v/>
      </c>
      <c r="AV114" s="3" t="str">
        <f t="shared" ref="AV114:AV115" si="965">IF(AV113="Guardar Evidencias",AV113,AP114)</f>
        <v/>
      </c>
      <c r="AX114" s="502"/>
      <c r="AY114" s="502"/>
      <c r="AZ114" s="502"/>
      <c r="BA114" s="502"/>
      <c r="BB114" s="3" t="str">
        <f t="shared" si="924"/>
        <v/>
      </c>
      <c r="BC114" s="3" t="str">
        <f t="shared" si="925"/>
        <v/>
      </c>
      <c r="BD114" s="3" t="str">
        <f t="shared" si="926"/>
        <v/>
      </c>
      <c r="BE114" s="3" t="str">
        <f t="shared" si="927"/>
        <v/>
      </c>
      <c r="BF114" s="3" t="str">
        <f t="shared" si="928"/>
        <v/>
      </c>
      <c r="BG114" s="3" t="str">
        <f t="shared" si="929"/>
        <v/>
      </c>
      <c r="BH114" s="3" t="str">
        <f t="shared" si="930"/>
        <v/>
      </c>
      <c r="BI114" s="3" t="str">
        <f t="shared" si="941"/>
        <v/>
      </c>
      <c r="BJ114" s="3" t="str">
        <f t="shared" si="942"/>
        <v/>
      </c>
      <c r="BK114" s="3" t="str">
        <f t="shared" si="943"/>
        <v/>
      </c>
      <c r="BL114" s="3" t="str">
        <f t="shared" si="931"/>
        <v/>
      </c>
      <c r="BM114" s="3" t="str">
        <f t="shared" si="932"/>
        <v/>
      </c>
    </row>
    <row r="115" spans="1:65" ht="16.5" thickBot="1" x14ac:dyDescent="0.25">
      <c r="A115" s="495"/>
      <c r="B115" s="496"/>
      <c r="C115" s="356">
        <v>3</v>
      </c>
      <c r="D115" s="56"/>
      <c r="E115" s="240" t="str">
        <f t="shared" si="933"/>
        <v/>
      </c>
      <c r="F115" s="44"/>
      <c r="G115" s="18" t="str">
        <f t="shared" si="896"/>
        <v/>
      </c>
      <c r="H115" s="44"/>
      <c r="I115" s="18" t="str">
        <f t="shared" si="897"/>
        <v/>
      </c>
      <c r="J115" s="55" t="str">
        <f t="shared" si="898"/>
        <v/>
      </c>
      <c r="K115" s="43"/>
      <c r="L115" s="18" t="str">
        <f t="shared" si="899"/>
        <v/>
      </c>
      <c r="M115" s="43"/>
      <c r="N115" s="18" t="str">
        <f t="shared" si="900"/>
        <v/>
      </c>
      <c r="O115" s="43"/>
      <c r="P115" s="18" t="str">
        <f t="shared" si="901"/>
        <v/>
      </c>
      <c r="Q115" s="43"/>
      <c r="R115" s="18" t="str">
        <f t="shared" si="902"/>
        <v/>
      </c>
      <c r="S115" s="43"/>
      <c r="T115" s="18" t="str">
        <f t="shared" si="903"/>
        <v/>
      </c>
      <c r="U115" s="43"/>
      <c r="V115" s="18" t="str">
        <f t="shared" si="904"/>
        <v/>
      </c>
      <c r="W115" s="18">
        <f t="shared" si="905"/>
        <v>0</v>
      </c>
      <c r="X115" s="57" t="str">
        <f t="shared" si="934"/>
        <v/>
      </c>
      <c r="Y115" s="57">
        <f t="shared" si="935"/>
        <v>0</v>
      </c>
      <c r="Z115" s="356"/>
      <c r="AA115" s="499"/>
      <c r="AB115" s="500"/>
      <c r="AM115" s="3" t="str">
        <f t="shared" si="912"/>
        <v/>
      </c>
      <c r="AN115" s="3" t="str">
        <f t="shared" si="913"/>
        <v/>
      </c>
      <c r="AO115" s="3" t="str">
        <f t="shared" si="914"/>
        <v/>
      </c>
      <c r="AP115" s="3" t="str">
        <f t="shared" si="915"/>
        <v/>
      </c>
      <c r="AQ115" s="3" t="str">
        <f t="shared" si="962"/>
        <v/>
      </c>
      <c r="AR115" s="3" t="str">
        <f t="shared" si="963"/>
        <v/>
      </c>
      <c r="AS115" s="3" t="str">
        <f t="shared" ref="AS115" si="966">IF(AND(AQ115="Documentar",AR115="Asignar responsable"),CONCATENATE("- ",AQ115,", ",AR115),IF(AQ115="Documentar",CONCATENATE("- ",AQ115),IF(AR115="Asignar responsable",CONCATENATE("- ",AR115),"")))</f>
        <v/>
      </c>
      <c r="AT115" s="3" t="str">
        <f t="shared" si="964"/>
        <v/>
      </c>
      <c r="AU115" s="3" t="str">
        <f t="shared" ref="AU115" si="967">IF(AT115="",AS115,IF(AS115="",CONCATENATE("- ",AT115),CONCATENATE(AS115,", ",AT115)))</f>
        <v/>
      </c>
      <c r="AV115" s="3" t="str">
        <f t="shared" si="965"/>
        <v/>
      </c>
      <c r="AW115" s="3" t="str">
        <f t="shared" ref="AW115" si="968">IF(AV115="",AU115,IF(AU115="",CONCATENATE("- ",AV115),CONCATENATE(AU115,", ",AV115)))</f>
        <v/>
      </c>
      <c r="AX115" s="502"/>
      <c r="AY115" s="502"/>
      <c r="AZ115" s="502"/>
      <c r="BA115" s="502"/>
      <c r="BB115" s="3" t="str">
        <f t="shared" si="924"/>
        <v/>
      </c>
      <c r="BC115" s="3" t="str">
        <f t="shared" si="925"/>
        <v/>
      </c>
      <c r="BD115" s="3" t="str">
        <f t="shared" si="926"/>
        <v/>
      </c>
      <c r="BE115" s="3" t="str">
        <f t="shared" si="927"/>
        <v/>
      </c>
      <c r="BF115" s="3" t="str">
        <f t="shared" si="928"/>
        <v/>
      </c>
      <c r="BG115" s="3" t="str">
        <f t="shared" si="929"/>
        <v/>
      </c>
      <c r="BH115" s="3" t="str">
        <f t="shared" si="930"/>
        <v/>
      </c>
      <c r="BI115" s="3" t="str">
        <f t="shared" si="941"/>
        <v/>
      </c>
      <c r="BJ115" s="3" t="str">
        <f t="shared" si="942"/>
        <v/>
      </c>
      <c r="BK115" s="3" t="str">
        <f t="shared" si="943"/>
        <v/>
      </c>
      <c r="BL115" s="3" t="str">
        <f t="shared" si="931"/>
        <v/>
      </c>
      <c r="BM115" s="3" t="str">
        <f t="shared" si="932"/>
        <v/>
      </c>
    </row>
    <row r="116" spans="1:65" ht="36.75" thickTop="1" x14ac:dyDescent="0.2">
      <c r="A116" s="493" t="str">
        <f>IDENTIFICACIÓN!C45</f>
        <v>8C</v>
      </c>
      <c r="B116" s="496" t="str">
        <f>IF(IDENTIFICACIÓN!D45="","",IDENTIFICACIÓN!D45)</f>
        <v>Gestión de la Calidad. Deficiencias en el  manejo documental y de archivo</v>
      </c>
      <c r="C116" s="356">
        <v>1</v>
      </c>
      <c r="D116" s="56" t="s">
        <v>11</v>
      </c>
      <c r="E116" s="240">
        <f t="shared" si="933"/>
        <v>10</v>
      </c>
      <c r="F116" s="44" t="s">
        <v>617</v>
      </c>
      <c r="G116" s="18" t="str">
        <f t="shared" si="896"/>
        <v/>
      </c>
      <c r="H116" s="44" t="s">
        <v>20</v>
      </c>
      <c r="I116" s="18" t="str">
        <f t="shared" si="897"/>
        <v/>
      </c>
      <c r="J116" s="55" t="str">
        <f t="shared" si="898"/>
        <v>Posibilidad</v>
      </c>
      <c r="K116" s="43" t="s">
        <v>11</v>
      </c>
      <c r="L116" s="18">
        <f t="shared" si="899"/>
        <v>15</v>
      </c>
      <c r="M116" s="43" t="s">
        <v>11</v>
      </c>
      <c r="N116" s="18">
        <f t="shared" si="900"/>
        <v>30</v>
      </c>
      <c r="O116" s="43" t="s">
        <v>323</v>
      </c>
      <c r="P116" s="18">
        <f t="shared" si="901"/>
        <v>10</v>
      </c>
      <c r="Q116" s="43" t="s">
        <v>11</v>
      </c>
      <c r="R116" s="18">
        <f t="shared" si="902"/>
        <v>5</v>
      </c>
      <c r="S116" s="43" t="s">
        <v>11</v>
      </c>
      <c r="T116" s="18">
        <f t="shared" si="903"/>
        <v>15</v>
      </c>
      <c r="U116" s="43" t="s">
        <v>11</v>
      </c>
      <c r="V116" s="18">
        <f t="shared" si="904"/>
        <v>10</v>
      </c>
      <c r="W116" s="18">
        <f t="shared" si="905"/>
        <v>95</v>
      </c>
      <c r="X116" s="57" t="str">
        <f t="shared" si="934"/>
        <v>95                           Disminuye en Posibilidad</v>
      </c>
      <c r="Y116" s="57">
        <f t="shared" si="935"/>
        <v>1</v>
      </c>
      <c r="Z116" s="356"/>
      <c r="AA116" s="497">
        <f t="shared" ref="AA116" si="969">IF(AB116=0,"",(ROUND((SUM(W116:W118)/AB116),0)))</f>
        <v>95</v>
      </c>
      <c r="AB116" s="500">
        <f t="shared" ref="AB116" si="970">COUNT(T116:T118)</f>
        <v>2</v>
      </c>
      <c r="AC116" s="3">
        <f t="shared" ref="AC116" si="971">SUM(Y116:Y118)</f>
        <v>2</v>
      </c>
      <c r="AD116" s="3">
        <f>ANALISIS!D47</f>
        <v>3</v>
      </c>
      <c r="AE116" s="3">
        <f t="shared" ref="AE116" si="972">IF(AND(AD116=5,AC116&gt;1),3,AD116)</f>
        <v>3</v>
      </c>
      <c r="AF116" s="501">
        <f t="shared" ref="AF116" si="973">AE116</f>
        <v>3</v>
      </c>
      <c r="AG116" s="355" t="str">
        <f t="shared" ref="AG116" si="974">IF(AF116=3,"MODERADA",IF(AF116=5,"EXTREMA",""))</f>
        <v>MODERADA</v>
      </c>
      <c r="AH116" s="46"/>
      <c r="AI116" s="46"/>
      <c r="AJ116" s="46"/>
      <c r="AK116" s="46"/>
      <c r="AL116" s="46"/>
      <c r="AM116" s="3" t="str">
        <f t="shared" si="912"/>
        <v/>
      </c>
      <c r="AN116" s="3" t="str">
        <f t="shared" si="913"/>
        <v/>
      </c>
      <c r="AO116" s="3" t="str">
        <f t="shared" si="914"/>
        <v/>
      </c>
      <c r="AP116" s="3" t="str">
        <f t="shared" si="915"/>
        <v/>
      </c>
      <c r="AQ116" s="3" t="str">
        <f t="shared" ref="AQ116" si="975">AM116</f>
        <v/>
      </c>
      <c r="AR116" s="3" t="str">
        <f t="shared" ref="AR116" si="976">AN116</f>
        <v/>
      </c>
      <c r="AT116" s="3" t="str">
        <f t="shared" ref="AT116" si="977">AO116</f>
        <v/>
      </c>
      <c r="AV116" s="3" t="str">
        <f t="shared" ref="AV116" si="978">AP116</f>
        <v/>
      </c>
      <c r="AX116" s="502" t="str">
        <f t="shared" ref="AX116" si="979">IF(AW118="","",CONCATENATE(AW118," (de) el(los) control(es) Efectivo(s) "))</f>
        <v/>
      </c>
      <c r="AY116" s="502" t="str">
        <f t="shared" ref="AY116" si="980">IF(CONCATENATE(N116:N118)="","",IF(AND(SUM(E116:E118)=10,SUM(N116:N118)&lt;30),"- Replantear control(es) NO efectivo(s) ",IF(AND(SUM(E116:E118)=20,SUM(N116:N118)&lt;60),"- Replantear control(es) NO efectivo(s) ",IF(AND(SUM(E116:E118)=30,SUM(N116:N118)&lt;90),"- Replantear control(es) NO efectivo(s) ",""))))</f>
        <v/>
      </c>
      <c r="AZ116" s="502" t="str">
        <f t="shared" ref="AZ116" si="981">IF(AND(AE116&gt;1,AE117&gt;1),"- Tomar Acciones Preventivas y Correctivas",IF(AE116&gt;1,"- Tomar Acciones Preventivas",IF(AE117&gt;1,"- Tomar Acciones Correctivas","")))</f>
        <v>- Tomar Acciones Preventivas</v>
      </c>
      <c r="BA116" s="502" t="str">
        <f t="shared" ref="BA116" si="982">CONCATENATE(AX116,AY116,AZ116)</f>
        <v>- Tomar Acciones Preventivas</v>
      </c>
      <c r="BB116" s="3" t="str">
        <f t="shared" si="924"/>
        <v>SI</v>
      </c>
      <c r="BC116" s="3" t="str">
        <f t="shared" si="925"/>
        <v/>
      </c>
      <c r="BD116" s="3" t="str">
        <f t="shared" si="926"/>
        <v>SI</v>
      </c>
      <c r="BE116" s="3" t="str">
        <f t="shared" si="927"/>
        <v/>
      </c>
      <c r="BF116" s="3" t="str">
        <f t="shared" si="928"/>
        <v>SI</v>
      </c>
      <c r="BG116" s="3" t="str">
        <f t="shared" si="929"/>
        <v/>
      </c>
      <c r="BH116" s="3" t="str">
        <f t="shared" si="930"/>
        <v>P</v>
      </c>
      <c r="BI116" s="3" t="str">
        <f t="shared" si="941"/>
        <v/>
      </c>
      <c r="BJ116" s="3" t="str">
        <f t="shared" si="942"/>
        <v>M</v>
      </c>
      <c r="BK116" s="3" t="str">
        <f t="shared" si="943"/>
        <v/>
      </c>
      <c r="BL116" s="3" t="str">
        <f t="shared" si="931"/>
        <v>SI</v>
      </c>
      <c r="BM116" s="3" t="str">
        <f t="shared" si="932"/>
        <v/>
      </c>
    </row>
    <row r="117" spans="1:65" ht="36" x14ac:dyDescent="0.2">
      <c r="A117" s="494"/>
      <c r="B117" s="496"/>
      <c r="C117" s="356">
        <v>2</v>
      </c>
      <c r="D117" s="56" t="s">
        <v>11</v>
      </c>
      <c r="E117" s="240">
        <f t="shared" si="933"/>
        <v>10</v>
      </c>
      <c r="F117" s="44" t="s">
        <v>618</v>
      </c>
      <c r="G117" s="18" t="str">
        <f t="shared" si="896"/>
        <v/>
      </c>
      <c r="H117" s="44" t="s">
        <v>20</v>
      </c>
      <c r="I117" s="18" t="str">
        <f t="shared" si="897"/>
        <v/>
      </c>
      <c r="J117" s="55" t="str">
        <f t="shared" si="898"/>
        <v>Posibilidad</v>
      </c>
      <c r="K117" s="43" t="s">
        <v>11</v>
      </c>
      <c r="L117" s="18">
        <f t="shared" si="899"/>
        <v>15</v>
      </c>
      <c r="M117" s="43" t="s">
        <v>11</v>
      </c>
      <c r="N117" s="18">
        <f t="shared" si="900"/>
        <v>30</v>
      </c>
      <c r="O117" s="43" t="s">
        <v>323</v>
      </c>
      <c r="P117" s="18">
        <f t="shared" si="901"/>
        <v>10</v>
      </c>
      <c r="Q117" s="43" t="s">
        <v>11</v>
      </c>
      <c r="R117" s="18">
        <f t="shared" si="902"/>
        <v>5</v>
      </c>
      <c r="S117" s="43" t="s">
        <v>11</v>
      </c>
      <c r="T117" s="18">
        <f t="shared" si="903"/>
        <v>15</v>
      </c>
      <c r="U117" s="43" t="s">
        <v>11</v>
      </c>
      <c r="V117" s="18">
        <f t="shared" si="904"/>
        <v>10</v>
      </c>
      <c r="W117" s="18">
        <f t="shared" si="905"/>
        <v>95</v>
      </c>
      <c r="X117" s="57" t="str">
        <f t="shared" si="934"/>
        <v>95                           Disminuye en Posibilidad</v>
      </c>
      <c r="Y117" s="57">
        <f t="shared" si="935"/>
        <v>1</v>
      </c>
      <c r="Z117" s="356"/>
      <c r="AA117" s="498"/>
      <c r="AB117" s="500"/>
      <c r="AC117" s="3" t="s">
        <v>352</v>
      </c>
      <c r="AF117" s="501"/>
      <c r="AG117" s="46" t="str">
        <f t="shared" ref="AG117" si="983">IF(AG116&gt;0,"- Evitar Posibilidad de Ocurrencia- Reducir el Riesgo","")</f>
        <v>- Evitar Posibilidad de Ocurrencia- Reducir el Riesgo</v>
      </c>
      <c r="AH117" s="46"/>
      <c r="AI117" s="46"/>
      <c r="AJ117" s="46"/>
      <c r="AK117" s="46"/>
      <c r="AL117" s="46"/>
      <c r="AM117" s="3" t="str">
        <f t="shared" si="912"/>
        <v/>
      </c>
      <c r="AN117" s="3" t="str">
        <f t="shared" si="913"/>
        <v/>
      </c>
      <c r="AO117" s="3" t="str">
        <f t="shared" si="914"/>
        <v/>
      </c>
      <c r="AP117" s="3" t="str">
        <f t="shared" si="915"/>
        <v/>
      </c>
      <c r="AQ117" s="3" t="str">
        <f t="shared" ref="AQ117:AQ118" si="984">IF(AQ116="Documentar",AQ116,AM117)</f>
        <v/>
      </c>
      <c r="AR117" s="3" t="str">
        <f t="shared" ref="AR117:AR118" si="985">IF(AR116="Asignar responsable",AR116,AN117)</f>
        <v/>
      </c>
      <c r="AT117" s="3" t="str">
        <f t="shared" ref="AT117:AT118" si="986">IF(AT116="Establecer periodos de seguimiento adecuados",AT116,AO117)</f>
        <v/>
      </c>
      <c r="AV117" s="3" t="str">
        <f t="shared" ref="AV117:AV118" si="987">IF(AV116="Guardar Evidencias",AV116,AP117)</f>
        <v/>
      </c>
      <c r="AX117" s="502"/>
      <c r="AY117" s="502"/>
      <c r="AZ117" s="502"/>
      <c r="BA117" s="502"/>
      <c r="BB117" s="3" t="str">
        <f t="shared" si="924"/>
        <v>SI</v>
      </c>
      <c r="BC117" s="3" t="str">
        <f t="shared" si="925"/>
        <v/>
      </c>
      <c r="BD117" s="3" t="str">
        <f t="shared" si="926"/>
        <v>SI</v>
      </c>
      <c r="BE117" s="3" t="str">
        <f t="shared" si="927"/>
        <v/>
      </c>
      <c r="BF117" s="3" t="str">
        <f t="shared" si="928"/>
        <v>SI</v>
      </c>
      <c r="BG117" s="3" t="str">
        <f t="shared" si="929"/>
        <v/>
      </c>
      <c r="BH117" s="3" t="str">
        <f t="shared" si="930"/>
        <v>P</v>
      </c>
      <c r="BI117" s="3" t="str">
        <f t="shared" si="941"/>
        <v/>
      </c>
      <c r="BJ117" s="3" t="str">
        <f t="shared" si="942"/>
        <v>M</v>
      </c>
      <c r="BK117" s="3" t="str">
        <f t="shared" si="943"/>
        <v/>
      </c>
      <c r="BL117" s="3" t="str">
        <f t="shared" si="931"/>
        <v>SI</v>
      </c>
      <c r="BM117" s="3" t="str">
        <f t="shared" si="932"/>
        <v/>
      </c>
    </row>
    <row r="118" spans="1:65" ht="16.5" thickBot="1" x14ac:dyDescent="0.25">
      <c r="A118" s="495"/>
      <c r="B118" s="496"/>
      <c r="C118" s="356">
        <v>3</v>
      </c>
      <c r="D118" s="56"/>
      <c r="E118" s="240" t="str">
        <f t="shared" si="933"/>
        <v/>
      </c>
      <c r="F118" s="44"/>
      <c r="G118" s="18" t="str">
        <f t="shared" si="896"/>
        <v/>
      </c>
      <c r="H118" s="44"/>
      <c r="I118" s="18" t="str">
        <f t="shared" si="897"/>
        <v/>
      </c>
      <c r="J118" s="55" t="str">
        <f t="shared" si="898"/>
        <v/>
      </c>
      <c r="K118" s="43"/>
      <c r="L118" s="18" t="str">
        <f t="shared" si="899"/>
        <v/>
      </c>
      <c r="M118" s="43"/>
      <c r="N118" s="18" t="str">
        <f t="shared" si="900"/>
        <v/>
      </c>
      <c r="O118" s="43"/>
      <c r="P118" s="18" t="str">
        <f t="shared" si="901"/>
        <v/>
      </c>
      <c r="Q118" s="43"/>
      <c r="R118" s="18" t="str">
        <f t="shared" si="902"/>
        <v/>
      </c>
      <c r="S118" s="43"/>
      <c r="T118" s="18" t="str">
        <f t="shared" si="903"/>
        <v/>
      </c>
      <c r="U118" s="43"/>
      <c r="V118" s="18" t="str">
        <f t="shared" si="904"/>
        <v/>
      </c>
      <c r="W118" s="18">
        <f t="shared" si="905"/>
        <v>0</v>
      </c>
      <c r="X118" s="57" t="str">
        <f t="shared" si="934"/>
        <v/>
      </c>
      <c r="Y118" s="57">
        <f t="shared" si="935"/>
        <v>0</v>
      </c>
      <c r="Z118" s="356"/>
      <c r="AA118" s="499"/>
      <c r="AB118" s="500"/>
      <c r="AM118" s="3" t="str">
        <f t="shared" si="912"/>
        <v/>
      </c>
      <c r="AN118" s="3" t="str">
        <f t="shared" si="913"/>
        <v/>
      </c>
      <c r="AO118" s="3" t="str">
        <f t="shared" si="914"/>
        <v/>
      </c>
      <c r="AP118" s="3" t="str">
        <f t="shared" si="915"/>
        <v/>
      </c>
      <c r="AQ118" s="3" t="str">
        <f t="shared" si="984"/>
        <v/>
      </c>
      <c r="AR118" s="3" t="str">
        <f t="shared" si="985"/>
        <v/>
      </c>
      <c r="AS118" s="3" t="str">
        <f t="shared" ref="AS118" si="988">IF(AND(AQ118="Documentar",AR118="Asignar responsable"),CONCATENATE("- ",AQ118,", ",AR118),IF(AQ118="Documentar",CONCATENATE("- ",AQ118),IF(AR118="Asignar responsable",CONCATENATE("- ",AR118),"")))</f>
        <v/>
      </c>
      <c r="AT118" s="3" t="str">
        <f t="shared" si="986"/>
        <v/>
      </c>
      <c r="AU118" s="3" t="str">
        <f t="shared" ref="AU118" si="989">IF(AT118="",AS118,IF(AS118="",CONCATENATE("- ",AT118),CONCATENATE(AS118,", ",AT118)))</f>
        <v/>
      </c>
      <c r="AV118" s="3" t="str">
        <f t="shared" si="987"/>
        <v/>
      </c>
      <c r="AW118" s="3" t="str">
        <f t="shared" ref="AW118" si="990">IF(AV118="",AU118,IF(AU118="",CONCATENATE("- ",AV118),CONCATENATE(AU118,", ",AV118)))</f>
        <v/>
      </c>
      <c r="AX118" s="502"/>
      <c r="AY118" s="502"/>
      <c r="AZ118" s="502"/>
      <c r="BA118" s="502"/>
      <c r="BB118" s="3" t="str">
        <f t="shared" si="924"/>
        <v/>
      </c>
      <c r="BC118" s="3" t="str">
        <f t="shared" si="925"/>
        <v/>
      </c>
      <c r="BD118" s="3" t="str">
        <f t="shared" si="926"/>
        <v/>
      </c>
      <c r="BE118" s="3" t="str">
        <f t="shared" si="927"/>
        <v/>
      </c>
      <c r="BF118" s="3" t="str">
        <f t="shared" si="928"/>
        <v/>
      </c>
      <c r="BG118" s="3" t="str">
        <f t="shared" si="929"/>
        <v/>
      </c>
      <c r="BH118" s="3" t="str">
        <f t="shared" si="930"/>
        <v/>
      </c>
      <c r="BI118" s="3" t="str">
        <f t="shared" si="941"/>
        <v/>
      </c>
      <c r="BJ118" s="3" t="str">
        <f t="shared" si="942"/>
        <v/>
      </c>
      <c r="BK118" s="3" t="str">
        <f t="shared" si="943"/>
        <v/>
      </c>
      <c r="BL118" s="3" t="str">
        <f t="shared" si="931"/>
        <v/>
      </c>
      <c r="BM118" s="3" t="str">
        <f t="shared" si="932"/>
        <v/>
      </c>
    </row>
    <row r="119" spans="1:65" ht="36.75" thickTop="1" x14ac:dyDescent="0.2">
      <c r="A119" s="493" t="str">
        <f>IDENTIFICACIÓN!C46</f>
        <v>9C</v>
      </c>
      <c r="B119" s="496" t="str">
        <f>IF(IDENTIFICACIÓN!D46="","",IDENTIFICACIÓN!D46)</f>
        <v>Comunicaciones Concentración de información de determinadas actividades o procesos en una persona</v>
      </c>
      <c r="C119" s="356">
        <v>1</v>
      </c>
      <c r="D119" s="56" t="s">
        <v>11</v>
      </c>
      <c r="E119" s="240">
        <f t="shared" si="933"/>
        <v>10</v>
      </c>
      <c r="F119" s="44" t="s">
        <v>616</v>
      </c>
      <c r="G119" s="18" t="str">
        <f t="shared" si="896"/>
        <v/>
      </c>
      <c r="H119" s="44" t="s">
        <v>20</v>
      </c>
      <c r="I119" s="18" t="str">
        <f t="shared" si="897"/>
        <v/>
      </c>
      <c r="J119" s="55" t="str">
        <f t="shared" si="898"/>
        <v>Posibilidad</v>
      </c>
      <c r="K119" s="43" t="s">
        <v>11</v>
      </c>
      <c r="L119" s="18">
        <f t="shared" si="899"/>
        <v>15</v>
      </c>
      <c r="M119" s="43" t="s">
        <v>11</v>
      </c>
      <c r="N119" s="18">
        <f t="shared" si="900"/>
        <v>30</v>
      </c>
      <c r="O119" s="43" t="s">
        <v>323</v>
      </c>
      <c r="P119" s="18">
        <f t="shared" si="901"/>
        <v>10</v>
      </c>
      <c r="Q119" s="43" t="s">
        <v>11</v>
      </c>
      <c r="R119" s="18">
        <f t="shared" si="902"/>
        <v>5</v>
      </c>
      <c r="S119" s="43" t="s">
        <v>11</v>
      </c>
      <c r="T119" s="18">
        <f t="shared" si="903"/>
        <v>15</v>
      </c>
      <c r="U119" s="43" t="s">
        <v>11</v>
      </c>
      <c r="V119" s="18">
        <f t="shared" si="904"/>
        <v>10</v>
      </c>
      <c r="W119" s="18">
        <f t="shared" si="905"/>
        <v>95</v>
      </c>
      <c r="X119" s="57" t="str">
        <f t="shared" si="934"/>
        <v>95                           Disminuye en Posibilidad</v>
      </c>
      <c r="Y119" s="57">
        <f t="shared" si="935"/>
        <v>1</v>
      </c>
      <c r="Z119" s="356"/>
      <c r="AA119" s="497">
        <f t="shared" ref="AA119" si="991">IF(AB119=0,"",(ROUND((SUM(W119:W121)/AB119),0)))</f>
        <v>95</v>
      </c>
      <c r="AB119" s="500">
        <f t="shared" ref="AB119" si="992">COUNT(T119:T121)</f>
        <v>1</v>
      </c>
      <c r="AC119" s="3">
        <f t="shared" ref="AC119" si="993">SUM(Y119:Y121)</f>
        <v>1</v>
      </c>
      <c r="AD119" s="3">
        <f>ANALISIS!D48</f>
        <v>3</v>
      </c>
      <c r="AE119" s="3">
        <f t="shared" ref="AE119" si="994">IF(AND(AD119=5,AC119&gt;1),3,AD119)</f>
        <v>3</v>
      </c>
      <c r="AF119" s="501">
        <f t="shared" ref="AF119" si="995">AE119</f>
        <v>3</v>
      </c>
      <c r="AG119" s="355" t="str">
        <f t="shared" ref="AG119" si="996">IF(AF119=3,"MODERADA",IF(AF119=5,"EXTREMA",""))</f>
        <v>MODERADA</v>
      </c>
      <c r="AH119" s="46"/>
      <c r="AI119" s="46"/>
      <c r="AJ119" s="46"/>
      <c r="AK119" s="46"/>
      <c r="AL119" s="46"/>
      <c r="AM119" s="3" t="str">
        <f t="shared" si="912"/>
        <v/>
      </c>
      <c r="AN119" s="3" t="str">
        <f t="shared" si="913"/>
        <v/>
      </c>
      <c r="AO119" s="3" t="str">
        <f t="shared" si="914"/>
        <v/>
      </c>
      <c r="AP119" s="3" t="str">
        <f t="shared" si="915"/>
        <v/>
      </c>
      <c r="AQ119" s="3" t="str">
        <f t="shared" ref="AQ119" si="997">AM119</f>
        <v/>
      </c>
      <c r="AR119" s="3" t="str">
        <f t="shared" ref="AR119" si="998">AN119</f>
        <v/>
      </c>
      <c r="AT119" s="3" t="str">
        <f t="shared" ref="AT119" si="999">AO119</f>
        <v/>
      </c>
      <c r="AV119" s="3" t="str">
        <f t="shared" ref="AV119" si="1000">AP119</f>
        <v/>
      </c>
      <c r="AX119" s="502" t="str">
        <f t="shared" ref="AX119" si="1001">IF(AW121="","",CONCATENATE(AW121," (de) el(los) control(es) Efectivo(s) "))</f>
        <v/>
      </c>
      <c r="AY119" s="502" t="str">
        <f t="shared" ref="AY119" si="1002">IF(CONCATENATE(N119:N121)="","",IF(AND(SUM(E119:E121)=10,SUM(N119:N121)&lt;30),"- Replantear control(es) NO efectivo(s) ",IF(AND(SUM(E119:E121)=20,SUM(N119:N121)&lt;60),"- Replantear control(es) NO efectivo(s) ",IF(AND(SUM(E119:E121)=30,SUM(N119:N121)&lt;90),"- Replantear control(es) NO efectivo(s) ",""))))</f>
        <v/>
      </c>
      <c r="AZ119" s="502" t="str">
        <f t="shared" ref="AZ119" si="1003">IF(AND(AE119&gt;1,AE120&gt;1),"- Tomar Acciones Preventivas y Correctivas",IF(AE119&gt;1,"- Tomar Acciones Preventivas",IF(AE120&gt;1,"- Tomar Acciones Correctivas","")))</f>
        <v>- Tomar Acciones Preventivas</v>
      </c>
      <c r="BA119" s="502" t="str">
        <f t="shared" ref="BA119" si="1004">CONCATENATE(AX119,AY119,AZ119)</f>
        <v>- Tomar Acciones Preventivas</v>
      </c>
      <c r="BB119" s="3" t="str">
        <f t="shared" si="924"/>
        <v>SI</v>
      </c>
      <c r="BC119" s="3" t="str">
        <f t="shared" si="925"/>
        <v/>
      </c>
      <c r="BD119" s="3" t="str">
        <f t="shared" si="926"/>
        <v>SI</v>
      </c>
      <c r="BE119" s="3" t="str">
        <f t="shared" si="927"/>
        <v/>
      </c>
      <c r="BF119" s="3" t="str">
        <f t="shared" si="928"/>
        <v>SI</v>
      </c>
      <c r="BG119" s="3" t="str">
        <f t="shared" si="929"/>
        <v/>
      </c>
      <c r="BH119" s="3" t="str">
        <f t="shared" si="930"/>
        <v>P</v>
      </c>
      <c r="BI119" s="3" t="str">
        <f t="shared" si="941"/>
        <v/>
      </c>
      <c r="BJ119" s="3" t="str">
        <f t="shared" si="942"/>
        <v>M</v>
      </c>
      <c r="BK119" s="3" t="str">
        <f t="shared" si="943"/>
        <v/>
      </c>
      <c r="BL119" s="3" t="str">
        <f t="shared" si="931"/>
        <v>SI</v>
      </c>
      <c r="BM119" s="3" t="str">
        <f t="shared" si="932"/>
        <v/>
      </c>
    </row>
    <row r="120" spans="1:65" ht="31.5" x14ac:dyDescent="0.2">
      <c r="A120" s="494"/>
      <c r="B120" s="496"/>
      <c r="C120" s="356">
        <v>2</v>
      </c>
      <c r="D120" s="56"/>
      <c r="E120" s="240" t="str">
        <f t="shared" si="933"/>
        <v/>
      </c>
      <c r="F120" s="44"/>
      <c r="G120" s="18" t="str">
        <f t="shared" si="896"/>
        <v/>
      </c>
      <c r="H120" s="44"/>
      <c r="I120" s="18" t="str">
        <f t="shared" si="897"/>
        <v/>
      </c>
      <c r="J120" s="55" t="str">
        <f t="shared" si="898"/>
        <v/>
      </c>
      <c r="K120" s="43"/>
      <c r="L120" s="18" t="str">
        <f t="shared" si="899"/>
        <v/>
      </c>
      <c r="M120" s="43"/>
      <c r="N120" s="18" t="str">
        <f t="shared" si="900"/>
        <v/>
      </c>
      <c r="O120" s="43"/>
      <c r="P120" s="18" t="str">
        <f t="shared" si="901"/>
        <v/>
      </c>
      <c r="Q120" s="43"/>
      <c r="R120" s="18" t="str">
        <f t="shared" si="902"/>
        <v/>
      </c>
      <c r="S120" s="43"/>
      <c r="T120" s="18" t="str">
        <f t="shared" si="903"/>
        <v/>
      </c>
      <c r="U120" s="43"/>
      <c r="V120" s="18" t="str">
        <f t="shared" si="904"/>
        <v/>
      </c>
      <c r="W120" s="18">
        <f t="shared" si="905"/>
        <v>0</v>
      </c>
      <c r="X120" s="57" t="str">
        <f t="shared" si="934"/>
        <v/>
      </c>
      <c r="Y120" s="57">
        <f t="shared" si="935"/>
        <v>0</v>
      </c>
      <c r="Z120" s="356"/>
      <c r="AA120" s="498"/>
      <c r="AB120" s="500"/>
      <c r="AC120" s="3" t="s">
        <v>352</v>
      </c>
      <c r="AF120" s="501"/>
      <c r="AG120" s="46" t="str">
        <f t="shared" ref="AG120" si="1005">IF(AG119&gt;0,"- Evitar Posibilidad de Ocurrencia- Reducir el Riesgo","")</f>
        <v>- Evitar Posibilidad de Ocurrencia- Reducir el Riesgo</v>
      </c>
      <c r="AH120" s="46"/>
      <c r="AI120" s="46"/>
      <c r="AJ120" s="46"/>
      <c r="AK120" s="46"/>
      <c r="AL120" s="46"/>
      <c r="AM120" s="3" t="str">
        <f t="shared" si="912"/>
        <v/>
      </c>
      <c r="AN120" s="3" t="str">
        <f t="shared" si="913"/>
        <v/>
      </c>
      <c r="AO120" s="3" t="str">
        <f t="shared" si="914"/>
        <v/>
      </c>
      <c r="AP120" s="3" t="str">
        <f t="shared" si="915"/>
        <v/>
      </c>
      <c r="AQ120" s="3" t="str">
        <f t="shared" ref="AQ120:AQ121" si="1006">IF(AQ119="Documentar",AQ119,AM120)</f>
        <v/>
      </c>
      <c r="AR120" s="3" t="str">
        <f t="shared" ref="AR120:AR121" si="1007">IF(AR119="Asignar responsable",AR119,AN120)</f>
        <v/>
      </c>
      <c r="AT120" s="3" t="str">
        <f t="shared" ref="AT120:AT121" si="1008">IF(AT119="Establecer periodos de seguimiento adecuados",AT119,AO120)</f>
        <v/>
      </c>
      <c r="AV120" s="3" t="str">
        <f t="shared" ref="AV120:AV121" si="1009">IF(AV119="Guardar Evidencias",AV119,AP120)</f>
        <v/>
      </c>
      <c r="AX120" s="502"/>
      <c r="AY120" s="502"/>
      <c r="AZ120" s="502"/>
      <c r="BA120" s="502"/>
      <c r="BB120" s="3" t="str">
        <f t="shared" si="924"/>
        <v/>
      </c>
      <c r="BC120" s="3" t="str">
        <f t="shared" si="925"/>
        <v/>
      </c>
      <c r="BD120" s="3" t="str">
        <f t="shared" si="926"/>
        <v/>
      </c>
      <c r="BE120" s="3" t="str">
        <f t="shared" si="927"/>
        <v/>
      </c>
      <c r="BF120" s="3" t="str">
        <f t="shared" si="928"/>
        <v/>
      </c>
      <c r="BG120" s="3" t="str">
        <f t="shared" si="929"/>
        <v/>
      </c>
      <c r="BH120" s="3" t="str">
        <f t="shared" si="930"/>
        <v/>
      </c>
      <c r="BI120" s="3" t="str">
        <f t="shared" si="941"/>
        <v/>
      </c>
      <c r="BJ120" s="3" t="str">
        <f t="shared" si="942"/>
        <v/>
      </c>
      <c r="BK120" s="3" t="str">
        <f t="shared" si="943"/>
        <v/>
      </c>
      <c r="BL120" s="3" t="str">
        <f t="shared" si="931"/>
        <v/>
      </c>
      <c r="BM120" s="3" t="str">
        <f t="shared" si="932"/>
        <v/>
      </c>
    </row>
    <row r="121" spans="1:65" ht="16.5" thickBot="1" x14ac:dyDescent="0.25">
      <c r="A121" s="495"/>
      <c r="B121" s="496"/>
      <c r="C121" s="356">
        <v>3</v>
      </c>
      <c r="D121" s="56"/>
      <c r="E121" s="240" t="str">
        <f t="shared" si="933"/>
        <v/>
      </c>
      <c r="F121" s="44"/>
      <c r="G121" s="18" t="str">
        <f t="shared" si="896"/>
        <v/>
      </c>
      <c r="H121" s="44"/>
      <c r="I121" s="18" t="str">
        <f t="shared" si="897"/>
        <v/>
      </c>
      <c r="J121" s="55" t="str">
        <f t="shared" si="898"/>
        <v/>
      </c>
      <c r="K121" s="43"/>
      <c r="L121" s="18" t="str">
        <f t="shared" si="899"/>
        <v/>
      </c>
      <c r="M121" s="43"/>
      <c r="N121" s="18" t="str">
        <f t="shared" si="900"/>
        <v/>
      </c>
      <c r="O121" s="43"/>
      <c r="P121" s="18" t="str">
        <f t="shared" si="901"/>
        <v/>
      </c>
      <c r="Q121" s="43"/>
      <c r="R121" s="18" t="str">
        <f t="shared" si="902"/>
        <v/>
      </c>
      <c r="S121" s="43"/>
      <c r="T121" s="18" t="str">
        <f t="shared" si="903"/>
        <v/>
      </c>
      <c r="U121" s="43"/>
      <c r="V121" s="18" t="str">
        <f t="shared" si="904"/>
        <v/>
      </c>
      <c r="W121" s="18">
        <f t="shared" si="905"/>
        <v>0</v>
      </c>
      <c r="X121" s="57" t="str">
        <f t="shared" si="934"/>
        <v/>
      </c>
      <c r="Y121" s="57">
        <f t="shared" si="935"/>
        <v>0</v>
      </c>
      <c r="Z121" s="356"/>
      <c r="AA121" s="499"/>
      <c r="AB121" s="500"/>
      <c r="AM121" s="3" t="str">
        <f t="shared" si="912"/>
        <v/>
      </c>
      <c r="AN121" s="3" t="str">
        <f t="shared" si="913"/>
        <v/>
      </c>
      <c r="AO121" s="3" t="str">
        <f t="shared" si="914"/>
        <v/>
      </c>
      <c r="AP121" s="3" t="str">
        <f t="shared" si="915"/>
        <v/>
      </c>
      <c r="AQ121" s="3" t="str">
        <f t="shared" si="1006"/>
        <v/>
      </c>
      <c r="AR121" s="3" t="str">
        <f t="shared" si="1007"/>
        <v/>
      </c>
      <c r="AS121" s="3" t="str">
        <f t="shared" ref="AS121" si="1010">IF(AND(AQ121="Documentar",AR121="Asignar responsable"),CONCATENATE("- ",AQ121,", ",AR121),IF(AQ121="Documentar",CONCATENATE("- ",AQ121),IF(AR121="Asignar responsable",CONCATENATE("- ",AR121),"")))</f>
        <v/>
      </c>
      <c r="AT121" s="3" t="str">
        <f t="shared" si="1008"/>
        <v/>
      </c>
      <c r="AU121" s="3" t="str">
        <f t="shared" ref="AU121" si="1011">IF(AT121="",AS121,IF(AS121="",CONCATENATE("- ",AT121),CONCATENATE(AS121,", ",AT121)))</f>
        <v/>
      </c>
      <c r="AV121" s="3" t="str">
        <f t="shared" si="1009"/>
        <v/>
      </c>
      <c r="AW121" s="3" t="str">
        <f t="shared" ref="AW121" si="1012">IF(AV121="",AU121,IF(AU121="",CONCATENATE("- ",AV121),CONCATENATE(AU121,", ",AV121)))</f>
        <v/>
      </c>
      <c r="AX121" s="502"/>
      <c r="AY121" s="502"/>
      <c r="AZ121" s="502"/>
      <c r="BA121" s="502"/>
      <c r="BB121" s="3" t="str">
        <f t="shared" si="924"/>
        <v/>
      </c>
      <c r="BC121" s="3" t="str">
        <f t="shared" si="925"/>
        <v/>
      </c>
      <c r="BD121" s="3" t="str">
        <f t="shared" si="926"/>
        <v/>
      </c>
      <c r="BE121" s="3" t="str">
        <f t="shared" si="927"/>
        <v/>
      </c>
      <c r="BF121" s="3" t="str">
        <f t="shared" si="928"/>
        <v/>
      </c>
      <c r="BG121" s="3" t="str">
        <f t="shared" si="929"/>
        <v/>
      </c>
      <c r="BH121" s="3" t="str">
        <f t="shared" si="930"/>
        <v/>
      </c>
      <c r="BI121" s="3" t="str">
        <f t="shared" si="941"/>
        <v/>
      </c>
      <c r="BJ121" s="3" t="str">
        <f t="shared" si="942"/>
        <v/>
      </c>
      <c r="BK121" s="3" t="str">
        <f t="shared" si="943"/>
        <v/>
      </c>
      <c r="BL121" s="3" t="str">
        <f t="shared" si="931"/>
        <v/>
      </c>
      <c r="BM121" s="3" t="str">
        <f t="shared" si="932"/>
        <v/>
      </c>
    </row>
    <row r="122" spans="1:65" ht="16.5" thickTop="1" x14ac:dyDescent="0.2">
      <c r="A122" s="493" t="str">
        <f>IDENTIFICACIÓN!C47</f>
        <v>10C</v>
      </c>
      <c r="B122" s="496" t="str">
        <f>IF(IDENTIFICACIÓN!D47="","",IDENTIFICACIÓN!D47)</f>
        <v xml:space="preserve">Gestión Academica. Ausencia de canales de comunicación
</v>
      </c>
      <c r="C122" s="356">
        <v>1</v>
      </c>
      <c r="D122" s="56" t="s">
        <v>11</v>
      </c>
      <c r="E122" s="240">
        <f t="shared" si="933"/>
        <v>10</v>
      </c>
      <c r="F122" s="44" t="s">
        <v>619</v>
      </c>
      <c r="G122" s="18" t="str">
        <f t="shared" si="896"/>
        <v/>
      </c>
      <c r="H122" s="44" t="s">
        <v>20</v>
      </c>
      <c r="I122" s="18" t="str">
        <f t="shared" si="897"/>
        <v/>
      </c>
      <c r="J122" s="55" t="str">
        <f t="shared" si="898"/>
        <v>Posibilidad</v>
      </c>
      <c r="K122" s="43" t="s">
        <v>10</v>
      </c>
      <c r="L122" s="18">
        <f t="shared" si="899"/>
        <v>0</v>
      </c>
      <c r="M122" s="43" t="s">
        <v>10</v>
      </c>
      <c r="N122" s="18">
        <f t="shared" si="900"/>
        <v>0</v>
      </c>
      <c r="O122" s="43" t="s">
        <v>323</v>
      </c>
      <c r="P122" s="18">
        <f t="shared" si="901"/>
        <v>10</v>
      </c>
      <c r="Q122" s="43" t="s">
        <v>11</v>
      </c>
      <c r="R122" s="18">
        <f t="shared" si="902"/>
        <v>5</v>
      </c>
      <c r="S122" s="43" t="s">
        <v>10</v>
      </c>
      <c r="T122" s="18">
        <f t="shared" si="903"/>
        <v>0</v>
      </c>
      <c r="U122" s="43" t="s">
        <v>10</v>
      </c>
      <c r="V122" s="18">
        <f t="shared" si="904"/>
        <v>0</v>
      </c>
      <c r="W122" s="18">
        <f t="shared" si="905"/>
        <v>25</v>
      </c>
      <c r="X122" s="57">
        <f t="shared" si="934"/>
        <v>25</v>
      </c>
      <c r="Y122" s="57">
        <f t="shared" si="935"/>
        <v>0</v>
      </c>
      <c r="Z122" s="356"/>
      <c r="AA122" s="497">
        <f t="shared" ref="AA122" si="1013">IF(AB122=0,"",(ROUND((SUM(W122:W124)/AB122),0)))</f>
        <v>25</v>
      </c>
      <c r="AB122" s="500">
        <f t="shared" ref="AB122" si="1014">COUNT(T122:T124)</f>
        <v>1</v>
      </c>
      <c r="AC122" s="3">
        <f t="shared" ref="AC122" si="1015">SUM(Y122:Y124)</f>
        <v>0</v>
      </c>
      <c r="AD122" s="3">
        <f>ANALISIS!D49</f>
        <v>3</v>
      </c>
      <c r="AE122" s="3">
        <f t="shared" ref="AE122" si="1016">IF(AND(AD122=5,AC122&gt;1),3,AD122)</f>
        <v>3</v>
      </c>
      <c r="AF122" s="501">
        <f t="shared" ref="AF122" si="1017">AE122</f>
        <v>3</v>
      </c>
      <c r="AG122" s="355" t="str">
        <f t="shared" ref="AG122" si="1018">IF(AF122=3,"MODERADA",IF(AF122=5,"EXTREMA",""))</f>
        <v>MODERADA</v>
      </c>
      <c r="AH122" s="46"/>
      <c r="AI122" s="46"/>
      <c r="AJ122" s="46"/>
      <c r="AK122" s="46"/>
      <c r="AL122" s="46"/>
      <c r="AM122" s="3" t="str">
        <f t="shared" si="912"/>
        <v/>
      </c>
      <c r="AN122" s="3" t="str">
        <f t="shared" si="913"/>
        <v/>
      </c>
      <c r="AO122" s="3" t="str">
        <f t="shared" si="914"/>
        <v/>
      </c>
      <c r="AP122" s="3" t="str">
        <f t="shared" si="915"/>
        <v/>
      </c>
      <c r="AQ122" s="3" t="str">
        <f t="shared" ref="AQ122" si="1019">AM122</f>
        <v/>
      </c>
      <c r="AR122" s="3" t="str">
        <f t="shared" ref="AR122" si="1020">AN122</f>
        <v/>
      </c>
      <c r="AT122" s="3" t="str">
        <f t="shared" ref="AT122" si="1021">AO122</f>
        <v/>
      </c>
      <c r="AV122" s="3" t="str">
        <f t="shared" ref="AV122" si="1022">AP122</f>
        <v/>
      </c>
      <c r="AX122" s="502" t="str">
        <f t="shared" ref="AX122" si="1023">IF(AW124="","",CONCATENATE(AW124," (de) el(los) control(es) Efectivo(s) "))</f>
        <v/>
      </c>
      <c r="AY122" s="502" t="str">
        <f t="shared" ref="AY122" si="1024">IF(CONCATENATE(N122:N124)="","",IF(AND(SUM(E122:E124)=10,SUM(N122:N124)&lt;30),"- Replantear control(es) NO efectivo(s) ",IF(AND(SUM(E122:E124)=20,SUM(N122:N124)&lt;60),"- Replantear control(es) NO efectivo(s) ",IF(AND(SUM(E122:E124)=30,SUM(N122:N124)&lt;90),"- Replantear control(es) NO efectivo(s) ",""))))</f>
        <v xml:space="preserve">- Replantear control(es) NO efectivo(s) </v>
      </c>
      <c r="AZ122" s="502" t="str">
        <f t="shared" ref="AZ122" si="1025">IF(AND(AE122&gt;1,AE123&gt;1),"- Tomar Acciones Preventivas y Correctivas",IF(AE122&gt;1,"- Tomar Acciones Preventivas",IF(AE123&gt;1,"- Tomar Acciones Correctivas","")))</f>
        <v>- Tomar Acciones Preventivas</v>
      </c>
      <c r="BA122" s="502" t="str">
        <f t="shared" ref="BA122" si="1026">CONCATENATE(AX122,AY122,AZ122)</f>
        <v>- Replantear control(es) NO efectivo(s) - Tomar Acciones Preventivas</v>
      </c>
      <c r="BB122" s="3" t="str">
        <f t="shared" si="924"/>
        <v/>
      </c>
      <c r="BC122" s="3" t="str">
        <f t="shared" si="925"/>
        <v>NO</v>
      </c>
      <c r="BD122" s="3" t="str">
        <f t="shared" si="926"/>
        <v/>
      </c>
      <c r="BE122" s="3" t="str">
        <f t="shared" si="927"/>
        <v>SI</v>
      </c>
      <c r="BF122" s="3" t="str">
        <f t="shared" si="928"/>
        <v/>
      </c>
      <c r="BG122" s="3" t="str">
        <f t="shared" si="929"/>
        <v>NO</v>
      </c>
      <c r="BH122" s="3" t="str">
        <f t="shared" si="930"/>
        <v/>
      </c>
      <c r="BI122" s="3" t="str">
        <f t="shared" si="941"/>
        <v>P</v>
      </c>
      <c r="BJ122" s="3" t="str">
        <f t="shared" si="942"/>
        <v/>
      </c>
      <c r="BK122" s="3" t="str">
        <f t="shared" si="943"/>
        <v>M</v>
      </c>
      <c r="BL122" s="3" t="str">
        <f t="shared" si="931"/>
        <v/>
      </c>
      <c r="BM122" s="3" t="str">
        <f t="shared" si="932"/>
        <v>NO</v>
      </c>
    </row>
    <row r="123" spans="1:65" ht="31.5" x14ac:dyDescent="0.2">
      <c r="A123" s="494"/>
      <c r="B123" s="496"/>
      <c r="C123" s="356">
        <v>2</v>
      </c>
      <c r="D123" s="56"/>
      <c r="E123" s="240" t="str">
        <f t="shared" si="933"/>
        <v/>
      </c>
      <c r="F123" s="44"/>
      <c r="G123" s="18" t="str">
        <f t="shared" si="896"/>
        <v/>
      </c>
      <c r="H123" s="44"/>
      <c r="I123" s="18" t="str">
        <f t="shared" si="897"/>
        <v/>
      </c>
      <c r="J123" s="55" t="str">
        <f t="shared" si="898"/>
        <v/>
      </c>
      <c r="K123" s="43"/>
      <c r="L123" s="18" t="str">
        <f t="shared" si="899"/>
        <v/>
      </c>
      <c r="M123" s="43"/>
      <c r="N123" s="18" t="str">
        <f t="shared" si="900"/>
        <v/>
      </c>
      <c r="O123" s="43"/>
      <c r="P123" s="18" t="str">
        <f t="shared" si="901"/>
        <v/>
      </c>
      <c r="Q123" s="43"/>
      <c r="R123" s="18" t="str">
        <f t="shared" si="902"/>
        <v/>
      </c>
      <c r="S123" s="43"/>
      <c r="T123" s="18" t="str">
        <f t="shared" si="903"/>
        <v/>
      </c>
      <c r="U123" s="43"/>
      <c r="V123" s="18" t="str">
        <f t="shared" si="904"/>
        <v/>
      </c>
      <c r="W123" s="18">
        <f t="shared" si="905"/>
        <v>0</v>
      </c>
      <c r="X123" s="57" t="str">
        <f t="shared" si="934"/>
        <v/>
      </c>
      <c r="Y123" s="57">
        <f t="shared" si="935"/>
        <v>0</v>
      </c>
      <c r="Z123" s="356"/>
      <c r="AA123" s="498"/>
      <c r="AB123" s="500"/>
      <c r="AC123" s="3" t="s">
        <v>352</v>
      </c>
      <c r="AF123" s="501"/>
      <c r="AG123" s="46" t="str">
        <f t="shared" ref="AG123" si="1027">IF(AG122&gt;0,"- Evitar Posibilidad de Ocurrencia- Reducir el Riesgo","")</f>
        <v>- Evitar Posibilidad de Ocurrencia- Reducir el Riesgo</v>
      </c>
      <c r="AH123" s="46"/>
      <c r="AI123" s="46"/>
      <c r="AJ123" s="46"/>
      <c r="AK123" s="46"/>
      <c r="AL123" s="46"/>
      <c r="AM123" s="3" t="str">
        <f t="shared" si="912"/>
        <v/>
      </c>
      <c r="AN123" s="3" t="str">
        <f t="shared" si="913"/>
        <v/>
      </c>
      <c r="AO123" s="3" t="str">
        <f t="shared" si="914"/>
        <v/>
      </c>
      <c r="AP123" s="3" t="str">
        <f t="shared" si="915"/>
        <v/>
      </c>
      <c r="AQ123" s="3" t="str">
        <f t="shared" ref="AQ123:AQ124" si="1028">IF(AQ122="Documentar",AQ122,AM123)</f>
        <v/>
      </c>
      <c r="AR123" s="3" t="str">
        <f t="shared" ref="AR123:AR124" si="1029">IF(AR122="Asignar responsable",AR122,AN123)</f>
        <v/>
      </c>
      <c r="AT123" s="3" t="str">
        <f t="shared" ref="AT123:AT124" si="1030">IF(AT122="Establecer periodos de seguimiento adecuados",AT122,AO123)</f>
        <v/>
      </c>
      <c r="AV123" s="3" t="str">
        <f t="shared" ref="AV123:AV124" si="1031">IF(AV122="Guardar Evidencias",AV122,AP123)</f>
        <v/>
      </c>
      <c r="AX123" s="502"/>
      <c r="AY123" s="502"/>
      <c r="AZ123" s="502"/>
      <c r="BA123" s="502"/>
      <c r="BB123" s="3" t="str">
        <f t="shared" si="924"/>
        <v/>
      </c>
      <c r="BC123" s="3" t="str">
        <f t="shared" si="925"/>
        <v/>
      </c>
      <c r="BD123" s="3" t="str">
        <f t="shared" si="926"/>
        <v/>
      </c>
      <c r="BE123" s="3" t="str">
        <f t="shared" si="927"/>
        <v/>
      </c>
      <c r="BF123" s="3" t="str">
        <f t="shared" si="928"/>
        <v/>
      </c>
      <c r="BG123" s="3" t="str">
        <f t="shared" si="929"/>
        <v/>
      </c>
      <c r="BH123" s="3" t="str">
        <f t="shared" si="930"/>
        <v/>
      </c>
      <c r="BI123" s="3" t="str">
        <f t="shared" si="941"/>
        <v/>
      </c>
      <c r="BJ123" s="3" t="str">
        <f t="shared" si="942"/>
        <v/>
      </c>
      <c r="BK123" s="3" t="str">
        <f t="shared" si="943"/>
        <v/>
      </c>
      <c r="BL123" s="3" t="str">
        <f t="shared" si="931"/>
        <v/>
      </c>
      <c r="BM123" s="3" t="str">
        <f t="shared" si="932"/>
        <v/>
      </c>
    </row>
    <row r="124" spans="1:65" ht="16.5" thickBot="1" x14ac:dyDescent="0.25">
      <c r="A124" s="495"/>
      <c r="B124" s="496"/>
      <c r="C124" s="356">
        <v>3</v>
      </c>
      <c r="D124" s="56"/>
      <c r="E124" s="240" t="str">
        <f t="shared" si="933"/>
        <v/>
      </c>
      <c r="F124" s="44"/>
      <c r="G124" s="18" t="str">
        <f t="shared" si="896"/>
        <v/>
      </c>
      <c r="H124" s="44"/>
      <c r="I124" s="18" t="str">
        <f t="shared" si="897"/>
        <v/>
      </c>
      <c r="J124" s="55" t="str">
        <f t="shared" si="898"/>
        <v/>
      </c>
      <c r="K124" s="43"/>
      <c r="L124" s="18" t="str">
        <f t="shared" si="899"/>
        <v/>
      </c>
      <c r="M124" s="43"/>
      <c r="N124" s="18" t="str">
        <f t="shared" si="900"/>
        <v/>
      </c>
      <c r="O124" s="43"/>
      <c r="P124" s="18" t="str">
        <f t="shared" si="901"/>
        <v/>
      </c>
      <c r="Q124" s="43"/>
      <c r="R124" s="18" t="str">
        <f t="shared" si="902"/>
        <v/>
      </c>
      <c r="S124" s="43"/>
      <c r="T124" s="18" t="str">
        <f t="shared" si="903"/>
        <v/>
      </c>
      <c r="U124" s="43"/>
      <c r="V124" s="18" t="str">
        <f t="shared" si="904"/>
        <v/>
      </c>
      <c r="W124" s="18">
        <f t="shared" si="905"/>
        <v>0</v>
      </c>
      <c r="X124" s="57" t="str">
        <f t="shared" si="934"/>
        <v/>
      </c>
      <c r="Y124" s="57">
        <f t="shared" si="935"/>
        <v>0</v>
      </c>
      <c r="Z124" s="356"/>
      <c r="AA124" s="499"/>
      <c r="AB124" s="500"/>
      <c r="AM124" s="3" t="str">
        <f t="shared" si="912"/>
        <v/>
      </c>
      <c r="AN124" s="3" t="str">
        <f t="shared" si="913"/>
        <v/>
      </c>
      <c r="AO124" s="3" t="str">
        <f t="shared" si="914"/>
        <v/>
      </c>
      <c r="AP124" s="3" t="str">
        <f t="shared" si="915"/>
        <v/>
      </c>
      <c r="AQ124" s="3" t="str">
        <f t="shared" si="1028"/>
        <v/>
      </c>
      <c r="AR124" s="3" t="str">
        <f t="shared" si="1029"/>
        <v/>
      </c>
      <c r="AS124" s="3" t="str">
        <f t="shared" ref="AS124" si="1032">IF(AND(AQ124="Documentar",AR124="Asignar responsable"),CONCATENATE("- ",AQ124,", ",AR124),IF(AQ124="Documentar",CONCATENATE("- ",AQ124),IF(AR124="Asignar responsable",CONCATENATE("- ",AR124),"")))</f>
        <v/>
      </c>
      <c r="AT124" s="3" t="str">
        <f t="shared" si="1030"/>
        <v/>
      </c>
      <c r="AU124" s="3" t="str">
        <f t="shared" ref="AU124" si="1033">IF(AT124="",AS124,IF(AS124="",CONCATENATE("- ",AT124),CONCATENATE(AS124,", ",AT124)))</f>
        <v/>
      </c>
      <c r="AV124" s="3" t="str">
        <f t="shared" si="1031"/>
        <v/>
      </c>
      <c r="AW124" s="3" t="str">
        <f t="shared" ref="AW124" si="1034">IF(AV124="",AU124,IF(AU124="",CONCATENATE("- ",AV124),CONCATENATE(AU124,", ",AV124)))</f>
        <v/>
      </c>
      <c r="AX124" s="502"/>
      <c r="AY124" s="502"/>
      <c r="AZ124" s="502"/>
      <c r="BA124" s="502"/>
      <c r="BB124" s="3" t="str">
        <f t="shared" si="924"/>
        <v/>
      </c>
      <c r="BC124" s="3" t="str">
        <f t="shared" si="925"/>
        <v/>
      </c>
      <c r="BD124" s="3" t="str">
        <f t="shared" si="926"/>
        <v/>
      </c>
      <c r="BE124" s="3" t="str">
        <f t="shared" si="927"/>
        <v/>
      </c>
      <c r="BF124" s="3" t="str">
        <f t="shared" si="928"/>
        <v/>
      </c>
      <c r="BG124" s="3" t="str">
        <f t="shared" si="929"/>
        <v/>
      </c>
      <c r="BH124" s="3" t="str">
        <f t="shared" si="930"/>
        <v/>
      </c>
      <c r="BI124" s="3" t="str">
        <f t="shared" si="941"/>
        <v/>
      </c>
      <c r="BJ124" s="3" t="str">
        <f t="shared" si="942"/>
        <v/>
      </c>
      <c r="BK124" s="3" t="str">
        <f t="shared" si="943"/>
        <v/>
      </c>
      <c r="BL124" s="3" t="str">
        <f t="shared" si="931"/>
        <v/>
      </c>
      <c r="BM124" s="3" t="str">
        <f t="shared" si="932"/>
        <v/>
      </c>
    </row>
    <row r="125" spans="1:65" ht="16.5" thickTop="1" x14ac:dyDescent="0.2">
      <c r="A125" s="493" t="str">
        <f>IDENTIFICACIÓN!C48</f>
        <v>11C</v>
      </c>
      <c r="B125" s="496" t="str">
        <f>IF(IDENTIFICACIÓN!D48="","",IDENTIFICACIÓN!D48)</f>
        <v>Gestión Academica. Concentración de información de determinadas actividades o procesos en una persona</v>
      </c>
      <c r="C125" s="356">
        <v>1</v>
      </c>
      <c r="D125" s="56" t="s">
        <v>10</v>
      </c>
      <c r="E125" s="240">
        <f t="shared" si="933"/>
        <v>0</v>
      </c>
      <c r="F125" s="44"/>
      <c r="G125" s="18" t="str">
        <f t="shared" si="896"/>
        <v/>
      </c>
      <c r="H125" s="44"/>
      <c r="I125" s="18" t="str">
        <f t="shared" si="897"/>
        <v/>
      </c>
      <c r="J125" s="55" t="str">
        <f t="shared" si="898"/>
        <v/>
      </c>
      <c r="K125" s="43"/>
      <c r="L125" s="18" t="str">
        <f t="shared" si="899"/>
        <v/>
      </c>
      <c r="M125" s="43"/>
      <c r="N125" s="18" t="str">
        <f t="shared" si="900"/>
        <v/>
      </c>
      <c r="O125" s="43"/>
      <c r="P125" s="18" t="str">
        <f t="shared" si="901"/>
        <v/>
      </c>
      <c r="Q125" s="43"/>
      <c r="R125" s="18" t="str">
        <f t="shared" si="902"/>
        <v/>
      </c>
      <c r="S125" s="43"/>
      <c r="T125" s="18" t="str">
        <f t="shared" si="903"/>
        <v/>
      </c>
      <c r="U125" s="43"/>
      <c r="V125" s="18" t="str">
        <f t="shared" si="904"/>
        <v/>
      </c>
      <c r="W125" s="18">
        <f t="shared" si="905"/>
        <v>0</v>
      </c>
      <c r="X125" s="57">
        <f t="shared" si="934"/>
        <v>0</v>
      </c>
      <c r="Y125" s="57">
        <f t="shared" si="935"/>
        <v>0</v>
      </c>
      <c r="Z125" s="356"/>
      <c r="AA125" s="497" t="str">
        <f t="shared" ref="AA125" si="1035">IF(AB125=0,"",(ROUND((SUM(W125:W127)/AB125),0)))</f>
        <v/>
      </c>
      <c r="AB125" s="500">
        <f t="shared" ref="AB125" si="1036">COUNT(T125:T127)</f>
        <v>0</v>
      </c>
      <c r="AC125" s="3">
        <f t="shared" ref="AC125" si="1037">SUM(Y125:Y127)</f>
        <v>0</v>
      </c>
      <c r="AD125" s="3">
        <f>ANALISIS!D50</f>
        <v>3</v>
      </c>
      <c r="AE125" s="3">
        <f t="shared" ref="AE125" si="1038">IF(AND(AD125=5,AC125&gt;1),3,AD125)</f>
        <v>3</v>
      </c>
      <c r="AF125" s="501">
        <f t="shared" ref="AF125" si="1039">AE125</f>
        <v>3</v>
      </c>
      <c r="AG125" s="355" t="str">
        <f t="shared" ref="AG125" si="1040">IF(AF125=3,"MODERADA",IF(AF125=5,"EXTREMA",""))</f>
        <v>MODERADA</v>
      </c>
      <c r="AH125" s="46"/>
      <c r="AI125" s="46"/>
      <c r="AJ125" s="46"/>
      <c r="AK125" s="46"/>
      <c r="AL125" s="46"/>
      <c r="AM125" s="3" t="str">
        <f t="shared" si="912"/>
        <v/>
      </c>
      <c r="AN125" s="3" t="str">
        <f t="shared" si="913"/>
        <v/>
      </c>
      <c r="AO125" s="3" t="str">
        <f t="shared" si="914"/>
        <v/>
      </c>
      <c r="AP125" s="3" t="str">
        <f t="shared" si="915"/>
        <v/>
      </c>
      <c r="AQ125" s="3" t="str">
        <f t="shared" ref="AQ125" si="1041">AM125</f>
        <v/>
      </c>
      <c r="AR125" s="3" t="str">
        <f t="shared" ref="AR125" si="1042">AN125</f>
        <v/>
      </c>
      <c r="AT125" s="3" t="str">
        <f t="shared" ref="AT125" si="1043">AO125</f>
        <v/>
      </c>
      <c r="AV125" s="3" t="str">
        <f t="shared" ref="AV125" si="1044">AP125</f>
        <v/>
      </c>
      <c r="AX125" s="502" t="str">
        <f t="shared" ref="AX125" si="1045">IF(AW127="","",CONCATENATE(AW127," (de) el(los) control(es) Efectivo(s) "))</f>
        <v/>
      </c>
      <c r="AY125" s="502" t="str">
        <f t="shared" ref="AY125" si="1046">IF(CONCATENATE(N125:N127)="","",IF(AND(SUM(E125:E127)=10,SUM(N125:N127)&lt;30),"- Replantear control(es) NO efectivo(s) ",IF(AND(SUM(E125:E127)=20,SUM(N125:N127)&lt;60),"- Replantear control(es) NO efectivo(s) ",IF(AND(SUM(E125:E127)=30,SUM(N125:N127)&lt;90),"- Replantear control(es) NO efectivo(s) ",""))))</f>
        <v/>
      </c>
      <c r="AZ125" s="502" t="str">
        <f t="shared" ref="AZ125" si="1047">IF(AND(AE125&gt;1,AE126&gt;1),"- Tomar Acciones Preventivas y Correctivas",IF(AE125&gt;1,"- Tomar Acciones Preventivas",IF(AE126&gt;1,"- Tomar Acciones Correctivas","")))</f>
        <v>- Tomar Acciones Preventivas</v>
      </c>
      <c r="BA125" s="502" t="str">
        <f t="shared" ref="BA125" si="1048">CONCATENATE(AX125,AY125,AZ125)</f>
        <v>- Tomar Acciones Preventivas</v>
      </c>
      <c r="BB125" s="3" t="str">
        <f t="shared" si="924"/>
        <v/>
      </c>
      <c r="BC125" s="3" t="str">
        <f t="shared" si="925"/>
        <v/>
      </c>
      <c r="BD125" s="3" t="str">
        <f t="shared" si="926"/>
        <v/>
      </c>
      <c r="BE125" s="3" t="str">
        <f t="shared" si="927"/>
        <v/>
      </c>
      <c r="BF125" s="3" t="str">
        <f t="shared" si="928"/>
        <v/>
      </c>
      <c r="BG125" s="3" t="str">
        <f t="shared" si="929"/>
        <v/>
      </c>
      <c r="BH125" s="3" t="str">
        <f t="shared" si="930"/>
        <v/>
      </c>
      <c r="BI125" s="3" t="str">
        <f t="shared" si="941"/>
        <v/>
      </c>
      <c r="BJ125" s="3" t="str">
        <f t="shared" si="942"/>
        <v/>
      </c>
      <c r="BK125" s="3" t="str">
        <f t="shared" si="943"/>
        <v/>
      </c>
      <c r="BL125" s="3" t="str">
        <f t="shared" si="931"/>
        <v/>
      </c>
      <c r="BM125" s="3" t="str">
        <f t="shared" si="932"/>
        <v/>
      </c>
    </row>
    <row r="126" spans="1:65" ht="31.5" x14ac:dyDescent="0.2">
      <c r="A126" s="494"/>
      <c r="B126" s="496"/>
      <c r="C126" s="356">
        <v>2</v>
      </c>
      <c r="D126" s="56"/>
      <c r="E126" s="240" t="str">
        <f t="shared" si="933"/>
        <v/>
      </c>
      <c r="F126" s="44"/>
      <c r="G126" s="18" t="str">
        <f t="shared" si="896"/>
        <v/>
      </c>
      <c r="H126" s="44"/>
      <c r="I126" s="18" t="str">
        <f t="shared" si="897"/>
        <v/>
      </c>
      <c r="J126" s="55" t="str">
        <f t="shared" si="898"/>
        <v/>
      </c>
      <c r="K126" s="43"/>
      <c r="L126" s="18" t="str">
        <f t="shared" si="899"/>
        <v/>
      </c>
      <c r="M126" s="43"/>
      <c r="N126" s="18" t="str">
        <f t="shared" si="900"/>
        <v/>
      </c>
      <c r="O126" s="43"/>
      <c r="P126" s="18" t="str">
        <f t="shared" si="901"/>
        <v/>
      </c>
      <c r="Q126" s="43"/>
      <c r="R126" s="18" t="str">
        <f t="shared" si="902"/>
        <v/>
      </c>
      <c r="S126" s="43"/>
      <c r="T126" s="18" t="str">
        <f t="shared" si="903"/>
        <v/>
      </c>
      <c r="U126" s="43"/>
      <c r="V126" s="18" t="str">
        <f t="shared" si="904"/>
        <v/>
      </c>
      <c r="W126" s="18">
        <f t="shared" si="905"/>
        <v>0</v>
      </c>
      <c r="X126" s="57" t="str">
        <f t="shared" si="934"/>
        <v/>
      </c>
      <c r="Y126" s="57">
        <f t="shared" si="935"/>
        <v>0</v>
      </c>
      <c r="Z126" s="356"/>
      <c r="AA126" s="498"/>
      <c r="AB126" s="500"/>
      <c r="AC126" s="3" t="s">
        <v>352</v>
      </c>
      <c r="AF126" s="501"/>
      <c r="AG126" s="46" t="str">
        <f t="shared" ref="AG126" si="1049">IF(AG125&gt;0,"- Evitar Posibilidad de Ocurrencia- Reducir el Riesgo","")</f>
        <v>- Evitar Posibilidad de Ocurrencia- Reducir el Riesgo</v>
      </c>
      <c r="AH126" s="46"/>
      <c r="AI126" s="46"/>
      <c r="AJ126" s="46"/>
      <c r="AK126" s="46"/>
      <c r="AL126" s="46"/>
      <c r="AM126" s="3" t="str">
        <f t="shared" si="912"/>
        <v/>
      </c>
      <c r="AN126" s="3" t="str">
        <f t="shared" si="913"/>
        <v/>
      </c>
      <c r="AO126" s="3" t="str">
        <f t="shared" si="914"/>
        <v/>
      </c>
      <c r="AP126" s="3" t="str">
        <f t="shared" si="915"/>
        <v/>
      </c>
      <c r="AQ126" s="3" t="str">
        <f t="shared" ref="AQ126:AQ127" si="1050">IF(AQ125="Documentar",AQ125,AM126)</f>
        <v/>
      </c>
      <c r="AR126" s="3" t="str">
        <f t="shared" ref="AR126:AR127" si="1051">IF(AR125="Asignar responsable",AR125,AN126)</f>
        <v/>
      </c>
      <c r="AT126" s="3" t="str">
        <f t="shared" ref="AT126:AT127" si="1052">IF(AT125="Establecer periodos de seguimiento adecuados",AT125,AO126)</f>
        <v/>
      </c>
      <c r="AV126" s="3" t="str">
        <f t="shared" ref="AV126:AV127" si="1053">IF(AV125="Guardar Evidencias",AV125,AP126)</f>
        <v/>
      </c>
      <c r="AX126" s="502"/>
      <c r="AY126" s="502"/>
      <c r="AZ126" s="502"/>
      <c r="BA126" s="502"/>
      <c r="BB126" s="3" t="str">
        <f t="shared" si="924"/>
        <v/>
      </c>
      <c r="BC126" s="3" t="str">
        <f t="shared" si="925"/>
        <v/>
      </c>
      <c r="BD126" s="3" t="str">
        <f t="shared" si="926"/>
        <v/>
      </c>
      <c r="BE126" s="3" t="str">
        <f t="shared" si="927"/>
        <v/>
      </c>
      <c r="BF126" s="3" t="str">
        <f t="shared" si="928"/>
        <v/>
      </c>
      <c r="BG126" s="3" t="str">
        <f t="shared" si="929"/>
        <v/>
      </c>
      <c r="BH126" s="3" t="str">
        <f t="shared" si="930"/>
        <v/>
      </c>
      <c r="BI126" s="3" t="str">
        <f t="shared" si="941"/>
        <v/>
      </c>
      <c r="BJ126" s="3" t="str">
        <f t="shared" si="942"/>
        <v/>
      </c>
      <c r="BK126" s="3" t="str">
        <f t="shared" si="943"/>
        <v/>
      </c>
      <c r="BL126" s="3" t="str">
        <f t="shared" si="931"/>
        <v/>
      </c>
      <c r="BM126" s="3" t="str">
        <f t="shared" si="932"/>
        <v/>
      </c>
    </row>
    <row r="127" spans="1:65" ht="16.5" thickBot="1" x14ac:dyDescent="0.25">
      <c r="A127" s="495"/>
      <c r="B127" s="496"/>
      <c r="C127" s="356">
        <v>3</v>
      </c>
      <c r="D127" s="56"/>
      <c r="E127" s="240" t="str">
        <f t="shared" si="933"/>
        <v/>
      </c>
      <c r="F127" s="44"/>
      <c r="G127" s="18" t="str">
        <f t="shared" si="896"/>
        <v/>
      </c>
      <c r="H127" s="44"/>
      <c r="I127" s="18" t="str">
        <f t="shared" si="897"/>
        <v/>
      </c>
      <c r="J127" s="55" t="str">
        <f t="shared" si="898"/>
        <v/>
      </c>
      <c r="K127" s="43"/>
      <c r="L127" s="18" t="str">
        <f t="shared" si="899"/>
        <v/>
      </c>
      <c r="M127" s="43"/>
      <c r="N127" s="18" t="str">
        <f t="shared" si="900"/>
        <v/>
      </c>
      <c r="O127" s="43"/>
      <c r="P127" s="18" t="str">
        <f t="shared" si="901"/>
        <v/>
      </c>
      <c r="Q127" s="43"/>
      <c r="R127" s="18" t="str">
        <f t="shared" si="902"/>
        <v/>
      </c>
      <c r="S127" s="43"/>
      <c r="T127" s="18" t="str">
        <f t="shared" si="903"/>
        <v/>
      </c>
      <c r="U127" s="43"/>
      <c r="V127" s="18" t="str">
        <f t="shared" si="904"/>
        <v/>
      </c>
      <c r="W127" s="18">
        <f t="shared" si="905"/>
        <v>0</v>
      </c>
      <c r="X127" s="57" t="str">
        <f t="shared" si="934"/>
        <v/>
      </c>
      <c r="Y127" s="57">
        <f t="shared" si="935"/>
        <v>0</v>
      </c>
      <c r="Z127" s="356"/>
      <c r="AA127" s="499"/>
      <c r="AB127" s="500"/>
      <c r="AM127" s="3" t="str">
        <f t="shared" si="912"/>
        <v/>
      </c>
      <c r="AN127" s="3" t="str">
        <f t="shared" si="913"/>
        <v/>
      </c>
      <c r="AO127" s="3" t="str">
        <f t="shared" si="914"/>
        <v/>
      </c>
      <c r="AP127" s="3" t="str">
        <f t="shared" si="915"/>
        <v/>
      </c>
      <c r="AQ127" s="3" t="str">
        <f t="shared" si="1050"/>
        <v/>
      </c>
      <c r="AR127" s="3" t="str">
        <f t="shared" si="1051"/>
        <v/>
      </c>
      <c r="AS127" s="3" t="str">
        <f t="shared" ref="AS127" si="1054">IF(AND(AQ127="Documentar",AR127="Asignar responsable"),CONCATENATE("- ",AQ127,", ",AR127),IF(AQ127="Documentar",CONCATENATE("- ",AQ127),IF(AR127="Asignar responsable",CONCATENATE("- ",AR127),"")))</f>
        <v/>
      </c>
      <c r="AT127" s="3" t="str">
        <f t="shared" si="1052"/>
        <v/>
      </c>
      <c r="AU127" s="3" t="str">
        <f t="shared" ref="AU127" si="1055">IF(AT127="",AS127,IF(AS127="",CONCATENATE("- ",AT127),CONCATENATE(AS127,", ",AT127)))</f>
        <v/>
      </c>
      <c r="AV127" s="3" t="str">
        <f t="shared" si="1053"/>
        <v/>
      </c>
      <c r="AW127" s="3" t="str">
        <f t="shared" ref="AW127" si="1056">IF(AV127="",AU127,IF(AU127="",CONCATENATE("- ",AV127),CONCATENATE(AU127,", ",AV127)))</f>
        <v/>
      </c>
      <c r="AX127" s="502"/>
      <c r="AY127" s="502"/>
      <c r="AZ127" s="502"/>
      <c r="BA127" s="502"/>
      <c r="BB127" s="3" t="str">
        <f t="shared" si="924"/>
        <v/>
      </c>
      <c r="BC127" s="3" t="str">
        <f t="shared" si="925"/>
        <v/>
      </c>
      <c r="BD127" s="3" t="str">
        <f t="shared" si="926"/>
        <v/>
      </c>
      <c r="BE127" s="3" t="str">
        <f t="shared" si="927"/>
        <v/>
      </c>
      <c r="BF127" s="3" t="str">
        <f t="shared" si="928"/>
        <v/>
      </c>
      <c r="BG127" s="3" t="str">
        <f t="shared" si="929"/>
        <v/>
      </c>
      <c r="BH127" s="3" t="str">
        <f t="shared" si="930"/>
        <v/>
      </c>
      <c r="BI127" s="3" t="str">
        <f t="shared" si="941"/>
        <v/>
      </c>
      <c r="BJ127" s="3" t="str">
        <f t="shared" si="942"/>
        <v/>
      </c>
      <c r="BK127" s="3" t="str">
        <f t="shared" si="943"/>
        <v/>
      </c>
      <c r="BL127" s="3" t="str">
        <f t="shared" si="931"/>
        <v/>
      </c>
      <c r="BM127" s="3" t="str">
        <f t="shared" si="932"/>
        <v/>
      </c>
    </row>
    <row r="128" spans="1:65" ht="16.5" thickTop="1" x14ac:dyDescent="0.2">
      <c r="A128" s="493" t="str">
        <f>IDENTIFICACIÓN!C49</f>
        <v>12C</v>
      </c>
      <c r="B128" s="496" t="str">
        <f>IF(IDENTIFICACIÓN!D49="","",IDENTIFICACIÓN!D49)</f>
        <v>Gestión Academica. Deficiencias en el manejo documental y de archivo</v>
      </c>
      <c r="C128" s="356">
        <v>1</v>
      </c>
      <c r="D128" s="56" t="s">
        <v>10</v>
      </c>
      <c r="E128" s="240">
        <f t="shared" si="933"/>
        <v>0</v>
      </c>
      <c r="F128" s="44"/>
      <c r="G128" s="18" t="str">
        <f t="shared" ref="G128:G151" si="1057">IF($D128="SI",IF(ISBLANK(F128),"Decripcion",""),"")</f>
        <v/>
      </c>
      <c r="H128" s="44"/>
      <c r="I128" s="18" t="str">
        <f t="shared" ref="I128:I151" si="1058">IF($D128="SI",IF(ISBLANK(H128),"Tipo",""),"")</f>
        <v/>
      </c>
      <c r="J128" s="55" t="str">
        <f t="shared" ref="J128:J151" si="1059">IF(H128="Preventivo","Posibilidad",IF(H128="Correctivo","No Aplica",""))</f>
        <v/>
      </c>
      <c r="K128" s="43"/>
      <c r="L128" s="18" t="str">
        <f t="shared" ref="L128:L151" si="1060">IF($D128="SI",IF(K128="SI",15,IF(K128="NO",0,"P1")),"")</f>
        <v/>
      </c>
      <c r="M128" s="43"/>
      <c r="N128" s="18" t="str">
        <f t="shared" ref="N128:N151" si="1061">IF($D128="SI",IF(M128="SI",30,IF(M128="NO",0,"P2")),"")</f>
        <v/>
      </c>
      <c r="O128" s="43"/>
      <c r="P128" s="18" t="str">
        <f t="shared" ref="P128:P151" si="1062">IF($D128="SI",IF(O128="Automático",15,IF(O128="Manual",10,"P3")),"")</f>
        <v/>
      </c>
      <c r="Q128" s="43"/>
      <c r="R128" s="18" t="str">
        <f t="shared" ref="R128:R151" si="1063">IF($D128="SI",IF(Q128="SI",5,IF(Q128="NO",0,"P4")),"")</f>
        <v/>
      </c>
      <c r="S128" s="43"/>
      <c r="T128" s="18" t="str">
        <f t="shared" ref="T128:T151" si="1064">IF($D128="SI",IF(S128="SI",15,IF(S128="NO",0,"P5")),"")</f>
        <v/>
      </c>
      <c r="U128" s="43"/>
      <c r="V128" s="18" t="str">
        <f t="shared" ref="V128:V151" si="1065">IF($D128="SI",IF(U128="SI",10,IF(U128="NO",0,"P6")),"")</f>
        <v/>
      </c>
      <c r="W128" s="18">
        <f t="shared" ref="W128:W151" si="1066">IF(D128="SI",E128+L128+N128+P128+R128+T128+V128,0)</f>
        <v>0</v>
      </c>
      <c r="X128" s="57">
        <f t="shared" ref="X128:X151" si="1067">IF(ISBLANK(D128),"",IF(D128="NO",0,IF(D128="SI",IF(OR(G128="Decripcion",I128="Tipo",L128="P1",N128="P2",P128="P3",R128="P4",T128="P5",V128="P6"),CONCATENATE("Falta diligenciar: ",G128," ",I128,IF(L128="P1"," Preg 1",),IF(N128="P2"," Preg 2",),IF(P128="P3"," Preg 3",),IF(R128="P4"," Preg 4",),IF(T128="P5"," Preg 5",),IF(V128="P6"," Preg 6",)),IF(AND(W128&gt;76,J128="Posibilidad"),CONCATENATE(W128,"                           Disminuye en ",J128),W128)))))</f>
        <v>0</v>
      </c>
      <c r="Y128" s="57">
        <f t="shared" ref="Y128:Y151" si="1068">IF(AND(W128&gt;75,W128&lt;101,J128="Posibilidad"),1,0)</f>
        <v>0</v>
      </c>
      <c r="Z128" s="356"/>
      <c r="AA128" s="497" t="str">
        <f t="shared" ref="AA128" si="1069">IF(AB128=0,"",(ROUND((SUM(W128:W130)/AB128),0)))</f>
        <v/>
      </c>
      <c r="AB128" s="500">
        <f t="shared" ref="AB128" si="1070">COUNT(T128:T130)</f>
        <v>0</v>
      </c>
      <c r="AC128" s="3">
        <f t="shared" ref="AC128" si="1071">SUM(Y128:Y130)</f>
        <v>0</v>
      </c>
      <c r="AD128" s="3">
        <f>ANALISIS!D51</f>
        <v>3</v>
      </c>
      <c r="AE128" s="3">
        <f t="shared" ref="AE128" si="1072">IF(AND(AD128=5,AC128&gt;1),3,AD128)</f>
        <v>3</v>
      </c>
      <c r="AF128" s="501">
        <f t="shared" ref="AF128:AF149" si="1073">AE128</f>
        <v>3</v>
      </c>
      <c r="AG128" s="355" t="str">
        <f t="shared" ref="AG128:AG149" si="1074">IF(AF128=3,"MODERADA",IF(AF128=5,"EXTREMA",""))</f>
        <v>MODERADA</v>
      </c>
      <c r="AH128" s="46"/>
      <c r="AI128" s="46"/>
      <c r="AJ128" s="46"/>
      <c r="AK128" s="46"/>
      <c r="AL128" s="46"/>
      <c r="AM128" s="3" t="str">
        <f t="shared" ref="AM128:AM151" si="1075">IF(AND(N128=30,L128=0),$AM$8,"")</f>
        <v/>
      </c>
      <c r="AN128" s="3" t="str">
        <f t="shared" ref="AN128:AN151" si="1076">IF(AND(N128=30,R128=0),$AN$8,"")</f>
        <v/>
      </c>
      <c r="AO128" s="3" t="str">
        <f t="shared" ref="AO128:AO151" si="1077">IF(AND(N128=30,T128=0),$AO$8,"")</f>
        <v/>
      </c>
      <c r="AP128" s="3" t="str">
        <f t="shared" ref="AP128:AP151" si="1078">IF(AND(N128=30,V128=0),$AP$8,"")</f>
        <v/>
      </c>
      <c r="AQ128" s="3" t="str">
        <f t="shared" ref="AQ128" si="1079">AM128</f>
        <v/>
      </c>
      <c r="AR128" s="3" t="str">
        <f t="shared" ref="AR128" si="1080">AN128</f>
        <v/>
      </c>
      <c r="AT128" s="3" t="str">
        <f t="shared" ref="AT128" si="1081">AO128</f>
        <v/>
      </c>
      <c r="AV128" s="3" t="str">
        <f t="shared" ref="AV128" si="1082">AP128</f>
        <v/>
      </c>
      <c r="AX128" s="502" t="str">
        <f t="shared" ref="AX128" si="1083">IF(AW130="","",CONCATENATE(AW130," (de) el(los) control(es) Efectivo(s) "))</f>
        <v/>
      </c>
      <c r="AY128" s="502" t="str">
        <f t="shared" ref="AY128" si="1084">IF(CONCATENATE(N128:N130)="","",IF(AND(SUM(E128:E130)=10,SUM(N128:N130)&lt;30),"- Replantear control(es) NO efectivo(s) ",IF(AND(SUM(E128:E130)=20,SUM(N128:N130)&lt;60),"- Replantear control(es) NO efectivo(s) ",IF(AND(SUM(E128:E130)=30,SUM(N128:N130)&lt;90),"- Replantear control(es) NO efectivo(s) ",""))))</f>
        <v/>
      </c>
      <c r="AZ128" s="502" t="str">
        <f t="shared" ref="AZ128" si="1085">IF(AND(AE128&gt;1,AE129&gt;1),"- Tomar Acciones Preventivas y Correctivas",IF(AE128&gt;1,"- Tomar Acciones Preventivas",IF(AE129&gt;1,"- Tomar Acciones Correctivas","")))</f>
        <v>- Tomar Acciones Preventivas</v>
      </c>
      <c r="BA128" s="502" t="str">
        <f t="shared" ref="BA128" si="1086">CONCATENATE(AX128,AY128,AZ128)</f>
        <v>- Tomar Acciones Preventivas</v>
      </c>
      <c r="BB128" s="3" t="str">
        <f t="shared" ref="BB128:BB151" si="1087">IF(AND($N128=30,L128=15),"SI",IF(AND($N128=30,L128=0),"NO",""))</f>
        <v/>
      </c>
      <c r="BC128" s="3" t="str">
        <f t="shared" ref="BC128:BC151" si="1088">IF(AND($N128=0,L128=15),"SI",IF(AND($N128=0,L128=0),"NO",""))</f>
        <v/>
      </c>
      <c r="BD128" s="3" t="str">
        <f t="shared" ref="BD128:BD151" si="1089">IF(AND($N128=30,R128=5),"SI",IF(AND($N128=30,R128=0),"NO",""))</f>
        <v/>
      </c>
      <c r="BE128" s="3" t="str">
        <f t="shared" ref="BE128:BE151" si="1090">IF(AND($N128=0,R128=5),"SI",IF(AND($N128=0,R128=0),"NO",""))</f>
        <v/>
      </c>
      <c r="BF128" s="3" t="str">
        <f t="shared" ref="BF128:BF151" si="1091">IF(AND($N128=30,T128=15),"SI",IF(AND($N128=30,T128=0),"NO",""))</f>
        <v/>
      </c>
      <c r="BG128" s="3" t="str">
        <f t="shared" ref="BG128:BG151" si="1092">IF(AND($N128=0,T128=15),"SI",IF(AND($N128=0,T128=0),"NO",""))</f>
        <v/>
      </c>
      <c r="BH128" s="3" t="str">
        <f t="shared" ref="BH128:BH151" si="1093">IF(AND($N128=30,H128="Preventivo"),"P",IF(AND($N128=30,H128="Correctivo"),"C",""))</f>
        <v/>
      </c>
      <c r="BI128" s="3" t="str">
        <f t="shared" si="941"/>
        <v/>
      </c>
      <c r="BJ128" s="3" t="str">
        <f t="shared" si="942"/>
        <v/>
      </c>
      <c r="BK128" s="3" t="str">
        <f t="shared" si="943"/>
        <v/>
      </c>
      <c r="BL128" s="3" t="str">
        <f t="shared" ref="BL128:BL151" si="1094">IF(AND($N128=30,V128=10),"SI",IF(AND($N128=30,V128=0),"NO",""))</f>
        <v/>
      </c>
      <c r="BM128" s="3" t="str">
        <f t="shared" ref="BM128:BM151" si="1095">IF(AND($N128=0,V128=10),"SI",IF(AND($N128=0,V128=0),"NO",""))</f>
        <v/>
      </c>
    </row>
    <row r="129" spans="1:65" ht="31.5" x14ac:dyDescent="0.2">
      <c r="A129" s="494"/>
      <c r="B129" s="496"/>
      <c r="C129" s="356">
        <v>2</v>
      </c>
      <c r="D129" s="56"/>
      <c r="E129" s="240" t="str">
        <f t="shared" si="933"/>
        <v/>
      </c>
      <c r="F129" s="44"/>
      <c r="G129" s="18" t="str">
        <f t="shared" si="1057"/>
        <v/>
      </c>
      <c r="H129" s="44"/>
      <c r="I129" s="18" t="str">
        <f t="shared" si="1058"/>
        <v/>
      </c>
      <c r="J129" s="55" t="str">
        <f t="shared" si="1059"/>
        <v/>
      </c>
      <c r="K129" s="43"/>
      <c r="L129" s="18" t="str">
        <f t="shared" si="1060"/>
        <v/>
      </c>
      <c r="M129" s="43"/>
      <c r="N129" s="18" t="str">
        <f t="shared" si="1061"/>
        <v/>
      </c>
      <c r="O129" s="43"/>
      <c r="P129" s="18" t="str">
        <f t="shared" si="1062"/>
        <v/>
      </c>
      <c r="Q129" s="43"/>
      <c r="R129" s="18" t="str">
        <f t="shared" si="1063"/>
        <v/>
      </c>
      <c r="S129" s="43"/>
      <c r="T129" s="18" t="str">
        <f t="shared" si="1064"/>
        <v/>
      </c>
      <c r="U129" s="43"/>
      <c r="V129" s="18" t="str">
        <f t="shared" si="1065"/>
        <v/>
      </c>
      <c r="W129" s="18">
        <f t="shared" si="1066"/>
        <v>0</v>
      </c>
      <c r="X129" s="57" t="str">
        <f t="shared" si="1067"/>
        <v/>
      </c>
      <c r="Y129" s="57">
        <f t="shared" si="1068"/>
        <v>0</v>
      </c>
      <c r="Z129" s="356"/>
      <c r="AA129" s="498"/>
      <c r="AB129" s="500"/>
      <c r="AC129" s="3" t="s">
        <v>352</v>
      </c>
      <c r="AF129" s="501"/>
      <c r="AG129" s="46" t="str">
        <f t="shared" ref="AG129" si="1096">IF(AG128&gt;0,"- Evitar Posibilidad de Ocurrencia- Reducir el Riesgo","")</f>
        <v>- Evitar Posibilidad de Ocurrencia- Reducir el Riesgo</v>
      </c>
      <c r="AH129" s="46"/>
      <c r="AI129" s="46"/>
      <c r="AJ129" s="46"/>
      <c r="AK129" s="46"/>
      <c r="AL129" s="46"/>
      <c r="AM129" s="3" t="str">
        <f t="shared" si="1075"/>
        <v/>
      </c>
      <c r="AN129" s="3" t="str">
        <f t="shared" si="1076"/>
        <v/>
      </c>
      <c r="AO129" s="3" t="str">
        <f t="shared" si="1077"/>
        <v/>
      </c>
      <c r="AP129" s="3" t="str">
        <f t="shared" si="1078"/>
        <v/>
      </c>
      <c r="AQ129" s="3" t="str">
        <f t="shared" ref="AQ129:AQ130" si="1097">IF(AQ128="Documentar",AQ128,AM129)</f>
        <v/>
      </c>
      <c r="AR129" s="3" t="str">
        <f t="shared" ref="AR129:AR130" si="1098">IF(AR128="Asignar responsable",AR128,AN129)</f>
        <v/>
      </c>
      <c r="AT129" s="3" t="str">
        <f t="shared" ref="AT129:AT130" si="1099">IF(AT128="Establecer periodos de seguimiento adecuados",AT128,AO129)</f>
        <v/>
      </c>
      <c r="AV129" s="3" t="str">
        <f t="shared" ref="AV129:AV130" si="1100">IF(AV128="Guardar Evidencias",AV128,AP129)</f>
        <v/>
      </c>
      <c r="AX129" s="502"/>
      <c r="AY129" s="502"/>
      <c r="AZ129" s="502"/>
      <c r="BA129" s="502"/>
      <c r="BB129" s="3" t="str">
        <f t="shared" si="1087"/>
        <v/>
      </c>
      <c r="BC129" s="3" t="str">
        <f t="shared" si="1088"/>
        <v/>
      </c>
      <c r="BD129" s="3" t="str">
        <f t="shared" si="1089"/>
        <v/>
      </c>
      <c r="BE129" s="3" t="str">
        <f t="shared" si="1090"/>
        <v/>
      </c>
      <c r="BF129" s="3" t="str">
        <f t="shared" si="1091"/>
        <v/>
      </c>
      <c r="BG129" s="3" t="str">
        <f t="shared" si="1092"/>
        <v/>
      </c>
      <c r="BH129" s="3" t="str">
        <f t="shared" si="1093"/>
        <v/>
      </c>
      <c r="BI129" s="3" t="str">
        <f t="shared" si="941"/>
        <v/>
      </c>
      <c r="BJ129" s="3" t="str">
        <f t="shared" si="942"/>
        <v/>
      </c>
      <c r="BK129" s="3" t="str">
        <f t="shared" si="943"/>
        <v/>
      </c>
      <c r="BL129" s="3" t="str">
        <f t="shared" si="1094"/>
        <v/>
      </c>
      <c r="BM129" s="3" t="str">
        <f t="shared" si="1095"/>
        <v/>
      </c>
    </row>
    <row r="130" spans="1:65" ht="16.5" thickBot="1" x14ac:dyDescent="0.25">
      <c r="A130" s="495"/>
      <c r="B130" s="496"/>
      <c r="C130" s="356">
        <v>3</v>
      </c>
      <c r="D130" s="56"/>
      <c r="E130" s="240" t="str">
        <f t="shared" si="933"/>
        <v/>
      </c>
      <c r="F130" s="44"/>
      <c r="G130" s="18" t="str">
        <f t="shared" si="1057"/>
        <v/>
      </c>
      <c r="H130" s="44"/>
      <c r="I130" s="18" t="str">
        <f t="shared" si="1058"/>
        <v/>
      </c>
      <c r="J130" s="55" t="str">
        <f t="shared" si="1059"/>
        <v/>
      </c>
      <c r="K130" s="43"/>
      <c r="L130" s="18" t="str">
        <f t="shared" si="1060"/>
        <v/>
      </c>
      <c r="M130" s="43"/>
      <c r="N130" s="18" t="str">
        <f t="shared" si="1061"/>
        <v/>
      </c>
      <c r="O130" s="43"/>
      <c r="P130" s="18" t="str">
        <f t="shared" si="1062"/>
        <v/>
      </c>
      <c r="Q130" s="43"/>
      <c r="R130" s="18" t="str">
        <f t="shared" si="1063"/>
        <v/>
      </c>
      <c r="S130" s="43"/>
      <c r="T130" s="18" t="str">
        <f t="shared" si="1064"/>
        <v/>
      </c>
      <c r="U130" s="43"/>
      <c r="V130" s="18" t="str">
        <f t="shared" si="1065"/>
        <v/>
      </c>
      <c r="W130" s="18">
        <f t="shared" si="1066"/>
        <v>0</v>
      </c>
      <c r="X130" s="57" t="str">
        <f t="shared" si="1067"/>
        <v/>
      </c>
      <c r="Y130" s="57">
        <f t="shared" si="1068"/>
        <v>0</v>
      </c>
      <c r="Z130" s="356"/>
      <c r="AA130" s="499"/>
      <c r="AB130" s="500"/>
      <c r="AM130" s="3" t="str">
        <f t="shared" si="1075"/>
        <v/>
      </c>
      <c r="AN130" s="3" t="str">
        <f t="shared" si="1076"/>
        <v/>
      </c>
      <c r="AO130" s="3" t="str">
        <f t="shared" si="1077"/>
        <v/>
      </c>
      <c r="AP130" s="3" t="str">
        <f t="shared" si="1078"/>
        <v/>
      </c>
      <c r="AQ130" s="3" t="str">
        <f t="shared" si="1097"/>
        <v/>
      </c>
      <c r="AR130" s="3" t="str">
        <f t="shared" si="1098"/>
        <v/>
      </c>
      <c r="AS130" s="3" t="str">
        <f t="shared" ref="AS130" si="1101">IF(AND(AQ130="Documentar",AR130="Asignar responsable"),CONCATENATE("- ",AQ130,", ",AR130),IF(AQ130="Documentar",CONCATENATE("- ",AQ130),IF(AR130="Asignar responsable",CONCATENATE("- ",AR130),"")))</f>
        <v/>
      </c>
      <c r="AT130" s="3" t="str">
        <f t="shared" si="1099"/>
        <v/>
      </c>
      <c r="AU130" s="3" t="str">
        <f t="shared" ref="AU130" si="1102">IF(AT130="",AS130,IF(AS130="",CONCATENATE("- ",AT130),CONCATENATE(AS130,", ",AT130)))</f>
        <v/>
      </c>
      <c r="AV130" s="3" t="str">
        <f t="shared" si="1100"/>
        <v/>
      </c>
      <c r="AW130" s="3" t="str">
        <f t="shared" ref="AW130" si="1103">IF(AV130="",AU130,IF(AU130="",CONCATENATE("- ",AV130),CONCATENATE(AU130,", ",AV130)))</f>
        <v/>
      </c>
      <c r="AX130" s="502"/>
      <c r="AY130" s="502"/>
      <c r="AZ130" s="502"/>
      <c r="BA130" s="502"/>
      <c r="BB130" s="3" t="str">
        <f t="shared" si="1087"/>
        <v/>
      </c>
      <c r="BC130" s="3" t="str">
        <f t="shared" si="1088"/>
        <v/>
      </c>
      <c r="BD130" s="3" t="str">
        <f t="shared" si="1089"/>
        <v/>
      </c>
      <c r="BE130" s="3" t="str">
        <f t="shared" si="1090"/>
        <v/>
      </c>
      <c r="BF130" s="3" t="str">
        <f t="shared" si="1091"/>
        <v/>
      </c>
      <c r="BG130" s="3" t="str">
        <f t="shared" si="1092"/>
        <v/>
      </c>
      <c r="BH130" s="3" t="str">
        <f t="shared" si="1093"/>
        <v/>
      </c>
      <c r="BI130" s="3" t="str">
        <f t="shared" si="941"/>
        <v/>
      </c>
      <c r="BJ130" s="3" t="str">
        <f t="shared" si="942"/>
        <v/>
      </c>
      <c r="BK130" s="3" t="str">
        <f t="shared" si="943"/>
        <v/>
      </c>
      <c r="BL130" s="3" t="str">
        <f t="shared" si="1094"/>
        <v/>
      </c>
      <c r="BM130" s="3" t="str">
        <f t="shared" si="1095"/>
        <v/>
      </c>
    </row>
    <row r="131" spans="1:65" ht="36.75" thickTop="1" x14ac:dyDescent="0.2">
      <c r="A131" s="493" t="str">
        <f>IDENTIFICACIÓN!C50</f>
        <v>13C</v>
      </c>
      <c r="B131" s="496" t="str">
        <f>IF(IDENTIFICACIÓN!D50="","",IDENTIFICACIÓN!D50)</f>
        <v>Gestión de Investigación. Vulnerabilidad en el manejo de la información de la actividad investigativa</v>
      </c>
      <c r="C131" s="356">
        <v>1</v>
      </c>
      <c r="D131" s="56" t="s">
        <v>11</v>
      </c>
      <c r="E131" s="240">
        <f t="shared" si="933"/>
        <v>10</v>
      </c>
      <c r="F131" s="44" t="s">
        <v>590</v>
      </c>
      <c r="G131" s="18" t="str">
        <f t="shared" si="1057"/>
        <v/>
      </c>
      <c r="H131" s="44" t="s">
        <v>20</v>
      </c>
      <c r="I131" s="18" t="str">
        <f t="shared" si="1058"/>
        <v/>
      </c>
      <c r="J131" s="55" t="str">
        <f t="shared" si="1059"/>
        <v>Posibilidad</v>
      </c>
      <c r="K131" s="43" t="s">
        <v>11</v>
      </c>
      <c r="L131" s="18">
        <f t="shared" si="1060"/>
        <v>15</v>
      </c>
      <c r="M131" s="43" t="s">
        <v>11</v>
      </c>
      <c r="N131" s="18">
        <f t="shared" si="1061"/>
        <v>30</v>
      </c>
      <c r="O131" s="43" t="s">
        <v>322</v>
      </c>
      <c r="P131" s="18">
        <f t="shared" si="1062"/>
        <v>15</v>
      </c>
      <c r="Q131" s="43" t="s">
        <v>11</v>
      </c>
      <c r="R131" s="18">
        <f t="shared" si="1063"/>
        <v>5</v>
      </c>
      <c r="S131" s="43" t="s">
        <v>11</v>
      </c>
      <c r="T131" s="18">
        <f t="shared" si="1064"/>
        <v>15</v>
      </c>
      <c r="U131" s="43" t="s">
        <v>11</v>
      </c>
      <c r="V131" s="18">
        <f t="shared" si="1065"/>
        <v>10</v>
      </c>
      <c r="W131" s="18">
        <f t="shared" si="1066"/>
        <v>100</v>
      </c>
      <c r="X131" s="57" t="str">
        <f t="shared" si="1067"/>
        <v>100                           Disminuye en Posibilidad</v>
      </c>
      <c r="Y131" s="57">
        <f t="shared" si="1068"/>
        <v>1</v>
      </c>
      <c r="Z131" s="356"/>
      <c r="AA131" s="497">
        <f t="shared" ref="AA131" si="1104">IF(AB131=0,"",(ROUND((SUM(W131:W133)/AB131),0)))</f>
        <v>100</v>
      </c>
      <c r="AB131" s="500">
        <f t="shared" ref="AB131" si="1105">COUNT(T131:T133)</f>
        <v>1</v>
      </c>
      <c r="AC131" s="3">
        <f t="shared" ref="AC131" si="1106">SUM(Y131:Y133)</f>
        <v>1</v>
      </c>
      <c r="AD131" s="3">
        <f>ANALISIS!D52</f>
        <v>5</v>
      </c>
      <c r="AE131" s="3">
        <f t="shared" ref="AE131" si="1107">IF(AND(AD131=5,AC131&gt;1),3,AD131)</f>
        <v>5</v>
      </c>
      <c r="AF131" s="501">
        <f t="shared" si="1073"/>
        <v>5</v>
      </c>
      <c r="AG131" s="355" t="str">
        <f t="shared" si="1074"/>
        <v>EXTREMA</v>
      </c>
      <c r="AH131" s="46"/>
      <c r="AI131" s="46"/>
      <c r="AJ131" s="46"/>
      <c r="AK131" s="46"/>
      <c r="AL131" s="46"/>
      <c r="AM131" s="3" t="str">
        <f t="shared" si="1075"/>
        <v/>
      </c>
      <c r="AN131" s="3" t="str">
        <f t="shared" si="1076"/>
        <v/>
      </c>
      <c r="AO131" s="3" t="str">
        <f t="shared" si="1077"/>
        <v/>
      </c>
      <c r="AP131" s="3" t="str">
        <f t="shared" si="1078"/>
        <v/>
      </c>
      <c r="AQ131" s="3" t="str">
        <f t="shared" ref="AQ131" si="1108">AM131</f>
        <v/>
      </c>
      <c r="AR131" s="3" t="str">
        <f t="shared" ref="AR131" si="1109">AN131</f>
        <v/>
      </c>
      <c r="AT131" s="3" t="str">
        <f t="shared" ref="AT131" si="1110">AO131</f>
        <v/>
      </c>
      <c r="AV131" s="3" t="str">
        <f t="shared" ref="AV131" si="1111">AP131</f>
        <v/>
      </c>
      <c r="AX131" s="502" t="str">
        <f t="shared" ref="AX131" si="1112">IF(AW133="","",CONCATENATE(AW133," (de) el(los) control(es) Efectivo(s) "))</f>
        <v/>
      </c>
      <c r="AY131" s="502" t="str">
        <f t="shared" ref="AY131" si="1113">IF(CONCATENATE(N131:N133)="","",IF(AND(SUM(E131:E133)=10,SUM(N131:N133)&lt;30),"- Replantear control(es) NO efectivo(s) ",IF(AND(SUM(E131:E133)=20,SUM(N131:N133)&lt;60),"- Replantear control(es) NO efectivo(s) ",IF(AND(SUM(E131:E133)=30,SUM(N131:N133)&lt;90),"- Replantear control(es) NO efectivo(s) ",""))))</f>
        <v/>
      </c>
      <c r="AZ131" s="502" t="str">
        <f t="shared" ref="AZ131" si="1114">IF(AND(AE131&gt;1,AE132&gt;1),"- Tomar Acciones Preventivas y Correctivas",IF(AE131&gt;1,"- Tomar Acciones Preventivas",IF(AE132&gt;1,"- Tomar Acciones Correctivas","")))</f>
        <v>- Tomar Acciones Preventivas</v>
      </c>
      <c r="BA131" s="502" t="str">
        <f t="shared" ref="BA131" si="1115">CONCATENATE(AX131,AY131,AZ131)</f>
        <v>- Tomar Acciones Preventivas</v>
      </c>
      <c r="BB131" s="3" t="str">
        <f t="shared" si="1087"/>
        <v>SI</v>
      </c>
      <c r="BC131" s="3" t="str">
        <f t="shared" si="1088"/>
        <v/>
      </c>
      <c r="BD131" s="3" t="str">
        <f t="shared" si="1089"/>
        <v>SI</v>
      </c>
      <c r="BE131" s="3" t="str">
        <f t="shared" si="1090"/>
        <v/>
      </c>
      <c r="BF131" s="3" t="str">
        <f t="shared" si="1091"/>
        <v>SI</v>
      </c>
      <c r="BG131" s="3" t="str">
        <f t="shared" si="1092"/>
        <v/>
      </c>
      <c r="BH131" s="3" t="str">
        <f t="shared" si="1093"/>
        <v>P</v>
      </c>
      <c r="BI131" s="3" t="str">
        <f t="shared" si="941"/>
        <v/>
      </c>
      <c r="BJ131" s="3" t="str">
        <f t="shared" si="942"/>
        <v>A</v>
      </c>
      <c r="BK131" s="3" t="str">
        <f t="shared" si="943"/>
        <v/>
      </c>
      <c r="BL131" s="3" t="str">
        <f t="shared" si="1094"/>
        <v>SI</v>
      </c>
      <c r="BM131" s="3" t="str">
        <f t="shared" si="1095"/>
        <v/>
      </c>
    </row>
    <row r="132" spans="1:65" ht="31.5" x14ac:dyDescent="0.2">
      <c r="A132" s="494"/>
      <c r="B132" s="496"/>
      <c r="C132" s="356">
        <v>2</v>
      </c>
      <c r="D132" s="56"/>
      <c r="E132" s="240" t="str">
        <f t="shared" si="933"/>
        <v/>
      </c>
      <c r="F132" s="44"/>
      <c r="G132" s="18" t="str">
        <f t="shared" si="1057"/>
        <v/>
      </c>
      <c r="H132" s="44"/>
      <c r="I132" s="18" t="str">
        <f t="shared" si="1058"/>
        <v/>
      </c>
      <c r="J132" s="55" t="str">
        <f t="shared" si="1059"/>
        <v/>
      </c>
      <c r="K132" s="43"/>
      <c r="L132" s="18" t="str">
        <f t="shared" si="1060"/>
        <v/>
      </c>
      <c r="M132" s="43"/>
      <c r="N132" s="18" t="str">
        <f t="shared" si="1061"/>
        <v/>
      </c>
      <c r="O132" s="43"/>
      <c r="P132" s="18" t="str">
        <f t="shared" si="1062"/>
        <v/>
      </c>
      <c r="Q132" s="43"/>
      <c r="R132" s="18" t="str">
        <f t="shared" si="1063"/>
        <v/>
      </c>
      <c r="S132" s="43"/>
      <c r="T132" s="18" t="str">
        <f t="shared" si="1064"/>
        <v/>
      </c>
      <c r="U132" s="43"/>
      <c r="V132" s="18" t="str">
        <f t="shared" si="1065"/>
        <v/>
      </c>
      <c r="W132" s="18">
        <f t="shared" si="1066"/>
        <v>0</v>
      </c>
      <c r="X132" s="57" t="str">
        <f t="shared" si="1067"/>
        <v/>
      </c>
      <c r="Y132" s="57">
        <f t="shared" si="1068"/>
        <v>0</v>
      </c>
      <c r="Z132" s="356"/>
      <c r="AA132" s="498"/>
      <c r="AB132" s="500"/>
      <c r="AC132" s="3" t="s">
        <v>352</v>
      </c>
      <c r="AF132" s="501"/>
      <c r="AG132" s="46" t="str">
        <f t="shared" ref="AG132" si="1116">IF(AG131&gt;0,"- Evitar Posibilidad de Ocurrencia- Reducir el Riesgo","")</f>
        <v>- Evitar Posibilidad de Ocurrencia- Reducir el Riesgo</v>
      </c>
      <c r="AH132" s="46"/>
      <c r="AI132" s="46"/>
      <c r="AJ132" s="46"/>
      <c r="AK132" s="46"/>
      <c r="AL132" s="46"/>
      <c r="AM132" s="3" t="str">
        <f t="shared" si="1075"/>
        <v/>
      </c>
      <c r="AN132" s="3" t="str">
        <f t="shared" si="1076"/>
        <v/>
      </c>
      <c r="AO132" s="3" t="str">
        <f t="shared" si="1077"/>
        <v/>
      </c>
      <c r="AP132" s="3" t="str">
        <f t="shared" si="1078"/>
        <v/>
      </c>
      <c r="AQ132" s="3" t="str">
        <f t="shared" ref="AQ132:AQ133" si="1117">IF(AQ131="Documentar",AQ131,AM132)</f>
        <v/>
      </c>
      <c r="AR132" s="3" t="str">
        <f t="shared" ref="AR132:AR133" si="1118">IF(AR131="Asignar responsable",AR131,AN132)</f>
        <v/>
      </c>
      <c r="AT132" s="3" t="str">
        <f t="shared" ref="AT132:AT133" si="1119">IF(AT131="Establecer periodos de seguimiento adecuados",AT131,AO132)</f>
        <v/>
      </c>
      <c r="AV132" s="3" t="str">
        <f t="shared" ref="AV132:AV133" si="1120">IF(AV131="Guardar Evidencias",AV131,AP132)</f>
        <v/>
      </c>
      <c r="AX132" s="502"/>
      <c r="AY132" s="502"/>
      <c r="AZ132" s="502"/>
      <c r="BA132" s="502"/>
      <c r="BB132" s="3" t="str">
        <f t="shared" si="1087"/>
        <v/>
      </c>
      <c r="BC132" s="3" t="str">
        <f t="shared" si="1088"/>
        <v/>
      </c>
      <c r="BD132" s="3" t="str">
        <f t="shared" si="1089"/>
        <v/>
      </c>
      <c r="BE132" s="3" t="str">
        <f t="shared" si="1090"/>
        <v/>
      </c>
      <c r="BF132" s="3" t="str">
        <f t="shared" si="1091"/>
        <v/>
      </c>
      <c r="BG132" s="3" t="str">
        <f t="shared" si="1092"/>
        <v/>
      </c>
      <c r="BH132" s="3" t="str">
        <f t="shared" si="1093"/>
        <v/>
      </c>
      <c r="BI132" s="3" t="str">
        <f t="shared" si="941"/>
        <v/>
      </c>
      <c r="BJ132" s="3" t="str">
        <f t="shared" si="942"/>
        <v/>
      </c>
      <c r="BK132" s="3" t="str">
        <f t="shared" si="943"/>
        <v/>
      </c>
      <c r="BL132" s="3" t="str">
        <f t="shared" si="1094"/>
        <v/>
      </c>
      <c r="BM132" s="3" t="str">
        <f t="shared" si="1095"/>
        <v/>
      </c>
    </row>
    <row r="133" spans="1:65" ht="16.5" thickBot="1" x14ac:dyDescent="0.25">
      <c r="A133" s="495"/>
      <c r="B133" s="496"/>
      <c r="C133" s="356">
        <v>3</v>
      </c>
      <c r="D133" s="56"/>
      <c r="E133" s="240" t="str">
        <f t="shared" si="933"/>
        <v/>
      </c>
      <c r="F133" s="44"/>
      <c r="G133" s="18" t="str">
        <f t="shared" si="1057"/>
        <v/>
      </c>
      <c r="H133" s="44"/>
      <c r="I133" s="18" t="str">
        <f t="shared" si="1058"/>
        <v/>
      </c>
      <c r="J133" s="55" t="str">
        <f t="shared" si="1059"/>
        <v/>
      </c>
      <c r="K133" s="43"/>
      <c r="L133" s="18" t="str">
        <f t="shared" si="1060"/>
        <v/>
      </c>
      <c r="M133" s="43"/>
      <c r="N133" s="18" t="str">
        <f t="shared" si="1061"/>
        <v/>
      </c>
      <c r="O133" s="43"/>
      <c r="P133" s="18" t="str">
        <f t="shared" si="1062"/>
        <v/>
      </c>
      <c r="Q133" s="43"/>
      <c r="R133" s="18" t="str">
        <f t="shared" si="1063"/>
        <v/>
      </c>
      <c r="S133" s="43"/>
      <c r="T133" s="18" t="str">
        <f t="shared" si="1064"/>
        <v/>
      </c>
      <c r="U133" s="43"/>
      <c r="V133" s="18" t="str">
        <f t="shared" si="1065"/>
        <v/>
      </c>
      <c r="W133" s="18">
        <f t="shared" si="1066"/>
        <v>0</v>
      </c>
      <c r="X133" s="57" t="str">
        <f t="shared" si="1067"/>
        <v/>
      </c>
      <c r="Y133" s="57">
        <f t="shared" si="1068"/>
        <v>0</v>
      </c>
      <c r="Z133" s="356"/>
      <c r="AA133" s="499"/>
      <c r="AB133" s="500"/>
      <c r="AM133" s="3" t="str">
        <f t="shared" si="1075"/>
        <v/>
      </c>
      <c r="AN133" s="3" t="str">
        <f t="shared" si="1076"/>
        <v/>
      </c>
      <c r="AO133" s="3" t="str">
        <f t="shared" si="1077"/>
        <v/>
      </c>
      <c r="AP133" s="3" t="str">
        <f t="shared" si="1078"/>
        <v/>
      </c>
      <c r="AQ133" s="3" t="str">
        <f t="shared" si="1117"/>
        <v/>
      </c>
      <c r="AR133" s="3" t="str">
        <f t="shared" si="1118"/>
        <v/>
      </c>
      <c r="AS133" s="3" t="str">
        <f t="shared" ref="AS133" si="1121">IF(AND(AQ133="Documentar",AR133="Asignar responsable"),CONCATENATE("- ",AQ133,", ",AR133),IF(AQ133="Documentar",CONCATENATE("- ",AQ133),IF(AR133="Asignar responsable",CONCATENATE("- ",AR133),"")))</f>
        <v/>
      </c>
      <c r="AT133" s="3" t="str">
        <f t="shared" si="1119"/>
        <v/>
      </c>
      <c r="AU133" s="3" t="str">
        <f t="shared" ref="AU133" si="1122">IF(AT133="",AS133,IF(AS133="",CONCATENATE("- ",AT133),CONCATENATE(AS133,", ",AT133)))</f>
        <v/>
      </c>
      <c r="AV133" s="3" t="str">
        <f t="shared" si="1120"/>
        <v/>
      </c>
      <c r="AW133" s="3" t="str">
        <f t="shared" ref="AW133" si="1123">IF(AV133="",AU133,IF(AU133="",CONCATENATE("- ",AV133),CONCATENATE(AU133,", ",AV133)))</f>
        <v/>
      </c>
      <c r="AX133" s="502"/>
      <c r="AY133" s="502"/>
      <c r="AZ133" s="502"/>
      <c r="BA133" s="502"/>
      <c r="BB133" s="3" t="str">
        <f t="shared" si="1087"/>
        <v/>
      </c>
      <c r="BC133" s="3" t="str">
        <f t="shared" si="1088"/>
        <v/>
      </c>
      <c r="BD133" s="3" t="str">
        <f t="shared" si="1089"/>
        <v/>
      </c>
      <c r="BE133" s="3" t="str">
        <f t="shared" si="1090"/>
        <v/>
      </c>
      <c r="BF133" s="3" t="str">
        <f t="shared" si="1091"/>
        <v/>
      </c>
      <c r="BG133" s="3" t="str">
        <f t="shared" si="1092"/>
        <v/>
      </c>
      <c r="BH133" s="3" t="str">
        <f t="shared" si="1093"/>
        <v/>
      </c>
      <c r="BI133" s="3" t="str">
        <f t="shared" si="941"/>
        <v/>
      </c>
      <c r="BJ133" s="3" t="str">
        <f t="shared" si="942"/>
        <v/>
      </c>
      <c r="BK133" s="3" t="str">
        <f t="shared" si="943"/>
        <v/>
      </c>
      <c r="BL133" s="3" t="str">
        <f t="shared" si="1094"/>
        <v/>
      </c>
      <c r="BM133" s="3" t="str">
        <f t="shared" si="1095"/>
        <v/>
      </c>
    </row>
    <row r="134" spans="1:65" ht="36.75" thickTop="1" x14ac:dyDescent="0.2">
      <c r="A134" s="493" t="str">
        <f>IDENTIFICACIÓN!C51</f>
        <v>14C</v>
      </c>
      <c r="B134" s="496" t="str">
        <f>IF(IDENTIFICACIÓN!D51="","",IDENTIFICACIÓN!D51)</f>
        <v>Gestión de Investigación. Violación de la propiedad Intelectual.</v>
      </c>
      <c r="C134" s="356">
        <v>1</v>
      </c>
      <c r="D134" s="56" t="s">
        <v>11</v>
      </c>
      <c r="E134" s="240">
        <f t="shared" si="933"/>
        <v>10</v>
      </c>
      <c r="F134" s="44" t="s">
        <v>620</v>
      </c>
      <c r="G134" s="18" t="str">
        <f t="shared" si="1057"/>
        <v/>
      </c>
      <c r="H134" s="44" t="s">
        <v>20</v>
      </c>
      <c r="I134" s="18" t="str">
        <f t="shared" si="1058"/>
        <v/>
      </c>
      <c r="J134" s="55" t="str">
        <f t="shared" si="1059"/>
        <v>Posibilidad</v>
      </c>
      <c r="K134" s="43" t="s">
        <v>11</v>
      </c>
      <c r="L134" s="18">
        <f t="shared" si="1060"/>
        <v>15</v>
      </c>
      <c r="M134" s="43" t="s">
        <v>11</v>
      </c>
      <c r="N134" s="18">
        <f t="shared" si="1061"/>
        <v>30</v>
      </c>
      <c r="O134" s="43" t="s">
        <v>323</v>
      </c>
      <c r="P134" s="18">
        <f t="shared" si="1062"/>
        <v>10</v>
      </c>
      <c r="Q134" s="43" t="s">
        <v>11</v>
      </c>
      <c r="R134" s="18">
        <f t="shared" si="1063"/>
        <v>5</v>
      </c>
      <c r="S134" s="43" t="s">
        <v>11</v>
      </c>
      <c r="T134" s="18">
        <f t="shared" si="1064"/>
        <v>15</v>
      </c>
      <c r="U134" s="43" t="s">
        <v>11</v>
      </c>
      <c r="V134" s="18">
        <f t="shared" si="1065"/>
        <v>10</v>
      </c>
      <c r="W134" s="18">
        <f t="shared" si="1066"/>
        <v>95</v>
      </c>
      <c r="X134" s="57" t="str">
        <f t="shared" si="1067"/>
        <v>95                           Disminuye en Posibilidad</v>
      </c>
      <c r="Y134" s="57">
        <f t="shared" si="1068"/>
        <v>1</v>
      </c>
      <c r="Z134" s="356"/>
      <c r="AA134" s="497">
        <f t="shared" ref="AA134" si="1124">IF(AB134=0,"",(ROUND((SUM(W134:W136)/AB134),0)))</f>
        <v>95</v>
      </c>
      <c r="AB134" s="500">
        <f t="shared" ref="AB134" si="1125">COUNT(T134:T136)</f>
        <v>2</v>
      </c>
      <c r="AC134" s="3">
        <f t="shared" ref="AC134" si="1126">SUM(Y134:Y136)</f>
        <v>2</v>
      </c>
      <c r="AD134" s="3">
        <f>ANALISIS!D53</f>
        <v>5</v>
      </c>
      <c r="AE134" s="3">
        <f t="shared" ref="AE134" si="1127">IF(AND(AD134=5,AC134&gt;1),3,AD134)</f>
        <v>3</v>
      </c>
      <c r="AF134" s="501">
        <f t="shared" si="1073"/>
        <v>3</v>
      </c>
      <c r="AG134" s="355" t="str">
        <f t="shared" si="1074"/>
        <v>MODERADA</v>
      </c>
      <c r="AH134" s="46"/>
      <c r="AI134" s="46"/>
      <c r="AJ134" s="46"/>
      <c r="AK134" s="46"/>
      <c r="AL134" s="46"/>
      <c r="AM134" s="3" t="str">
        <f t="shared" si="1075"/>
        <v/>
      </c>
      <c r="AN134" s="3" t="str">
        <f t="shared" si="1076"/>
        <v/>
      </c>
      <c r="AO134" s="3" t="str">
        <f t="shared" si="1077"/>
        <v/>
      </c>
      <c r="AP134" s="3" t="str">
        <f t="shared" si="1078"/>
        <v/>
      </c>
      <c r="AQ134" s="3" t="str">
        <f t="shared" ref="AQ134" si="1128">AM134</f>
        <v/>
      </c>
      <c r="AR134" s="3" t="str">
        <f t="shared" ref="AR134" si="1129">AN134</f>
        <v/>
      </c>
      <c r="AT134" s="3" t="str">
        <f t="shared" ref="AT134" si="1130">AO134</f>
        <v/>
      </c>
      <c r="AV134" s="3" t="str">
        <f t="shared" ref="AV134" si="1131">AP134</f>
        <v/>
      </c>
      <c r="AX134" s="502" t="str">
        <f t="shared" ref="AX134" si="1132">IF(AW136="","",CONCATENATE(AW136," (de) el(los) control(es) Efectivo(s) "))</f>
        <v/>
      </c>
      <c r="AY134" s="502" t="str">
        <f t="shared" ref="AY134" si="1133">IF(CONCATENATE(N134:N136)="","",IF(AND(SUM(E134:E136)=10,SUM(N134:N136)&lt;30),"- Replantear control(es) NO efectivo(s) ",IF(AND(SUM(E134:E136)=20,SUM(N134:N136)&lt;60),"- Replantear control(es) NO efectivo(s) ",IF(AND(SUM(E134:E136)=30,SUM(N134:N136)&lt;90),"- Replantear control(es) NO efectivo(s) ",""))))</f>
        <v/>
      </c>
      <c r="AZ134" s="502" t="str">
        <f t="shared" ref="AZ134" si="1134">IF(AND(AE134&gt;1,AE135&gt;1),"- Tomar Acciones Preventivas y Correctivas",IF(AE134&gt;1,"- Tomar Acciones Preventivas",IF(AE135&gt;1,"- Tomar Acciones Correctivas","")))</f>
        <v>- Tomar Acciones Preventivas</v>
      </c>
      <c r="BA134" s="502" t="str">
        <f t="shared" ref="BA134" si="1135">CONCATENATE(AX134,AY134,AZ134)</f>
        <v>- Tomar Acciones Preventivas</v>
      </c>
      <c r="BB134" s="3" t="str">
        <f t="shared" si="1087"/>
        <v>SI</v>
      </c>
      <c r="BC134" s="3" t="str">
        <f t="shared" si="1088"/>
        <v/>
      </c>
      <c r="BD134" s="3" t="str">
        <f t="shared" si="1089"/>
        <v>SI</v>
      </c>
      <c r="BE134" s="3" t="str">
        <f t="shared" si="1090"/>
        <v/>
      </c>
      <c r="BF134" s="3" t="str">
        <f t="shared" si="1091"/>
        <v>SI</v>
      </c>
      <c r="BG134" s="3" t="str">
        <f t="shared" si="1092"/>
        <v/>
      </c>
      <c r="BH134" s="3" t="str">
        <f t="shared" si="1093"/>
        <v>P</v>
      </c>
      <c r="BI134" s="3" t="str">
        <f t="shared" si="941"/>
        <v/>
      </c>
      <c r="BJ134" s="3" t="str">
        <f t="shared" si="942"/>
        <v>M</v>
      </c>
      <c r="BK134" s="3" t="str">
        <f t="shared" si="943"/>
        <v/>
      </c>
      <c r="BL134" s="3" t="str">
        <f t="shared" si="1094"/>
        <v>SI</v>
      </c>
      <c r="BM134" s="3" t="str">
        <f t="shared" si="1095"/>
        <v/>
      </c>
    </row>
    <row r="135" spans="1:65" ht="36" x14ac:dyDescent="0.2">
      <c r="A135" s="494"/>
      <c r="B135" s="496"/>
      <c r="C135" s="356">
        <v>2</v>
      </c>
      <c r="D135" s="56" t="s">
        <v>11</v>
      </c>
      <c r="E135" s="240">
        <f t="shared" si="933"/>
        <v>10</v>
      </c>
      <c r="F135" s="44" t="s">
        <v>621</v>
      </c>
      <c r="G135" s="18" t="str">
        <f t="shared" si="1057"/>
        <v/>
      </c>
      <c r="H135" s="44" t="s">
        <v>20</v>
      </c>
      <c r="I135" s="18" t="str">
        <f t="shared" si="1058"/>
        <v/>
      </c>
      <c r="J135" s="55" t="str">
        <f t="shared" si="1059"/>
        <v>Posibilidad</v>
      </c>
      <c r="K135" s="43" t="s">
        <v>11</v>
      </c>
      <c r="L135" s="18">
        <f t="shared" si="1060"/>
        <v>15</v>
      </c>
      <c r="M135" s="43" t="s">
        <v>11</v>
      </c>
      <c r="N135" s="18">
        <f t="shared" si="1061"/>
        <v>30</v>
      </c>
      <c r="O135" s="43" t="s">
        <v>323</v>
      </c>
      <c r="P135" s="18">
        <f t="shared" si="1062"/>
        <v>10</v>
      </c>
      <c r="Q135" s="43" t="s">
        <v>11</v>
      </c>
      <c r="R135" s="18">
        <f t="shared" si="1063"/>
        <v>5</v>
      </c>
      <c r="S135" s="43" t="s">
        <v>11</v>
      </c>
      <c r="T135" s="18">
        <f t="shared" si="1064"/>
        <v>15</v>
      </c>
      <c r="U135" s="43" t="s">
        <v>11</v>
      </c>
      <c r="V135" s="18">
        <f t="shared" si="1065"/>
        <v>10</v>
      </c>
      <c r="W135" s="18">
        <f t="shared" si="1066"/>
        <v>95</v>
      </c>
      <c r="X135" s="57" t="str">
        <f t="shared" si="1067"/>
        <v>95                           Disminuye en Posibilidad</v>
      </c>
      <c r="Y135" s="57">
        <f t="shared" si="1068"/>
        <v>1</v>
      </c>
      <c r="Z135" s="356"/>
      <c r="AA135" s="498"/>
      <c r="AB135" s="500"/>
      <c r="AC135" s="3" t="s">
        <v>352</v>
      </c>
      <c r="AF135" s="501"/>
      <c r="AG135" s="46" t="str">
        <f t="shared" ref="AG135" si="1136">IF(AG134&gt;0,"- Evitar Posibilidad de Ocurrencia- Reducir el Riesgo","")</f>
        <v>- Evitar Posibilidad de Ocurrencia- Reducir el Riesgo</v>
      </c>
      <c r="AH135" s="46"/>
      <c r="AI135" s="46"/>
      <c r="AJ135" s="46"/>
      <c r="AK135" s="46"/>
      <c r="AL135" s="46"/>
      <c r="AM135" s="3" t="str">
        <f t="shared" si="1075"/>
        <v/>
      </c>
      <c r="AN135" s="3" t="str">
        <f t="shared" si="1076"/>
        <v/>
      </c>
      <c r="AO135" s="3" t="str">
        <f t="shared" si="1077"/>
        <v/>
      </c>
      <c r="AP135" s="3" t="str">
        <f t="shared" si="1078"/>
        <v/>
      </c>
      <c r="AQ135" s="3" t="str">
        <f t="shared" ref="AQ135:AQ136" si="1137">IF(AQ134="Documentar",AQ134,AM135)</f>
        <v/>
      </c>
      <c r="AR135" s="3" t="str">
        <f t="shared" ref="AR135:AR136" si="1138">IF(AR134="Asignar responsable",AR134,AN135)</f>
        <v/>
      </c>
      <c r="AT135" s="3" t="str">
        <f t="shared" ref="AT135:AT136" si="1139">IF(AT134="Establecer periodos de seguimiento adecuados",AT134,AO135)</f>
        <v/>
      </c>
      <c r="AV135" s="3" t="str">
        <f t="shared" ref="AV135:AV136" si="1140">IF(AV134="Guardar Evidencias",AV134,AP135)</f>
        <v/>
      </c>
      <c r="AX135" s="502"/>
      <c r="AY135" s="502"/>
      <c r="AZ135" s="502"/>
      <c r="BA135" s="502"/>
      <c r="BB135" s="3" t="str">
        <f t="shared" si="1087"/>
        <v>SI</v>
      </c>
      <c r="BC135" s="3" t="str">
        <f t="shared" si="1088"/>
        <v/>
      </c>
      <c r="BD135" s="3" t="str">
        <f t="shared" si="1089"/>
        <v>SI</v>
      </c>
      <c r="BE135" s="3" t="str">
        <f t="shared" si="1090"/>
        <v/>
      </c>
      <c r="BF135" s="3" t="str">
        <f t="shared" si="1091"/>
        <v>SI</v>
      </c>
      <c r="BG135" s="3" t="str">
        <f t="shared" si="1092"/>
        <v/>
      </c>
      <c r="BH135" s="3" t="str">
        <f t="shared" si="1093"/>
        <v>P</v>
      </c>
      <c r="BI135" s="3" t="str">
        <f t="shared" si="941"/>
        <v/>
      </c>
      <c r="BJ135" s="3" t="str">
        <f t="shared" si="942"/>
        <v>M</v>
      </c>
      <c r="BK135" s="3" t="str">
        <f t="shared" si="943"/>
        <v/>
      </c>
      <c r="BL135" s="3" t="str">
        <f t="shared" si="1094"/>
        <v>SI</v>
      </c>
      <c r="BM135" s="3" t="str">
        <f t="shared" si="1095"/>
        <v/>
      </c>
    </row>
    <row r="136" spans="1:65" ht="16.5" thickBot="1" x14ac:dyDescent="0.25">
      <c r="A136" s="495"/>
      <c r="B136" s="496"/>
      <c r="C136" s="356">
        <v>3</v>
      </c>
      <c r="D136" s="56"/>
      <c r="E136" s="240" t="str">
        <f t="shared" si="933"/>
        <v/>
      </c>
      <c r="F136" s="44"/>
      <c r="G136" s="18" t="str">
        <f t="shared" si="1057"/>
        <v/>
      </c>
      <c r="H136" s="44"/>
      <c r="I136" s="18" t="str">
        <f t="shared" si="1058"/>
        <v/>
      </c>
      <c r="J136" s="55" t="str">
        <f t="shared" si="1059"/>
        <v/>
      </c>
      <c r="K136" s="43"/>
      <c r="L136" s="18" t="str">
        <f t="shared" si="1060"/>
        <v/>
      </c>
      <c r="M136" s="43"/>
      <c r="N136" s="18" t="str">
        <f t="shared" si="1061"/>
        <v/>
      </c>
      <c r="O136" s="43"/>
      <c r="P136" s="18" t="str">
        <f t="shared" si="1062"/>
        <v/>
      </c>
      <c r="Q136" s="43"/>
      <c r="R136" s="18" t="str">
        <f t="shared" si="1063"/>
        <v/>
      </c>
      <c r="S136" s="43"/>
      <c r="T136" s="18" t="str">
        <f t="shared" si="1064"/>
        <v/>
      </c>
      <c r="U136" s="43"/>
      <c r="V136" s="18" t="str">
        <f t="shared" si="1065"/>
        <v/>
      </c>
      <c r="W136" s="18">
        <f t="shared" si="1066"/>
        <v>0</v>
      </c>
      <c r="X136" s="57" t="str">
        <f t="shared" si="1067"/>
        <v/>
      </c>
      <c r="Y136" s="57">
        <f t="shared" si="1068"/>
        <v>0</v>
      </c>
      <c r="Z136" s="356"/>
      <c r="AA136" s="499"/>
      <c r="AB136" s="500"/>
      <c r="AM136" s="3" t="str">
        <f t="shared" si="1075"/>
        <v/>
      </c>
      <c r="AN136" s="3" t="str">
        <f t="shared" si="1076"/>
        <v/>
      </c>
      <c r="AO136" s="3" t="str">
        <f t="shared" si="1077"/>
        <v/>
      </c>
      <c r="AP136" s="3" t="str">
        <f t="shared" si="1078"/>
        <v/>
      </c>
      <c r="AQ136" s="3" t="str">
        <f t="shared" si="1137"/>
        <v/>
      </c>
      <c r="AR136" s="3" t="str">
        <f t="shared" si="1138"/>
        <v/>
      </c>
      <c r="AS136" s="3" t="str">
        <f t="shared" ref="AS136" si="1141">IF(AND(AQ136="Documentar",AR136="Asignar responsable"),CONCATENATE("- ",AQ136,", ",AR136),IF(AQ136="Documentar",CONCATENATE("- ",AQ136),IF(AR136="Asignar responsable",CONCATENATE("- ",AR136),"")))</f>
        <v/>
      </c>
      <c r="AT136" s="3" t="str">
        <f t="shared" si="1139"/>
        <v/>
      </c>
      <c r="AU136" s="3" t="str">
        <f t="shared" ref="AU136" si="1142">IF(AT136="",AS136,IF(AS136="",CONCATENATE("- ",AT136),CONCATENATE(AS136,", ",AT136)))</f>
        <v/>
      </c>
      <c r="AV136" s="3" t="str">
        <f t="shared" si="1140"/>
        <v/>
      </c>
      <c r="AW136" s="3" t="str">
        <f t="shared" ref="AW136" si="1143">IF(AV136="",AU136,IF(AU136="",CONCATENATE("- ",AV136),CONCATENATE(AU136,", ",AV136)))</f>
        <v/>
      </c>
      <c r="AX136" s="502"/>
      <c r="AY136" s="502"/>
      <c r="AZ136" s="502"/>
      <c r="BA136" s="502"/>
      <c r="BB136" s="3" t="str">
        <f t="shared" si="1087"/>
        <v/>
      </c>
      <c r="BC136" s="3" t="str">
        <f t="shared" si="1088"/>
        <v/>
      </c>
      <c r="BD136" s="3" t="str">
        <f t="shared" si="1089"/>
        <v/>
      </c>
      <c r="BE136" s="3" t="str">
        <f t="shared" si="1090"/>
        <v/>
      </c>
      <c r="BF136" s="3" t="str">
        <f t="shared" si="1091"/>
        <v/>
      </c>
      <c r="BG136" s="3" t="str">
        <f t="shared" si="1092"/>
        <v/>
      </c>
      <c r="BH136" s="3" t="str">
        <f t="shared" si="1093"/>
        <v/>
      </c>
      <c r="BI136" s="3" t="str">
        <f t="shared" si="941"/>
        <v/>
      </c>
      <c r="BJ136" s="3" t="str">
        <f t="shared" si="942"/>
        <v/>
      </c>
      <c r="BK136" s="3" t="str">
        <f t="shared" si="943"/>
        <v/>
      </c>
      <c r="BL136" s="3" t="str">
        <f t="shared" si="1094"/>
        <v/>
      </c>
      <c r="BM136" s="3" t="str">
        <f t="shared" si="1095"/>
        <v/>
      </c>
    </row>
    <row r="137" spans="1:65" ht="48" thickTop="1" x14ac:dyDescent="0.2">
      <c r="A137" s="493" t="str">
        <f>IDENTIFICACIÓN!C52</f>
        <v>15C</v>
      </c>
      <c r="B137" s="496" t="str">
        <f>IF(IDENTIFICACIÓN!D52="","",IDENTIFICACIÓN!D52)</f>
        <v>Gestión de Extensión y Proyección Social. Desviación o uso indebido de recursos, que impidan la ejecución de los proyectos y actividades misionales de la vicerrectoria de extensión y proyección social</v>
      </c>
      <c r="C137" s="356">
        <v>1</v>
      </c>
      <c r="D137" s="56" t="s">
        <v>11</v>
      </c>
      <c r="E137" s="240">
        <f t="shared" si="933"/>
        <v>10</v>
      </c>
      <c r="F137" s="44" t="s">
        <v>594</v>
      </c>
      <c r="G137" s="18" t="str">
        <f t="shared" si="1057"/>
        <v/>
      </c>
      <c r="H137" s="44" t="s">
        <v>20</v>
      </c>
      <c r="I137" s="18" t="str">
        <f t="shared" si="1058"/>
        <v/>
      </c>
      <c r="J137" s="55" t="str">
        <f t="shared" si="1059"/>
        <v>Posibilidad</v>
      </c>
      <c r="K137" s="43" t="s">
        <v>11</v>
      </c>
      <c r="L137" s="18">
        <f t="shared" si="1060"/>
        <v>15</v>
      </c>
      <c r="M137" s="43" t="s">
        <v>11</v>
      </c>
      <c r="N137" s="18">
        <f t="shared" si="1061"/>
        <v>30</v>
      </c>
      <c r="O137" s="43" t="s">
        <v>323</v>
      </c>
      <c r="P137" s="18">
        <f t="shared" si="1062"/>
        <v>10</v>
      </c>
      <c r="Q137" s="43" t="s">
        <v>11</v>
      </c>
      <c r="R137" s="18">
        <f t="shared" si="1063"/>
        <v>5</v>
      </c>
      <c r="S137" s="43" t="s">
        <v>11</v>
      </c>
      <c r="T137" s="18">
        <f t="shared" si="1064"/>
        <v>15</v>
      </c>
      <c r="U137" s="43" t="s">
        <v>11</v>
      </c>
      <c r="V137" s="18">
        <f t="shared" si="1065"/>
        <v>10</v>
      </c>
      <c r="W137" s="18">
        <f t="shared" si="1066"/>
        <v>95</v>
      </c>
      <c r="X137" s="57" t="str">
        <f t="shared" si="1067"/>
        <v>95                           Disminuye en Posibilidad</v>
      </c>
      <c r="Y137" s="57">
        <f t="shared" si="1068"/>
        <v>1</v>
      </c>
      <c r="Z137" s="356"/>
      <c r="AA137" s="497">
        <f t="shared" ref="AA137" si="1144">IF(AB137=0,"",(ROUND((SUM(W137:W139)/AB137),0)))</f>
        <v>95</v>
      </c>
      <c r="AB137" s="500">
        <f t="shared" ref="AB137" si="1145">COUNT(T137:T139)</f>
        <v>3</v>
      </c>
      <c r="AC137" s="3">
        <f t="shared" ref="AC137" si="1146">SUM(Y137:Y139)</f>
        <v>3</v>
      </c>
      <c r="AD137" s="3">
        <f>ANALISIS!D54</f>
        <v>3</v>
      </c>
      <c r="AE137" s="3">
        <f t="shared" ref="AE137" si="1147">IF(AND(AD137=5,AC137&gt;1),3,AD137)</f>
        <v>3</v>
      </c>
      <c r="AF137" s="501">
        <f t="shared" si="1073"/>
        <v>3</v>
      </c>
      <c r="AG137" s="355" t="str">
        <f t="shared" si="1074"/>
        <v>MODERADA</v>
      </c>
      <c r="AH137" s="46"/>
      <c r="AI137" s="46"/>
      <c r="AJ137" s="46"/>
      <c r="AK137" s="46"/>
      <c r="AL137" s="46"/>
      <c r="AM137" s="3" t="str">
        <f t="shared" si="1075"/>
        <v/>
      </c>
      <c r="AN137" s="3" t="str">
        <f t="shared" si="1076"/>
        <v/>
      </c>
      <c r="AO137" s="3" t="str">
        <f t="shared" si="1077"/>
        <v/>
      </c>
      <c r="AP137" s="3" t="str">
        <f t="shared" si="1078"/>
        <v/>
      </c>
      <c r="AQ137" s="3" t="str">
        <f t="shared" ref="AQ137" si="1148">AM137</f>
        <v/>
      </c>
      <c r="AR137" s="3" t="str">
        <f t="shared" ref="AR137" si="1149">AN137</f>
        <v/>
      </c>
      <c r="AT137" s="3" t="str">
        <f t="shared" ref="AT137" si="1150">AO137</f>
        <v/>
      </c>
      <c r="AV137" s="3" t="str">
        <f t="shared" ref="AV137" si="1151">AP137</f>
        <v/>
      </c>
      <c r="AX137" s="502" t="str">
        <f t="shared" ref="AX137" si="1152">IF(AW139="","",CONCATENATE(AW139," (de) el(los) control(es) Efectivo(s) "))</f>
        <v/>
      </c>
      <c r="AY137" s="502" t="str">
        <f t="shared" ref="AY137" si="1153">IF(CONCATENATE(N137:N139)="","",IF(AND(SUM(E137:E139)=10,SUM(N137:N139)&lt;30),"- Replantear control(es) NO efectivo(s) ",IF(AND(SUM(E137:E139)=20,SUM(N137:N139)&lt;60),"- Replantear control(es) NO efectivo(s) ",IF(AND(SUM(E137:E139)=30,SUM(N137:N139)&lt;90),"- Replantear control(es) NO efectivo(s) ",""))))</f>
        <v/>
      </c>
      <c r="AZ137" s="502" t="str">
        <f t="shared" ref="AZ137" si="1154">IF(AND(AE137&gt;1,AE138&gt;1),"- Tomar Acciones Preventivas y Correctivas",IF(AE137&gt;1,"- Tomar Acciones Preventivas",IF(AE138&gt;1,"- Tomar Acciones Correctivas","")))</f>
        <v>- Tomar Acciones Preventivas</v>
      </c>
      <c r="BA137" s="502" t="str">
        <f t="shared" ref="BA137" si="1155">CONCATENATE(AX137,AY137,AZ137)</f>
        <v>- Tomar Acciones Preventivas</v>
      </c>
      <c r="BB137" s="3" t="str">
        <f t="shared" si="1087"/>
        <v>SI</v>
      </c>
      <c r="BC137" s="3" t="str">
        <f t="shared" si="1088"/>
        <v/>
      </c>
      <c r="BD137" s="3" t="str">
        <f t="shared" si="1089"/>
        <v>SI</v>
      </c>
      <c r="BE137" s="3" t="str">
        <f t="shared" si="1090"/>
        <v/>
      </c>
      <c r="BF137" s="3" t="str">
        <f t="shared" si="1091"/>
        <v>SI</v>
      </c>
      <c r="BG137" s="3" t="str">
        <f t="shared" si="1092"/>
        <v/>
      </c>
      <c r="BH137" s="3" t="str">
        <f t="shared" si="1093"/>
        <v>P</v>
      </c>
      <c r="BI137" s="3" t="str">
        <f t="shared" si="941"/>
        <v/>
      </c>
      <c r="BJ137" s="3" t="str">
        <f t="shared" si="942"/>
        <v>M</v>
      </c>
      <c r="BK137" s="3" t="str">
        <f t="shared" si="943"/>
        <v/>
      </c>
      <c r="BL137" s="3" t="str">
        <f t="shared" si="1094"/>
        <v>SI</v>
      </c>
      <c r="BM137" s="3" t="str">
        <f t="shared" si="1095"/>
        <v/>
      </c>
    </row>
    <row r="138" spans="1:65" ht="36" x14ac:dyDescent="0.2">
      <c r="A138" s="494"/>
      <c r="B138" s="496"/>
      <c r="C138" s="356">
        <v>2</v>
      </c>
      <c r="D138" s="56" t="s">
        <v>11</v>
      </c>
      <c r="E138" s="240">
        <f t="shared" si="933"/>
        <v>10</v>
      </c>
      <c r="F138" s="44" t="s">
        <v>595</v>
      </c>
      <c r="G138" s="18" t="str">
        <f t="shared" si="1057"/>
        <v/>
      </c>
      <c r="H138" s="44" t="s">
        <v>20</v>
      </c>
      <c r="I138" s="18" t="str">
        <f t="shared" si="1058"/>
        <v/>
      </c>
      <c r="J138" s="55" t="str">
        <f t="shared" si="1059"/>
        <v>Posibilidad</v>
      </c>
      <c r="K138" s="43" t="s">
        <v>11</v>
      </c>
      <c r="L138" s="18">
        <f t="shared" si="1060"/>
        <v>15</v>
      </c>
      <c r="M138" s="43" t="s">
        <v>11</v>
      </c>
      <c r="N138" s="18">
        <f t="shared" si="1061"/>
        <v>30</v>
      </c>
      <c r="O138" s="43" t="s">
        <v>323</v>
      </c>
      <c r="P138" s="18">
        <f t="shared" si="1062"/>
        <v>10</v>
      </c>
      <c r="Q138" s="43" t="s">
        <v>11</v>
      </c>
      <c r="R138" s="18">
        <f t="shared" si="1063"/>
        <v>5</v>
      </c>
      <c r="S138" s="43" t="s">
        <v>11</v>
      </c>
      <c r="T138" s="18">
        <f t="shared" si="1064"/>
        <v>15</v>
      </c>
      <c r="U138" s="43" t="s">
        <v>11</v>
      </c>
      <c r="V138" s="18">
        <f t="shared" si="1065"/>
        <v>10</v>
      </c>
      <c r="W138" s="18">
        <f t="shared" si="1066"/>
        <v>95</v>
      </c>
      <c r="X138" s="57" t="str">
        <f t="shared" si="1067"/>
        <v>95                           Disminuye en Posibilidad</v>
      </c>
      <c r="Y138" s="57">
        <f t="shared" si="1068"/>
        <v>1</v>
      </c>
      <c r="Z138" s="356"/>
      <c r="AA138" s="498"/>
      <c r="AB138" s="500"/>
      <c r="AC138" s="3" t="s">
        <v>352</v>
      </c>
      <c r="AF138" s="501"/>
      <c r="AG138" s="46" t="str">
        <f t="shared" ref="AG138" si="1156">IF(AG137&gt;0,"- Evitar Posibilidad de Ocurrencia- Reducir el Riesgo","")</f>
        <v>- Evitar Posibilidad de Ocurrencia- Reducir el Riesgo</v>
      </c>
      <c r="AH138" s="46"/>
      <c r="AI138" s="46"/>
      <c r="AJ138" s="46"/>
      <c r="AK138" s="46"/>
      <c r="AL138" s="46"/>
      <c r="AM138" s="3" t="str">
        <f t="shared" si="1075"/>
        <v/>
      </c>
      <c r="AN138" s="3" t="str">
        <f t="shared" si="1076"/>
        <v/>
      </c>
      <c r="AO138" s="3" t="str">
        <f t="shared" si="1077"/>
        <v/>
      </c>
      <c r="AP138" s="3" t="str">
        <f t="shared" si="1078"/>
        <v/>
      </c>
      <c r="AQ138" s="3" t="str">
        <f t="shared" ref="AQ138:AQ139" si="1157">IF(AQ137="Documentar",AQ137,AM138)</f>
        <v/>
      </c>
      <c r="AR138" s="3" t="str">
        <f t="shared" ref="AR138:AR139" si="1158">IF(AR137="Asignar responsable",AR137,AN138)</f>
        <v/>
      </c>
      <c r="AT138" s="3" t="str">
        <f t="shared" ref="AT138:AT139" si="1159">IF(AT137="Establecer periodos de seguimiento adecuados",AT137,AO138)</f>
        <v/>
      </c>
      <c r="AV138" s="3" t="str">
        <f t="shared" ref="AV138:AV139" si="1160">IF(AV137="Guardar Evidencias",AV137,AP138)</f>
        <v/>
      </c>
      <c r="AX138" s="502"/>
      <c r="AY138" s="502"/>
      <c r="AZ138" s="502"/>
      <c r="BA138" s="502"/>
      <c r="BB138" s="3" t="str">
        <f t="shared" si="1087"/>
        <v>SI</v>
      </c>
      <c r="BC138" s="3" t="str">
        <f t="shared" si="1088"/>
        <v/>
      </c>
      <c r="BD138" s="3" t="str">
        <f t="shared" si="1089"/>
        <v>SI</v>
      </c>
      <c r="BE138" s="3" t="str">
        <f t="shared" si="1090"/>
        <v/>
      </c>
      <c r="BF138" s="3" t="str">
        <f t="shared" si="1091"/>
        <v>SI</v>
      </c>
      <c r="BG138" s="3" t="str">
        <f t="shared" si="1092"/>
        <v/>
      </c>
      <c r="BH138" s="3" t="str">
        <f t="shared" si="1093"/>
        <v>P</v>
      </c>
      <c r="BI138" s="3" t="str">
        <f t="shared" si="941"/>
        <v/>
      </c>
      <c r="BJ138" s="3" t="str">
        <f t="shared" si="942"/>
        <v>M</v>
      </c>
      <c r="BK138" s="3" t="str">
        <f t="shared" si="943"/>
        <v/>
      </c>
      <c r="BL138" s="3" t="str">
        <f t="shared" si="1094"/>
        <v>SI</v>
      </c>
      <c r="BM138" s="3" t="str">
        <f t="shared" si="1095"/>
        <v/>
      </c>
    </row>
    <row r="139" spans="1:65" ht="63.75" thickBot="1" x14ac:dyDescent="0.25">
      <c r="A139" s="495"/>
      <c r="B139" s="496"/>
      <c r="C139" s="356">
        <v>3</v>
      </c>
      <c r="D139" s="56" t="s">
        <v>11</v>
      </c>
      <c r="E139" s="240">
        <f t="shared" si="933"/>
        <v>10</v>
      </c>
      <c r="F139" s="44" t="s">
        <v>622</v>
      </c>
      <c r="G139" s="18" t="str">
        <f t="shared" si="1057"/>
        <v/>
      </c>
      <c r="H139" s="44" t="s">
        <v>20</v>
      </c>
      <c r="I139" s="18" t="str">
        <f t="shared" si="1058"/>
        <v/>
      </c>
      <c r="J139" s="55" t="str">
        <f t="shared" si="1059"/>
        <v>Posibilidad</v>
      </c>
      <c r="K139" s="43" t="s">
        <v>11</v>
      </c>
      <c r="L139" s="18">
        <f t="shared" si="1060"/>
        <v>15</v>
      </c>
      <c r="M139" s="43" t="s">
        <v>11</v>
      </c>
      <c r="N139" s="18">
        <f t="shared" si="1061"/>
        <v>30</v>
      </c>
      <c r="O139" s="43" t="s">
        <v>323</v>
      </c>
      <c r="P139" s="18">
        <f t="shared" si="1062"/>
        <v>10</v>
      </c>
      <c r="Q139" s="43" t="s">
        <v>11</v>
      </c>
      <c r="R139" s="18">
        <f t="shared" si="1063"/>
        <v>5</v>
      </c>
      <c r="S139" s="43" t="s">
        <v>11</v>
      </c>
      <c r="T139" s="18">
        <f t="shared" si="1064"/>
        <v>15</v>
      </c>
      <c r="U139" s="43" t="s">
        <v>11</v>
      </c>
      <c r="V139" s="18">
        <f t="shared" si="1065"/>
        <v>10</v>
      </c>
      <c r="W139" s="18">
        <f t="shared" si="1066"/>
        <v>95</v>
      </c>
      <c r="X139" s="57" t="str">
        <f t="shared" si="1067"/>
        <v>95                           Disminuye en Posibilidad</v>
      </c>
      <c r="Y139" s="57">
        <f t="shared" si="1068"/>
        <v>1</v>
      </c>
      <c r="Z139" s="356"/>
      <c r="AA139" s="499"/>
      <c r="AB139" s="500"/>
      <c r="AM139" s="3" t="str">
        <f t="shared" si="1075"/>
        <v/>
      </c>
      <c r="AN139" s="3" t="str">
        <f t="shared" si="1076"/>
        <v/>
      </c>
      <c r="AO139" s="3" t="str">
        <f t="shared" si="1077"/>
        <v/>
      </c>
      <c r="AP139" s="3" t="str">
        <f t="shared" si="1078"/>
        <v/>
      </c>
      <c r="AQ139" s="3" t="str">
        <f t="shared" si="1157"/>
        <v/>
      </c>
      <c r="AR139" s="3" t="str">
        <f t="shared" si="1158"/>
        <v/>
      </c>
      <c r="AS139" s="3" t="str">
        <f t="shared" ref="AS139" si="1161">IF(AND(AQ139="Documentar",AR139="Asignar responsable"),CONCATENATE("- ",AQ139,", ",AR139),IF(AQ139="Documentar",CONCATENATE("- ",AQ139),IF(AR139="Asignar responsable",CONCATENATE("- ",AR139),"")))</f>
        <v/>
      </c>
      <c r="AT139" s="3" t="str">
        <f t="shared" si="1159"/>
        <v/>
      </c>
      <c r="AU139" s="3" t="str">
        <f t="shared" ref="AU139" si="1162">IF(AT139="",AS139,IF(AS139="",CONCATENATE("- ",AT139),CONCATENATE(AS139,", ",AT139)))</f>
        <v/>
      </c>
      <c r="AV139" s="3" t="str">
        <f t="shared" si="1160"/>
        <v/>
      </c>
      <c r="AW139" s="3" t="str">
        <f t="shared" ref="AW139" si="1163">IF(AV139="",AU139,IF(AU139="",CONCATENATE("- ",AV139),CONCATENATE(AU139,", ",AV139)))</f>
        <v/>
      </c>
      <c r="AX139" s="502"/>
      <c r="AY139" s="502"/>
      <c r="AZ139" s="502"/>
      <c r="BA139" s="502"/>
      <c r="BB139" s="3" t="str">
        <f t="shared" si="1087"/>
        <v>SI</v>
      </c>
      <c r="BC139" s="3" t="str">
        <f t="shared" si="1088"/>
        <v/>
      </c>
      <c r="BD139" s="3" t="str">
        <f t="shared" si="1089"/>
        <v>SI</v>
      </c>
      <c r="BE139" s="3" t="str">
        <f t="shared" si="1090"/>
        <v/>
      </c>
      <c r="BF139" s="3" t="str">
        <f t="shared" si="1091"/>
        <v>SI</v>
      </c>
      <c r="BG139" s="3" t="str">
        <f t="shared" si="1092"/>
        <v/>
      </c>
      <c r="BH139" s="3" t="str">
        <f t="shared" si="1093"/>
        <v>P</v>
      </c>
      <c r="BI139" s="3" t="str">
        <f t="shared" si="941"/>
        <v/>
      </c>
      <c r="BJ139" s="3" t="str">
        <f t="shared" si="942"/>
        <v>M</v>
      </c>
      <c r="BK139" s="3" t="str">
        <f t="shared" si="943"/>
        <v/>
      </c>
      <c r="BL139" s="3" t="str">
        <f t="shared" si="1094"/>
        <v>SI</v>
      </c>
      <c r="BM139" s="3" t="str">
        <f t="shared" si="1095"/>
        <v/>
      </c>
    </row>
    <row r="140" spans="1:65" ht="36.75" thickTop="1" x14ac:dyDescent="0.2">
      <c r="A140" s="493" t="str">
        <f>IDENTIFICACIÓN!C53</f>
        <v>16C</v>
      </c>
      <c r="B140" s="496" t="str">
        <f>IF(IDENTIFICACIÓN!D53="","",IDENTIFICACIÓN!D53)</f>
        <v xml:space="preserve">Gestión de Extensión y Proyección Social. Concentración de la información en una persona. </v>
      </c>
      <c r="C140" s="356">
        <v>1</v>
      </c>
      <c r="D140" s="56" t="s">
        <v>11</v>
      </c>
      <c r="E140" s="240">
        <f t="shared" si="933"/>
        <v>10</v>
      </c>
      <c r="F140" s="44" t="s">
        <v>623</v>
      </c>
      <c r="G140" s="18" t="str">
        <f t="shared" si="1057"/>
        <v/>
      </c>
      <c r="H140" s="44" t="s">
        <v>20</v>
      </c>
      <c r="I140" s="18" t="str">
        <f t="shared" si="1058"/>
        <v/>
      </c>
      <c r="J140" s="55" t="str">
        <f t="shared" si="1059"/>
        <v>Posibilidad</v>
      </c>
      <c r="K140" s="43" t="s">
        <v>11</v>
      </c>
      <c r="L140" s="18">
        <f t="shared" si="1060"/>
        <v>15</v>
      </c>
      <c r="M140" s="43" t="s">
        <v>11</v>
      </c>
      <c r="N140" s="18">
        <f t="shared" si="1061"/>
        <v>30</v>
      </c>
      <c r="O140" s="43" t="s">
        <v>323</v>
      </c>
      <c r="P140" s="18">
        <f t="shared" si="1062"/>
        <v>10</v>
      </c>
      <c r="Q140" s="43" t="s">
        <v>11</v>
      </c>
      <c r="R140" s="18">
        <f t="shared" si="1063"/>
        <v>5</v>
      </c>
      <c r="S140" s="43" t="s">
        <v>11</v>
      </c>
      <c r="T140" s="18">
        <f t="shared" si="1064"/>
        <v>15</v>
      </c>
      <c r="U140" s="43" t="s">
        <v>11</v>
      </c>
      <c r="V140" s="18">
        <f t="shared" si="1065"/>
        <v>10</v>
      </c>
      <c r="W140" s="18">
        <f t="shared" si="1066"/>
        <v>95</v>
      </c>
      <c r="X140" s="57" t="str">
        <f t="shared" si="1067"/>
        <v>95                           Disminuye en Posibilidad</v>
      </c>
      <c r="Y140" s="57">
        <f t="shared" si="1068"/>
        <v>1</v>
      </c>
      <c r="Z140" s="356"/>
      <c r="AA140" s="497">
        <f t="shared" ref="AA140" si="1164">IF(AB140=0,"",(ROUND((SUM(W140:W142)/AB140),0)))</f>
        <v>95</v>
      </c>
      <c r="AB140" s="500">
        <f t="shared" ref="AB140" si="1165">COUNT(T140:T142)</f>
        <v>2</v>
      </c>
      <c r="AC140" s="3">
        <f t="shared" ref="AC140" si="1166">SUM(Y140:Y142)</f>
        <v>2</v>
      </c>
      <c r="AD140" s="3">
        <f>ANALISIS!D55</f>
        <v>3</v>
      </c>
      <c r="AE140" s="3">
        <f t="shared" ref="AE140" si="1167">IF(AND(AD140=5,AC140&gt;1),3,AD140)</f>
        <v>3</v>
      </c>
      <c r="AF140" s="501">
        <f t="shared" si="1073"/>
        <v>3</v>
      </c>
      <c r="AG140" s="355" t="str">
        <f t="shared" si="1074"/>
        <v>MODERADA</v>
      </c>
      <c r="AH140" s="46"/>
      <c r="AI140" s="46"/>
      <c r="AJ140" s="46"/>
      <c r="AK140" s="46"/>
      <c r="AL140" s="46"/>
      <c r="AM140" s="3" t="str">
        <f t="shared" si="1075"/>
        <v/>
      </c>
      <c r="AN140" s="3" t="str">
        <f t="shared" si="1076"/>
        <v/>
      </c>
      <c r="AO140" s="3" t="str">
        <f t="shared" si="1077"/>
        <v/>
      </c>
      <c r="AP140" s="3" t="str">
        <f t="shared" si="1078"/>
        <v/>
      </c>
      <c r="AQ140" s="3" t="str">
        <f t="shared" ref="AQ140" si="1168">AM140</f>
        <v/>
      </c>
      <c r="AR140" s="3" t="str">
        <f t="shared" ref="AR140" si="1169">AN140</f>
        <v/>
      </c>
      <c r="AT140" s="3" t="str">
        <f t="shared" ref="AT140" si="1170">AO140</f>
        <v/>
      </c>
      <c r="AV140" s="3" t="str">
        <f t="shared" ref="AV140" si="1171">AP140</f>
        <v/>
      </c>
      <c r="AX140" s="502" t="str">
        <f t="shared" ref="AX140" si="1172">IF(AW142="","",CONCATENATE(AW142," (de) el(los) control(es) Efectivo(s) "))</f>
        <v/>
      </c>
      <c r="AY140" s="502" t="str">
        <f t="shared" ref="AY140" si="1173">IF(CONCATENATE(N140:N142)="","",IF(AND(SUM(E140:E142)=10,SUM(N140:N142)&lt;30),"- Replantear control(es) NO efectivo(s) ",IF(AND(SUM(E140:E142)=20,SUM(N140:N142)&lt;60),"- Replantear control(es) NO efectivo(s) ",IF(AND(SUM(E140:E142)=30,SUM(N140:N142)&lt;90),"- Replantear control(es) NO efectivo(s) ",""))))</f>
        <v/>
      </c>
      <c r="AZ140" s="502" t="str">
        <f t="shared" ref="AZ140" si="1174">IF(AND(AE140&gt;1,AE141&gt;1),"- Tomar Acciones Preventivas y Correctivas",IF(AE140&gt;1,"- Tomar Acciones Preventivas",IF(AE141&gt;1,"- Tomar Acciones Correctivas","")))</f>
        <v>- Tomar Acciones Preventivas</v>
      </c>
      <c r="BA140" s="502" t="str">
        <f t="shared" ref="BA140" si="1175">CONCATENATE(AX140,AY140,AZ140)</f>
        <v>- Tomar Acciones Preventivas</v>
      </c>
      <c r="BB140" s="3" t="str">
        <f t="shared" si="1087"/>
        <v>SI</v>
      </c>
      <c r="BC140" s="3" t="str">
        <f t="shared" si="1088"/>
        <v/>
      </c>
      <c r="BD140" s="3" t="str">
        <f t="shared" si="1089"/>
        <v>SI</v>
      </c>
      <c r="BE140" s="3" t="str">
        <f t="shared" si="1090"/>
        <v/>
      </c>
      <c r="BF140" s="3" t="str">
        <f t="shared" si="1091"/>
        <v>SI</v>
      </c>
      <c r="BG140" s="3" t="str">
        <f t="shared" si="1092"/>
        <v/>
      </c>
      <c r="BH140" s="3" t="str">
        <f t="shared" si="1093"/>
        <v>P</v>
      </c>
      <c r="BI140" s="3" t="str">
        <f t="shared" si="941"/>
        <v/>
      </c>
      <c r="BJ140" s="3" t="str">
        <f t="shared" si="942"/>
        <v>M</v>
      </c>
      <c r="BK140" s="3" t="str">
        <f t="shared" si="943"/>
        <v/>
      </c>
      <c r="BL140" s="3" t="str">
        <f t="shared" si="1094"/>
        <v>SI</v>
      </c>
      <c r="BM140" s="3" t="str">
        <f t="shared" si="1095"/>
        <v/>
      </c>
    </row>
    <row r="141" spans="1:65" ht="36" x14ac:dyDescent="0.2">
      <c r="A141" s="494"/>
      <c r="B141" s="496"/>
      <c r="C141" s="356">
        <v>2</v>
      </c>
      <c r="D141" s="56" t="s">
        <v>11</v>
      </c>
      <c r="E141" s="240">
        <f t="shared" si="933"/>
        <v>10</v>
      </c>
      <c r="F141" s="44" t="s">
        <v>624</v>
      </c>
      <c r="G141" s="18" t="str">
        <f t="shared" si="1057"/>
        <v/>
      </c>
      <c r="H141" s="44" t="s">
        <v>20</v>
      </c>
      <c r="I141" s="18" t="str">
        <f t="shared" si="1058"/>
        <v/>
      </c>
      <c r="J141" s="55" t="str">
        <f t="shared" si="1059"/>
        <v>Posibilidad</v>
      </c>
      <c r="K141" s="43" t="s">
        <v>11</v>
      </c>
      <c r="L141" s="18">
        <f t="shared" si="1060"/>
        <v>15</v>
      </c>
      <c r="M141" s="43" t="s">
        <v>11</v>
      </c>
      <c r="N141" s="18">
        <f t="shared" si="1061"/>
        <v>30</v>
      </c>
      <c r="O141" s="43" t="s">
        <v>323</v>
      </c>
      <c r="P141" s="18">
        <f t="shared" si="1062"/>
        <v>10</v>
      </c>
      <c r="Q141" s="43" t="s">
        <v>11</v>
      </c>
      <c r="R141" s="18">
        <f t="shared" si="1063"/>
        <v>5</v>
      </c>
      <c r="S141" s="43" t="s">
        <v>11</v>
      </c>
      <c r="T141" s="18">
        <f t="shared" si="1064"/>
        <v>15</v>
      </c>
      <c r="U141" s="43" t="s">
        <v>11</v>
      </c>
      <c r="V141" s="18">
        <f t="shared" si="1065"/>
        <v>10</v>
      </c>
      <c r="W141" s="18">
        <f t="shared" si="1066"/>
        <v>95</v>
      </c>
      <c r="X141" s="57" t="str">
        <f t="shared" si="1067"/>
        <v>95                           Disminuye en Posibilidad</v>
      </c>
      <c r="Y141" s="57">
        <f t="shared" si="1068"/>
        <v>1</v>
      </c>
      <c r="Z141" s="356"/>
      <c r="AA141" s="498"/>
      <c r="AB141" s="500"/>
      <c r="AC141" s="3" t="s">
        <v>352</v>
      </c>
      <c r="AF141" s="501"/>
      <c r="AG141" s="46" t="str">
        <f t="shared" ref="AG141" si="1176">IF(AG140&gt;0,"- Evitar Posibilidad de Ocurrencia- Reducir el Riesgo","")</f>
        <v>- Evitar Posibilidad de Ocurrencia- Reducir el Riesgo</v>
      </c>
      <c r="AH141" s="46"/>
      <c r="AI141" s="46"/>
      <c r="AJ141" s="46"/>
      <c r="AK141" s="46"/>
      <c r="AL141" s="46"/>
      <c r="AM141" s="3" t="str">
        <f t="shared" si="1075"/>
        <v/>
      </c>
      <c r="AN141" s="3" t="str">
        <f t="shared" si="1076"/>
        <v/>
      </c>
      <c r="AO141" s="3" t="str">
        <f t="shared" si="1077"/>
        <v/>
      </c>
      <c r="AP141" s="3" t="str">
        <f t="shared" si="1078"/>
        <v/>
      </c>
      <c r="AQ141" s="3" t="str">
        <f t="shared" ref="AQ141:AQ142" si="1177">IF(AQ140="Documentar",AQ140,AM141)</f>
        <v/>
      </c>
      <c r="AR141" s="3" t="str">
        <f t="shared" ref="AR141:AR142" si="1178">IF(AR140="Asignar responsable",AR140,AN141)</f>
        <v/>
      </c>
      <c r="AT141" s="3" t="str">
        <f t="shared" ref="AT141:AT142" si="1179">IF(AT140="Establecer periodos de seguimiento adecuados",AT140,AO141)</f>
        <v/>
      </c>
      <c r="AV141" s="3" t="str">
        <f t="shared" ref="AV141:AV142" si="1180">IF(AV140="Guardar Evidencias",AV140,AP141)</f>
        <v/>
      </c>
      <c r="AX141" s="502"/>
      <c r="AY141" s="502"/>
      <c r="AZ141" s="502"/>
      <c r="BA141" s="502"/>
      <c r="BB141" s="3" t="str">
        <f t="shared" si="1087"/>
        <v>SI</v>
      </c>
      <c r="BC141" s="3" t="str">
        <f t="shared" si="1088"/>
        <v/>
      </c>
      <c r="BD141" s="3" t="str">
        <f t="shared" si="1089"/>
        <v>SI</v>
      </c>
      <c r="BE141" s="3" t="str">
        <f t="shared" si="1090"/>
        <v/>
      </c>
      <c r="BF141" s="3" t="str">
        <f t="shared" si="1091"/>
        <v>SI</v>
      </c>
      <c r="BG141" s="3" t="str">
        <f t="shared" si="1092"/>
        <v/>
      </c>
      <c r="BH141" s="3" t="str">
        <f t="shared" si="1093"/>
        <v>P</v>
      </c>
      <c r="BI141" s="3" t="str">
        <f t="shared" si="941"/>
        <v/>
      </c>
      <c r="BJ141" s="3" t="str">
        <f t="shared" si="942"/>
        <v>M</v>
      </c>
      <c r="BK141" s="3" t="str">
        <f t="shared" si="943"/>
        <v/>
      </c>
      <c r="BL141" s="3" t="str">
        <f t="shared" si="1094"/>
        <v>SI</v>
      </c>
      <c r="BM141" s="3" t="str">
        <f t="shared" si="1095"/>
        <v/>
      </c>
    </row>
    <row r="142" spans="1:65" ht="16.5" thickBot="1" x14ac:dyDescent="0.25">
      <c r="A142" s="495"/>
      <c r="B142" s="496"/>
      <c r="C142" s="356">
        <v>3</v>
      </c>
      <c r="D142" s="56"/>
      <c r="E142" s="240" t="str">
        <f t="shared" si="933"/>
        <v/>
      </c>
      <c r="F142" s="44"/>
      <c r="G142" s="18" t="str">
        <f t="shared" si="1057"/>
        <v/>
      </c>
      <c r="H142" s="44"/>
      <c r="I142" s="18" t="str">
        <f t="shared" si="1058"/>
        <v/>
      </c>
      <c r="J142" s="55" t="str">
        <f t="shared" si="1059"/>
        <v/>
      </c>
      <c r="K142" s="43"/>
      <c r="L142" s="18" t="str">
        <f t="shared" si="1060"/>
        <v/>
      </c>
      <c r="M142" s="43"/>
      <c r="N142" s="18" t="str">
        <f t="shared" si="1061"/>
        <v/>
      </c>
      <c r="O142" s="43"/>
      <c r="P142" s="18" t="str">
        <f t="shared" si="1062"/>
        <v/>
      </c>
      <c r="Q142" s="43"/>
      <c r="R142" s="18" t="str">
        <f t="shared" si="1063"/>
        <v/>
      </c>
      <c r="S142" s="43"/>
      <c r="T142" s="18" t="str">
        <f t="shared" si="1064"/>
        <v/>
      </c>
      <c r="U142" s="43"/>
      <c r="V142" s="18" t="str">
        <f t="shared" si="1065"/>
        <v/>
      </c>
      <c r="W142" s="18">
        <f t="shared" si="1066"/>
        <v>0</v>
      </c>
      <c r="X142" s="57" t="str">
        <f t="shared" si="1067"/>
        <v/>
      </c>
      <c r="Y142" s="57">
        <f t="shared" si="1068"/>
        <v>0</v>
      </c>
      <c r="Z142" s="356"/>
      <c r="AA142" s="499"/>
      <c r="AB142" s="500"/>
      <c r="AM142" s="3" t="str">
        <f t="shared" si="1075"/>
        <v/>
      </c>
      <c r="AN142" s="3" t="str">
        <f t="shared" si="1076"/>
        <v/>
      </c>
      <c r="AO142" s="3" t="str">
        <f t="shared" si="1077"/>
        <v/>
      </c>
      <c r="AP142" s="3" t="str">
        <f t="shared" si="1078"/>
        <v/>
      </c>
      <c r="AQ142" s="3" t="str">
        <f t="shared" si="1177"/>
        <v/>
      </c>
      <c r="AR142" s="3" t="str">
        <f t="shared" si="1178"/>
        <v/>
      </c>
      <c r="AS142" s="3" t="str">
        <f t="shared" ref="AS142" si="1181">IF(AND(AQ142="Documentar",AR142="Asignar responsable"),CONCATENATE("- ",AQ142,", ",AR142),IF(AQ142="Documentar",CONCATENATE("- ",AQ142),IF(AR142="Asignar responsable",CONCATENATE("- ",AR142),"")))</f>
        <v/>
      </c>
      <c r="AT142" s="3" t="str">
        <f t="shared" si="1179"/>
        <v/>
      </c>
      <c r="AU142" s="3" t="str">
        <f t="shared" ref="AU142" si="1182">IF(AT142="",AS142,IF(AS142="",CONCATENATE("- ",AT142),CONCATENATE(AS142,", ",AT142)))</f>
        <v/>
      </c>
      <c r="AV142" s="3" t="str">
        <f t="shared" si="1180"/>
        <v/>
      </c>
      <c r="AW142" s="3" t="str">
        <f t="shared" ref="AW142" si="1183">IF(AV142="",AU142,IF(AU142="",CONCATENATE("- ",AV142),CONCATENATE(AU142,", ",AV142)))</f>
        <v/>
      </c>
      <c r="AX142" s="502"/>
      <c r="AY142" s="502"/>
      <c r="AZ142" s="502"/>
      <c r="BA142" s="502"/>
      <c r="BB142" s="3" t="str">
        <f t="shared" si="1087"/>
        <v/>
      </c>
      <c r="BC142" s="3" t="str">
        <f t="shared" si="1088"/>
        <v/>
      </c>
      <c r="BD142" s="3" t="str">
        <f t="shared" si="1089"/>
        <v/>
      </c>
      <c r="BE142" s="3" t="str">
        <f t="shared" si="1090"/>
        <v/>
      </c>
      <c r="BF142" s="3" t="str">
        <f t="shared" si="1091"/>
        <v/>
      </c>
      <c r="BG142" s="3" t="str">
        <f t="shared" si="1092"/>
        <v/>
      </c>
      <c r="BH142" s="3" t="str">
        <f t="shared" si="1093"/>
        <v/>
      </c>
      <c r="BI142" s="3" t="str">
        <f t="shared" si="941"/>
        <v/>
      </c>
      <c r="BJ142" s="3" t="str">
        <f t="shared" si="942"/>
        <v/>
      </c>
      <c r="BK142" s="3" t="str">
        <f t="shared" si="943"/>
        <v/>
      </c>
      <c r="BL142" s="3" t="str">
        <f t="shared" si="1094"/>
        <v/>
      </c>
      <c r="BM142" s="3" t="str">
        <f t="shared" si="1095"/>
        <v/>
      </c>
    </row>
    <row r="143" spans="1:65" ht="48" thickTop="1" x14ac:dyDescent="0.2">
      <c r="A143" s="493" t="str">
        <f>IDENTIFICACIÓN!C54</f>
        <v>17C</v>
      </c>
      <c r="B143" s="496" t="str">
        <f>IF(IDENTIFICACIÓN!D54="","",IDENTIFICACIÓN!D54)</f>
        <v xml:space="preserve">Gestión de Extensión y Proyección Social. Inadecuada ejecución de los recursos asignados </v>
      </c>
      <c r="C143" s="356">
        <v>1</v>
      </c>
      <c r="D143" s="56" t="s">
        <v>11</v>
      </c>
      <c r="E143" s="240">
        <f t="shared" si="933"/>
        <v>10</v>
      </c>
      <c r="F143" s="44" t="s">
        <v>594</v>
      </c>
      <c r="G143" s="18" t="str">
        <f t="shared" si="1057"/>
        <v/>
      </c>
      <c r="H143" s="44" t="s">
        <v>20</v>
      </c>
      <c r="I143" s="18" t="str">
        <f t="shared" si="1058"/>
        <v/>
      </c>
      <c r="J143" s="55" t="str">
        <f t="shared" si="1059"/>
        <v>Posibilidad</v>
      </c>
      <c r="K143" s="43" t="s">
        <v>11</v>
      </c>
      <c r="L143" s="18">
        <f t="shared" si="1060"/>
        <v>15</v>
      </c>
      <c r="M143" s="43" t="s">
        <v>11</v>
      </c>
      <c r="N143" s="18">
        <f t="shared" si="1061"/>
        <v>30</v>
      </c>
      <c r="O143" s="43" t="s">
        <v>323</v>
      </c>
      <c r="P143" s="18">
        <f t="shared" si="1062"/>
        <v>10</v>
      </c>
      <c r="Q143" s="43" t="s">
        <v>11</v>
      </c>
      <c r="R143" s="18">
        <f t="shared" si="1063"/>
        <v>5</v>
      </c>
      <c r="S143" s="43" t="s">
        <v>11</v>
      </c>
      <c r="T143" s="18">
        <f t="shared" si="1064"/>
        <v>15</v>
      </c>
      <c r="U143" s="43" t="s">
        <v>11</v>
      </c>
      <c r="V143" s="18">
        <f t="shared" si="1065"/>
        <v>10</v>
      </c>
      <c r="W143" s="18">
        <f t="shared" si="1066"/>
        <v>95</v>
      </c>
      <c r="X143" s="57" t="str">
        <f t="shared" si="1067"/>
        <v>95                           Disminuye en Posibilidad</v>
      </c>
      <c r="Y143" s="57">
        <f t="shared" si="1068"/>
        <v>1</v>
      </c>
      <c r="Z143" s="356"/>
      <c r="AA143" s="497">
        <f t="shared" ref="AA143" si="1184">IF(AB143=0,"",(ROUND((SUM(W143:W145)/AB143),0)))</f>
        <v>95</v>
      </c>
      <c r="AB143" s="500">
        <f t="shared" ref="AB143" si="1185">COUNT(T143:T145)</f>
        <v>2</v>
      </c>
      <c r="AC143" s="3">
        <f t="shared" ref="AC143" si="1186">SUM(Y143:Y145)</f>
        <v>2</v>
      </c>
      <c r="AD143" s="3">
        <f>ANALISIS!D56</f>
        <v>3</v>
      </c>
      <c r="AE143" s="3">
        <f t="shared" ref="AE143" si="1187">IF(AND(AD143=5,AC143&gt;1),3,AD143)</f>
        <v>3</v>
      </c>
      <c r="AF143" s="501">
        <f t="shared" si="1073"/>
        <v>3</v>
      </c>
      <c r="AG143" s="355" t="str">
        <f t="shared" si="1074"/>
        <v>MODERADA</v>
      </c>
      <c r="AH143" s="46"/>
      <c r="AI143" s="46"/>
      <c r="AJ143" s="46"/>
      <c r="AK143" s="46"/>
      <c r="AL143" s="46"/>
      <c r="AM143" s="3" t="str">
        <f t="shared" si="1075"/>
        <v/>
      </c>
      <c r="AN143" s="3" t="str">
        <f t="shared" si="1076"/>
        <v/>
      </c>
      <c r="AO143" s="3" t="str">
        <f t="shared" si="1077"/>
        <v/>
      </c>
      <c r="AP143" s="3" t="str">
        <f t="shared" si="1078"/>
        <v/>
      </c>
      <c r="AQ143" s="3" t="str">
        <f t="shared" ref="AQ143" si="1188">AM143</f>
        <v/>
      </c>
      <c r="AR143" s="3" t="str">
        <f t="shared" ref="AR143" si="1189">AN143</f>
        <v/>
      </c>
      <c r="AT143" s="3" t="str">
        <f t="shared" ref="AT143" si="1190">AO143</f>
        <v/>
      </c>
      <c r="AV143" s="3" t="str">
        <f t="shared" ref="AV143" si="1191">AP143</f>
        <v/>
      </c>
      <c r="AX143" s="502" t="str">
        <f t="shared" ref="AX143" si="1192">IF(AW145="","",CONCATENATE(AW145," (de) el(los) control(es) Efectivo(s) "))</f>
        <v/>
      </c>
      <c r="AY143" s="502" t="str">
        <f t="shared" ref="AY143" si="1193">IF(CONCATENATE(N143:N145)="","",IF(AND(SUM(E143:E145)=10,SUM(N143:N145)&lt;30),"- Replantear control(es) NO efectivo(s) ",IF(AND(SUM(E143:E145)=20,SUM(N143:N145)&lt;60),"- Replantear control(es) NO efectivo(s) ",IF(AND(SUM(E143:E145)=30,SUM(N143:N145)&lt;90),"- Replantear control(es) NO efectivo(s) ",""))))</f>
        <v/>
      </c>
      <c r="AZ143" s="502" t="str">
        <f t="shared" ref="AZ143" si="1194">IF(AND(AE143&gt;1,AE144&gt;1),"- Tomar Acciones Preventivas y Correctivas",IF(AE143&gt;1,"- Tomar Acciones Preventivas",IF(AE144&gt;1,"- Tomar Acciones Correctivas","")))</f>
        <v>- Tomar Acciones Preventivas</v>
      </c>
      <c r="BA143" s="502" t="str">
        <f t="shared" ref="BA143" si="1195">CONCATENATE(AX143,AY143,AZ143)</f>
        <v>- Tomar Acciones Preventivas</v>
      </c>
      <c r="BB143" s="3" t="str">
        <f t="shared" si="1087"/>
        <v>SI</v>
      </c>
      <c r="BC143" s="3" t="str">
        <f t="shared" si="1088"/>
        <v/>
      </c>
      <c r="BD143" s="3" t="str">
        <f t="shared" si="1089"/>
        <v>SI</v>
      </c>
      <c r="BE143" s="3" t="str">
        <f t="shared" si="1090"/>
        <v/>
      </c>
      <c r="BF143" s="3" t="str">
        <f t="shared" si="1091"/>
        <v>SI</v>
      </c>
      <c r="BG143" s="3" t="str">
        <f t="shared" si="1092"/>
        <v/>
      </c>
      <c r="BH143" s="3" t="str">
        <f t="shared" si="1093"/>
        <v>P</v>
      </c>
      <c r="BI143" s="3" t="str">
        <f t="shared" si="941"/>
        <v/>
      </c>
      <c r="BJ143" s="3" t="str">
        <f t="shared" si="942"/>
        <v>M</v>
      </c>
      <c r="BK143" s="3" t="str">
        <f t="shared" si="943"/>
        <v/>
      </c>
      <c r="BL143" s="3" t="str">
        <f t="shared" si="1094"/>
        <v>SI</v>
      </c>
      <c r="BM143" s="3" t="str">
        <f t="shared" si="1095"/>
        <v/>
      </c>
    </row>
    <row r="144" spans="1:65" ht="36" x14ac:dyDescent="0.2">
      <c r="A144" s="494"/>
      <c r="B144" s="496"/>
      <c r="C144" s="356">
        <v>2</v>
      </c>
      <c r="D144" s="56" t="s">
        <v>11</v>
      </c>
      <c r="E144" s="240">
        <f t="shared" si="933"/>
        <v>10</v>
      </c>
      <c r="F144" s="44" t="s">
        <v>595</v>
      </c>
      <c r="G144" s="18" t="str">
        <f t="shared" si="1057"/>
        <v/>
      </c>
      <c r="H144" s="44" t="s">
        <v>20</v>
      </c>
      <c r="I144" s="18" t="str">
        <f t="shared" si="1058"/>
        <v/>
      </c>
      <c r="J144" s="55" t="str">
        <f t="shared" si="1059"/>
        <v>Posibilidad</v>
      </c>
      <c r="K144" s="43" t="s">
        <v>11</v>
      </c>
      <c r="L144" s="18">
        <f t="shared" si="1060"/>
        <v>15</v>
      </c>
      <c r="M144" s="43" t="s">
        <v>11</v>
      </c>
      <c r="N144" s="18">
        <f t="shared" si="1061"/>
        <v>30</v>
      </c>
      <c r="O144" s="43" t="s">
        <v>323</v>
      </c>
      <c r="P144" s="18">
        <f t="shared" si="1062"/>
        <v>10</v>
      </c>
      <c r="Q144" s="43" t="s">
        <v>11</v>
      </c>
      <c r="R144" s="18">
        <f t="shared" si="1063"/>
        <v>5</v>
      </c>
      <c r="S144" s="43" t="s">
        <v>11</v>
      </c>
      <c r="T144" s="18">
        <f t="shared" si="1064"/>
        <v>15</v>
      </c>
      <c r="U144" s="43" t="s">
        <v>11</v>
      </c>
      <c r="V144" s="18">
        <f t="shared" si="1065"/>
        <v>10</v>
      </c>
      <c r="W144" s="18">
        <f t="shared" si="1066"/>
        <v>95</v>
      </c>
      <c r="X144" s="57" t="str">
        <f t="shared" si="1067"/>
        <v>95                           Disminuye en Posibilidad</v>
      </c>
      <c r="Y144" s="57">
        <f t="shared" si="1068"/>
        <v>1</v>
      </c>
      <c r="Z144" s="356"/>
      <c r="AA144" s="498"/>
      <c r="AB144" s="500"/>
      <c r="AC144" s="3" t="s">
        <v>352</v>
      </c>
      <c r="AF144" s="501"/>
      <c r="AG144" s="46" t="str">
        <f t="shared" ref="AG144" si="1196">IF(AG143&gt;0,"- Evitar Posibilidad de Ocurrencia- Reducir el Riesgo","")</f>
        <v>- Evitar Posibilidad de Ocurrencia- Reducir el Riesgo</v>
      </c>
      <c r="AH144" s="46"/>
      <c r="AI144" s="46"/>
      <c r="AJ144" s="46"/>
      <c r="AK144" s="46"/>
      <c r="AL144" s="46"/>
      <c r="AM144" s="3" t="str">
        <f t="shared" si="1075"/>
        <v/>
      </c>
      <c r="AN144" s="3" t="str">
        <f t="shared" si="1076"/>
        <v/>
      </c>
      <c r="AO144" s="3" t="str">
        <f t="shared" si="1077"/>
        <v/>
      </c>
      <c r="AP144" s="3" t="str">
        <f t="shared" si="1078"/>
        <v/>
      </c>
      <c r="AQ144" s="3" t="str">
        <f t="shared" ref="AQ144:AQ145" si="1197">IF(AQ143="Documentar",AQ143,AM144)</f>
        <v/>
      </c>
      <c r="AR144" s="3" t="str">
        <f t="shared" ref="AR144:AR145" si="1198">IF(AR143="Asignar responsable",AR143,AN144)</f>
        <v/>
      </c>
      <c r="AT144" s="3" t="str">
        <f t="shared" ref="AT144:AT145" si="1199">IF(AT143="Establecer periodos de seguimiento adecuados",AT143,AO144)</f>
        <v/>
      </c>
      <c r="AV144" s="3" t="str">
        <f t="shared" ref="AV144:AV145" si="1200">IF(AV143="Guardar Evidencias",AV143,AP144)</f>
        <v/>
      </c>
      <c r="AX144" s="502"/>
      <c r="AY144" s="502"/>
      <c r="AZ144" s="502"/>
      <c r="BA144" s="502"/>
      <c r="BB144" s="3" t="str">
        <f t="shared" si="1087"/>
        <v>SI</v>
      </c>
      <c r="BC144" s="3" t="str">
        <f t="shared" si="1088"/>
        <v/>
      </c>
      <c r="BD144" s="3" t="str">
        <f t="shared" si="1089"/>
        <v>SI</v>
      </c>
      <c r="BE144" s="3" t="str">
        <f t="shared" si="1090"/>
        <v/>
      </c>
      <c r="BF144" s="3" t="str">
        <f t="shared" si="1091"/>
        <v>SI</v>
      </c>
      <c r="BG144" s="3" t="str">
        <f t="shared" si="1092"/>
        <v/>
      </c>
      <c r="BH144" s="3" t="str">
        <f t="shared" si="1093"/>
        <v>P</v>
      </c>
      <c r="BI144" s="3" t="str">
        <f t="shared" si="941"/>
        <v/>
      </c>
      <c r="BJ144" s="3" t="str">
        <f t="shared" si="942"/>
        <v>M</v>
      </c>
      <c r="BK144" s="3" t="str">
        <f t="shared" si="943"/>
        <v/>
      </c>
      <c r="BL144" s="3" t="str">
        <f t="shared" si="1094"/>
        <v>SI</v>
      </c>
      <c r="BM144" s="3" t="str">
        <f t="shared" si="1095"/>
        <v/>
      </c>
    </row>
    <row r="145" spans="1:65" ht="16.5" thickBot="1" x14ac:dyDescent="0.25">
      <c r="A145" s="495"/>
      <c r="B145" s="496"/>
      <c r="C145" s="356">
        <v>3</v>
      </c>
      <c r="D145" s="56"/>
      <c r="E145" s="240" t="str">
        <f t="shared" si="933"/>
        <v/>
      </c>
      <c r="F145" s="44"/>
      <c r="G145" s="18" t="str">
        <f t="shared" si="1057"/>
        <v/>
      </c>
      <c r="H145" s="44"/>
      <c r="I145" s="18" t="str">
        <f t="shared" si="1058"/>
        <v/>
      </c>
      <c r="J145" s="55" t="str">
        <f t="shared" si="1059"/>
        <v/>
      </c>
      <c r="K145" s="43"/>
      <c r="L145" s="18" t="str">
        <f t="shared" si="1060"/>
        <v/>
      </c>
      <c r="M145" s="43"/>
      <c r="N145" s="18" t="str">
        <f t="shared" si="1061"/>
        <v/>
      </c>
      <c r="O145" s="43"/>
      <c r="P145" s="18" t="str">
        <f t="shared" si="1062"/>
        <v/>
      </c>
      <c r="Q145" s="43"/>
      <c r="R145" s="18" t="str">
        <f t="shared" si="1063"/>
        <v/>
      </c>
      <c r="S145" s="43"/>
      <c r="T145" s="18" t="str">
        <f t="shared" si="1064"/>
        <v/>
      </c>
      <c r="U145" s="43"/>
      <c r="V145" s="18" t="str">
        <f t="shared" si="1065"/>
        <v/>
      </c>
      <c r="W145" s="18">
        <f t="shared" si="1066"/>
        <v>0</v>
      </c>
      <c r="X145" s="57" t="str">
        <f t="shared" si="1067"/>
        <v/>
      </c>
      <c r="Y145" s="57">
        <f t="shared" si="1068"/>
        <v>0</v>
      </c>
      <c r="Z145" s="356"/>
      <c r="AA145" s="499"/>
      <c r="AB145" s="500"/>
      <c r="AM145" s="3" t="str">
        <f t="shared" si="1075"/>
        <v/>
      </c>
      <c r="AN145" s="3" t="str">
        <f t="shared" si="1076"/>
        <v/>
      </c>
      <c r="AO145" s="3" t="str">
        <f t="shared" si="1077"/>
        <v/>
      </c>
      <c r="AP145" s="3" t="str">
        <f t="shared" si="1078"/>
        <v/>
      </c>
      <c r="AQ145" s="3" t="str">
        <f t="shared" si="1197"/>
        <v/>
      </c>
      <c r="AR145" s="3" t="str">
        <f t="shared" si="1198"/>
        <v/>
      </c>
      <c r="AS145" s="3" t="str">
        <f t="shared" ref="AS145" si="1201">IF(AND(AQ145="Documentar",AR145="Asignar responsable"),CONCATENATE("- ",AQ145,", ",AR145),IF(AQ145="Documentar",CONCATENATE("- ",AQ145),IF(AR145="Asignar responsable",CONCATENATE("- ",AR145),"")))</f>
        <v/>
      </c>
      <c r="AT145" s="3" t="str">
        <f t="shared" si="1199"/>
        <v/>
      </c>
      <c r="AU145" s="3" t="str">
        <f t="shared" ref="AU145" si="1202">IF(AT145="",AS145,IF(AS145="",CONCATENATE("- ",AT145),CONCATENATE(AS145,", ",AT145)))</f>
        <v/>
      </c>
      <c r="AV145" s="3" t="str">
        <f t="shared" si="1200"/>
        <v/>
      </c>
      <c r="AW145" s="3" t="str">
        <f t="shared" ref="AW145" si="1203">IF(AV145="",AU145,IF(AU145="",CONCATENATE("- ",AV145),CONCATENATE(AU145,", ",AV145)))</f>
        <v/>
      </c>
      <c r="AX145" s="502"/>
      <c r="AY145" s="502"/>
      <c r="AZ145" s="502"/>
      <c r="BA145" s="502"/>
      <c r="BB145" s="3" t="str">
        <f t="shared" si="1087"/>
        <v/>
      </c>
      <c r="BC145" s="3" t="str">
        <f t="shared" si="1088"/>
        <v/>
      </c>
      <c r="BD145" s="3" t="str">
        <f t="shared" si="1089"/>
        <v/>
      </c>
      <c r="BE145" s="3" t="str">
        <f t="shared" si="1090"/>
        <v/>
      </c>
      <c r="BF145" s="3" t="str">
        <f t="shared" si="1091"/>
        <v/>
      </c>
      <c r="BG145" s="3" t="str">
        <f t="shared" si="1092"/>
        <v/>
      </c>
      <c r="BH145" s="3" t="str">
        <f t="shared" si="1093"/>
        <v/>
      </c>
      <c r="BI145" s="3" t="str">
        <f t="shared" si="941"/>
        <v/>
      </c>
      <c r="BJ145" s="3" t="str">
        <f t="shared" si="942"/>
        <v/>
      </c>
      <c r="BK145" s="3" t="str">
        <f t="shared" si="943"/>
        <v/>
      </c>
      <c r="BL145" s="3" t="str">
        <f t="shared" si="1094"/>
        <v/>
      </c>
      <c r="BM145" s="3" t="str">
        <f t="shared" si="1095"/>
        <v/>
      </c>
    </row>
    <row r="146" spans="1:65" ht="48" thickTop="1" x14ac:dyDescent="0.2">
      <c r="A146" s="493" t="str">
        <f>IDENTIFICACIÓN!C55</f>
        <v>18C</v>
      </c>
      <c r="B146" s="496" t="str">
        <f>IF(IDENTIFICACIÓN!D55="","",IDENTIFICACIÓN!D55)</f>
        <v>Gestión de Extensión y Proyección Social. Extralimitación de funciones.</v>
      </c>
      <c r="C146" s="356">
        <v>1</v>
      </c>
      <c r="D146" s="56" t="s">
        <v>11</v>
      </c>
      <c r="E146" s="240">
        <f t="shared" si="933"/>
        <v>10</v>
      </c>
      <c r="F146" s="44" t="s">
        <v>594</v>
      </c>
      <c r="G146" s="18" t="str">
        <f t="shared" si="1057"/>
        <v/>
      </c>
      <c r="H146" s="44" t="s">
        <v>20</v>
      </c>
      <c r="I146" s="18" t="str">
        <f t="shared" si="1058"/>
        <v/>
      </c>
      <c r="J146" s="55" t="str">
        <f t="shared" si="1059"/>
        <v>Posibilidad</v>
      </c>
      <c r="K146" s="43" t="s">
        <v>11</v>
      </c>
      <c r="L146" s="18">
        <f t="shared" si="1060"/>
        <v>15</v>
      </c>
      <c r="M146" s="43" t="s">
        <v>11</v>
      </c>
      <c r="N146" s="18">
        <f t="shared" si="1061"/>
        <v>30</v>
      </c>
      <c r="O146" s="43" t="s">
        <v>323</v>
      </c>
      <c r="P146" s="18">
        <f t="shared" si="1062"/>
        <v>10</v>
      </c>
      <c r="Q146" s="43" t="s">
        <v>11</v>
      </c>
      <c r="R146" s="18">
        <f t="shared" si="1063"/>
        <v>5</v>
      </c>
      <c r="S146" s="43" t="s">
        <v>11</v>
      </c>
      <c r="T146" s="18">
        <f t="shared" si="1064"/>
        <v>15</v>
      </c>
      <c r="U146" s="43" t="s">
        <v>11</v>
      </c>
      <c r="V146" s="18">
        <f t="shared" si="1065"/>
        <v>10</v>
      </c>
      <c r="W146" s="18">
        <f t="shared" si="1066"/>
        <v>95</v>
      </c>
      <c r="X146" s="57" t="str">
        <f t="shared" si="1067"/>
        <v>95                           Disminuye en Posibilidad</v>
      </c>
      <c r="Y146" s="57">
        <f t="shared" si="1068"/>
        <v>1</v>
      </c>
      <c r="Z146" s="356"/>
      <c r="AA146" s="497">
        <f t="shared" ref="AA146" si="1204">IF(AB146=0,"",(ROUND((SUM(W146:W148)/AB146),0)))</f>
        <v>95</v>
      </c>
      <c r="AB146" s="500">
        <f t="shared" ref="AB146" si="1205">COUNT(T146:T148)</f>
        <v>2</v>
      </c>
      <c r="AC146" s="3">
        <f t="shared" ref="AC146" si="1206">SUM(Y146:Y148)</f>
        <v>2</v>
      </c>
      <c r="AD146" s="3">
        <f>ANALISIS!D57</f>
        <v>3</v>
      </c>
      <c r="AE146" s="3">
        <f t="shared" ref="AE146" si="1207">IF(AND(AD146=5,AC146&gt;1),3,AD146)</f>
        <v>3</v>
      </c>
      <c r="AF146" s="501">
        <f t="shared" si="1073"/>
        <v>3</v>
      </c>
      <c r="AG146" s="355" t="str">
        <f t="shared" si="1074"/>
        <v>MODERADA</v>
      </c>
      <c r="AH146" s="46"/>
      <c r="AI146" s="46"/>
      <c r="AJ146" s="46"/>
      <c r="AK146" s="46"/>
      <c r="AL146" s="46"/>
      <c r="AM146" s="3" t="str">
        <f t="shared" si="1075"/>
        <v/>
      </c>
      <c r="AN146" s="3" t="str">
        <f t="shared" si="1076"/>
        <v/>
      </c>
      <c r="AO146" s="3" t="str">
        <f t="shared" si="1077"/>
        <v/>
      </c>
      <c r="AP146" s="3" t="str">
        <f t="shared" si="1078"/>
        <v/>
      </c>
      <c r="AQ146" s="3" t="str">
        <f t="shared" ref="AQ146" si="1208">AM146</f>
        <v/>
      </c>
      <c r="AR146" s="3" t="str">
        <f t="shared" ref="AR146" si="1209">AN146</f>
        <v/>
      </c>
      <c r="AT146" s="3" t="str">
        <f t="shared" ref="AT146" si="1210">AO146</f>
        <v/>
      </c>
      <c r="AV146" s="3" t="str">
        <f t="shared" ref="AV146" si="1211">AP146</f>
        <v/>
      </c>
      <c r="AX146" s="502" t="str">
        <f t="shared" ref="AX146" si="1212">IF(AW148="","",CONCATENATE(AW148," (de) el(los) control(es) Efectivo(s) "))</f>
        <v/>
      </c>
      <c r="AY146" s="502" t="str">
        <f t="shared" ref="AY146" si="1213">IF(CONCATENATE(N146:N148)="","",IF(AND(SUM(E146:E148)=10,SUM(N146:N148)&lt;30),"- Replantear control(es) NO efectivo(s) ",IF(AND(SUM(E146:E148)=20,SUM(N146:N148)&lt;60),"- Replantear control(es) NO efectivo(s) ",IF(AND(SUM(E146:E148)=30,SUM(N146:N148)&lt;90),"- Replantear control(es) NO efectivo(s) ",""))))</f>
        <v/>
      </c>
      <c r="AZ146" s="502" t="str">
        <f t="shared" ref="AZ146" si="1214">IF(AND(AE146&gt;1,AE147&gt;1),"- Tomar Acciones Preventivas y Correctivas",IF(AE146&gt;1,"- Tomar Acciones Preventivas",IF(AE147&gt;1,"- Tomar Acciones Correctivas","")))</f>
        <v>- Tomar Acciones Preventivas</v>
      </c>
      <c r="BA146" s="502" t="str">
        <f t="shared" ref="BA146" si="1215">CONCATENATE(AX146,AY146,AZ146)</f>
        <v>- Tomar Acciones Preventivas</v>
      </c>
      <c r="BB146" s="3" t="str">
        <f t="shared" si="1087"/>
        <v>SI</v>
      </c>
      <c r="BC146" s="3" t="str">
        <f t="shared" si="1088"/>
        <v/>
      </c>
      <c r="BD146" s="3" t="str">
        <f t="shared" si="1089"/>
        <v>SI</v>
      </c>
      <c r="BE146" s="3" t="str">
        <f t="shared" si="1090"/>
        <v/>
      </c>
      <c r="BF146" s="3" t="str">
        <f t="shared" si="1091"/>
        <v>SI</v>
      </c>
      <c r="BG146" s="3" t="str">
        <f t="shared" si="1092"/>
        <v/>
      </c>
      <c r="BH146" s="3" t="str">
        <f t="shared" si="1093"/>
        <v>P</v>
      </c>
      <c r="BI146" s="3" t="str">
        <f t="shared" si="941"/>
        <v/>
      </c>
      <c r="BJ146" s="3" t="str">
        <f t="shared" si="942"/>
        <v>M</v>
      </c>
      <c r="BK146" s="3" t="str">
        <f t="shared" si="943"/>
        <v/>
      </c>
      <c r="BL146" s="3" t="str">
        <f t="shared" si="1094"/>
        <v>SI</v>
      </c>
      <c r="BM146" s="3" t="str">
        <f t="shared" si="1095"/>
        <v/>
      </c>
    </row>
    <row r="147" spans="1:65" ht="36" x14ac:dyDescent="0.2">
      <c r="A147" s="494"/>
      <c r="B147" s="496"/>
      <c r="C147" s="356">
        <v>2</v>
      </c>
      <c r="D147" s="56" t="s">
        <v>11</v>
      </c>
      <c r="E147" s="240">
        <f t="shared" si="933"/>
        <v>10</v>
      </c>
      <c r="F147" s="44" t="s">
        <v>595</v>
      </c>
      <c r="G147" s="18" t="str">
        <f t="shared" si="1057"/>
        <v/>
      </c>
      <c r="H147" s="44" t="s">
        <v>20</v>
      </c>
      <c r="I147" s="18" t="str">
        <f t="shared" si="1058"/>
        <v/>
      </c>
      <c r="J147" s="55" t="str">
        <f t="shared" si="1059"/>
        <v>Posibilidad</v>
      </c>
      <c r="K147" s="43" t="s">
        <v>11</v>
      </c>
      <c r="L147" s="18">
        <f t="shared" si="1060"/>
        <v>15</v>
      </c>
      <c r="M147" s="43" t="s">
        <v>11</v>
      </c>
      <c r="N147" s="18">
        <f t="shared" si="1061"/>
        <v>30</v>
      </c>
      <c r="O147" s="43" t="s">
        <v>323</v>
      </c>
      <c r="P147" s="18">
        <f t="shared" si="1062"/>
        <v>10</v>
      </c>
      <c r="Q147" s="43" t="s">
        <v>11</v>
      </c>
      <c r="R147" s="18">
        <f t="shared" si="1063"/>
        <v>5</v>
      </c>
      <c r="S147" s="43" t="s">
        <v>11</v>
      </c>
      <c r="T147" s="18">
        <f t="shared" si="1064"/>
        <v>15</v>
      </c>
      <c r="U147" s="43" t="s">
        <v>11</v>
      </c>
      <c r="V147" s="18">
        <f t="shared" si="1065"/>
        <v>10</v>
      </c>
      <c r="W147" s="18">
        <f t="shared" si="1066"/>
        <v>95</v>
      </c>
      <c r="X147" s="57" t="str">
        <f t="shared" si="1067"/>
        <v>95                           Disminuye en Posibilidad</v>
      </c>
      <c r="Y147" s="57">
        <f t="shared" si="1068"/>
        <v>1</v>
      </c>
      <c r="Z147" s="356"/>
      <c r="AA147" s="498"/>
      <c r="AB147" s="500"/>
      <c r="AC147" s="3" t="s">
        <v>352</v>
      </c>
      <c r="AF147" s="501"/>
      <c r="AG147" s="46" t="str">
        <f t="shared" ref="AG147" si="1216">IF(AG146&gt;0,"- Evitar Posibilidad de Ocurrencia- Reducir el Riesgo","")</f>
        <v>- Evitar Posibilidad de Ocurrencia- Reducir el Riesgo</v>
      </c>
      <c r="AH147" s="46"/>
      <c r="AI147" s="46"/>
      <c r="AJ147" s="46"/>
      <c r="AK147" s="46"/>
      <c r="AL147" s="46"/>
      <c r="AM147" s="3" t="str">
        <f t="shared" si="1075"/>
        <v/>
      </c>
      <c r="AN147" s="3" t="str">
        <f t="shared" si="1076"/>
        <v/>
      </c>
      <c r="AO147" s="3" t="str">
        <f t="shared" si="1077"/>
        <v/>
      </c>
      <c r="AP147" s="3" t="str">
        <f t="shared" si="1078"/>
        <v/>
      </c>
      <c r="AQ147" s="3" t="str">
        <f t="shared" ref="AQ147:AQ148" si="1217">IF(AQ146="Documentar",AQ146,AM147)</f>
        <v/>
      </c>
      <c r="AR147" s="3" t="str">
        <f t="shared" ref="AR147:AR148" si="1218">IF(AR146="Asignar responsable",AR146,AN147)</f>
        <v/>
      </c>
      <c r="AT147" s="3" t="str">
        <f t="shared" ref="AT147:AT148" si="1219">IF(AT146="Establecer periodos de seguimiento adecuados",AT146,AO147)</f>
        <v/>
      </c>
      <c r="AV147" s="3" t="str">
        <f t="shared" ref="AV147:AV148" si="1220">IF(AV146="Guardar Evidencias",AV146,AP147)</f>
        <v/>
      </c>
      <c r="AX147" s="502"/>
      <c r="AY147" s="502"/>
      <c r="AZ147" s="502"/>
      <c r="BA147" s="502"/>
      <c r="BB147" s="3" t="str">
        <f t="shared" si="1087"/>
        <v>SI</v>
      </c>
      <c r="BC147" s="3" t="str">
        <f t="shared" si="1088"/>
        <v/>
      </c>
      <c r="BD147" s="3" t="str">
        <f t="shared" si="1089"/>
        <v>SI</v>
      </c>
      <c r="BE147" s="3" t="str">
        <f t="shared" si="1090"/>
        <v/>
      </c>
      <c r="BF147" s="3" t="str">
        <f t="shared" si="1091"/>
        <v>SI</v>
      </c>
      <c r="BG147" s="3" t="str">
        <f t="shared" si="1092"/>
        <v/>
      </c>
      <c r="BH147" s="3" t="str">
        <f t="shared" si="1093"/>
        <v>P</v>
      </c>
      <c r="BI147" s="3" t="str">
        <f t="shared" si="941"/>
        <v/>
      </c>
      <c r="BJ147" s="3" t="str">
        <f t="shared" si="942"/>
        <v>M</v>
      </c>
      <c r="BK147" s="3" t="str">
        <f t="shared" si="943"/>
        <v/>
      </c>
      <c r="BL147" s="3" t="str">
        <f t="shared" si="1094"/>
        <v>SI</v>
      </c>
      <c r="BM147" s="3" t="str">
        <f t="shared" si="1095"/>
        <v/>
      </c>
    </row>
    <row r="148" spans="1:65" ht="16.5" thickBot="1" x14ac:dyDescent="0.25">
      <c r="A148" s="495"/>
      <c r="B148" s="496"/>
      <c r="C148" s="356">
        <v>3</v>
      </c>
      <c r="D148" s="56"/>
      <c r="E148" s="240" t="str">
        <f t="shared" si="933"/>
        <v/>
      </c>
      <c r="F148" s="44"/>
      <c r="G148" s="18" t="str">
        <f t="shared" si="1057"/>
        <v/>
      </c>
      <c r="H148" s="44"/>
      <c r="I148" s="18" t="str">
        <f t="shared" si="1058"/>
        <v/>
      </c>
      <c r="J148" s="55" t="str">
        <f t="shared" si="1059"/>
        <v/>
      </c>
      <c r="K148" s="43"/>
      <c r="L148" s="18" t="str">
        <f t="shared" si="1060"/>
        <v/>
      </c>
      <c r="M148" s="43"/>
      <c r="N148" s="18" t="str">
        <f t="shared" si="1061"/>
        <v/>
      </c>
      <c r="O148" s="43"/>
      <c r="P148" s="18" t="str">
        <f t="shared" si="1062"/>
        <v/>
      </c>
      <c r="Q148" s="43"/>
      <c r="R148" s="18" t="str">
        <f t="shared" si="1063"/>
        <v/>
      </c>
      <c r="S148" s="43"/>
      <c r="T148" s="18" t="str">
        <f t="shared" si="1064"/>
        <v/>
      </c>
      <c r="U148" s="43"/>
      <c r="V148" s="18" t="str">
        <f t="shared" si="1065"/>
        <v/>
      </c>
      <c r="W148" s="18">
        <f t="shared" si="1066"/>
        <v>0</v>
      </c>
      <c r="X148" s="57" t="str">
        <f t="shared" si="1067"/>
        <v/>
      </c>
      <c r="Y148" s="57">
        <f t="shared" si="1068"/>
        <v>0</v>
      </c>
      <c r="Z148" s="356"/>
      <c r="AA148" s="499"/>
      <c r="AB148" s="500"/>
      <c r="AM148" s="3" t="str">
        <f t="shared" si="1075"/>
        <v/>
      </c>
      <c r="AN148" s="3" t="str">
        <f t="shared" si="1076"/>
        <v/>
      </c>
      <c r="AO148" s="3" t="str">
        <f t="shared" si="1077"/>
        <v/>
      </c>
      <c r="AP148" s="3" t="str">
        <f t="shared" si="1078"/>
        <v/>
      </c>
      <c r="AQ148" s="3" t="str">
        <f t="shared" si="1217"/>
        <v/>
      </c>
      <c r="AR148" s="3" t="str">
        <f t="shared" si="1218"/>
        <v/>
      </c>
      <c r="AS148" s="3" t="str">
        <f t="shared" ref="AS148" si="1221">IF(AND(AQ148="Documentar",AR148="Asignar responsable"),CONCATENATE("- ",AQ148,", ",AR148),IF(AQ148="Documentar",CONCATENATE("- ",AQ148),IF(AR148="Asignar responsable",CONCATENATE("- ",AR148),"")))</f>
        <v/>
      </c>
      <c r="AT148" s="3" t="str">
        <f t="shared" si="1219"/>
        <v/>
      </c>
      <c r="AU148" s="3" t="str">
        <f t="shared" ref="AU148" si="1222">IF(AT148="",AS148,IF(AS148="",CONCATENATE("- ",AT148),CONCATENATE(AS148,", ",AT148)))</f>
        <v/>
      </c>
      <c r="AV148" s="3" t="str">
        <f t="shared" si="1220"/>
        <v/>
      </c>
      <c r="AW148" s="3" t="str">
        <f t="shared" ref="AW148" si="1223">IF(AV148="",AU148,IF(AU148="",CONCATENATE("- ",AV148),CONCATENATE(AU148,", ",AV148)))</f>
        <v/>
      </c>
      <c r="AX148" s="502"/>
      <c r="AY148" s="502"/>
      <c r="AZ148" s="502"/>
      <c r="BA148" s="502"/>
      <c r="BB148" s="3" t="str">
        <f t="shared" si="1087"/>
        <v/>
      </c>
      <c r="BC148" s="3" t="str">
        <f t="shared" si="1088"/>
        <v/>
      </c>
      <c r="BD148" s="3" t="str">
        <f t="shared" si="1089"/>
        <v/>
      </c>
      <c r="BE148" s="3" t="str">
        <f t="shared" si="1090"/>
        <v/>
      </c>
      <c r="BF148" s="3" t="str">
        <f t="shared" si="1091"/>
        <v/>
      </c>
      <c r="BG148" s="3" t="str">
        <f t="shared" si="1092"/>
        <v/>
      </c>
      <c r="BH148" s="3" t="str">
        <f t="shared" si="1093"/>
        <v/>
      </c>
      <c r="BI148" s="3" t="str">
        <f t="shared" si="941"/>
        <v/>
      </c>
      <c r="BJ148" s="3" t="str">
        <f t="shared" si="942"/>
        <v/>
      </c>
      <c r="BK148" s="3" t="str">
        <f t="shared" si="943"/>
        <v/>
      </c>
      <c r="BL148" s="3" t="str">
        <f t="shared" si="1094"/>
        <v/>
      </c>
      <c r="BM148" s="3" t="str">
        <f t="shared" si="1095"/>
        <v/>
      </c>
    </row>
    <row r="149" spans="1:65" ht="63.75" thickTop="1" x14ac:dyDescent="0.2">
      <c r="A149" s="493" t="str">
        <f>IDENTIFICACIÓN!C56</f>
        <v>19C</v>
      </c>
      <c r="B149" s="496" t="str">
        <f>IF(IDENTIFICACIÓN!D56="","",IDENTIFICACIÓN!D56)</f>
        <v>Gestión de Extensión y Proyección Social. Omisión de la ley para beneficio propio.</v>
      </c>
      <c r="C149" s="356">
        <v>1</v>
      </c>
      <c r="D149" s="56" t="s">
        <v>11</v>
      </c>
      <c r="E149" s="240">
        <f t="shared" si="933"/>
        <v>10</v>
      </c>
      <c r="F149" s="44" t="s">
        <v>625</v>
      </c>
      <c r="G149" s="18" t="str">
        <f t="shared" si="1057"/>
        <v/>
      </c>
      <c r="H149" s="44" t="s">
        <v>20</v>
      </c>
      <c r="I149" s="18" t="str">
        <f t="shared" si="1058"/>
        <v/>
      </c>
      <c r="J149" s="55" t="str">
        <f t="shared" si="1059"/>
        <v>Posibilidad</v>
      </c>
      <c r="K149" s="43" t="s">
        <v>11</v>
      </c>
      <c r="L149" s="18">
        <f t="shared" si="1060"/>
        <v>15</v>
      </c>
      <c r="M149" s="43" t="s">
        <v>11</v>
      </c>
      <c r="N149" s="18">
        <f t="shared" si="1061"/>
        <v>30</v>
      </c>
      <c r="O149" s="43" t="s">
        <v>323</v>
      </c>
      <c r="P149" s="18">
        <f t="shared" si="1062"/>
        <v>10</v>
      </c>
      <c r="Q149" s="43" t="s">
        <v>11</v>
      </c>
      <c r="R149" s="18">
        <f t="shared" si="1063"/>
        <v>5</v>
      </c>
      <c r="S149" s="43" t="s">
        <v>11</v>
      </c>
      <c r="T149" s="18">
        <f t="shared" si="1064"/>
        <v>15</v>
      </c>
      <c r="U149" s="43" t="s">
        <v>11</v>
      </c>
      <c r="V149" s="18">
        <f t="shared" si="1065"/>
        <v>10</v>
      </c>
      <c r="W149" s="18">
        <f t="shared" si="1066"/>
        <v>95</v>
      </c>
      <c r="X149" s="57" t="str">
        <f t="shared" si="1067"/>
        <v>95                           Disminuye en Posibilidad</v>
      </c>
      <c r="Y149" s="57">
        <f t="shared" si="1068"/>
        <v>1</v>
      </c>
      <c r="Z149" s="356"/>
      <c r="AA149" s="497">
        <f t="shared" ref="AA149" si="1224">IF(AB149=0,"",(ROUND((SUM(W149:W151)/AB149),0)))</f>
        <v>95</v>
      </c>
      <c r="AB149" s="500">
        <f t="shared" ref="AB149" si="1225">COUNT(T149:T151)</f>
        <v>2</v>
      </c>
      <c r="AC149" s="3">
        <f t="shared" ref="AC149" si="1226">SUM(Y149:Y151)</f>
        <v>2</v>
      </c>
      <c r="AD149" s="3">
        <f>ANALISIS!D58</f>
        <v>3</v>
      </c>
      <c r="AE149" s="3">
        <f t="shared" ref="AE149" si="1227">IF(AND(AD149=5,AC149&gt;1),3,AD149)</f>
        <v>3</v>
      </c>
      <c r="AF149" s="501">
        <f t="shared" si="1073"/>
        <v>3</v>
      </c>
      <c r="AG149" s="355" t="str">
        <f t="shared" si="1074"/>
        <v>MODERADA</v>
      </c>
      <c r="AH149" s="46"/>
      <c r="AI149" s="46"/>
      <c r="AJ149" s="46"/>
      <c r="AK149" s="46"/>
      <c r="AL149" s="46"/>
      <c r="AM149" s="3" t="str">
        <f t="shared" si="1075"/>
        <v/>
      </c>
      <c r="AN149" s="3" t="str">
        <f t="shared" si="1076"/>
        <v/>
      </c>
      <c r="AO149" s="3" t="str">
        <f t="shared" si="1077"/>
        <v/>
      </c>
      <c r="AP149" s="3" t="str">
        <f t="shared" si="1078"/>
        <v/>
      </c>
      <c r="AQ149" s="3" t="str">
        <f t="shared" ref="AQ149" si="1228">AM149</f>
        <v/>
      </c>
      <c r="AR149" s="3" t="str">
        <f t="shared" ref="AR149" si="1229">AN149</f>
        <v/>
      </c>
      <c r="AT149" s="3" t="str">
        <f t="shared" ref="AT149" si="1230">AO149</f>
        <v/>
      </c>
      <c r="AV149" s="3" t="str">
        <f t="shared" ref="AV149" si="1231">AP149</f>
        <v/>
      </c>
      <c r="AX149" s="502" t="str">
        <f t="shared" ref="AX149" si="1232">IF(AW151="","",CONCATENATE(AW151," (de) el(los) control(es) Efectivo(s) "))</f>
        <v/>
      </c>
      <c r="AY149" s="502" t="str">
        <f t="shared" ref="AY149" si="1233">IF(CONCATENATE(N149:N151)="","",IF(AND(SUM(E149:E151)=10,SUM(N149:N151)&lt;30),"- Replantear control(es) NO efectivo(s) ",IF(AND(SUM(E149:E151)=20,SUM(N149:N151)&lt;60),"- Replantear control(es) NO efectivo(s) ",IF(AND(SUM(E149:E151)=30,SUM(N149:N151)&lt;90),"- Replantear control(es) NO efectivo(s) ",""))))</f>
        <v/>
      </c>
      <c r="AZ149" s="502" t="str">
        <f t="shared" ref="AZ149" si="1234">IF(AND(AE149&gt;1,AE150&gt;1),"- Tomar Acciones Preventivas y Correctivas",IF(AE149&gt;1,"- Tomar Acciones Preventivas",IF(AE150&gt;1,"- Tomar Acciones Correctivas","")))</f>
        <v>- Tomar Acciones Preventivas</v>
      </c>
      <c r="BA149" s="502" t="str">
        <f t="shared" ref="BA149" si="1235">CONCATENATE(AX149,AY149,AZ149)</f>
        <v>- Tomar Acciones Preventivas</v>
      </c>
      <c r="BB149" s="3" t="str">
        <f t="shared" si="1087"/>
        <v>SI</v>
      </c>
      <c r="BC149" s="3" t="str">
        <f t="shared" si="1088"/>
        <v/>
      </c>
      <c r="BD149" s="3" t="str">
        <f t="shared" si="1089"/>
        <v>SI</v>
      </c>
      <c r="BE149" s="3" t="str">
        <f t="shared" si="1090"/>
        <v/>
      </c>
      <c r="BF149" s="3" t="str">
        <f t="shared" si="1091"/>
        <v>SI</v>
      </c>
      <c r="BG149" s="3" t="str">
        <f t="shared" si="1092"/>
        <v/>
      </c>
      <c r="BH149" s="3" t="str">
        <f t="shared" si="1093"/>
        <v>P</v>
      </c>
      <c r="BI149" s="3" t="str">
        <f t="shared" si="941"/>
        <v/>
      </c>
      <c r="BJ149" s="3" t="str">
        <f t="shared" si="942"/>
        <v>M</v>
      </c>
      <c r="BK149" s="3" t="str">
        <f t="shared" si="943"/>
        <v/>
      </c>
      <c r="BL149" s="3" t="str">
        <f t="shared" si="1094"/>
        <v>SI</v>
      </c>
      <c r="BM149" s="3" t="str">
        <f t="shared" si="1095"/>
        <v/>
      </c>
    </row>
    <row r="150" spans="1:65" ht="47.25" x14ac:dyDescent="0.2">
      <c r="A150" s="494"/>
      <c r="B150" s="496"/>
      <c r="C150" s="356">
        <v>2</v>
      </c>
      <c r="D150" s="56" t="s">
        <v>11</v>
      </c>
      <c r="E150" s="240">
        <f t="shared" si="933"/>
        <v>10</v>
      </c>
      <c r="F150" s="44" t="s">
        <v>626</v>
      </c>
      <c r="G150" s="18" t="str">
        <f t="shared" si="1057"/>
        <v/>
      </c>
      <c r="H150" s="44" t="s">
        <v>20</v>
      </c>
      <c r="I150" s="18" t="str">
        <f t="shared" si="1058"/>
        <v/>
      </c>
      <c r="J150" s="55" t="str">
        <f t="shared" si="1059"/>
        <v>Posibilidad</v>
      </c>
      <c r="K150" s="43" t="s">
        <v>11</v>
      </c>
      <c r="L150" s="18">
        <f t="shared" si="1060"/>
        <v>15</v>
      </c>
      <c r="M150" s="43" t="s">
        <v>11</v>
      </c>
      <c r="N150" s="18">
        <f t="shared" si="1061"/>
        <v>30</v>
      </c>
      <c r="O150" s="43" t="s">
        <v>323</v>
      </c>
      <c r="P150" s="18">
        <f t="shared" si="1062"/>
        <v>10</v>
      </c>
      <c r="Q150" s="43" t="s">
        <v>11</v>
      </c>
      <c r="R150" s="18">
        <f t="shared" si="1063"/>
        <v>5</v>
      </c>
      <c r="S150" s="43" t="s">
        <v>11</v>
      </c>
      <c r="T150" s="18">
        <f t="shared" si="1064"/>
        <v>15</v>
      </c>
      <c r="U150" s="43" t="s">
        <v>11</v>
      </c>
      <c r="V150" s="18">
        <f t="shared" si="1065"/>
        <v>10</v>
      </c>
      <c r="W150" s="18">
        <f t="shared" si="1066"/>
        <v>95</v>
      </c>
      <c r="X150" s="57" t="str">
        <f t="shared" si="1067"/>
        <v>95                           Disminuye en Posibilidad</v>
      </c>
      <c r="Y150" s="57">
        <f t="shared" si="1068"/>
        <v>1</v>
      </c>
      <c r="Z150" s="356"/>
      <c r="AA150" s="498"/>
      <c r="AB150" s="500"/>
      <c r="AC150" s="3" t="s">
        <v>352</v>
      </c>
      <c r="AF150" s="501"/>
      <c r="AG150" s="46" t="str">
        <f t="shared" ref="AG150" si="1236">IF(AG149&gt;0,"- Evitar Posibilidad de Ocurrencia- Reducir el Riesgo","")</f>
        <v>- Evitar Posibilidad de Ocurrencia- Reducir el Riesgo</v>
      </c>
      <c r="AH150" s="46"/>
      <c r="AI150" s="46"/>
      <c r="AJ150" s="46"/>
      <c r="AK150" s="46"/>
      <c r="AL150" s="46"/>
      <c r="AM150" s="3" t="str">
        <f t="shared" si="1075"/>
        <v/>
      </c>
      <c r="AN150" s="3" t="str">
        <f t="shared" si="1076"/>
        <v/>
      </c>
      <c r="AO150" s="3" t="str">
        <f t="shared" si="1077"/>
        <v/>
      </c>
      <c r="AP150" s="3" t="str">
        <f t="shared" si="1078"/>
        <v/>
      </c>
      <c r="AQ150" s="3" t="str">
        <f t="shared" ref="AQ150:AQ151" si="1237">IF(AQ149="Documentar",AQ149,AM150)</f>
        <v/>
      </c>
      <c r="AR150" s="3" t="str">
        <f t="shared" ref="AR150:AR151" si="1238">IF(AR149="Asignar responsable",AR149,AN150)</f>
        <v/>
      </c>
      <c r="AT150" s="3" t="str">
        <f t="shared" ref="AT150:AT151" si="1239">IF(AT149="Establecer periodos de seguimiento adecuados",AT149,AO150)</f>
        <v/>
      </c>
      <c r="AV150" s="3" t="str">
        <f t="shared" ref="AV150:AV151" si="1240">IF(AV149="Guardar Evidencias",AV149,AP150)</f>
        <v/>
      </c>
      <c r="AX150" s="502"/>
      <c r="AY150" s="502"/>
      <c r="AZ150" s="502"/>
      <c r="BA150" s="502"/>
      <c r="BB150" s="3" t="str">
        <f t="shared" si="1087"/>
        <v>SI</v>
      </c>
      <c r="BC150" s="3" t="str">
        <f t="shared" si="1088"/>
        <v/>
      </c>
      <c r="BD150" s="3" t="str">
        <f t="shared" si="1089"/>
        <v>SI</v>
      </c>
      <c r="BE150" s="3" t="str">
        <f t="shared" si="1090"/>
        <v/>
      </c>
      <c r="BF150" s="3" t="str">
        <f t="shared" si="1091"/>
        <v>SI</v>
      </c>
      <c r="BG150" s="3" t="str">
        <f t="shared" si="1092"/>
        <v/>
      </c>
      <c r="BH150" s="3" t="str">
        <f t="shared" si="1093"/>
        <v>P</v>
      </c>
      <c r="BI150" s="3" t="str">
        <f t="shared" si="941"/>
        <v/>
      </c>
      <c r="BJ150" s="3" t="str">
        <f t="shared" si="942"/>
        <v>M</v>
      </c>
      <c r="BK150" s="3" t="str">
        <f t="shared" si="943"/>
        <v/>
      </c>
      <c r="BL150" s="3" t="str">
        <f t="shared" si="1094"/>
        <v>SI</v>
      </c>
      <c r="BM150" s="3" t="str">
        <f t="shared" si="1095"/>
        <v/>
      </c>
    </row>
    <row r="151" spans="1:65" ht="16.5" thickBot="1" x14ac:dyDescent="0.25">
      <c r="A151" s="495"/>
      <c r="B151" s="496"/>
      <c r="C151" s="356">
        <v>3</v>
      </c>
      <c r="D151" s="56"/>
      <c r="E151" s="240" t="str">
        <f t="shared" si="933"/>
        <v/>
      </c>
      <c r="F151" s="44"/>
      <c r="G151" s="18" t="str">
        <f t="shared" si="1057"/>
        <v/>
      </c>
      <c r="H151" s="44"/>
      <c r="I151" s="18" t="str">
        <f t="shared" si="1058"/>
        <v/>
      </c>
      <c r="J151" s="55" t="str">
        <f t="shared" si="1059"/>
        <v/>
      </c>
      <c r="K151" s="43"/>
      <c r="L151" s="18" t="str">
        <f t="shared" si="1060"/>
        <v/>
      </c>
      <c r="M151" s="43"/>
      <c r="N151" s="18" t="str">
        <f t="shared" si="1061"/>
        <v/>
      </c>
      <c r="O151" s="43"/>
      <c r="P151" s="18" t="str">
        <f t="shared" si="1062"/>
        <v/>
      </c>
      <c r="Q151" s="43"/>
      <c r="R151" s="18" t="str">
        <f t="shared" si="1063"/>
        <v/>
      </c>
      <c r="S151" s="43"/>
      <c r="T151" s="18" t="str">
        <f t="shared" si="1064"/>
        <v/>
      </c>
      <c r="U151" s="43"/>
      <c r="V151" s="18" t="str">
        <f t="shared" si="1065"/>
        <v/>
      </c>
      <c r="W151" s="18">
        <f t="shared" si="1066"/>
        <v>0</v>
      </c>
      <c r="X151" s="57" t="str">
        <f t="shared" si="1067"/>
        <v/>
      </c>
      <c r="Y151" s="57">
        <f t="shared" si="1068"/>
        <v>0</v>
      </c>
      <c r="Z151" s="356"/>
      <c r="AA151" s="499"/>
      <c r="AB151" s="500"/>
      <c r="AM151" s="3" t="str">
        <f t="shared" si="1075"/>
        <v/>
      </c>
      <c r="AN151" s="3" t="str">
        <f t="shared" si="1076"/>
        <v/>
      </c>
      <c r="AO151" s="3" t="str">
        <f t="shared" si="1077"/>
        <v/>
      </c>
      <c r="AP151" s="3" t="str">
        <f t="shared" si="1078"/>
        <v/>
      </c>
      <c r="AQ151" s="3" t="str">
        <f t="shared" si="1237"/>
        <v/>
      </c>
      <c r="AR151" s="3" t="str">
        <f t="shared" si="1238"/>
        <v/>
      </c>
      <c r="AS151" s="3" t="str">
        <f t="shared" ref="AS151" si="1241">IF(AND(AQ151="Documentar",AR151="Asignar responsable"),CONCATENATE("- ",AQ151,", ",AR151),IF(AQ151="Documentar",CONCATENATE("- ",AQ151),IF(AR151="Asignar responsable",CONCATENATE("- ",AR151),"")))</f>
        <v/>
      </c>
      <c r="AT151" s="3" t="str">
        <f t="shared" si="1239"/>
        <v/>
      </c>
      <c r="AU151" s="3" t="str">
        <f t="shared" ref="AU151" si="1242">IF(AT151="",AS151,IF(AS151="",CONCATENATE("- ",AT151),CONCATENATE(AS151,", ",AT151)))</f>
        <v/>
      </c>
      <c r="AV151" s="3" t="str">
        <f t="shared" si="1240"/>
        <v/>
      </c>
      <c r="AW151" s="3" t="str">
        <f t="shared" ref="AW151" si="1243">IF(AV151="",AU151,IF(AU151="",CONCATENATE("- ",AV151),CONCATENATE(AU151,", ",AV151)))</f>
        <v/>
      </c>
      <c r="AX151" s="502"/>
      <c r="AY151" s="502"/>
      <c r="AZ151" s="502"/>
      <c r="BA151" s="502"/>
      <c r="BB151" s="3" t="str">
        <f t="shared" si="1087"/>
        <v/>
      </c>
      <c r="BC151" s="3" t="str">
        <f t="shared" si="1088"/>
        <v/>
      </c>
      <c r="BD151" s="3" t="str">
        <f t="shared" si="1089"/>
        <v/>
      </c>
      <c r="BE151" s="3" t="str">
        <f t="shared" si="1090"/>
        <v/>
      </c>
      <c r="BF151" s="3" t="str">
        <f t="shared" si="1091"/>
        <v/>
      </c>
      <c r="BG151" s="3" t="str">
        <f t="shared" si="1092"/>
        <v/>
      </c>
      <c r="BH151" s="3" t="str">
        <f t="shared" si="1093"/>
        <v/>
      </c>
      <c r="BI151" s="3" t="str">
        <f t="shared" si="941"/>
        <v/>
      </c>
      <c r="BJ151" s="3" t="str">
        <f t="shared" si="942"/>
        <v/>
      </c>
      <c r="BK151" s="3" t="str">
        <f t="shared" si="943"/>
        <v/>
      </c>
      <c r="BL151" s="3" t="str">
        <f t="shared" si="1094"/>
        <v/>
      </c>
      <c r="BM151" s="3" t="str">
        <f t="shared" si="1095"/>
        <v/>
      </c>
    </row>
    <row r="152" spans="1:65" ht="48" thickTop="1" x14ac:dyDescent="0.2">
      <c r="A152" s="493" t="str">
        <f>IDENTIFICACIÓN!C57</f>
        <v>20C</v>
      </c>
      <c r="B152" s="496" t="str">
        <f>IF(IDENTIFICACIÓN!D57="","",IDENTIFICACIÓN!D57)</f>
        <v>Gestión de Contratación. Pliegos de condiciones hechos a la medida de una firma en particular.</v>
      </c>
      <c r="C152" s="356">
        <v>1</v>
      </c>
      <c r="D152" s="56" t="s">
        <v>11</v>
      </c>
      <c r="E152" s="240">
        <f t="shared" si="933"/>
        <v>10</v>
      </c>
      <c r="F152" s="44" t="s">
        <v>627</v>
      </c>
      <c r="G152" s="18" t="str">
        <f t="shared" ref="G152:G196" si="1244">IF($D152="SI",IF(ISBLANK(F152),"Decripcion",""),"")</f>
        <v/>
      </c>
      <c r="H152" s="44" t="s">
        <v>20</v>
      </c>
      <c r="I152" s="18" t="str">
        <f t="shared" ref="I152:I196" si="1245">IF($D152="SI",IF(ISBLANK(H152),"Tipo",""),"")</f>
        <v/>
      </c>
      <c r="J152" s="55" t="str">
        <f t="shared" ref="J152:J196" si="1246">IF(H152="Preventivo","Posibilidad",IF(H152="Correctivo","No Aplica",""))</f>
        <v>Posibilidad</v>
      </c>
      <c r="K152" s="43" t="s">
        <v>11</v>
      </c>
      <c r="L152" s="18">
        <f t="shared" ref="L152:L196" si="1247">IF($D152="SI",IF(K152="SI",15,IF(K152="NO",0,"P1")),"")</f>
        <v>15</v>
      </c>
      <c r="M152" s="43" t="s">
        <v>11</v>
      </c>
      <c r="N152" s="18">
        <f t="shared" ref="N152:N196" si="1248">IF($D152="SI",IF(M152="SI",30,IF(M152="NO",0,"P2")),"")</f>
        <v>30</v>
      </c>
      <c r="O152" s="43" t="s">
        <v>323</v>
      </c>
      <c r="P152" s="18">
        <f t="shared" ref="P152:P196" si="1249">IF($D152="SI",IF(O152="Automático",15,IF(O152="Manual",10,"P3")),"")</f>
        <v>10</v>
      </c>
      <c r="Q152" s="43" t="s">
        <v>11</v>
      </c>
      <c r="R152" s="18">
        <f t="shared" ref="R152:R196" si="1250">IF($D152="SI",IF(Q152="SI",5,IF(Q152="NO",0,"P4")),"")</f>
        <v>5</v>
      </c>
      <c r="S152" s="43" t="s">
        <v>11</v>
      </c>
      <c r="T152" s="18">
        <f t="shared" ref="T152:T196" si="1251">IF($D152="SI",IF(S152="SI",15,IF(S152="NO",0,"P5")),"")</f>
        <v>15</v>
      </c>
      <c r="U152" s="43" t="s">
        <v>11</v>
      </c>
      <c r="V152" s="18">
        <f t="shared" ref="V152:V196" si="1252">IF($D152="SI",IF(U152="SI",10,IF(U152="NO",0,"P6")),"")</f>
        <v>10</v>
      </c>
      <c r="W152" s="18">
        <f t="shared" ref="W152:W196" si="1253">IF(D152="SI",E152+L152+N152+P152+R152+T152+V152,0)</f>
        <v>95</v>
      </c>
      <c r="X152" s="57" t="str">
        <f t="shared" ref="X152:X196" si="1254">IF(ISBLANK(D152),"",IF(D152="NO",0,IF(D152="SI",IF(OR(G152="Decripcion",I152="Tipo",L152="P1",N152="P2",P152="P3",R152="P4",T152="P5",V152="P6"),CONCATENATE("Falta diligenciar: ",G152," ",I152,IF(L152="P1"," Preg 1",),IF(N152="P2"," Preg 2",),IF(P152="P3"," Preg 3",),IF(R152="P4"," Preg 4",),IF(T152="P5"," Preg 5",),IF(V152="P6"," Preg 6",)),IF(AND(W152&gt;76,J152="Posibilidad"),CONCATENATE(W152,"                           Disminuye en ",J152),W152)))))</f>
        <v>95                           Disminuye en Posibilidad</v>
      </c>
      <c r="Y152" s="57">
        <f t="shared" ref="Y152:Y196" si="1255">IF(AND(W152&gt;75,W152&lt;101,J152="Posibilidad"),1,0)</f>
        <v>1</v>
      </c>
      <c r="Z152" s="356"/>
      <c r="AA152" s="497">
        <f t="shared" ref="AA152" si="1256">IF(AB152=0,"",(ROUND((SUM(W152:W154)/AB152),0)))</f>
        <v>95</v>
      </c>
      <c r="AB152" s="500">
        <f t="shared" ref="AB152" si="1257">COUNT(T152:T154)</f>
        <v>1</v>
      </c>
      <c r="AC152" s="3">
        <f t="shared" ref="AC152" si="1258">SUM(Y152:Y154)</f>
        <v>1</v>
      </c>
      <c r="AD152" s="3">
        <f>ANALISIS!D59</f>
        <v>3</v>
      </c>
      <c r="AE152" s="3">
        <f t="shared" ref="AE152" si="1259">IF(AND(AD152=5,AC152&gt;1),3,AD152)</f>
        <v>3</v>
      </c>
      <c r="AF152" s="501">
        <f t="shared" ref="AF152:AF194" si="1260">AE152</f>
        <v>3</v>
      </c>
      <c r="AG152" s="355" t="str">
        <f t="shared" ref="AG152:AG194" si="1261">IF(AF152=3,"MODERADA",IF(AF152=5,"EXTREMA",""))</f>
        <v>MODERADA</v>
      </c>
      <c r="AH152" s="46"/>
      <c r="AI152" s="46"/>
      <c r="AJ152" s="46"/>
      <c r="AK152" s="46"/>
      <c r="AL152" s="46"/>
      <c r="AM152" s="3" t="str">
        <f t="shared" ref="AM152:AM196" si="1262">IF(AND(N152=30,L152=0),$AM$8,"")</f>
        <v/>
      </c>
      <c r="AN152" s="3" t="str">
        <f t="shared" ref="AN152:AN196" si="1263">IF(AND(N152=30,R152=0),$AN$8,"")</f>
        <v/>
      </c>
      <c r="AO152" s="3" t="str">
        <f t="shared" ref="AO152:AO196" si="1264">IF(AND(N152=30,T152=0),$AO$8,"")</f>
        <v/>
      </c>
      <c r="AP152" s="3" t="str">
        <f t="shared" ref="AP152:AP196" si="1265">IF(AND(N152=30,V152=0),$AP$8,"")</f>
        <v/>
      </c>
      <c r="AQ152" s="3" t="str">
        <f t="shared" ref="AQ152" si="1266">AM152</f>
        <v/>
      </c>
      <c r="AR152" s="3" t="str">
        <f t="shared" ref="AR152" si="1267">AN152</f>
        <v/>
      </c>
      <c r="AT152" s="3" t="str">
        <f t="shared" ref="AT152" si="1268">AO152</f>
        <v/>
      </c>
      <c r="AV152" s="3" t="str">
        <f t="shared" ref="AV152" si="1269">AP152</f>
        <v/>
      </c>
      <c r="AX152" s="502" t="str">
        <f t="shared" ref="AX152" si="1270">IF(AW154="","",CONCATENATE(AW154," (de) el(los) control(es) Efectivo(s) "))</f>
        <v/>
      </c>
      <c r="AY152" s="502" t="str">
        <f t="shared" ref="AY152" si="1271">IF(CONCATENATE(N152:N154)="","",IF(AND(SUM(E152:E154)=10,SUM(N152:N154)&lt;30),"- Replantear control(es) NO efectivo(s) ",IF(AND(SUM(E152:E154)=20,SUM(N152:N154)&lt;60),"- Replantear control(es) NO efectivo(s) ",IF(AND(SUM(E152:E154)=30,SUM(N152:N154)&lt;90),"- Replantear control(es) NO efectivo(s) ",""))))</f>
        <v/>
      </c>
      <c r="AZ152" s="502" t="str">
        <f t="shared" ref="AZ152" si="1272">IF(AND(AE152&gt;1,AE153&gt;1),"- Tomar Acciones Preventivas y Correctivas",IF(AE152&gt;1,"- Tomar Acciones Preventivas",IF(AE153&gt;1,"- Tomar Acciones Correctivas","")))</f>
        <v>- Tomar Acciones Preventivas</v>
      </c>
      <c r="BA152" s="502" t="str">
        <f t="shared" ref="BA152" si="1273">CONCATENATE(AX152,AY152,AZ152)</f>
        <v>- Tomar Acciones Preventivas</v>
      </c>
      <c r="BB152" s="3" t="str">
        <f t="shared" ref="BB152:BB196" si="1274">IF(AND($N152=30,L152=15),"SI",IF(AND($N152=30,L152=0),"NO",""))</f>
        <v>SI</v>
      </c>
      <c r="BC152" s="3" t="str">
        <f t="shared" ref="BC152:BC196" si="1275">IF(AND($N152=0,L152=15),"SI",IF(AND($N152=0,L152=0),"NO",""))</f>
        <v/>
      </c>
      <c r="BD152" s="3" t="str">
        <f t="shared" ref="BD152:BD196" si="1276">IF(AND($N152=30,R152=5),"SI",IF(AND($N152=30,R152=0),"NO",""))</f>
        <v>SI</v>
      </c>
      <c r="BE152" s="3" t="str">
        <f t="shared" ref="BE152:BE196" si="1277">IF(AND($N152=0,R152=5),"SI",IF(AND($N152=0,R152=0),"NO",""))</f>
        <v/>
      </c>
      <c r="BF152" s="3" t="str">
        <f t="shared" ref="BF152:BF196" si="1278">IF(AND($N152=30,T152=15),"SI",IF(AND($N152=30,T152=0),"NO",""))</f>
        <v>SI</v>
      </c>
      <c r="BG152" s="3" t="str">
        <f t="shared" ref="BG152:BG196" si="1279">IF(AND($N152=0,T152=15),"SI",IF(AND($N152=0,T152=0),"NO",""))</f>
        <v/>
      </c>
      <c r="BH152" s="3" t="str">
        <f t="shared" ref="BH152:BH196" si="1280">IF(AND($N152=30,H152="Preventivo"),"P",IF(AND($N152=30,H152="Correctivo"),"C",""))</f>
        <v>P</v>
      </c>
      <c r="BI152" s="3" t="str">
        <f t="shared" si="941"/>
        <v/>
      </c>
      <c r="BJ152" s="3" t="str">
        <f t="shared" si="942"/>
        <v>M</v>
      </c>
      <c r="BK152" s="3" t="str">
        <f t="shared" si="943"/>
        <v/>
      </c>
      <c r="BL152" s="3" t="str">
        <f t="shared" ref="BL152:BL196" si="1281">IF(AND($N152=30,V152=10),"SI",IF(AND($N152=30,V152=0),"NO",""))</f>
        <v>SI</v>
      </c>
      <c r="BM152" s="3" t="str">
        <f t="shared" ref="BM152:BM196" si="1282">IF(AND($N152=0,V152=10),"SI",IF(AND($N152=0,V152=0),"NO",""))</f>
        <v/>
      </c>
    </row>
    <row r="153" spans="1:65" ht="31.5" x14ac:dyDescent="0.2">
      <c r="A153" s="494"/>
      <c r="B153" s="496"/>
      <c r="C153" s="356">
        <v>2</v>
      </c>
      <c r="D153" s="56"/>
      <c r="E153" s="240" t="str">
        <f t="shared" si="933"/>
        <v/>
      </c>
      <c r="F153" s="44"/>
      <c r="G153" s="18" t="str">
        <f t="shared" si="1244"/>
        <v/>
      </c>
      <c r="H153" s="44"/>
      <c r="I153" s="18" t="str">
        <f t="shared" si="1245"/>
        <v/>
      </c>
      <c r="J153" s="55" t="str">
        <f t="shared" si="1246"/>
        <v/>
      </c>
      <c r="K153" s="43"/>
      <c r="L153" s="18" t="str">
        <f t="shared" si="1247"/>
        <v/>
      </c>
      <c r="M153" s="43"/>
      <c r="N153" s="18" t="str">
        <f t="shared" si="1248"/>
        <v/>
      </c>
      <c r="O153" s="43"/>
      <c r="P153" s="18" t="str">
        <f t="shared" si="1249"/>
        <v/>
      </c>
      <c r="Q153" s="43"/>
      <c r="R153" s="18" t="str">
        <f t="shared" si="1250"/>
        <v/>
      </c>
      <c r="S153" s="43"/>
      <c r="T153" s="18" t="str">
        <f t="shared" si="1251"/>
        <v/>
      </c>
      <c r="U153" s="43"/>
      <c r="V153" s="18" t="str">
        <f t="shared" si="1252"/>
        <v/>
      </c>
      <c r="W153" s="18">
        <f t="shared" si="1253"/>
        <v>0</v>
      </c>
      <c r="X153" s="57" t="str">
        <f t="shared" si="1254"/>
        <v/>
      </c>
      <c r="Y153" s="57">
        <f t="shared" si="1255"/>
        <v>0</v>
      </c>
      <c r="Z153" s="356"/>
      <c r="AA153" s="498"/>
      <c r="AB153" s="500"/>
      <c r="AC153" s="3" t="s">
        <v>352</v>
      </c>
      <c r="AF153" s="501"/>
      <c r="AG153" s="46" t="str">
        <f t="shared" ref="AG153" si="1283">IF(AG152&gt;0,"- Evitar Posibilidad de Ocurrencia- Reducir el Riesgo","")</f>
        <v>- Evitar Posibilidad de Ocurrencia- Reducir el Riesgo</v>
      </c>
      <c r="AH153" s="46"/>
      <c r="AI153" s="46"/>
      <c r="AJ153" s="46"/>
      <c r="AK153" s="46"/>
      <c r="AL153" s="46"/>
      <c r="AM153" s="3" t="str">
        <f t="shared" si="1262"/>
        <v/>
      </c>
      <c r="AN153" s="3" t="str">
        <f t="shared" si="1263"/>
        <v/>
      </c>
      <c r="AO153" s="3" t="str">
        <f t="shared" si="1264"/>
        <v/>
      </c>
      <c r="AP153" s="3" t="str">
        <f t="shared" si="1265"/>
        <v/>
      </c>
      <c r="AQ153" s="3" t="str">
        <f t="shared" ref="AQ153:AQ154" si="1284">IF(AQ152="Documentar",AQ152,AM153)</f>
        <v/>
      </c>
      <c r="AR153" s="3" t="str">
        <f t="shared" ref="AR153:AR154" si="1285">IF(AR152="Asignar responsable",AR152,AN153)</f>
        <v/>
      </c>
      <c r="AT153" s="3" t="str">
        <f t="shared" ref="AT153:AT154" si="1286">IF(AT152="Establecer periodos de seguimiento adecuados",AT152,AO153)</f>
        <v/>
      </c>
      <c r="AV153" s="3" t="str">
        <f t="shared" ref="AV153:AV154" si="1287">IF(AV152="Guardar Evidencias",AV152,AP153)</f>
        <v/>
      </c>
      <c r="AX153" s="502"/>
      <c r="AY153" s="502"/>
      <c r="AZ153" s="502"/>
      <c r="BA153" s="502"/>
      <c r="BB153" s="3" t="str">
        <f t="shared" si="1274"/>
        <v/>
      </c>
      <c r="BC153" s="3" t="str">
        <f t="shared" si="1275"/>
        <v/>
      </c>
      <c r="BD153" s="3" t="str">
        <f t="shared" si="1276"/>
        <v/>
      </c>
      <c r="BE153" s="3" t="str">
        <f t="shared" si="1277"/>
        <v/>
      </c>
      <c r="BF153" s="3" t="str">
        <f t="shared" si="1278"/>
        <v/>
      </c>
      <c r="BG153" s="3" t="str">
        <f t="shared" si="1279"/>
        <v/>
      </c>
      <c r="BH153" s="3" t="str">
        <f t="shared" si="1280"/>
        <v/>
      </c>
      <c r="BI153" s="3" t="str">
        <f t="shared" si="941"/>
        <v/>
      </c>
      <c r="BJ153" s="3" t="str">
        <f t="shared" si="942"/>
        <v/>
      </c>
      <c r="BK153" s="3" t="str">
        <f t="shared" si="943"/>
        <v/>
      </c>
      <c r="BL153" s="3" t="str">
        <f t="shared" si="1281"/>
        <v/>
      </c>
      <c r="BM153" s="3" t="str">
        <f t="shared" si="1282"/>
        <v/>
      </c>
    </row>
    <row r="154" spans="1:65" ht="16.5" thickBot="1" x14ac:dyDescent="0.25">
      <c r="A154" s="495"/>
      <c r="B154" s="496"/>
      <c r="C154" s="356">
        <v>3</v>
      </c>
      <c r="D154" s="56"/>
      <c r="E154" s="240" t="str">
        <f t="shared" si="933"/>
        <v/>
      </c>
      <c r="F154" s="44"/>
      <c r="G154" s="18" t="str">
        <f t="shared" si="1244"/>
        <v/>
      </c>
      <c r="H154" s="44"/>
      <c r="I154" s="18" t="str">
        <f t="shared" si="1245"/>
        <v/>
      </c>
      <c r="J154" s="55" t="str">
        <f t="shared" si="1246"/>
        <v/>
      </c>
      <c r="K154" s="43"/>
      <c r="L154" s="18" t="str">
        <f t="shared" si="1247"/>
        <v/>
      </c>
      <c r="M154" s="43"/>
      <c r="N154" s="18" t="str">
        <f t="shared" si="1248"/>
        <v/>
      </c>
      <c r="O154" s="43"/>
      <c r="P154" s="18" t="str">
        <f t="shared" si="1249"/>
        <v/>
      </c>
      <c r="Q154" s="43"/>
      <c r="R154" s="18" t="str">
        <f t="shared" si="1250"/>
        <v/>
      </c>
      <c r="S154" s="43"/>
      <c r="T154" s="18" t="str">
        <f t="shared" si="1251"/>
        <v/>
      </c>
      <c r="U154" s="43"/>
      <c r="V154" s="18" t="str">
        <f t="shared" si="1252"/>
        <v/>
      </c>
      <c r="W154" s="18">
        <f t="shared" si="1253"/>
        <v>0</v>
      </c>
      <c r="X154" s="57" t="str">
        <f t="shared" si="1254"/>
        <v/>
      </c>
      <c r="Y154" s="57">
        <f t="shared" si="1255"/>
        <v>0</v>
      </c>
      <c r="Z154" s="356"/>
      <c r="AA154" s="499"/>
      <c r="AB154" s="500"/>
      <c r="AM154" s="3" t="str">
        <f t="shared" si="1262"/>
        <v/>
      </c>
      <c r="AN154" s="3" t="str">
        <f t="shared" si="1263"/>
        <v/>
      </c>
      <c r="AO154" s="3" t="str">
        <f t="shared" si="1264"/>
        <v/>
      </c>
      <c r="AP154" s="3" t="str">
        <f t="shared" si="1265"/>
        <v/>
      </c>
      <c r="AQ154" s="3" t="str">
        <f t="shared" si="1284"/>
        <v/>
      </c>
      <c r="AR154" s="3" t="str">
        <f t="shared" si="1285"/>
        <v/>
      </c>
      <c r="AS154" s="3" t="str">
        <f t="shared" ref="AS154" si="1288">IF(AND(AQ154="Documentar",AR154="Asignar responsable"),CONCATENATE("- ",AQ154,", ",AR154),IF(AQ154="Documentar",CONCATENATE("- ",AQ154),IF(AR154="Asignar responsable",CONCATENATE("- ",AR154),"")))</f>
        <v/>
      </c>
      <c r="AT154" s="3" t="str">
        <f t="shared" si="1286"/>
        <v/>
      </c>
      <c r="AU154" s="3" t="str">
        <f t="shared" ref="AU154" si="1289">IF(AT154="",AS154,IF(AS154="",CONCATENATE("- ",AT154),CONCATENATE(AS154,", ",AT154)))</f>
        <v/>
      </c>
      <c r="AV154" s="3" t="str">
        <f t="shared" si="1287"/>
        <v/>
      </c>
      <c r="AW154" s="3" t="str">
        <f t="shared" ref="AW154" si="1290">IF(AV154="",AU154,IF(AU154="",CONCATENATE("- ",AV154),CONCATENATE(AU154,", ",AV154)))</f>
        <v/>
      </c>
      <c r="AX154" s="502"/>
      <c r="AY154" s="502"/>
      <c r="AZ154" s="502"/>
      <c r="BA154" s="502"/>
      <c r="BB154" s="3" t="str">
        <f t="shared" si="1274"/>
        <v/>
      </c>
      <c r="BC154" s="3" t="str">
        <f t="shared" si="1275"/>
        <v/>
      </c>
      <c r="BD154" s="3" t="str">
        <f t="shared" si="1276"/>
        <v/>
      </c>
      <c r="BE154" s="3" t="str">
        <f t="shared" si="1277"/>
        <v/>
      </c>
      <c r="BF154" s="3" t="str">
        <f t="shared" si="1278"/>
        <v/>
      </c>
      <c r="BG154" s="3" t="str">
        <f t="shared" si="1279"/>
        <v/>
      </c>
      <c r="BH154" s="3" t="str">
        <f t="shared" si="1280"/>
        <v/>
      </c>
      <c r="BI154" s="3" t="str">
        <f t="shared" si="941"/>
        <v/>
      </c>
      <c r="BJ154" s="3" t="str">
        <f t="shared" si="942"/>
        <v/>
      </c>
      <c r="BK154" s="3" t="str">
        <f t="shared" si="943"/>
        <v/>
      </c>
      <c r="BL154" s="3" t="str">
        <f t="shared" si="1281"/>
        <v/>
      </c>
      <c r="BM154" s="3" t="str">
        <f t="shared" si="1282"/>
        <v/>
      </c>
    </row>
    <row r="155" spans="1:65" ht="63.75" thickTop="1" x14ac:dyDescent="0.2">
      <c r="A155" s="493" t="str">
        <f>IDENTIFICACIÓN!C58</f>
        <v>21C</v>
      </c>
      <c r="B155" s="496" t="str">
        <f>IF(IDENTIFICACIÓN!D58="","",IDENTIFICACIÓN!D58)</f>
        <v xml:space="preserve">Gestión Financiera. Pago de obligaciones sin el lleno de requisitos. </v>
      </c>
      <c r="C155" s="356">
        <v>1</v>
      </c>
      <c r="D155" s="56" t="s">
        <v>11</v>
      </c>
      <c r="E155" s="240">
        <f t="shared" si="933"/>
        <v>10</v>
      </c>
      <c r="F155" s="44" t="s">
        <v>628</v>
      </c>
      <c r="G155" s="18" t="str">
        <f t="shared" si="1244"/>
        <v/>
      </c>
      <c r="H155" s="44" t="s">
        <v>20</v>
      </c>
      <c r="I155" s="18" t="str">
        <f t="shared" si="1245"/>
        <v/>
      </c>
      <c r="J155" s="55" t="str">
        <f t="shared" si="1246"/>
        <v>Posibilidad</v>
      </c>
      <c r="K155" s="43" t="s">
        <v>11</v>
      </c>
      <c r="L155" s="18">
        <f t="shared" si="1247"/>
        <v>15</v>
      </c>
      <c r="M155" s="43" t="s">
        <v>11</v>
      </c>
      <c r="N155" s="18">
        <f t="shared" si="1248"/>
        <v>30</v>
      </c>
      <c r="O155" s="43" t="s">
        <v>323</v>
      </c>
      <c r="P155" s="18">
        <f t="shared" si="1249"/>
        <v>10</v>
      </c>
      <c r="Q155" s="43" t="s">
        <v>11</v>
      </c>
      <c r="R155" s="18">
        <f t="shared" si="1250"/>
        <v>5</v>
      </c>
      <c r="S155" s="43" t="s">
        <v>11</v>
      </c>
      <c r="T155" s="18">
        <f t="shared" si="1251"/>
        <v>15</v>
      </c>
      <c r="U155" s="43" t="s">
        <v>11</v>
      </c>
      <c r="V155" s="18">
        <f t="shared" si="1252"/>
        <v>10</v>
      </c>
      <c r="W155" s="18">
        <f t="shared" si="1253"/>
        <v>95</v>
      </c>
      <c r="X155" s="57" t="str">
        <f t="shared" si="1254"/>
        <v>95                           Disminuye en Posibilidad</v>
      </c>
      <c r="Y155" s="57">
        <f t="shared" si="1255"/>
        <v>1</v>
      </c>
      <c r="Z155" s="356"/>
      <c r="AA155" s="497">
        <f t="shared" ref="AA155" si="1291">IF(AB155=0,"",(ROUND((SUM(W155:W157)/AB155),0)))</f>
        <v>95</v>
      </c>
      <c r="AB155" s="500">
        <f t="shared" ref="AB155" si="1292">COUNT(T155:T157)</f>
        <v>2</v>
      </c>
      <c r="AC155" s="3">
        <f t="shared" ref="AC155" si="1293">SUM(Y155:Y157)</f>
        <v>2</v>
      </c>
      <c r="AD155" s="3">
        <f>ANALISIS!D60</f>
        <v>3</v>
      </c>
      <c r="AE155" s="3">
        <f t="shared" ref="AE155" si="1294">IF(AND(AD155=5,AC155&gt;1),3,AD155)</f>
        <v>3</v>
      </c>
      <c r="AF155" s="501">
        <f t="shared" si="1260"/>
        <v>3</v>
      </c>
      <c r="AG155" s="355" t="str">
        <f t="shared" si="1261"/>
        <v>MODERADA</v>
      </c>
      <c r="AH155" s="46"/>
      <c r="AI155" s="46"/>
      <c r="AJ155" s="46"/>
      <c r="AK155" s="46"/>
      <c r="AL155" s="46"/>
      <c r="AM155" s="3" t="str">
        <f t="shared" si="1262"/>
        <v/>
      </c>
      <c r="AN155" s="3" t="str">
        <f t="shared" si="1263"/>
        <v/>
      </c>
      <c r="AO155" s="3" t="str">
        <f t="shared" si="1264"/>
        <v/>
      </c>
      <c r="AP155" s="3" t="str">
        <f t="shared" si="1265"/>
        <v/>
      </c>
      <c r="AQ155" s="3" t="str">
        <f t="shared" ref="AQ155" si="1295">AM155</f>
        <v/>
      </c>
      <c r="AR155" s="3" t="str">
        <f t="shared" ref="AR155" si="1296">AN155</f>
        <v/>
      </c>
      <c r="AT155" s="3" t="str">
        <f t="shared" ref="AT155" si="1297">AO155</f>
        <v/>
      </c>
      <c r="AV155" s="3" t="str">
        <f t="shared" ref="AV155" si="1298">AP155</f>
        <v/>
      </c>
      <c r="AX155" s="502" t="str">
        <f t="shared" ref="AX155" si="1299">IF(AW157="","",CONCATENATE(AW157," (de) el(los) control(es) Efectivo(s) "))</f>
        <v/>
      </c>
      <c r="AY155" s="502" t="str">
        <f t="shared" ref="AY155" si="1300">IF(CONCATENATE(N155:N157)="","",IF(AND(SUM(E155:E157)=10,SUM(N155:N157)&lt;30),"- Replantear control(es) NO efectivo(s) ",IF(AND(SUM(E155:E157)=20,SUM(N155:N157)&lt;60),"- Replantear control(es) NO efectivo(s) ",IF(AND(SUM(E155:E157)=30,SUM(N155:N157)&lt;90),"- Replantear control(es) NO efectivo(s) ",""))))</f>
        <v/>
      </c>
      <c r="AZ155" s="502" t="str">
        <f t="shared" ref="AZ155" si="1301">IF(AND(AE155&gt;1,AE156&gt;1),"- Tomar Acciones Preventivas y Correctivas",IF(AE155&gt;1,"- Tomar Acciones Preventivas",IF(AE156&gt;1,"- Tomar Acciones Correctivas","")))</f>
        <v>- Tomar Acciones Preventivas</v>
      </c>
      <c r="BA155" s="502" t="str">
        <f t="shared" ref="BA155" si="1302">CONCATENATE(AX155,AY155,AZ155)</f>
        <v>- Tomar Acciones Preventivas</v>
      </c>
      <c r="BB155" s="3" t="str">
        <f t="shared" si="1274"/>
        <v>SI</v>
      </c>
      <c r="BC155" s="3" t="str">
        <f t="shared" si="1275"/>
        <v/>
      </c>
      <c r="BD155" s="3" t="str">
        <f t="shared" si="1276"/>
        <v>SI</v>
      </c>
      <c r="BE155" s="3" t="str">
        <f t="shared" si="1277"/>
        <v/>
      </c>
      <c r="BF155" s="3" t="str">
        <f t="shared" si="1278"/>
        <v>SI</v>
      </c>
      <c r="BG155" s="3" t="str">
        <f t="shared" si="1279"/>
        <v/>
      </c>
      <c r="BH155" s="3" t="str">
        <f t="shared" si="1280"/>
        <v>P</v>
      </c>
      <c r="BI155" s="3" t="str">
        <f t="shared" si="941"/>
        <v/>
      </c>
      <c r="BJ155" s="3" t="str">
        <f t="shared" si="942"/>
        <v>M</v>
      </c>
      <c r="BK155" s="3" t="str">
        <f t="shared" si="943"/>
        <v/>
      </c>
      <c r="BL155" s="3" t="str">
        <f t="shared" si="1281"/>
        <v>SI</v>
      </c>
      <c r="BM155" s="3" t="str">
        <f t="shared" si="1282"/>
        <v/>
      </c>
    </row>
    <row r="156" spans="1:65" ht="63" x14ac:dyDescent="0.2">
      <c r="A156" s="494"/>
      <c r="B156" s="496"/>
      <c r="C156" s="356">
        <v>2</v>
      </c>
      <c r="D156" s="56" t="s">
        <v>11</v>
      </c>
      <c r="E156" s="240">
        <f t="shared" si="933"/>
        <v>10</v>
      </c>
      <c r="F156" s="44" t="s">
        <v>629</v>
      </c>
      <c r="G156" s="18" t="str">
        <f t="shared" si="1244"/>
        <v/>
      </c>
      <c r="H156" s="44" t="s">
        <v>20</v>
      </c>
      <c r="I156" s="18" t="str">
        <f t="shared" si="1245"/>
        <v/>
      </c>
      <c r="J156" s="55" t="str">
        <f t="shared" si="1246"/>
        <v>Posibilidad</v>
      </c>
      <c r="K156" s="43" t="s">
        <v>11</v>
      </c>
      <c r="L156" s="18">
        <f t="shared" si="1247"/>
        <v>15</v>
      </c>
      <c r="M156" s="43" t="s">
        <v>11</v>
      </c>
      <c r="N156" s="18">
        <f t="shared" si="1248"/>
        <v>30</v>
      </c>
      <c r="O156" s="43" t="s">
        <v>323</v>
      </c>
      <c r="P156" s="18">
        <f t="shared" si="1249"/>
        <v>10</v>
      </c>
      <c r="Q156" s="43" t="s">
        <v>11</v>
      </c>
      <c r="R156" s="18">
        <f t="shared" si="1250"/>
        <v>5</v>
      </c>
      <c r="S156" s="43" t="s">
        <v>11</v>
      </c>
      <c r="T156" s="18">
        <f t="shared" si="1251"/>
        <v>15</v>
      </c>
      <c r="U156" s="43" t="s">
        <v>11</v>
      </c>
      <c r="V156" s="18">
        <f t="shared" si="1252"/>
        <v>10</v>
      </c>
      <c r="W156" s="18">
        <f t="shared" si="1253"/>
        <v>95</v>
      </c>
      <c r="X156" s="57" t="str">
        <f t="shared" si="1254"/>
        <v>95                           Disminuye en Posibilidad</v>
      </c>
      <c r="Y156" s="57">
        <f t="shared" si="1255"/>
        <v>1</v>
      </c>
      <c r="Z156" s="356"/>
      <c r="AA156" s="498"/>
      <c r="AB156" s="500"/>
      <c r="AC156" s="3" t="s">
        <v>352</v>
      </c>
      <c r="AF156" s="501"/>
      <c r="AG156" s="46" t="str">
        <f t="shared" ref="AG156" si="1303">IF(AG155&gt;0,"- Evitar Posibilidad de Ocurrencia- Reducir el Riesgo","")</f>
        <v>- Evitar Posibilidad de Ocurrencia- Reducir el Riesgo</v>
      </c>
      <c r="AH156" s="46"/>
      <c r="AI156" s="46"/>
      <c r="AJ156" s="46"/>
      <c r="AK156" s="46"/>
      <c r="AL156" s="46"/>
      <c r="AM156" s="3" t="str">
        <f t="shared" si="1262"/>
        <v/>
      </c>
      <c r="AN156" s="3" t="str">
        <f t="shared" si="1263"/>
        <v/>
      </c>
      <c r="AO156" s="3" t="str">
        <f t="shared" si="1264"/>
        <v/>
      </c>
      <c r="AP156" s="3" t="str">
        <f t="shared" si="1265"/>
        <v/>
      </c>
      <c r="AQ156" s="3" t="str">
        <f t="shared" ref="AQ156:AQ157" si="1304">IF(AQ155="Documentar",AQ155,AM156)</f>
        <v/>
      </c>
      <c r="AR156" s="3" t="str">
        <f t="shared" ref="AR156:AR157" si="1305">IF(AR155="Asignar responsable",AR155,AN156)</f>
        <v/>
      </c>
      <c r="AT156" s="3" t="str">
        <f t="shared" ref="AT156:AT157" si="1306">IF(AT155="Establecer periodos de seguimiento adecuados",AT155,AO156)</f>
        <v/>
      </c>
      <c r="AV156" s="3" t="str">
        <f t="shared" ref="AV156:AV157" si="1307">IF(AV155="Guardar Evidencias",AV155,AP156)</f>
        <v/>
      </c>
      <c r="AX156" s="502"/>
      <c r="AY156" s="502"/>
      <c r="AZ156" s="502"/>
      <c r="BA156" s="502"/>
      <c r="BB156" s="3" t="str">
        <f t="shared" si="1274"/>
        <v>SI</v>
      </c>
      <c r="BC156" s="3" t="str">
        <f t="shared" si="1275"/>
        <v/>
      </c>
      <c r="BD156" s="3" t="str">
        <f t="shared" si="1276"/>
        <v>SI</v>
      </c>
      <c r="BE156" s="3" t="str">
        <f t="shared" si="1277"/>
        <v/>
      </c>
      <c r="BF156" s="3" t="str">
        <f t="shared" si="1278"/>
        <v>SI</v>
      </c>
      <c r="BG156" s="3" t="str">
        <f t="shared" si="1279"/>
        <v/>
      </c>
      <c r="BH156" s="3" t="str">
        <f t="shared" si="1280"/>
        <v>P</v>
      </c>
      <c r="BI156" s="3" t="str">
        <f t="shared" si="941"/>
        <v/>
      </c>
      <c r="BJ156" s="3" t="str">
        <f t="shared" si="942"/>
        <v>M</v>
      </c>
      <c r="BK156" s="3" t="str">
        <f t="shared" si="943"/>
        <v/>
      </c>
      <c r="BL156" s="3" t="str">
        <f t="shared" si="1281"/>
        <v>SI</v>
      </c>
      <c r="BM156" s="3" t="str">
        <f t="shared" si="1282"/>
        <v/>
      </c>
    </row>
    <row r="157" spans="1:65" ht="16.5" thickBot="1" x14ac:dyDescent="0.25">
      <c r="A157" s="495"/>
      <c r="B157" s="496"/>
      <c r="C157" s="356">
        <v>3</v>
      </c>
      <c r="D157" s="56"/>
      <c r="E157" s="240" t="str">
        <f t="shared" si="933"/>
        <v/>
      </c>
      <c r="F157" s="44"/>
      <c r="G157" s="18" t="str">
        <f t="shared" si="1244"/>
        <v/>
      </c>
      <c r="H157" s="44"/>
      <c r="I157" s="18" t="str">
        <f t="shared" si="1245"/>
        <v/>
      </c>
      <c r="J157" s="55" t="str">
        <f t="shared" si="1246"/>
        <v/>
      </c>
      <c r="K157" s="43"/>
      <c r="L157" s="18" t="str">
        <f t="shared" si="1247"/>
        <v/>
      </c>
      <c r="M157" s="43"/>
      <c r="N157" s="18" t="str">
        <f t="shared" si="1248"/>
        <v/>
      </c>
      <c r="O157" s="43"/>
      <c r="P157" s="18" t="str">
        <f t="shared" si="1249"/>
        <v/>
      </c>
      <c r="Q157" s="43"/>
      <c r="R157" s="18" t="str">
        <f t="shared" si="1250"/>
        <v/>
      </c>
      <c r="S157" s="43"/>
      <c r="T157" s="18" t="str">
        <f t="shared" si="1251"/>
        <v/>
      </c>
      <c r="U157" s="43"/>
      <c r="V157" s="18" t="str">
        <f t="shared" si="1252"/>
        <v/>
      </c>
      <c r="W157" s="18">
        <f t="shared" si="1253"/>
        <v>0</v>
      </c>
      <c r="X157" s="57" t="str">
        <f t="shared" si="1254"/>
        <v/>
      </c>
      <c r="Y157" s="57">
        <f t="shared" si="1255"/>
        <v>0</v>
      </c>
      <c r="Z157" s="356"/>
      <c r="AA157" s="499"/>
      <c r="AB157" s="500"/>
      <c r="AM157" s="3" t="str">
        <f t="shared" si="1262"/>
        <v/>
      </c>
      <c r="AN157" s="3" t="str">
        <f t="shared" si="1263"/>
        <v/>
      </c>
      <c r="AO157" s="3" t="str">
        <f t="shared" si="1264"/>
        <v/>
      </c>
      <c r="AP157" s="3" t="str">
        <f t="shared" si="1265"/>
        <v/>
      </c>
      <c r="AQ157" s="3" t="str">
        <f t="shared" si="1304"/>
        <v/>
      </c>
      <c r="AR157" s="3" t="str">
        <f t="shared" si="1305"/>
        <v/>
      </c>
      <c r="AS157" s="3" t="str">
        <f t="shared" ref="AS157" si="1308">IF(AND(AQ157="Documentar",AR157="Asignar responsable"),CONCATENATE("- ",AQ157,", ",AR157),IF(AQ157="Documentar",CONCATENATE("- ",AQ157),IF(AR157="Asignar responsable",CONCATENATE("- ",AR157),"")))</f>
        <v/>
      </c>
      <c r="AT157" s="3" t="str">
        <f t="shared" si="1306"/>
        <v/>
      </c>
      <c r="AU157" s="3" t="str">
        <f t="shared" ref="AU157" si="1309">IF(AT157="",AS157,IF(AS157="",CONCATENATE("- ",AT157),CONCATENATE(AS157,", ",AT157)))</f>
        <v/>
      </c>
      <c r="AV157" s="3" t="str">
        <f t="shared" si="1307"/>
        <v/>
      </c>
      <c r="AW157" s="3" t="str">
        <f t="shared" ref="AW157" si="1310">IF(AV157="",AU157,IF(AU157="",CONCATENATE("- ",AV157),CONCATENATE(AU157,", ",AV157)))</f>
        <v/>
      </c>
      <c r="AX157" s="502"/>
      <c r="AY157" s="502"/>
      <c r="AZ157" s="502"/>
      <c r="BA157" s="502"/>
      <c r="BB157" s="3" t="str">
        <f t="shared" si="1274"/>
        <v/>
      </c>
      <c r="BC157" s="3" t="str">
        <f t="shared" si="1275"/>
        <v/>
      </c>
      <c r="BD157" s="3" t="str">
        <f t="shared" si="1276"/>
        <v/>
      </c>
      <c r="BE157" s="3" t="str">
        <f t="shared" si="1277"/>
        <v/>
      </c>
      <c r="BF157" s="3" t="str">
        <f t="shared" si="1278"/>
        <v/>
      </c>
      <c r="BG157" s="3" t="str">
        <f t="shared" si="1279"/>
        <v/>
      </c>
      <c r="BH157" s="3" t="str">
        <f t="shared" si="1280"/>
        <v/>
      </c>
      <c r="BI157" s="3" t="str">
        <f t="shared" si="941"/>
        <v/>
      </c>
      <c r="BJ157" s="3" t="str">
        <f t="shared" si="942"/>
        <v/>
      </c>
      <c r="BK157" s="3" t="str">
        <f t="shared" si="943"/>
        <v/>
      </c>
      <c r="BL157" s="3" t="str">
        <f t="shared" si="1281"/>
        <v/>
      </c>
      <c r="BM157" s="3" t="str">
        <f t="shared" si="1282"/>
        <v/>
      </c>
    </row>
    <row r="158" spans="1:65" ht="36.75" thickTop="1" x14ac:dyDescent="0.2">
      <c r="A158" s="493" t="str">
        <f>IDENTIFICACIÓN!C59</f>
        <v>22C</v>
      </c>
      <c r="B158" s="496" t="str">
        <f>IF(IDENTIFICACIÓN!D59="","",IDENTIFICACIÓN!D59)</f>
        <v>Gestión Financiera. Perdida de titulos valores</v>
      </c>
      <c r="C158" s="356">
        <v>1</v>
      </c>
      <c r="D158" s="56" t="s">
        <v>11</v>
      </c>
      <c r="E158" s="240">
        <f t="shared" si="933"/>
        <v>10</v>
      </c>
      <c r="F158" s="44" t="s">
        <v>630</v>
      </c>
      <c r="G158" s="18" t="str">
        <f t="shared" si="1244"/>
        <v/>
      </c>
      <c r="H158" s="44" t="s">
        <v>20</v>
      </c>
      <c r="I158" s="18" t="str">
        <f t="shared" si="1245"/>
        <v/>
      </c>
      <c r="J158" s="55" t="str">
        <f t="shared" si="1246"/>
        <v>Posibilidad</v>
      </c>
      <c r="K158" s="43" t="s">
        <v>11</v>
      </c>
      <c r="L158" s="18">
        <f t="shared" si="1247"/>
        <v>15</v>
      </c>
      <c r="M158" s="43" t="s">
        <v>11</v>
      </c>
      <c r="N158" s="18">
        <f t="shared" si="1248"/>
        <v>30</v>
      </c>
      <c r="O158" s="43" t="s">
        <v>323</v>
      </c>
      <c r="P158" s="18">
        <f t="shared" si="1249"/>
        <v>10</v>
      </c>
      <c r="Q158" s="43" t="s">
        <v>11</v>
      </c>
      <c r="R158" s="18">
        <f t="shared" si="1250"/>
        <v>5</v>
      </c>
      <c r="S158" s="43" t="s">
        <v>11</v>
      </c>
      <c r="T158" s="18">
        <f t="shared" si="1251"/>
        <v>15</v>
      </c>
      <c r="U158" s="43" t="s">
        <v>11</v>
      </c>
      <c r="V158" s="18">
        <f t="shared" si="1252"/>
        <v>10</v>
      </c>
      <c r="W158" s="18">
        <f t="shared" si="1253"/>
        <v>95</v>
      </c>
      <c r="X158" s="57" t="str">
        <f t="shared" si="1254"/>
        <v>95                           Disminuye en Posibilidad</v>
      </c>
      <c r="Y158" s="57">
        <f t="shared" si="1255"/>
        <v>1</v>
      </c>
      <c r="Z158" s="356"/>
      <c r="AA158" s="497">
        <f t="shared" ref="AA158" si="1311">IF(AB158=0,"",(ROUND((SUM(W158:W160)/AB158),0)))</f>
        <v>95</v>
      </c>
      <c r="AB158" s="500">
        <f t="shared" ref="AB158" si="1312">COUNT(T158:T160)</f>
        <v>2</v>
      </c>
      <c r="AC158" s="3">
        <f t="shared" ref="AC158" si="1313">SUM(Y158:Y160)</f>
        <v>2</v>
      </c>
      <c r="AD158" s="3">
        <f>ANALISIS!D61</f>
        <v>3</v>
      </c>
      <c r="AE158" s="3">
        <f t="shared" ref="AE158" si="1314">IF(AND(AD158=5,AC158&gt;1),3,AD158)</f>
        <v>3</v>
      </c>
      <c r="AF158" s="501">
        <f t="shared" si="1260"/>
        <v>3</v>
      </c>
      <c r="AG158" s="355" t="str">
        <f t="shared" si="1261"/>
        <v>MODERADA</v>
      </c>
      <c r="AH158" s="46"/>
      <c r="AI158" s="46"/>
      <c r="AJ158" s="46"/>
      <c r="AK158" s="46"/>
      <c r="AL158" s="46"/>
      <c r="AM158" s="3" t="str">
        <f t="shared" si="1262"/>
        <v/>
      </c>
      <c r="AN158" s="3" t="str">
        <f t="shared" si="1263"/>
        <v/>
      </c>
      <c r="AO158" s="3" t="str">
        <f t="shared" si="1264"/>
        <v/>
      </c>
      <c r="AP158" s="3" t="str">
        <f t="shared" si="1265"/>
        <v/>
      </c>
      <c r="AQ158" s="3" t="str">
        <f t="shared" ref="AQ158" si="1315">AM158</f>
        <v/>
      </c>
      <c r="AR158" s="3" t="str">
        <f t="shared" ref="AR158" si="1316">AN158</f>
        <v/>
      </c>
      <c r="AT158" s="3" t="str">
        <f t="shared" ref="AT158" si="1317">AO158</f>
        <v/>
      </c>
      <c r="AV158" s="3" t="str">
        <f t="shared" ref="AV158" si="1318">AP158</f>
        <v/>
      </c>
      <c r="AX158" s="502" t="str">
        <f t="shared" ref="AX158" si="1319">IF(AW160="","",CONCATENATE(AW160," (de) el(los) control(es) Efectivo(s) "))</f>
        <v/>
      </c>
      <c r="AY158" s="502" t="str">
        <f t="shared" ref="AY158" si="1320">IF(CONCATENATE(N158:N160)="","",IF(AND(SUM(E158:E160)=10,SUM(N158:N160)&lt;30),"- Replantear control(es) NO efectivo(s) ",IF(AND(SUM(E158:E160)=20,SUM(N158:N160)&lt;60),"- Replantear control(es) NO efectivo(s) ",IF(AND(SUM(E158:E160)=30,SUM(N158:N160)&lt;90),"- Replantear control(es) NO efectivo(s) ",""))))</f>
        <v/>
      </c>
      <c r="AZ158" s="502" t="str">
        <f t="shared" ref="AZ158" si="1321">IF(AND(AE158&gt;1,AE159&gt;1),"- Tomar Acciones Preventivas y Correctivas",IF(AE158&gt;1,"- Tomar Acciones Preventivas",IF(AE159&gt;1,"- Tomar Acciones Correctivas","")))</f>
        <v>- Tomar Acciones Preventivas</v>
      </c>
      <c r="BA158" s="502" t="str">
        <f t="shared" ref="BA158" si="1322">CONCATENATE(AX158,AY158,AZ158)</f>
        <v>- Tomar Acciones Preventivas</v>
      </c>
      <c r="BB158" s="3" t="str">
        <f t="shared" si="1274"/>
        <v>SI</v>
      </c>
      <c r="BC158" s="3" t="str">
        <f t="shared" si="1275"/>
        <v/>
      </c>
      <c r="BD158" s="3" t="str">
        <f t="shared" si="1276"/>
        <v>SI</v>
      </c>
      <c r="BE158" s="3" t="str">
        <f t="shared" si="1277"/>
        <v/>
      </c>
      <c r="BF158" s="3" t="str">
        <f t="shared" si="1278"/>
        <v>SI</v>
      </c>
      <c r="BG158" s="3" t="str">
        <f t="shared" si="1279"/>
        <v/>
      </c>
      <c r="BH158" s="3" t="str">
        <f t="shared" si="1280"/>
        <v>P</v>
      </c>
      <c r="BI158" s="3" t="str">
        <f t="shared" si="941"/>
        <v/>
      </c>
      <c r="BJ158" s="3" t="str">
        <f t="shared" si="942"/>
        <v>M</v>
      </c>
      <c r="BK158" s="3" t="str">
        <f t="shared" si="943"/>
        <v/>
      </c>
      <c r="BL158" s="3" t="str">
        <f t="shared" si="1281"/>
        <v>SI</v>
      </c>
      <c r="BM158" s="3" t="str">
        <f t="shared" si="1282"/>
        <v/>
      </c>
    </row>
    <row r="159" spans="1:65" ht="63" x14ac:dyDescent="0.2">
      <c r="A159" s="494"/>
      <c r="B159" s="496"/>
      <c r="C159" s="356">
        <v>2</v>
      </c>
      <c r="D159" s="56" t="s">
        <v>11</v>
      </c>
      <c r="E159" s="240">
        <f t="shared" si="933"/>
        <v>10</v>
      </c>
      <c r="F159" s="44" t="s">
        <v>631</v>
      </c>
      <c r="G159" s="18" t="str">
        <f t="shared" si="1244"/>
        <v/>
      </c>
      <c r="H159" s="44" t="s">
        <v>20</v>
      </c>
      <c r="I159" s="18" t="str">
        <f t="shared" si="1245"/>
        <v/>
      </c>
      <c r="J159" s="55" t="str">
        <f t="shared" si="1246"/>
        <v>Posibilidad</v>
      </c>
      <c r="K159" s="43" t="s">
        <v>11</v>
      </c>
      <c r="L159" s="18">
        <f t="shared" si="1247"/>
        <v>15</v>
      </c>
      <c r="M159" s="43" t="s">
        <v>11</v>
      </c>
      <c r="N159" s="18">
        <f t="shared" si="1248"/>
        <v>30</v>
      </c>
      <c r="O159" s="43" t="s">
        <v>323</v>
      </c>
      <c r="P159" s="18">
        <f t="shared" si="1249"/>
        <v>10</v>
      </c>
      <c r="Q159" s="43" t="s">
        <v>11</v>
      </c>
      <c r="R159" s="18">
        <f t="shared" si="1250"/>
        <v>5</v>
      </c>
      <c r="S159" s="43" t="s">
        <v>11</v>
      </c>
      <c r="T159" s="18">
        <f t="shared" si="1251"/>
        <v>15</v>
      </c>
      <c r="U159" s="43" t="s">
        <v>11</v>
      </c>
      <c r="V159" s="18">
        <f t="shared" si="1252"/>
        <v>10</v>
      </c>
      <c r="W159" s="18">
        <f t="shared" si="1253"/>
        <v>95</v>
      </c>
      <c r="X159" s="57" t="str">
        <f t="shared" si="1254"/>
        <v>95                           Disminuye en Posibilidad</v>
      </c>
      <c r="Y159" s="57">
        <f t="shared" si="1255"/>
        <v>1</v>
      </c>
      <c r="Z159" s="356"/>
      <c r="AA159" s="498"/>
      <c r="AB159" s="500"/>
      <c r="AC159" s="3" t="s">
        <v>352</v>
      </c>
      <c r="AF159" s="501"/>
      <c r="AG159" s="46" t="str">
        <f t="shared" ref="AG159" si="1323">IF(AG158&gt;0,"- Evitar Posibilidad de Ocurrencia- Reducir el Riesgo","")</f>
        <v>- Evitar Posibilidad de Ocurrencia- Reducir el Riesgo</v>
      </c>
      <c r="AH159" s="46"/>
      <c r="AI159" s="46"/>
      <c r="AJ159" s="46"/>
      <c r="AK159" s="46"/>
      <c r="AL159" s="46"/>
      <c r="AM159" s="3" t="str">
        <f t="shared" si="1262"/>
        <v/>
      </c>
      <c r="AN159" s="3" t="str">
        <f t="shared" si="1263"/>
        <v/>
      </c>
      <c r="AO159" s="3" t="str">
        <f t="shared" si="1264"/>
        <v/>
      </c>
      <c r="AP159" s="3" t="str">
        <f t="shared" si="1265"/>
        <v/>
      </c>
      <c r="AQ159" s="3" t="str">
        <f t="shared" ref="AQ159:AQ160" si="1324">IF(AQ158="Documentar",AQ158,AM159)</f>
        <v/>
      </c>
      <c r="AR159" s="3" t="str">
        <f t="shared" ref="AR159:AR160" si="1325">IF(AR158="Asignar responsable",AR158,AN159)</f>
        <v/>
      </c>
      <c r="AT159" s="3" t="str">
        <f t="shared" ref="AT159:AT160" si="1326">IF(AT158="Establecer periodos de seguimiento adecuados",AT158,AO159)</f>
        <v/>
      </c>
      <c r="AV159" s="3" t="str">
        <f t="shared" ref="AV159:AV160" si="1327">IF(AV158="Guardar Evidencias",AV158,AP159)</f>
        <v/>
      </c>
      <c r="AX159" s="502"/>
      <c r="AY159" s="502"/>
      <c r="AZ159" s="502"/>
      <c r="BA159" s="502"/>
      <c r="BB159" s="3" t="str">
        <f t="shared" si="1274"/>
        <v>SI</v>
      </c>
      <c r="BC159" s="3" t="str">
        <f t="shared" si="1275"/>
        <v/>
      </c>
      <c r="BD159" s="3" t="str">
        <f t="shared" si="1276"/>
        <v>SI</v>
      </c>
      <c r="BE159" s="3" t="str">
        <f t="shared" si="1277"/>
        <v/>
      </c>
      <c r="BF159" s="3" t="str">
        <f t="shared" si="1278"/>
        <v>SI</v>
      </c>
      <c r="BG159" s="3" t="str">
        <f t="shared" si="1279"/>
        <v/>
      </c>
      <c r="BH159" s="3" t="str">
        <f t="shared" si="1280"/>
        <v>P</v>
      </c>
      <c r="BI159" s="3" t="str">
        <f t="shared" si="941"/>
        <v/>
      </c>
      <c r="BJ159" s="3" t="str">
        <f t="shared" si="942"/>
        <v>M</v>
      </c>
      <c r="BK159" s="3" t="str">
        <f t="shared" si="943"/>
        <v/>
      </c>
      <c r="BL159" s="3" t="str">
        <f t="shared" si="1281"/>
        <v>SI</v>
      </c>
      <c r="BM159" s="3" t="str">
        <f t="shared" si="1282"/>
        <v/>
      </c>
    </row>
    <row r="160" spans="1:65" ht="16.5" thickBot="1" x14ac:dyDescent="0.25">
      <c r="A160" s="495"/>
      <c r="B160" s="496"/>
      <c r="C160" s="356">
        <v>3</v>
      </c>
      <c r="D160" s="56"/>
      <c r="E160" s="240" t="str">
        <f t="shared" si="933"/>
        <v/>
      </c>
      <c r="F160" s="44"/>
      <c r="G160" s="18" t="str">
        <f t="shared" si="1244"/>
        <v/>
      </c>
      <c r="H160" s="44"/>
      <c r="I160" s="18" t="str">
        <f t="shared" si="1245"/>
        <v/>
      </c>
      <c r="J160" s="55" t="str">
        <f t="shared" si="1246"/>
        <v/>
      </c>
      <c r="K160" s="43"/>
      <c r="L160" s="18" t="str">
        <f t="shared" si="1247"/>
        <v/>
      </c>
      <c r="M160" s="43"/>
      <c r="N160" s="18" t="str">
        <f t="shared" si="1248"/>
        <v/>
      </c>
      <c r="O160" s="43"/>
      <c r="P160" s="18" t="str">
        <f t="shared" si="1249"/>
        <v/>
      </c>
      <c r="Q160" s="43"/>
      <c r="R160" s="18" t="str">
        <f t="shared" si="1250"/>
        <v/>
      </c>
      <c r="S160" s="43"/>
      <c r="T160" s="18" t="str">
        <f t="shared" si="1251"/>
        <v/>
      </c>
      <c r="U160" s="43"/>
      <c r="V160" s="18" t="str">
        <f t="shared" si="1252"/>
        <v/>
      </c>
      <c r="W160" s="18">
        <f t="shared" si="1253"/>
        <v>0</v>
      </c>
      <c r="X160" s="57" t="str">
        <f t="shared" si="1254"/>
        <v/>
      </c>
      <c r="Y160" s="57">
        <f t="shared" si="1255"/>
        <v>0</v>
      </c>
      <c r="Z160" s="356"/>
      <c r="AA160" s="499"/>
      <c r="AB160" s="500"/>
      <c r="AM160" s="3" t="str">
        <f t="shared" si="1262"/>
        <v/>
      </c>
      <c r="AN160" s="3" t="str">
        <f t="shared" si="1263"/>
        <v/>
      </c>
      <c r="AO160" s="3" t="str">
        <f t="shared" si="1264"/>
        <v/>
      </c>
      <c r="AP160" s="3" t="str">
        <f t="shared" si="1265"/>
        <v/>
      </c>
      <c r="AQ160" s="3" t="str">
        <f t="shared" si="1324"/>
        <v/>
      </c>
      <c r="AR160" s="3" t="str">
        <f t="shared" si="1325"/>
        <v/>
      </c>
      <c r="AS160" s="3" t="str">
        <f t="shared" ref="AS160" si="1328">IF(AND(AQ160="Documentar",AR160="Asignar responsable"),CONCATENATE("- ",AQ160,", ",AR160),IF(AQ160="Documentar",CONCATENATE("- ",AQ160),IF(AR160="Asignar responsable",CONCATENATE("- ",AR160),"")))</f>
        <v/>
      </c>
      <c r="AT160" s="3" t="str">
        <f t="shared" si="1326"/>
        <v/>
      </c>
      <c r="AU160" s="3" t="str">
        <f t="shared" ref="AU160" si="1329">IF(AT160="",AS160,IF(AS160="",CONCATENATE("- ",AT160),CONCATENATE(AS160,", ",AT160)))</f>
        <v/>
      </c>
      <c r="AV160" s="3" t="str">
        <f t="shared" si="1327"/>
        <v/>
      </c>
      <c r="AW160" s="3" t="str">
        <f t="shared" ref="AW160" si="1330">IF(AV160="",AU160,IF(AU160="",CONCATENATE("- ",AV160),CONCATENATE(AU160,", ",AV160)))</f>
        <v/>
      </c>
      <c r="AX160" s="502"/>
      <c r="AY160" s="502"/>
      <c r="AZ160" s="502"/>
      <c r="BA160" s="502"/>
      <c r="BB160" s="3" t="str">
        <f t="shared" si="1274"/>
        <v/>
      </c>
      <c r="BC160" s="3" t="str">
        <f t="shared" si="1275"/>
        <v/>
      </c>
      <c r="BD160" s="3" t="str">
        <f t="shared" si="1276"/>
        <v/>
      </c>
      <c r="BE160" s="3" t="str">
        <f t="shared" si="1277"/>
        <v/>
      </c>
      <c r="BF160" s="3" t="str">
        <f t="shared" si="1278"/>
        <v/>
      </c>
      <c r="BG160" s="3" t="str">
        <f t="shared" si="1279"/>
        <v/>
      </c>
      <c r="BH160" s="3" t="str">
        <f t="shared" si="1280"/>
        <v/>
      </c>
      <c r="BI160" s="3" t="str">
        <f t="shared" si="941"/>
        <v/>
      </c>
      <c r="BJ160" s="3" t="str">
        <f t="shared" si="942"/>
        <v/>
      </c>
      <c r="BK160" s="3" t="str">
        <f t="shared" si="943"/>
        <v/>
      </c>
      <c r="BL160" s="3" t="str">
        <f t="shared" si="1281"/>
        <v/>
      </c>
      <c r="BM160" s="3" t="str">
        <f t="shared" si="1282"/>
        <v/>
      </c>
    </row>
    <row r="161" spans="1:65" ht="36.75" thickTop="1" x14ac:dyDescent="0.2">
      <c r="A161" s="493" t="str">
        <f>IDENTIFICACIÓN!C60</f>
        <v>23C</v>
      </c>
      <c r="B161" s="496" t="str">
        <f>IF(IDENTIFICACIÓN!D60="","",IDENTIFICACIÓN!D60)</f>
        <v>Gestión Financiera. Omisión en la aplicación  de la normatividad vigente en los procesos de la Gestión Financiera</v>
      </c>
      <c r="C161" s="356">
        <v>1</v>
      </c>
      <c r="D161" s="56" t="s">
        <v>11</v>
      </c>
      <c r="E161" s="240">
        <f t="shared" si="933"/>
        <v>10</v>
      </c>
      <c r="F161" s="44" t="s">
        <v>632</v>
      </c>
      <c r="G161" s="18" t="str">
        <f t="shared" si="1244"/>
        <v/>
      </c>
      <c r="H161" s="44" t="s">
        <v>20</v>
      </c>
      <c r="I161" s="18" t="str">
        <f t="shared" si="1245"/>
        <v/>
      </c>
      <c r="J161" s="55" t="str">
        <f t="shared" si="1246"/>
        <v>Posibilidad</v>
      </c>
      <c r="K161" s="43" t="s">
        <v>11</v>
      </c>
      <c r="L161" s="18">
        <f t="shared" si="1247"/>
        <v>15</v>
      </c>
      <c r="M161" s="43" t="s">
        <v>11</v>
      </c>
      <c r="N161" s="18">
        <f t="shared" si="1248"/>
        <v>30</v>
      </c>
      <c r="O161" s="43" t="s">
        <v>323</v>
      </c>
      <c r="P161" s="18">
        <f t="shared" si="1249"/>
        <v>10</v>
      </c>
      <c r="Q161" s="43" t="s">
        <v>11</v>
      </c>
      <c r="R161" s="18">
        <f t="shared" si="1250"/>
        <v>5</v>
      </c>
      <c r="S161" s="43" t="s">
        <v>11</v>
      </c>
      <c r="T161" s="18">
        <f t="shared" si="1251"/>
        <v>15</v>
      </c>
      <c r="U161" s="43" t="s">
        <v>11</v>
      </c>
      <c r="V161" s="18">
        <f t="shared" si="1252"/>
        <v>10</v>
      </c>
      <c r="W161" s="18">
        <f t="shared" si="1253"/>
        <v>95</v>
      </c>
      <c r="X161" s="57" t="str">
        <f t="shared" si="1254"/>
        <v>95                           Disminuye en Posibilidad</v>
      </c>
      <c r="Y161" s="57">
        <f t="shared" si="1255"/>
        <v>1</v>
      </c>
      <c r="Z161" s="356"/>
      <c r="AA161" s="497">
        <f t="shared" ref="AA161" si="1331">IF(AB161=0,"",(ROUND((SUM(W161:W163)/AB161),0)))</f>
        <v>95</v>
      </c>
      <c r="AB161" s="500">
        <f t="shared" ref="AB161" si="1332">COUNT(T161:T163)</f>
        <v>3</v>
      </c>
      <c r="AC161" s="3">
        <f t="shared" ref="AC161" si="1333">SUM(Y161:Y163)</f>
        <v>2</v>
      </c>
      <c r="AD161" s="3">
        <f>ANALISIS!D62</f>
        <v>3</v>
      </c>
      <c r="AE161" s="3">
        <f t="shared" ref="AE161" si="1334">IF(AND(AD161=5,AC161&gt;1),3,AD161)</f>
        <v>3</v>
      </c>
      <c r="AF161" s="501">
        <f t="shared" si="1260"/>
        <v>3</v>
      </c>
      <c r="AG161" s="355" t="str">
        <f t="shared" si="1261"/>
        <v>MODERADA</v>
      </c>
      <c r="AH161" s="46"/>
      <c r="AI161" s="46"/>
      <c r="AJ161" s="46"/>
      <c r="AK161" s="46"/>
      <c r="AL161" s="46"/>
      <c r="AM161" s="3" t="str">
        <f t="shared" si="1262"/>
        <v/>
      </c>
      <c r="AN161" s="3" t="str">
        <f t="shared" si="1263"/>
        <v/>
      </c>
      <c r="AO161" s="3" t="str">
        <f t="shared" si="1264"/>
        <v/>
      </c>
      <c r="AP161" s="3" t="str">
        <f t="shared" si="1265"/>
        <v/>
      </c>
      <c r="AQ161" s="3" t="str">
        <f t="shared" ref="AQ161" si="1335">AM161</f>
        <v/>
      </c>
      <c r="AR161" s="3" t="str">
        <f t="shared" ref="AR161" si="1336">AN161</f>
        <v/>
      </c>
      <c r="AT161" s="3" t="str">
        <f t="shared" ref="AT161" si="1337">AO161</f>
        <v/>
      </c>
      <c r="AV161" s="3" t="str">
        <f t="shared" ref="AV161" si="1338">AP161</f>
        <v/>
      </c>
      <c r="AX161" s="502" t="str">
        <f t="shared" ref="AX161" si="1339">IF(AW163="","",CONCATENATE(AW163," (de) el(los) control(es) Efectivo(s) "))</f>
        <v/>
      </c>
      <c r="AY161" s="502" t="str">
        <f t="shared" ref="AY161" si="1340">IF(CONCATENATE(N161:N163)="","",IF(AND(SUM(E161:E163)=10,SUM(N161:N163)&lt;30),"- Replantear control(es) NO efectivo(s) ",IF(AND(SUM(E161:E163)=20,SUM(N161:N163)&lt;60),"- Replantear control(es) NO efectivo(s) ",IF(AND(SUM(E161:E163)=30,SUM(N161:N163)&lt;90),"- Replantear control(es) NO efectivo(s) ",""))))</f>
        <v/>
      </c>
      <c r="AZ161" s="502" t="str">
        <f t="shared" ref="AZ161" si="1341">IF(AND(AE161&gt;1,AE162&gt;1),"- Tomar Acciones Preventivas y Correctivas",IF(AE161&gt;1,"- Tomar Acciones Preventivas",IF(AE162&gt;1,"- Tomar Acciones Correctivas","")))</f>
        <v>- Tomar Acciones Preventivas</v>
      </c>
      <c r="BA161" s="502" t="str">
        <f t="shared" ref="BA161" si="1342">CONCATENATE(AX161,AY161,AZ161)</f>
        <v>- Tomar Acciones Preventivas</v>
      </c>
      <c r="BB161" s="3" t="str">
        <f t="shared" si="1274"/>
        <v>SI</v>
      </c>
      <c r="BC161" s="3" t="str">
        <f t="shared" si="1275"/>
        <v/>
      </c>
      <c r="BD161" s="3" t="str">
        <f t="shared" si="1276"/>
        <v>SI</v>
      </c>
      <c r="BE161" s="3" t="str">
        <f t="shared" si="1277"/>
        <v/>
      </c>
      <c r="BF161" s="3" t="str">
        <f t="shared" si="1278"/>
        <v>SI</v>
      </c>
      <c r="BG161" s="3" t="str">
        <f t="shared" si="1279"/>
        <v/>
      </c>
      <c r="BH161" s="3" t="str">
        <f t="shared" si="1280"/>
        <v>P</v>
      </c>
      <c r="BI161" s="3" t="str">
        <f t="shared" si="941"/>
        <v/>
      </c>
      <c r="BJ161" s="3" t="str">
        <f t="shared" si="942"/>
        <v>M</v>
      </c>
      <c r="BK161" s="3" t="str">
        <f t="shared" si="943"/>
        <v/>
      </c>
      <c r="BL161" s="3" t="str">
        <f t="shared" si="1281"/>
        <v>SI</v>
      </c>
      <c r="BM161" s="3" t="str">
        <f t="shared" si="1282"/>
        <v/>
      </c>
    </row>
    <row r="162" spans="1:65" ht="36" x14ac:dyDescent="0.2">
      <c r="A162" s="494"/>
      <c r="B162" s="496"/>
      <c r="C162" s="356">
        <v>2</v>
      </c>
      <c r="D162" s="56" t="s">
        <v>11</v>
      </c>
      <c r="E162" s="240">
        <f t="shared" si="933"/>
        <v>10</v>
      </c>
      <c r="F162" s="44" t="s">
        <v>633</v>
      </c>
      <c r="G162" s="18" t="str">
        <f t="shared" si="1244"/>
        <v/>
      </c>
      <c r="H162" s="44" t="s">
        <v>20</v>
      </c>
      <c r="I162" s="18" t="str">
        <f t="shared" si="1245"/>
        <v/>
      </c>
      <c r="J162" s="55" t="str">
        <f t="shared" si="1246"/>
        <v>Posibilidad</v>
      </c>
      <c r="K162" s="43" t="s">
        <v>11</v>
      </c>
      <c r="L162" s="18">
        <f t="shared" si="1247"/>
        <v>15</v>
      </c>
      <c r="M162" s="43" t="s">
        <v>11</v>
      </c>
      <c r="N162" s="18">
        <f t="shared" si="1248"/>
        <v>30</v>
      </c>
      <c r="O162" s="43" t="s">
        <v>323</v>
      </c>
      <c r="P162" s="18">
        <f t="shared" si="1249"/>
        <v>10</v>
      </c>
      <c r="Q162" s="43" t="s">
        <v>11</v>
      </c>
      <c r="R162" s="18">
        <f t="shared" si="1250"/>
        <v>5</v>
      </c>
      <c r="S162" s="43" t="s">
        <v>11</v>
      </c>
      <c r="T162" s="18">
        <f t="shared" si="1251"/>
        <v>15</v>
      </c>
      <c r="U162" s="43" t="s">
        <v>11</v>
      </c>
      <c r="V162" s="18">
        <f t="shared" si="1252"/>
        <v>10</v>
      </c>
      <c r="W162" s="18">
        <f t="shared" si="1253"/>
        <v>95</v>
      </c>
      <c r="X162" s="57" t="str">
        <f t="shared" si="1254"/>
        <v>95                           Disminuye en Posibilidad</v>
      </c>
      <c r="Y162" s="57">
        <f t="shared" si="1255"/>
        <v>1</v>
      </c>
      <c r="Z162" s="356"/>
      <c r="AA162" s="498"/>
      <c r="AB162" s="500"/>
      <c r="AC162" s="3" t="s">
        <v>352</v>
      </c>
      <c r="AF162" s="501"/>
      <c r="AG162" s="46" t="str">
        <f t="shared" ref="AG162" si="1343">IF(AG161&gt;0,"- Evitar Posibilidad de Ocurrencia- Reducir el Riesgo","")</f>
        <v>- Evitar Posibilidad de Ocurrencia- Reducir el Riesgo</v>
      </c>
      <c r="AH162" s="46"/>
      <c r="AI162" s="46"/>
      <c r="AJ162" s="46"/>
      <c r="AK162" s="46"/>
      <c r="AL162" s="46"/>
      <c r="AM162" s="3" t="str">
        <f t="shared" si="1262"/>
        <v/>
      </c>
      <c r="AN162" s="3" t="str">
        <f t="shared" si="1263"/>
        <v/>
      </c>
      <c r="AO162" s="3" t="str">
        <f t="shared" si="1264"/>
        <v/>
      </c>
      <c r="AP162" s="3" t="str">
        <f t="shared" si="1265"/>
        <v/>
      </c>
      <c r="AQ162" s="3" t="str">
        <f t="shared" ref="AQ162:AQ163" si="1344">IF(AQ161="Documentar",AQ161,AM162)</f>
        <v/>
      </c>
      <c r="AR162" s="3" t="str">
        <f t="shared" ref="AR162:AR163" si="1345">IF(AR161="Asignar responsable",AR161,AN162)</f>
        <v/>
      </c>
      <c r="AT162" s="3" t="str">
        <f t="shared" ref="AT162:AT163" si="1346">IF(AT161="Establecer periodos de seguimiento adecuados",AT161,AO162)</f>
        <v/>
      </c>
      <c r="AV162" s="3" t="str">
        <f t="shared" ref="AV162:AV163" si="1347">IF(AV161="Guardar Evidencias",AV161,AP162)</f>
        <v/>
      </c>
      <c r="AX162" s="502"/>
      <c r="AY162" s="502"/>
      <c r="AZ162" s="502"/>
      <c r="BA162" s="502"/>
      <c r="BB162" s="3" t="str">
        <f t="shared" si="1274"/>
        <v>SI</v>
      </c>
      <c r="BC162" s="3" t="str">
        <f t="shared" si="1275"/>
        <v/>
      </c>
      <c r="BD162" s="3" t="str">
        <f t="shared" si="1276"/>
        <v>SI</v>
      </c>
      <c r="BE162" s="3" t="str">
        <f t="shared" si="1277"/>
        <v/>
      </c>
      <c r="BF162" s="3" t="str">
        <f t="shared" si="1278"/>
        <v>SI</v>
      </c>
      <c r="BG162" s="3" t="str">
        <f t="shared" si="1279"/>
        <v/>
      </c>
      <c r="BH162" s="3" t="str">
        <f t="shared" si="1280"/>
        <v>P</v>
      </c>
      <c r="BI162" s="3" t="str">
        <f t="shared" si="941"/>
        <v/>
      </c>
      <c r="BJ162" s="3" t="str">
        <f t="shared" si="942"/>
        <v>M</v>
      </c>
      <c r="BK162" s="3" t="str">
        <f t="shared" si="943"/>
        <v/>
      </c>
      <c r="BL162" s="3" t="str">
        <f t="shared" si="1281"/>
        <v>SI</v>
      </c>
      <c r="BM162" s="3" t="str">
        <f t="shared" si="1282"/>
        <v/>
      </c>
    </row>
    <row r="163" spans="1:65" ht="63.75" thickBot="1" x14ac:dyDescent="0.25">
      <c r="A163" s="495"/>
      <c r="B163" s="496"/>
      <c r="C163" s="356">
        <v>3</v>
      </c>
      <c r="D163" s="56" t="s">
        <v>11</v>
      </c>
      <c r="E163" s="240">
        <f t="shared" si="933"/>
        <v>10</v>
      </c>
      <c r="F163" s="44" t="s">
        <v>634</v>
      </c>
      <c r="G163" s="18" t="str">
        <f t="shared" si="1244"/>
        <v/>
      </c>
      <c r="H163" s="44" t="s">
        <v>21</v>
      </c>
      <c r="I163" s="18" t="str">
        <f t="shared" si="1245"/>
        <v/>
      </c>
      <c r="J163" s="55" t="str">
        <f t="shared" si="1246"/>
        <v>No Aplica</v>
      </c>
      <c r="K163" s="43" t="s">
        <v>11</v>
      </c>
      <c r="L163" s="18">
        <f t="shared" si="1247"/>
        <v>15</v>
      </c>
      <c r="M163" s="43" t="s">
        <v>11</v>
      </c>
      <c r="N163" s="18">
        <f t="shared" si="1248"/>
        <v>30</v>
      </c>
      <c r="O163" s="43" t="s">
        <v>323</v>
      </c>
      <c r="P163" s="18">
        <f t="shared" si="1249"/>
        <v>10</v>
      </c>
      <c r="Q163" s="43" t="s">
        <v>11</v>
      </c>
      <c r="R163" s="18">
        <f t="shared" si="1250"/>
        <v>5</v>
      </c>
      <c r="S163" s="43" t="s">
        <v>11</v>
      </c>
      <c r="T163" s="18">
        <f t="shared" si="1251"/>
        <v>15</v>
      </c>
      <c r="U163" s="43" t="s">
        <v>11</v>
      </c>
      <c r="V163" s="18">
        <f t="shared" si="1252"/>
        <v>10</v>
      </c>
      <c r="W163" s="18">
        <f t="shared" si="1253"/>
        <v>95</v>
      </c>
      <c r="X163" s="57">
        <f t="shared" si="1254"/>
        <v>95</v>
      </c>
      <c r="Y163" s="57">
        <f t="shared" si="1255"/>
        <v>0</v>
      </c>
      <c r="Z163" s="356"/>
      <c r="AA163" s="499"/>
      <c r="AB163" s="500"/>
      <c r="AM163" s="3" t="str">
        <f t="shared" si="1262"/>
        <v/>
      </c>
      <c r="AN163" s="3" t="str">
        <f t="shared" si="1263"/>
        <v/>
      </c>
      <c r="AO163" s="3" t="str">
        <f t="shared" si="1264"/>
        <v/>
      </c>
      <c r="AP163" s="3" t="str">
        <f t="shared" si="1265"/>
        <v/>
      </c>
      <c r="AQ163" s="3" t="str">
        <f t="shared" si="1344"/>
        <v/>
      </c>
      <c r="AR163" s="3" t="str">
        <f t="shared" si="1345"/>
        <v/>
      </c>
      <c r="AS163" s="3" t="str">
        <f t="shared" ref="AS163" si="1348">IF(AND(AQ163="Documentar",AR163="Asignar responsable"),CONCATENATE("- ",AQ163,", ",AR163),IF(AQ163="Documentar",CONCATENATE("- ",AQ163),IF(AR163="Asignar responsable",CONCATENATE("- ",AR163),"")))</f>
        <v/>
      </c>
      <c r="AT163" s="3" t="str">
        <f t="shared" si="1346"/>
        <v/>
      </c>
      <c r="AU163" s="3" t="str">
        <f t="shared" ref="AU163" si="1349">IF(AT163="",AS163,IF(AS163="",CONCATENATE("- ",AT163),CONCATENATE(AS163,", ",AT163)))</f>
        <v/>
      </c>
      <c r="AV163" s="3" t="str">
        <f t="shared" si="1347"/>
        <v/>
      </c>
      <c r="AW163" s="3" t="str">
        <f t="shared" ref="AW163" si="1350">IF(AV163="",AU163,IF(AU163="",CONCATENATE("- ",AV163),CONCATENATE(AU163,", ",AV163)))</f>
        <v/>
      </c>
      <c r="AX163" s="502"/>
      <c r="AY163" s="502"/>
      <c r="AZ163" s="502"/>
      <c r="BA163" s="502"/>
      <c r="BB163" s="3" t="str">
        <f t="shared" si="1274"/>
        <v>SI</v>
      </c>
      <c r="BC163" s="3" t="str">
        <f t="shared" si="1275"/>
        <v/>
      </c>
      <c r="BD163" s="3" t="str">
        <f t="shared" si="1276"/>
        <v>SI</v>
      </c>
      <c r="BE163" s="3" t="str">
        <f t="shared" si="1277"/>
        <v/>
      </c>
      <c r="BF163" s="3" t="str">
        <f t="shared" si="1278"/>
        <v>SI</v>
      </c>
      <c r="BG163" s="3" t="str">
        <f t="shared" si="1279"/>
        <v/>
      </c>
      <c r="BH163" s="3" t="str">
        <f t="shared" si="1280"/>
        <v>C</v>
      </c>
      <c r="BI163" s="3" t="str">
        <f t="shared" si="941"/>
        <v/>
      </c>
      <c r="BJ163" s="3" t="str">
        <f t="shared" si="942"/>
        <v>M</v>
      </c>
      <c r="BK163" s="3" t="str">
        <f t="shared" si="943"/>
        <v/>
      </c>
      <c r="BL163" s="3" t="str">
        <f t="shared" si="1281"/>
        <v>SI</v>
      </c>
      <c r="BM163" s="3" t="str">
        <f t="shared" si="1282"/>
        <v/>
      </c>
    </row>
    <row r="164" spans="1:65" ht="32.25" thickTop="1" x14ac:dyDescent="0.2">
      <c r="A164" s="493" t="str">
        <f>IDENTIFICACIÓN!C61</f>
        <v>24C</v>
      </c>
      <c r="B164" s="496" t="str">
        <f>IF(IDENTIFICACIÓN!D61="","",IDENTIFICACIÓN!D61)</f>
        <v xml:space="preserve">Apoyo Tecnológico TIC. Vulnerabilidad de la Información </v>
      </c>
      <c r="C164" s="356">
        <v>1</v>
      </c>
      <c r="D164" s="56" t="s">
        <v>11</v>
      </c>
      <c r="E164" s="240">
        <f t="shared" si="933"/>
        <v>10</v>
      </c>
      <c r="F164" s="44" t="s">
        <v>635</v>
      </c>
      <c r="G164" s="18" t="str">
        <f t="shared" si="1244"/>
        <v/>
      </c>
      <c r="H164" s="44" t="s">
        <v>20</v>
      </c>
      <c r="I164" s="18" t="str">
        <f t="shared" si="1245"/>
        <v/>
      </c>
      <c r="J164" s="55" t="str">
        <f t="shared" si="1246"/>
        <v>Posibilidad</v>
      </c>
      <c r="K164" s="43" t="s">
        <v>10</v>
      </c>
      <c r="L164" s="18">
        <f t="shared" si="1247"/>
        <v>0</v>
      </c>
      <c r="M164" s="43" t="s">
        <v>11</v>
      </c>
      <c r="N164" s="18">
        <f t="shared" si="1248"/>
        <v>30</v>
      </c>
      <c r="O164" s="43" t="s">
        <v>323</v>
      </c>
      <c r="P164" s="18">
        <f t="shared" si="1249"/>
        <v>10</v>
      </c>
      <c r="Q164" s="43" t="s">
        <v>11</v>
      </c>
      <c r="R164" s="18">
        <f t="shared" si="1250"/>
        <v>5</v>
      </c>
      <c r="S164" s="43" t="s">
        <v>11</v>
      </c>
      <c r="T164" s="18">
        <f t="shared" si="1251"/>
        <v>15</v>
      </c>
      <c r="U164" s="43" t="s">
        <v>10</v>
      </c>
      <c r="V164" s="18">
        <f t="shared" si="1252"/>
        <v>0</v>
      </c>
      <c r="W164" s="18">
        <f t="shared" si="1253"/>
        <v>70</v>
      </c>
      <c r="X164" s="57">
        <f t="shared" si="1254"/>
        <v>70</v>
      </c>
      <c r="Y164" s="57">
        <f t="shared" si="1255"/>
        <v>0</v>
      </c>
      <c r="Z164" s="356"/>
      <c r="AA164" s="497">
        <f t="shared" ref="AA164" si="1351">IF(AB164=0,"",(ROUND((SUM(W164:W166)/AB164),0)))</f>
        <v>78</v>
      </c>
      <c r="AB164" s="500">
        <f t="shared" ref="AB164" si="1352">COUNT(T164:T166)</f>
        <v>2</v>
      </c>
      <c r="AC164" s="3">
        <f t="shared" ref="AC164" si="1353">SUM(Y164:Y166)</f>
        <v>1</v>
      </c>
      <c r="AD164" s="3">
        <f>ANALISIS!D63</f>
        <v>3</v>
      </c>
      <c r="AE164" s="3">
        <f t="shared" ref="AE164" si="1354">IF(AND(AD164=5,AC164&gt;1),3,AD164)</f>
        <v>3</v>
      </c>
      <c r="AF164" s="501">
        <f t="shared" si="1260"/>
        <v>3</v>
      </c>
      <c r="AG164" s="355" t="str">
        <f t="shared" si="1261"/>
        <v>MODERADA</v>
      </c>
      <c r="AH164" s="46"/>
      <c r="AI164" s="46"/>
      <c r="AJ164" s="46"/>
      <c r="AK164" s="46"/>
      <c r="AL164" s="46"/>
      <c r="AM164" s="3" t="str">
        <f t="shared" si="1262"/>
        <v>Documentar</v>
      </c>
      <c r="AN164" s="3" t="str">
        <f t="shared" si="1263"/>
        <v/>
      </c>
      <c r="AO164" s="3" t="str">
        <f t="shared" si="1264"/>
        <v/>
      </c>
      <c r="AP164" s="3" t="str">
        <f t="shared" si="1265"/>
        <v>Guardar Evidencias</v>
      </c>
      <c r="AQ164" s="3" t="str">
        <f t="shared" ref="AQ164" si="1355">AM164</f>
        <v>Documentar</v>
      </c>
      <c r="AR164" s="3" t="str">
        <f t="shared" ref="AR164" si="1356">AN164</f>
        <v/>
      </c>
      <c r="AT164" s="3" t="str">
        <f t="shared" ref="AT164" si="1357">AO164</f>
        <v/>
      </c>
      <c r="AV164" s="3" t="str">
        <f t="shared" ref="AV164" si="1358">AP164</f>
        <v>Guardar Evidencias</v>
      </c>
      <c r="AX164" s="502" t="str">
        <f t="shared" ref="AX164" si="1359">IF(AW166="","",CONCATENATE(AW166," (de) el(los) control(es) Efectivo(s) "))</f>
        <v xml:space="preserve">- Documentar, Guardar Evidencias (de) el(los) control(es) Efectivo(s) </v>
      </c>
      <c r="AY164" s="502" t="str">
        <f t="shared" ref="AY164" si="1360">IF(CONCATENATE(N164:N166)="","",IF(AND(SUM(E164:E166)=10,SUM(N164:N166)&lt;30),"- Replantear control(es) NO efectivo(s) ",IF(AND(SUM(E164:E166)=20,SUM(N164:N166)&lt;60),"- Replantear control(es) NO efectivo(s) ",IF(AND(SUM(E164:E166)=30,SUM(N164:N166)&lt;90),"- Replantear control(es) NO efectivo(s) ",""))))</f>
        <v/>
      </c>
      <c r="AZ164" s="502" t="str">
        <f t="shared" ref="AZ164" si="1361">IF(AND(AE164&gt;1,AE165&gt;1),"- Tomar Acciones Preventivas y Correctivas",IF(AE164&gt;1,"- Tomar Acciones Preventivas",IF(AE165&gt;1,"- Tomar Acciones Correctivas","")))</f>
        <v>- Tomar Acciones Preventivas</v>
      </c>
      <c r="BA164" s="502" t="str">
        <f t="shared" ref="BA164" si="1362">CONCATENATE(AX164,AY164,AZ164)</f>
        <v>- Documentar, Guardar Evidencias (de) el(los) control(es) Efectivo(s) - Tomar Acciones Preventivas</v>
      </c>
      <c r="BB164" s="3" t="str">
        <f t="shared" si="1274"/>
        <v>NO</v>
      </c>
      <c r="BC164" s="3" t="str">
        <f t="shared" si="1275"/>
        <v/>
      </c>
      <c r="BD164" s="3" t="str">
        <f t="shared" si="1276"/>
        <v>SI</v>
      </c>
      <c r="BE164" s="3" t="str">
        <f t="shared" si="1277"/>
        <v/>
      </c>
      <c r="BF164" s="3" t="str">
        <f t="shared" si="1278"/>
        <v>SI</v>
      </c>
      <c r="BG164" s="3" t="str">
        <f t="shared" si="1279"/>
        <v/>
      </c>
      <c r="BH164" s="3" t="str">
        <f t="shared" si="1280"/>
        <v>P</v>
      </c>
      <c r="BI164" s="3" t="str">
        <f t="shared" si="941"/>
        <v/>
      </c>
      <c r="BJ164" s="3" t="str">
        <f t="shared" si="942"/>
        <v>M</v>
      </c>
      <c r="BK164" s="3" t="str">
        <f t="shared" si="943"/>
        <v/>
      </c>
      <c r="BL164" s="3" t="str">
        <f t="shared" si="1281"/>
        <v>NO</v>
      </c>
      <c r="BM164" s="3" t="str">
        <f t="shared" si="1282"/>
        <v/>
      </c>
    </row>
    <row r="165" spans="1:65" ht="47.25" x14ac:dyDescent="0.2">
      <c r="A165" s="494"/>
      <c r="B165" s="496"/>
      <c r="C165" s="356">
        <v>2</v>
      </c>
      <c r="D165" s="56" t="s">
        <v>11</v>
      </c>
      <c r="E165" s="240">
        <f t="shared" si="933"/>
        <v>10</v>
      </c>
      <c r="F165" s="44" t="s">
        <v>636</v>
      </c>
      <c r="G165" s="18" t="str">
        <f t="shared" si="1244"/>
        <v/>
      </c>
      <c r="H165" s="44" t="s">
        <v>20</v>
      </c>
      <c r="I165" s="18" t="str">
        <f t="shared" si="1245"/>
        <v/>
      </c>
      <c r="J165" s="55" t="str">
        <f t="shared" si="1246"/>
        <v>Posibilidad</v>
      </c>
      <c r="K165" s="43" t="s">
        <v>10</v>
      </c>
      <c r="L165" s="18">
        <f t="shared" si="1247"/>
        <v>0</v>
      </c>
      <c r="M165" s="43" t="s">
        <v>11</v>
      </c>
      <c r="N165" s="18">
        <f t="shared" si="1248"/>
        <v>30</v>
      </c>
      <c r="O165" s="43" t="s">
        <v>322</v>
      </c>
      <c r="P165" s="18">
        <f t="shared" si="1249"/>
        <v>15</v>
      </c>
      <c r="Q165" s="43" t="s">
        <v>11</v>
      </c>
      <c r="R165" s="18">
        <f t="shared" si="1250"/>
        <v>5</v>
      </c>
      <c r="S165" s="43" t="s">
        <v>11</v>
      </c>
      <c r="T165" s="18">
        <f t="shared" si="1251"/>
        <v>15</v>
      </c>
      <c r="U165" s="43" t="s">
        <v>11</v>
      </c>
      <c r="V165" s="18">
        <f t="shared" si="1252"/>
        <v>10</v>
      </c>
      <c r="W165" s="18">
        <f t="shared" si="1253"/>
        <v>85</v>
      </c>
      <c r="X165" s="57" t="str">
        <f t="shared" si="1254"/>
        <v>85                           Disminuye en Posibilidad</v>
      </c>
      <c r="Y165" s="57">
        <f t="shared" si="1255"/>
        <v>1</v>
      </c>
      <c r="Z165" s="356"/>
      <c r="AA165" s="498"/>
      <c r="AB165" s="500"/>
      <c r="AC165" s="3" t="s">
        <v>352</v>
      </c>
      <c r="AF165" s="501"/>
      <c r="AG165" s="46" t="str">
        <f t="shared" ref="AG165" si="1363">IF(AG164&gt;0,"- Evitar Posibilidad de Ocurrencia- Reducir el Riesgo","")</f>
        <v>- Evitar Posibilidad de Ocurrencia- Reducir el Riesgo</v>
      </c>
      <c r="AH165" s="46"/>
      <c r="AI165" s="46"/>
      <c r="AJ165" s="46"/>
      <c r="AK165" s="46"/>
      <c r="AL165" s="46"/>
      <c r="AM165" s="3" t="str">
        <f t="shared" si="1262"/>
        <v>Documentar</v>
      </c>
      <c r="AN165" s="3" t="str">
        <f t="shared" si="1263"/>
        <v/>
      </c>
      <c r="AO165" s="3" t="str">
        <f t="shared" si="1264"/>
        <v/>
      </c>
      <c r="AP165" s="3" t="str">
        <f t="shared" si="1265"/>
        <v/>
      </c>
      <c r="AQ165" s="3" t="str">
        <f t="shared" ref="AQ165:AQ166" si="1364">IF(AQ164="Documentar",AQ164,AM165)</f>
        <v>Documentar</v>
      </c>
      <c r="AR165" s="3" t="str">
        <f t="shared" ref="AR165:AR166" si="1365">IF(AR164="Asignar responsable",AR164,AN165)</f>
        <v/>
      </c>
      <c r="AT165" s="3" t="str">
        <f t="shared" ref="AT165:AT166" si="1366">IF(AT164="Establecer periodos de seguimiento adecuados",AT164,AO165)</f>
        <v/>
      </c>
      <c r="AV165" s="3" t="str">
        <f t="shared" ref="AV165:AV166" si="1367">IF(AV164="Guardar Evidencias",AV164,AP165)</f>
        <v>Guardar Evidencias</v>
      </c>
      <c r="AX165" s="502"/>
      <c r="AY165" s="502"/>
      <c r="AZ165" s="502"/>
      <c r="BA165" s="502"/>
      <c r="BB165" s="3" t="str">
        <f t="shared" si="1274"/>
        <v>NO</v>
      </c>
      <c r="BC165" s="3" t="str">
        <f t="shared" si="1275"/>
        <v/>
      </c>
      <c r="BD165" s="3" t="str">
        <f t="shared" si="1276"/>
        <v>SI</v>
      </c>
      <c r="BE165" s="3" t="str">
        <f t="shared" si="1277"/>
        <v/>
      </c>
      <c r="BF165" s="3" t="str">
        <f t="shared" si="1278"/>
        <v>SI</v>
      </c>
      <c r="BG165" s="3" t="str">
        <f t="shared" si="1279"/>
        <v/>
      </c>
      <c r="BH165" s="3" t="str">
        <f t="shared" si="1280"/>
        <v>P</v>
      </c>
      <c r="BI165" s="3" t="str">
        <f t="shared" si="941"/>
        <v/>
      </c>
      <c r="BJ165" s="3" t="str">
        <f t="shared" si="942"/>
        <v>A</v>
      </c>
      <c r="BK165" s="3" t="str">
        <f t="shared" si="943"/>
        <v/>
      </c>
      <c r="BL165" s="3" t="str">
        <f t="shared" si="1281"/>
        <v>SI</v>
      </c>
      <c r="BM165" s="3" t="str">
        <f t="shared" si="1282"/>
        <v/>
      </c>
    </row>
    <row r="166" spans="1:65" ht="48" thickBot="1" x14ac:dyDescent="0.25">
      <c r="A166" s="495"/>
      <c r="B166" s="496"/>
      <c r="C166" s="356">
        <v>3</v>
      </c>
      <c r="D166" s="56"/>
      <c r="E166" s="240" t="str">
        <f t="shared" si="933"/>
        <v/>
      </c>
      <c r="F166" s="44"/>
      <c r="G166" s="18" t="str">
        <f t="shared" si="1244"/>
        <v/>
      </c>
      <c r="H166" s="44"/>
      <c r="I166" s="18" t="str">
        <f t="shared" si="1245"/>
        <v/>
      </c>
      <c r="J166" s="55" t="str">
        <f t="shared" si="1246"/>
        <v/>
      </c>
      <c r="K166" s="43"/>
      <c r="L166" s="18" t="str">
        <f t="shared" si="1247"/>
        <v/>
      </c>
      <c r="M166" s="43"/>
      <c r="N166" s="18" t="str">
        <f t="shared" si="1248"/>
        <v/>
      </c>
      <c r="O166" s="43"/>
      <c r="P166" s="18" t="str">
        <f t="shared" si="1249"/>
        <v/>
      </c>
      <c r="Q166" s="43"/>
      <c r="R166" s="18" t="str">
        <f t="shared" si="1250"/>
        <v/>
      </c>
      <c r="S166" s="43"/>
      <c r="T166" s="18" t="str">
        <f t="shared" si="1251"/>
        <v/>
      </c>
      <c r="U166" s="43"/>
      <c r="V166" s="18" t="str">
        <f t="shared" si="1252"/>
        <v/>
      </c>
      <c r="W166" s="18">
        <f t="shared" si="1253"/>
        <v>0</v>
      </c>
      <c r="X166" s="57" t="str">
        <f t="shared" si="1254"/>
        <v/>
      </c>
      <c r="Y166" s="57">
        <f t="shared" si="1255"/>
        <v>0</v>
      </c>
      <c r="Z166" s="356"/>
      <c r="AA166" s="499"/>
      <c r="AB166" s="500"/>
      <c r="AM166" s="3" t="str">
        <f t="shared" si="1262"/>
        <v/>
      </c>
      <c r="AN166" s="3" t="str">
        <f t="shared" si="1263"/>
        <v/>
      </c>
      <c r="AO166" s="3" t="str">
        <f t="shared" si="1264"/>
        <v/>
      </c>
      <c r="AP166" s="3" t="str">
        <f t="shared" si="1265"/>
        <v/>
      </c>
      <c r="AQ166" s="3" t="str">
        <f t="shared" si="1364"/>
        <v>Documentar</v>
      </c>
      <c r="AR166" s="3" t="str">
        <f t="shared" si="1365"/>
        <v/>
      </c>
      <c r="AS166" s="3" t="str">
        <f t="shared" ref="AS166" si="1368">IF(AND(AQ166="Documentar",AR166="Asignar responsable"),CONCATENATE("- ",AQ166,", ",AR166),IF(AQ166="Documentar",CONCATENATE("- ",AQ166),IF(AR166="Asignar responsable",CONCATENATE("- ",AR166),"")))</f>
        <v>- Documentar</v>
      </c>
      <c r="AT166" s="3" t="str">
        <f t="shared" si="1366"/>
        <v/>
      </c>
      <c r="AU166" s="3" t="str">
        <f t="shared" ref="AU166" si="1369">IF(AT166="",AS166,IF(AS166="",CONCATENATE("- ",AT166),CONCATENATE(AS166,", ",AT166)))</f>
        <v>- Documentar</v>
      </c>
      <c r="AV166" s="3" t="str">
        <f t="shared" si="1367"/>
        <v>Guardar Evidencias</v>
      </c>
      <c r="AW166" s="3" t="str">
        <f t="shared" ref="AW166" si="1370">IF(AV166="",AU166,IF(AU166="",CONCATENATE("- ",AV166),CONCATENATE(AU166,", ",AV166)))</f>
        <v>- Documentar, Guardar Evidencias</v>
      </c>
      <c r="AX166" s="502"/>
      <c r="AY166" s="502"/>
      <c r="AZ166" s="502"/>
      <c r="BA166" s="502"/>
      <c r="BB166" s="3" t="str">
        <f t="shared" si="1274"/>
        <v/>
      </c>
      <c r="BC166" s="3" t="str">
        <f t="shared" si="1275"/>
        <v/>
      </c>
      <c r="BD166" s="3" t="str">
        <f t="shared" si="1276"/>
        <v/>
      </c>
      <c r="BE166" s="3" t="str">
        <f t="shared" si="1277"/>
        <v/>
      </c>
      <c r="BF166" s="3" t="str">
        <f t="shared" si="1278"/>
        <v/>
      </c>
      <c r="BG166" s="3" t="str">
        <f t="shared" si="1279"/>
        <v/>
      </c>
      <c r="BH166" s="3" t="str">
        <f t="shared" si="1280"/>
        <v/>
      </c>
      <c r="BI166" s="3" t="str">
        <f t="shared" si="941"/>
        <v/>
      </c>
      <c r="BJ166" s="3" t="str">
        <f t="shared" si="942"/>
        <v/>
      </c>
      <c r="BK166" s="3" t="str">
        <f t="shared" si="943"/>
        <v/>
      </c>
      <c r="BL166" s="3" t="str">
        <f t="shared" si="1281"/>
        <v/>
      </c>
      <c r="BM166" s="3" t="str">
        <f t="shared" si="1282"/>
        <v/>
      </c>
    </row>
    <row r="167" spans="1:65" ht="36.75" thickTop="1" x14ac:dyDescent="0.2">
      <c r="A167" s="493" t="str">
        <f>IDENTIFICACIÓN!C62</f>
        <v>25C</v>
      </c>
      <c r="B167" s="496" t="str">
        <f>IF(IDENTIFICACIÓN!D62="","",IDENTIFICACIÓN!D62)</f>
        <v xml:space="preserve">Gestión Documental. Entregar un título o certificado sin los requisitos para ello </v>
      </c>
      <c r="C167" s="356">
        <v>1</v>
      </c>
      <c r="D167" s="56" t="s">
        <v>11</v>
      </c>
      <c r="E167" s="240">
        <f t="shared" si="933"/>
        <v>10</v>
      </c>
      <c r="F167" s="44" t="s">
        <v>637</v>
      </c>
      <c r="G167" s="18" t="str">
        <f t="shared" si="1244"/>
        <v/>
      </c>
      <c r="H167" s="44" t="s">
        <v>20</v>
      </c>
      <c r="I167" s="18" t="str">
        <f t="shared" si="1245"/>
        <v/>
      </c>
      <c r="J167" s="55" t="str">
        <f t="shared" si="1246"/>
        <v>Posibilidad</v>
      </c>
      <c r="K167" s="43" t="s">
        <v>11</v>
      </c>
      <c r="L167" s="18">
        <f t="shared" si="1247"/>
        <v>15</v>
      </c>
      <c r="M167" s="43" t="s">
        <v>11</v>
      </c>
      <c r="N167" s="18">
        <f t="shared" si="1248"/>
        <v>30</v>
      </c>
      <c r="O167" s="43" t="s">
        <v>323</v>
      </c>
      <c r="P167" s="18">
        <f t="shared" si="1249"/>
        <v>10</v>
      </c>
      <c r="Q167" s="43" t="s">
        <v>11</v>
      </c>
      <c r="R167" s="18">
        <f t="shared" si="1250"/>
        <v>5</v>
      </c>
      <c r="S167" s="43" t="s">
        <v>11</v>
      </c>
      <c r="T167" s="18">
        <f t="shared" si="1251"/>
        <v>15</v>
      </c>
      <c r="U167" s="43" t="s">
        <v>11</v>
      </c>
      <c r="V167" s="18">
        <f t="shared" si="1252"/>
        <v>10</v>
      </c>
      <c r="W167" s="18">
        <f t="shared" si="1253"/>
        <v>95</v>
      </c>
      <c r="X167" s="57" t="str">
        <f t="shared" si="1254"/>
        <v>95                           Disminuye en Posibilidad</v>
      </c>
      <c r="Y167" s="57">
        <f t="shared" si="1255"/>
        <v>1</v>
      </c>
      <c r="Z167" s="356"/>
      <c r="AA167" s="497">
        <f t="shared" ref="AA167" si="1371">IF(AB167=0,"",(ROUND((SUM(W167:W169)/AB167),0)))</f>
        <v>90</v>
      </c>
      <c r="AB167" s="500">
        <f t="shared" ref="AB167" si="1372">COUNT(T167:T169)</f>
        <v>3</v>
      </c>
      <c r="AC167" s="3">
        <f t="shared" ref="AC167" si="1373">SUM(Y167:Y169)</f>
        <v>3</v>
      </c>
      <c r="AD167" s="3">
        <f>ANALISIS!D64</f>
        <v>3</v>
      </c>
      <c r="AE167" s="3">
        <f t="shared" ref="AE167" si="1374">IF(AND(AD167=5,AC167&gt;1),3,AD167)</f>
        <v>3</v>
      </c>
      <c r="AF167" s="501">
        <f t="shared" si="1260"/>
        <v>3</v>
      </c>
      <c r="AG167" s="355" t="str">
        <f t="shared" si="1261"/>
        <v>MODERADA</v>
      </c>
      <c r="AH167" s="46"/>
      <c r="AI167" s="46"/>
      <c r="AJ167" s="46"/>
      <c r="AK167" s="46"/>
      <c r="AL167" s="46"/>
      <c r="AM167" s="3" t="str">
        <f t="shared" si="1262"/>
        <v/>
      </c>
      <c r="AN167" s="3" t="str">
        <f t="shared" si="1263"/>
        <v/>
      </c>
      <c r="AO167" s="3" t="str">
        <f t="shared" si="1264"/>
        <v/>
      </c>
      <c r="AP167" s="3" t="str">
        <f t="shared" si="1265"/>
        <v/>
      </c>
      <c r="AQ167" s="3" t="str">
        <f t="shared" ref="AQ167" si="1375">AM167</f>
        <v/>
      </c>
      <c r="AR167" s="3" t="str">
        <f t="shared" ref="AR167" si="1376">AN167</f>
        <v/>
      </c>
      <c r="AT167" s="3" t="str">
        <f t="shared" ref="AT167" si="1377">AO167</f>
        <v/>
      </c>
      <c r="AV167" s="3" t="str">
        <f t="shared" ref="AV167" si="1378">AP167</f>
        <v/>
      </c>
      <c r="AX167" s="502" t="str">
        <f t="shared" ref="AX167" si="1379">IF(AW169="","",CONCATENATE(AW169," (de) el(los) control(es) Efectivo(s) "))</f>
        <v xml:space="preserve">- Documentar (de) el(los) control(es) Efectivo(s) </v>
      </c>
      <c r="AY167" s="502" t="str">
        <f t="shared" ref="AY167" si="1380">IF(CONCATENATE(N167:N169)="","",IF(AND(SUM(E167:E169)=10,SUM(N167:N169)&lt;30),"- Replantear control(es) NO efectivo(s) ",IF(AND(SUM(E167:E169)=20,SUM(N167:N169)&lt;60),"- Replantear control(es) NO efectivo(s) ",IF(AND(SUM(E167:E169)=30,SUM(N167:N169)&lt;90),"- Replantear control(es) NO efectivo(s) ",""))))</f>
        <v/>
      </c>
      <c r="AZ167" s="502" t="str">
        <f t="shared" ref="AZ167" si="1381">IF(AND(AE167&gt;1,AE168&gt;1),"- Tomar Acciones Preventivas y Correctivas",IF(AE167&gt;1,"- Tomar Acciones Preventivas",IF(AE168&gt;1,"- Tomar Acciones Correctivas","")))</f>
        <v>- Tomar Acciones Preventivas</v>
      </c>
      <c r="BA167" s="502" t="str">
        <f t="shared" ref="BA167" si="1382">CONCATENATE(AX167,AY167,AZ167)</f>
        <v>- Documentar (de) el(los) control(es) Efectivo(s) - Tomar Acciones Preventivas</v>
      </c>
      <c r="BB167" s="3" t="str">
        <f t="shared" si="1274"/>
        <v>SI</v>
      </c>
      <c r="BC167" s="3" t="str">
        <f t="shared" si="1275"/>
        <v/>
      </c>
      <c r="BD167" s="3" t="str">
        <f t="shared" si="1276"/>
        <v>SI</v>
      </c>
      <c r="BE167" s="3" t="str">
        <f t="shared" si="1277"/>
        <v/>
      </c>
      <c r="BF167" s="3" t="str">
        <f t="shared" si="1278"/>
        <v>SI</v>
      </c>
      <c r="BG167" s="3" t="str">
        <f t="shared" si="1279"/>
        <v/>
      </c>
      <c r="BH167" s="3" t="str">
        <f t="shared" si="1280"/>
        <v>P</v>
      </c>
      <c r="BI167" s="3" t="str">
        <f t="shared" si="941"/>
        <v/>
      </c>
      <c r="BJ167" s="3" t="str">
        <f t="shared" si="942"/>
        <v>M</v>
      </c>
      <c r="BK167" s="3" t="str">
        <f t="shared" si="943"/>
        <v/>
      </c>
      <c r="BL167" s="3" t="str">
        <f t="shared" si="1281"/>
        <v>SI</v>
      </c>
      <c r="BM167" s="3" t="str">
        <f t="shared" si="1282"/>
        <v/>
      </c>
    </row>
    <row r="168" spans="1:65" ht="47.25" x14ac:dyDescent="0.2">
      <c r="A168" s="494"/>
      <c r="B168" s="496"/>
      <c r="C168" s="356">
        <v>2</v>
      </c>
      <c r="D168" s="56" t="s">
        <v>11</v>
      </c>
      <c r="E168" s="240">
        <f t="shared" si="933"/>
        <v>10</v>
      </c>
      <c r="F168" s="44" t="s">
        <v>638</v>
      </c>
      <c r="G168" s="18" t="str">
        <f t="shared" si="1244"/>
        <v/>
      </c>
      <c r="H168" s="44" t="s">
        <v>20</v>
      </c>
      <c r="I168" s="18" t="str">
        <f t="shared" si="1245"/>
        <v/>
      </c>
      <c r="J168" s="55" t="str">
        <f t="shared" si="1246"/>
        <v>Posibilidad</v>
      </c>
      <c r="K168" s="43" t="s">
        <v>11</v>
      </c>
      <c r="L168" s="18">
        <f t="shared" si="1247"/>
        <v>15</v>
      </c>
      <c r="M168" s="43" t="s">
        <v>11</v>
      </c>
      <c r="N168" s="18">
        <f t="shared" si="1248"/>
        <v>30</v>
      </c>
      <c r="O168" s="43" t="s">
        <v>323</v>
      </c>
      <c r="P168" s="18">
        <f t="shared" si="1249"/>
        <v>10</v>
      </c>
      <c r="Q168" s="43" t="s">
        <v>11</v>
      </c>
      <c r="R168" s="18">
        <f t="shared" si="1250"/>
        <v>5</v>
      </c>
      <c r="S168" s="43" t="s">
        <v>11</v>
      </c>
      <c r="T168" s="18">
        <f t="shared" si="1251"/>
        <v>15</v>
      </c>
      <c r="U168" s="43" t="s">
        <v>11</v>
      </c>
      <c r="V168" s="18">
        <f t="shared" si="1252"/>
        <v>10</v>
      </c>
      <c r="W168" s="18">
        <f t="shared" si="1253"/>
        <v>95</v>
      </c>
      <c r="X168" s="57" t="str">
        <f t="shared" si="1254"/>
        <v>95                           Disminuye en Posibilidad</v>
      </c>
      <c r="Y168" s="57">
        <f t="shared" si="1255"/>
        <v>1</v>
      </c>
      <c r="Z168" s="356"/>
      <c r="AA168" s="498"/>
      <c r="AB168" s="500"/>
      <c r="AC168" s="3" t="s">
        <v>352</v>
      </c>
      <c r="AF168" s="501"/>
      <c r="AG168" s="46" t="str">
        <f t="shared" ref="AG168" si="1383">IF(AG167&gt;0,"- Evitar Posibilidad de Ocurrencia- Reducir el Riesgo","")</f>
        <v>- Evitar Posibilidad de Ocurrencia- Reducir el Riesgo</v>
      </c>
      <c r="AH168" s="46"/>
      <c r="AI168" s="46"/>
      <c r="AJ168" s="46"/>
      <c r="AK168" s="46"/>
      <c r="AL168" s="46"/>
      <c r="AM168" s="3" t="str">
        <f t="shared" si="1262"/>
        <v/>
      </c>
      <c r="AN168" s="3" t="str">
        <f t="shared" si="1263"/>
        <v/>
      </c>
      <c r="AO168" s="3" t="str">
        <f t="shared" si="1264"/>
        <v/>
      </c>
      <c r="AP168" s="3" t="str">
        <f t="shared" si="1265"/>
        <v/>
      </c>
      <c r="AQ168" s="3" t="str">
        <f t="shared" ref="AQ168:AQ169" si="1384">IF(AQ167="Documentar",AQ167,AM168)</f>
        <v/>
      </c>
      <c r="AR168" s="3" t="str">
        <f t="shared" ref="AR168:AR169" si="1385">IF(AR167="Asignar responsable",AR167,AN168)</f>
        <v/>
      </c>
      <c r="AT168" s="3" t="str">
        <f t="shared" ref="AT168:AT169" si="1386">IF(AT167="Establecer periodos de seguimiento adecuados",AT167,AO168)</f>
        <v/>
      </c>
      <c r="AV168" s="3" t="str">
        <f t="shared" ref="AV168:AV169" si="1387">IF(AV167="Guardar Evidencias",AV167,AP168)</f>
        <v/>
      </c>
      <c r="AX168" s="502"/>
      <c r="AY168" s="502"/>
      <c r="AZ168" s="502"/>
      <c r="BA168" s="502"/>
      <c r="BB168" s="3" t="str">
        <f t="shared" si="1274"/>
        <v>SI</v>
      </c>
      <c r="BC168" s="3" t="str">
        <f t="shared" si="1275"/>
        <v/>
      </c>
      <c r="BD168" s="3" t="str">
        <f t="shared" si="1276"/>
        <v>SI</v>
      </c>
      <c r="BE168" s="3" t="str">
        <f t="shared" si="1277"/>
        <v/>
      </c>
      <c r="BF168" s="3" t="str">
        <f t="shared" si="1278"/>
        <v>SI</v>
      </c>
      <c r="BG168" s="3" t="str">
        <f t="shared" si="1279"/>
        <v/>
      </c>
      <c r="BH168" s="3" t="str">
        <f t="shared" si="1280"/>
        <v>P</v>
      </c>
      <c r="BI168" s="3" t="str">
        <f t="shared" si="941"/>
        <v/>
      </c>
      <c r="BJ168" s="3" t="str">
        <f t="shared" si="942"/>
        <v>M</v>
      </c>
      <c r="BK168" s="3" t="str">
        <f t="shared" si="943"/>
        <v/>
      </c>
      <c r="BL168" s="3" t="str">
        <f t="shared" si="1281"/>
        <v>SI</v>
      </c>
      <c r="BM168" s="3" t="str">
        <f t="shared" si="1282"/>
        <v/>
      </c>
    </row>
    <row r="169" spans="1:65" ht="48" thickBot="1" x14ac:dyDescent="0.25">
      <c r="A169" s="495"/>
      <c r="B169" s="496"/>
      <c r="C169" s="356">
        <v>3</v>
      </c>
      <c r="D169" s="56" t="s">
        <v>11</v>
      </c>
      <c r="E169" s="240">
        <f t="shared" si="933"/>
        <v>10</v>
      </c>
      <c r="F169" s="44" t="s">
        <v>639</v>
      </c>
      <c r="G169" s="18" t="str">
        <f t="shared" si="1244"/>
        <v/>
      </c>
      <c r="H169" s="44" t="s">
        <v>20</v>
      </c>
      <c r="I169" s="18" t="str">
        <f t="shared" si="1245"/>
        <v/>
      </c>
      <c r="J169" s="55" t="str">
        <f t="shared" si="1246"/>
        <v>Posibilidad</v>
      </c>
      <c r="K169" s="43" t="s">
        <v>10</v>
      </c>
      <c r="L169" s="18">
        <f t="shared" si="1247"/>
        <v>0</v>
      </c>
      <c r="M169" s="43" t="s">
        <v>11</v>
      </c>
      <c r="N169" s="18">
        <f t="shared" si="1248"/>
        <v>30</v>
      </c>
      <c r="O169" s="43" t="s">
        <v>323</v>
      </c>
      <c r="P169" s="18">
        <f t="shared" si="1249"/>
        <v>10</v>
      </c>
      <c r="Q169" s="43" t="s">
        <v>11</v>
      </c>
      <c r="R169" s="18">
        <f t="shared" si="1250"/>
        <v>5</v>
      </c>
      <c r="S169" s="43" t="s">
        <v>11</v>
      </c>
      <c r="T169" s="18">
        <f t="shared" si="1251"/>
        <v>15</v>
      </c>
      <c r="U169" s="43" t="s">
        <v>11</v>
      </c>
      <c r="V169" s="18">
        <f t="shared" si="1252"/>
        <v>10</v>
      </c>
      <c r="W169" s="18">
        <f t="shared" si="1253"/>
        <v>80</v>
      </c>
      <c r="X169" s="57" t="str">
        <f t="shared" si="1254"/>
        <v>80                           Disminuye en Posibilidad</v>
      </c>
      <c r="Y169" s="57">
        <f t="shared" si="1255"/>
        <v>1</v>
      </c>
      <c r="Z169" s="356"/>
      <c r="AA169" s="499"/>
      <c r="AB169" s="500"/>
      <c r="AM169" s="3" t="str">
        <f t="shared" si="1262"/>
        <v>Documentar</v>
      </c>
      <c r="AN169" s="3" t="str">
        <f t="shared" si="1263"/>
        <v/>
      </c>
      <c r="AO169" s="3" t="str">
        <f t="shared" si="1264"/>
        <v/>
      </c>
      <c r="AP169" s="3" t="str">
        <f t="shared" si="1265"/>
        <v/>
      </c>
      <c r="AQ169" s="3" t="str">
        <f t="shared" si="1384"/>
        <v>Documentar</v>
      </c>
      <c r="AR169" s="3" t="str">
        <f t="shared" si="1385"/>
        <v/>
      </c>
      <c r="AS169" s="3" t="str">
        <f t="shared" ref="AS169" si="1388">IF(AND(AQ169="Documentar",AR169="Asignar responsable"),CONCATENATE("- ",AQ169,", ",AR169),IF(AQ169="Documentar",CONCATENATE("- ",AQ169),IF(AR169="Asignar responsable",CONCATENATE("- ",AR169),"")))</f>
        <v>- Documentar</v>
      </c>
      <c r="AT169" s="3" t="str">
        <f t="shared" si="1386"/>
        <v/>
      </c>
      <c r="AU169" s="3" t="str">
        <f t="shared" ref="AU169" si="1389">IF(AT169="",AS169,IF(AS169="",CONCATENATE("- ",AT169),CONCATENATE(AS169,", ",AT169)))</f>
        <v>- Documentar</v>
      </c>
      <c r="AV169" s="3" t="str">
        <f t="shared" si="1387"/>
        <v/>
      </c>
      <c r="AW169" s="3" t="str">
        <f t="shared" ref="AW169" si="1390">IF(AV169="",AU169,IF(AU169="",CONCATENATE("- ",AV169),CONCATENATE(AU169,", ",AV169)))</f>
        <v>- Documentar</v>
      </c>
      <c r="AX169" s="502"/>
      <c r="AY169" s="502"/>
      <c r="AZ169" s="502"/>
      <c r="BA169" s="502"/>
      <c r="BB169" s="3" t="str">
        <f t="shared" si="1274"/>
        <v>NO</v>
      </c>
      <c r="BC169" s="3" t="str">
        <f t="shared" si="1275"/>
        <v/>
      </c>
      <c r="BD169" s="3" t="str">
        <f t="shared" si="1276"/>
        <v>SI</v>
      </c>
      <c r="BE169" s="3" t="str">
        <f t="shared" si="1277"/>
        <v/>
      </c>
      <c r="BF169" s="3" t="str">
        <f t="shared" si="1278"/>
        <v>SI</v>
      </c>
      <c r="BG169" s="3" t="str">
        <f t="shared" si="1279"/>
        <v/>
      </c>
      <c r="BH169" s="3" t="str">
        <f t="shared" si="1280"/>
        <v>P</v>
      </c>
      <c r="BI169" s="3" t="str">
        <f t="shared" si="941"/>
        <v/>
      </c>
      <c r="BJ169" s="3" t="str">
        <f t="shared" si="942"/>
        <v>M</v>
      </c>
      <c r="BK169" s="3" t="str">
        <f t="shared" si="943"/>
        <v/>
      </c>
      <c r="BL169" s="3" t="str">
        <f t="shared" si="1281"/>
        <v>SI</v>
      </c>
      <c r="BM169" s="3" t="str">
        <f t="shared" si="1282"/>
        <v/>
      </c>
    </row>
    <row r="170" spans="1:65" ht="36.75" thickTop="1" x14ac:dyDescent="0.2">
      <c r="A170" s="493" t="str">
        <f>IDENTIFICACIÓN!C63</f>
        <v>26C</v>
      </c>
      <c r="B170" s="496" t="str">
        <f>IF(IDENTIFICACIÓN!D63="","",IDENTIFICACIÓN!D63)</f>
        <v>Gestión Documental. Expedición de un certificado de título falso</v>
      </c>
      <c r="C170" s="356">
        <v>1</v>
      </c>
      <c r="D170" s="56" t="s">
        <v>11</v>
      </c>
      <c r="E170" s="240">
        <f t="shared" si="933"/>
        <v>10</v>
      </c>
      <c r="F170" s="44" t="s">
        <v>640</v>
      </c>
      <c r="G170" s="18" t="str">
        <f t="shared" si="1244"/>
        <v/>
      </c>
      <c r="H170" s="44" t="s">
        <v>20</v>
      </c>
      <c r="I170" s="18" t="str">
        <f t="shared" si="1245"/>
        <v/>
      </c>
      <c r="J170" s="55" t="str">
        <f t="shared" si="1246"/>
        <v>Posibilidad</v>
      </c>
      <c r="K170" s="43" t="s">
        <v>11</v>
      </c>
      <c r="L170" s="18">
        <f t="shared" si="1247"/>
        <v>15</v>
      </c>
      <c r="M170" s="43" t="s">
        <v>11</v>
      </c>
      <c r="N170" s="18">
        <f t="shared" si="1248"/>
        <v>30</v>
      </c>
      <c r="O170" s="43" t="s">
        <v>323</v>
      </c>
      <c r="P170" s="18">
        <f t="shared" si="1249"/>
        <v>10</v>
      </c>
      <c r="Q170" s="43" t="s">
        <v>11</v>
      </c>
      <c r="R170" s="18">
        <f t="shared" si="1250"/>
        <v>5</v>
      </c>
      <c r="S170" s="43" t="s">
        <v>11</v>
      </c>
      <c r="T170" s="18">
        <f t="shared" si="1251"/>
        <v>15</v>
      </c>
      <c r="U170" s="43" t="s">
        <v>10</v>
      </c>
      <c r="V170" s="18">
        <f t="shared" si="1252"/>
        <v>0</v>
      </c>
      <c r="W170" s="18">
        <f t="shared" si="1253"/>
        <v>85</v>
      </c>
      <c r="X170" s="57" t="str">
        <f t="shared" si="1254"/>
        <v>85                           Disminuye en Posibilidad</v>
      </c>
      <c r="Y170" s="57">
        <f t="shared" si="1255"/>
        <v>1</v>
      </c>
      <c r="Z170" s="356"/>
      <c r="AA170" s="497">
        <f t="shared" ref="AA170" si="1391">IF(AB170=0,"",(ROUND((SUM(W170:W172)/AB170),0)))</f>
        <v>85</v>
      </c>
      <c r="AB170" s="500">
        <f t="shared" ref="AB170" si="1392">COUNT(T170:T172)</f>
        <v>2</v>
      </c>
      <c r="AC170" s="3">
        <f t="shared" ref="AC170" si="1393">SUM(Y170:Y172)</f>
        <v>2</v>
      </c>
      <c r="AD170" s="3">
        <f>ANALISIS!D65</f>
        <v>3</v>
      </c>
      <c r="AE170" s="3">
        <f t="shared" ref="AE170" si="1394">IF(AND(AD170=5,AC170&gt;1),3,AD170)</f>
        <v>3</v>
      </c>
      <c r="AF170" s="501">
        <f t="shared" si="1260"/>
        <v>3</v>
      </c>
      <c r="AG170" s="355" t="str">
        <f t="shared" si="1261"/>
        <v>MODERADA</v>
      </c>
      <c r="AH170" s="46"/>
      <c r="AI170" s="46"/>
      <c r="AJ170" s="46"/>
      <c r="AK170" s="46"/>
      <c r="AL170" s="46"/>
      <c r="AM170" s="3" t="str">
        <f t="shared" si="1262"/>
        <v/>
      </c>
      <c r="AN170" s="3" t="str">
        <f t="shared" si="1263"/>
        <v/>
      </c>
      <c r="AO170" s="3" t="str">
        <f t="shared" si="1264"/>
        <v/>
      </c>
      <c r="AP170" s="3" t="str">
        <f t="shared" si="1265"/>
        <v>Guardar Evidencias</v>
      </c>
      <c r="AQ170" s="3" t="str">
        <f t="shared" ref="AQ170" si="1395">AM170</f>
        <v/>
      </c>
      <c r="AR170" s="3" t="str">
        <f t="shared" ref="AR170" si="1396">AN170</f>
        <v/>
      </c>
      <c r="AT170" s="3" t="str">
        <f t="shared" ref="AT170" si="1397">AO170</f>
        <v/>
      </c>
      <c r="AV170" s="3" t="str">
        <f t="shared" ref="AV170" si="1398">AP170</f>
        <v>Guardar Evidencias</v>
      </c>
      <c r="AX170" s="502" t="str">
        <f t="shared" ref="AX170" si="1399">IF(AW172="","",CONCATENATE(AW172," (de) el(los) control(es) Efectivo(s) "))</f>
        <v xml:space="preserve">- Guardar Evidencias (de) el(los) control(es) Efectivo(s) </v>
      </c>
      <c r="AY170" s="502" t="str">
        <f t="shared" ref="AY170" si="1400">IF(CONCATENATE(N170:N172)="","",IF(AND(SUM(E170:E172)=10,SUM(N170:N172)&lt;30),"- Replantear control(es) NO efectivo(s) ",IF(AND(SUM(E170:E172)=20,SUM(N170:N172)&lt;60),"- Replantear control(es) NO efectivo(s) ",IF(AND(SUM(E170:E172)=30,SUM(N170:N172)&lt;90),"- Replantear control(es) NO efectivo(s) ",""))))</f>
        <v/>
      </c>
      <c r="AZ170" s="502" t="str">
        <f t="shared" ref="AZ170" si="1401">IF(AND(AE170&gt;1,AE171&gt;1),"- Tomar Acciones Preventivas y Correctivas",IF(AE170&gt;1,"- Tomar Acciones Preventivas",IF(AE171&gt;1,"- Tomar Acciones Correctivas","")))</f>
        <v>- Tomar Acciones Preventivas</v>
      </c>
      <c r="BA170" s="502" t="str">
        <f t="shared" ref="BA170" si="1402">CONCATENATE(AX170,AY170,AZ170)</f>
        <v>- Guardar Evidencias (de) el(los) control(es) Efectivo(s) - Tomar Acciones Preventivas</v>
      </c>
      <c r="BB170" s="3" t="str">
        <f t="shared" si="1274"/>
        <v>SI</v>
      </c>
      <c r="BC170" s="3" t="str">
        <f t="shared" si="1275"/>
        <v/>
      </c>
      <c r="BD170" s="3" t="str">
        <f t="shared" si="1276"/>
        <v>SI</v>
      </c>
      <c r="BE170" s="3" t="str">
        <f t="shared" si="1277"/>
        <v/>
      </c>
      <c r="BF170" s="3" t="str">
        <f t="shared" si="1278"/>
        <v>SI</v>
      </c>
      <c r="BG170" s="3" t="str">
        <f t="shared" si="1279"/>
        <v/>
      </c>
      <c r="BH170" s="3" t="str">
        <f t="shared" si="1280"/>
        <v>P</v>
      </c>
      <c r="BI170" s="3" t="str">
        <f t="shared" si="941"/>
        <v/>
      </c>
      <c r="BJ170" s="3" t="str">
        <f t="shared" si="942"/>
        <v>M</v>
      </c>
      <c r="BK170" s="3" t="str">
        <f t="shared" si="943"/>
        <v/>
      </c>
      <c r="BL170" s="3" t="str">
        <f t="shared" si="1281"/>
        <v>NO</v>
      </c>
      <c r="BM170" s="3" t="str">
        <f t="shared" si="1282"/>
        <v/>
      </c>
    </row>
    <row r="171" spans="1:65" ht="36" x14ac:dyDescent="0.2">
      <c r="A171" s="494"/>
      <c r="B171" s="496"/>
      <c r="C171" s="356">
        <v>2</v>
      </c>
      <c r="D171" s="56" t="s">
        <v>11</v>
      </c>
      <c r="E171" s="240">
        <f t="shared" si="933"/>
        <v>10</v>
      </c>
      <c r="F171" s="44" t="s">
        <v>641</v>
      </c>
      <c r="G171" s="18" t="str">
        <f t="shared" si="1244"/>
        <v/>
      </c>
      <c r="H171" s="44" t="s">
        <v>20</v>
      </c>
      <c r="I171" s="18" t="str">
        <f t="shared" si="1245"/>
        <v/>
      </c>
      <c r="J171" s="55" t="str">
        <f t="shared" si="1246"/>
        <v>Posibilidad</v>
      </c>
      <c r="K171" s="43" t="s">
        <v>11</v>
      </c>
      <c r="L171" s="18">
        <f t="shared" si="1247"/>
        <v>15</v>
      </c>
      <c r="M171" s="43" t="s">
        <v>11</v>
      </c>
      <c r="N171" s="18">
        <f t="shared" si="1248"/>
        <v>30</v>
      </c>
      <c r="O171" s="43" t="s">
        <v>323</v>
      </c>
      <c r="P171" s="18">
        <f t="shared" si="1249"/>
        <v>10</v>
      </c>
      <c r="Q171" s="43" t="s">
        <v>11</v>
      </c>
      <c r="R171" s="18">
        <f t="shared" si="1250"/>
        <v>5</v>
      </c>
      <c r="S171" s="43" t="s">
        <v>11</v>
      </c>
      <c r="T171" s="18">
        <f t="shared" si="1251"/>
        <v>15</v>
      </c>
      <c r="U171" s="43" t="s">
        <v>10</v>
      </c>
      <c r="V171" s="18">
        <f t="shared" si="1252"/>
        <v>0</v>
      </c>
      <c r="W171" s="18">
        <f t="shared" si="1253"/>
        <v>85</v>
      </c>
      <c r="X171" s="57" t="str">
        <f t="shared" si="1254"/>
        <v>85                           Disminuye en Posibilidad</v>
      </c>
      <c r="Y171" s="57">
        <f t="shared" si="1255"/>
        <v>1</v>
      </c>
      <c r="Z171" s="356"/>
      <c r="AA171" s="498"/>
      <c r="AB171" s="500"/>
      <c r="AC171" s="3" t="s">
        <v>352</v>
      </c>
      <c r="AF171" s="501"/>
      <c r="AG171" s="46" t="str">
        <f t="shared" ref="AG171" si="1403">IF(AG170&gt;0,"- Evitar Posibilidad de Ocurrencia- Reducir el Riesgo","")</f>
        <v>- Evitar Posibilidad de Ocurrencia- Reducir el Riesgo</v>
      </c>
      <c r="AH171" s="46"/>
      <c r="AI171" s="46"/>
      <c r="AJ171" s="46"/>
      <c r="AK171" s="46"/>
      <c r="AL171" s="46"/>
      <c r="AM171" s="3" t="str">
        <f t="shared" si="1262"/>
        <v/>
      </c>
      <c r="AN171" s="3" t="str">
        <f t="shared" si="1263"/>
        <v/>
      </c>
      <c r="AO171" s="3" t="str">
        <f t="shared" si="1264"/>
        <v/>
      </c>
      <c r="AP171" s="3" t="str">
        <f t="shared" si="1265"/>
        <v>Guardar Evidencias</v>
      </c>
      <c r="AQ171" s="3" t="str">
        <f t="shared" ref="AQ171:AQ172" si="1404">IF(AQ170="Documentar",AQ170,AM171)</f>
        <v/>
      </c>
      <c r="AR171" s="3" t="str">
        <f t="shared" ref="AR171:AR172" si="1405">IF(AR170="Asignar responsable",AR170,AN171)</f>
        <v/>
      </c>
      <c r="AT171" s="3" t="str">
        <f t="shared" ref="AT171:AT172" si="1406">IF(AT170="Establecer periodos de seguimiento adecuados",AT170,AO171)</f>
        <v/>
      </c>
      <c r="AV171" s="3" t="str">
        <f t="shared" ref="AV171:AV172" si="1407">IF(AV170="Guardar Evidencias",AV170,AP171)</f>
        <v>Guardar Evidencias</v>
      </c>
      <c r="AX171" s="502"/>
      <c r="AY171" s="502"/>
      <c r="AZ171" s="502"/>
      <c r="BA171" s="502"/>
      <c r="BB171" s="3" t="str">
        <f t="shared" si="1274"/>
        <v>SI</v>
      </c>
      <c r="BC171" s="3" t="str">
        <f t="shared" si="1275"/>
        <v/>
      </c>
      <c r="BD171" s="3" t="str">
        <f t="shared" si="1276"/>
        <v>SI</v>
      </c>
      <c r="BE171" s="3" t="str">
        <f t="shared" si="1277"/>
        <v/>
      </c>
      <c r="BF171" s="3" t="str">
        <f t="shared" si="1278"/>
        <v>SI</v>
      </c>
      <c r="BG171" s="3" t="str">
        <f t="shared" si="1279"/>
        <v/>
      </c>
      <c r="BH171" s="3" t="str">
        <f t="shared" si="1280"/>
        <v>P</v>
      </c>
      <c r="BI171" s="3" t="str">
        <f t="shared" si="941"/>
        <v/>
      </c>
      <c r="BJ171" s="3" t="str">
        <f t="shared" si="942"/>
        <v>M</v>
      </c>
      <c r="BK171" s="3" t="str">
        <f t="shared" si="943"/>
        <v/>
      </c>
      <c r="BL171" s="3" t="str">
        <f t="shared" si="1281"/>
        <v>NO</v>
      </c>
      <c r="BM171" s="3" t="str">
        <f t="shared" si="1282"/>
        <v/>
      </c>
    </row>
    <row r="172" spans="1:65" ht="32.25" thickBot="1" x14ac:dyDescent="0.25">
      <c r="A172" s="495"/>
      <c r="B172" s="496"/>
      <c r="C172" s="356">
        <v>3</v>
      </c>
      <c r="D172" s="56"/>
      <c r="E172" s="240" t="str">
        <f t="shared" si="933"/>
        <v/>
      </c>
      <c r="F172" s="44"/>
      <c r="G172" s="18" t="str">
        <f t="shared" si="1244"/>
        <v/>
      </c>
      <c r="H172" s="44"/>
      <c r="I172" s="18" t="str">
        <f t="shared" si="1245"/>
        <v/>
      </c>
      <c r="J172" s="55" t="str">
        <f t="shared" si="1246"/>
        <v/>
      </c>
      <c r="K172" s="43"/>
      <c r="L172" s="18" t="str">
        <f t="shared" si="1247"/>
        <v/>
      </c>
      <c r="M172" s="43"/>
      <c r="N172" s="18" t="str">
        <f t="shared" si="1248"/>
        <v/>
      </c>
      <c r="O172" s="43"/>
      <c r="P172" s="18" t="str">
        <f t="shared" si="1249"/>
        <v/>
      </c>
      <c r="Q172" s="43"/>
      <c r="R172" s="18" t="str">
        <f t="shared" si="1250"/>
        <v/>
      </c>
      <c r="S172" s="43"/>
      <c r="T172" s="18" t="str">
        <f t="shared" si="1251"/>
        <v/>
      </c>
      <c r="U172" s="43"/>
      <c r="V172" s="18" t="str">
        <f t="shared" si="1252"/>
        <v/>
      </c>
      <c r="W172" s="18">
        <f t="shared" si="1253"/>
        <v>0</v>
      </c>
      <c r="X172" s="57" t="str">
        <f t="shared" si="1254"/>
        <v/>
      </c>
      <c r="Y172" s="57">
        <f t="shared" si="1255"/>
        <v>0</v>
      </c>
      <c r="Z172" s="356"/>
      <c r="AA172" s="499"/>
      <c r="AB172" s="500"/>
      <c r="AM172" s="3" t="str">
        <f t="shared" si="1262"/>
        <v/>
      </c>
      <c r="AN172" s="3" t="str">
        <f t="shared" si="1263"/>
        <v/>
      </c>
      <c r="AO172" s="3" t="str">
        <f t="shared" si="1264"/>
        <v/>
      </c>
      <c r="AP172" s="3" t="str">
        <f t="shared" si="1265"/>
        <v/>
      </c>
      <c r="AQ172" s="3" t="str">
        <f t="shared" si="1404"/>
        <v/>
      </c>
      <c r="AR172" s="3" t="str">
        <f t="shared" si="1405"/>
        <v/>
      </c>
      <c r="AS172" s="3" t="str">
        <f t="shared" ref="AS172" si="1408">IF(AND(AQ172="Documentar",AR172="Asignar responsable"),CONCATENATE("- ",AQ172,", ",AR172),IF(AQ172="Documentar",CONCATENATE("- ",AQ172),IF(AR172="Asignar responsable",CONCATENATE("- ",AR172),"")))</f>
        <v/>
      </c>
      <c r="AT172" s="3" t="str">
        <f t="shared" si="1406"/>
        <v/>
      </c>
      <c r="AU172" s="3" t="str">
        <f t="shared" ref="AU172" si="1409">IF(AT172="",AS172,IF(AS172="",CONCATENATE("- ",AT172),CONCATENATE(AS172,", ",AT172)))</f>
        <v/>
      </c>
      <c r="AV172" s="3" t="str">
        <f t="shared" si="1407"/>
        <v>Guardar Evidencias</v>
      </c>
      <c r="AW172" s="3" t="str">
        <f t="shared" ref="AW172" si="1410">IF(AV172="",AU172,IF(AU172="",CONCATENATE("- ",AV172),CONCATENATE(AU172,", ",AV172)))</f>
        <v>- Guardar Evidencias</v>
      </c>
      <c r="AX172" s="502"/>
      <c r="AY172" s="502"/>
      <c r="AZ172" s="502"/>
      <c r="BA172" s="502"/>
      <c r="BB172" s="3" t="str">
        <f t="shared" si="1274"/>
        <v/>
      </c>
      <c r="BC172" s="3" t="str">
        <f t="shared" si="1275"/>
        <v/>
      </c>
      <c r="BD172" s="3" t="str">
        <f t="shared" si="1276"/>
        <v/>
      </c>
      <c r="BE172" s="3" t="str">
        <f t="shared" si="1277"/>
        <v/>
      </c>
      <c r="BF172" s="3" t="str">
        <f t="shared" si="1278"/>
        <v/>
      </c>
      <c r="BG172" s="3" t="str">
        <f t="shared" si="1279"/>
        <v/>
      </c>
      <c r="BH172" s="3" t="str">
        <f t="shared" si="1280"/>
        <v/>
      </c>
      <c r="BI172" s="3" t="str">
        <f t="shared" si="941"/>
        <v/>
      </c>
      <c r="BJ172" s="3" t="str">
        <f t="shared" si="942"/>
        <v/>
      </c>
      <c r="BK172" s="3" t="str">
        <f t="shared" si="943"/>
        <v/>
      </c>
      <c r="BL172" s="3" t="str">
        <f t="shared" si="1281"/>
        <v/>
      </c>
      <c r="BM172" s="3" t="str">
        <f t="shared" si="1282"/>
        <v/>
      </c>
    </row>
    <row r="173" spans="1:65" ht="63.75" thickTop="1" x14ac:dyDescent="0.2">
      <c r="A173" s="493" t="str">
        <f>IDENTIFICACIÓN!C64</f>
        <v>27C</v>
      </c>
      <c r="B173" s="496" t="str">
        <f>IF(IDENTIFICACIÓN!D64="","",IDENTIFICACIÓN!D64)</f>
        <v>Gestión del Talento Humano. Concentración de información de determinadas actividades o procesos en una persona.</v>
      </c>
      <c r="C173" s="356">
        <v>1</v>
      </c>
      <c r="D173" s="56" t="s">
        <v>11</v>
      </c>
      <c r="E173" s="240">
        <f t="shared" si="933"/>
        <v>10</v>
      </c>
      <c r="F173" s="44" t="s">
        <v>642</v>
      </c>
      <c r="G173" s="18" t="str">
        <f t="shared" si="1244"/>
        <v/>
      </c>
      <c r="H173" s="44" t="s">
        <v>20</v>
      </c>
      <c r="I173" s="18" t="str">
        <f t="shared" si="1245"/>
        <v/>
      </c>
      <c r="J173" s="55" t="str">
        <f t="shared" si="1246"/>
        <v>Posibilidad</v>
      </c>
      <c r="K173" s="43" t="s">
        <v>11</v>
      </c>
      <c r="L173" s="18">
        <f t="shared" si="1247"/>
        <v>15</v>
      </c>
      <c r="M173" s="43" t="s">
        <v>11</v>
      </c>
      <c r="N173" s="18">
        <f t="shared" si="1248"/>
        <v>30</v>
      </c>
      <c r="O173" s="43" t="s">
        <v>323</v>
      </c>
      <c r="P173" s="18">
        <f t="shared" si="1249"/>
        <v>10</v>
      </c>
      <c r="Q173" s="43" t="s">
        <v>11</v>
      </c>
      <c r="R173" s="18">
        <f t="shared" si="1250"/>
        <v>5</v>
      </c>
      <c r="S173" s="43" t="s">
        <v>10</v>
      </c>
      <c r="T173" s="18">
        <f t="shared" si="1251"/>
        <v>0</v>
      </c>
      <c r="U173" s="43" t="s">
        <v>11</v>
      </c>
      <c r="V173" s="18">
        <f t="shared" si="1252"/>
        <v>10</v>
      </c>
      <c r="W173" s="18">
        <f t="shared" si="1253"/>
        <v>80</v>
      </c>
      <c r="X173" s="57" t="str">
        <f t="shared" si="1254"/>
        <v>80                           Disminuye en Posibilidad</v>
      </c>
      <c r="Y173" s="57">
        <f t="shared" si="1255"/>
        <v>1</v>
      </c>
      <c r="Z173" s="356"/>
      <c r="AA173" s="497">
        <f t="shared" ref="AA173" si="1411">IF(AB173=0,"",(ROUND((SUM(W173:W175)/AB173),0)))</f>
        <v>80</v>
      </c>
      <c r="AB173" s="500">
        <f t="shared" ref="AB173" si="1412">COUNT(T173:T175)</f>
        <v>1</v>
      </c>
      <c r="AC173" s="3">
        <f t="shared" ref="AC173" si="1413">SUM(Y173:Y175)</f>
        <v>1</v>
      </c>
      <c r="AD173" s="3">
        <f>ANALISIS!D66</f>
        <v>3</v>
      </c>
      <c r="AE173" s="3">
        <f t="shared" ref="AE173" si="1414">IF(AND(AD173=5,AC173&gt;1),3,AD173)</f>
        <v>3</v>
      </c>
      <c r="AF173" s="501">
        <f t="shared" si="1260"/>
        <v>3</v>
      </c>
      <c r="AG173" s="355" t="str">
        <f t="shared" si="1261"/>
        <v>MODERADA</v>
      </c>
      <c r="AH173" s="46"/>
      <c r="AI173" s="46"/>
      <c r="AJ173" s="46"/>
      <c r="AK173" s="46"/>
      <c r="AL173" s="46"/>
      <c r="AM173" s="3" t="str">
        <f t="shared" si="1262"/>
        <v/>
      </c>
      <c r="AN173" s="3" t="str">
        <f t="shared" si="1263"/>
        <v/>
      </c>
      <c r="AO173" s="3" t="str">
        <f t="shared" si="1264"/>
        <v>Establecer periodos de seguimiento adecuados</v>
      </c>
      <c r="AP173" s="3" t="str">
        <f t="shared" si="1265"/>
        <v/>
      </c>
      <c r="AQ173" s="3" t="str">
        <f t="shared" ref="AQ173" si="1415">AM173</f>
        <v/>
      </c>
      <c r="AR173" s="3" t="str">
        <f t="shared" ref="AR173" si="1416">AN173</f>
        <v/>
      </c>
      <c r="AT173" s="3" t="str">
        <f t="shared" ref="AT173" si="1417">AO173</f>
        <v>Establecer periodos de seguimiento adecuados</v>
      </c>
      <c r="AV173" s="3" t="str">
        <f t="shared" ref="AV173" si="1418">AP173</f>
        <v/>
      </c>
      <c r="AX173" s="502" t="str">
        <f t="shared" ref="AX173" si="1419">IF(AW175="","",CONCATENATE(AW175," (de) el(los) control(es) Efectivo(s) "))</f>
        <v xml:space="preserve">- Establecer periodos de seguimiento adecuados (de) el(los) control(es) Efectivo(s) </v>
      </c>
      <c r="AY173" s="502" t="str">
        <f t="shared" ref="AY173" si="1420">IF(CONCATENATE(N173:N175)="","",IF(AND(SUM(E173:E175)=10,SUM(N173:N175)&lt;30),"- Replantear control(es) NO efectivo(s) ",IF(AND(SUM(E173:E175)=20,SUM(N173:N175)&lt;60),"- Replantear control(es) NO efectivo(s) ",IF(AND(SUM(E173:E175)=30,SUM(N173:N175)&lt;90),"- Replantear control(es) NO efectivo(s) ",""))))</f>
        <v/>
      </c>
      <c r="AZ173" s="502" t="str">
        <f t="shared" ref="AZ173" si="1421">IF(AND(AE173&gt;1,AE174&gt;1),"- Tomar Acciones Preventivas y Correctivas",IF(AE173&gt;1,"- Tomar Acciones Preventivas",IF(AE174&gt;1,"- Tomar Acciones Correctivas","")))</f>
        <v>- Tomar Acciones Preventivas</v>
      </c>
      <c r="BA173" s="502" t="str">
        <f t="shared" ref="BA173" si="1422">CONCATENATE(AX173,AY173,AZ173)</f>
        <v>- Establecer periodos de seguimiento adecuados (de) el(los) control(es) Efectivo(s) - Tomar Acciones Preventivas</v>
      </c>
      <c r="BB173" s="3" t="str">
        <f t="shared" si="1274"/>
        <v>SI</v>
      </c>
      <c r="BC173" s="3" t="str">
        <f t="shared" si="1275"/>
        <v/>
      </c>
      <c r="BD173" s="3" t="str">
        <f t="shared" si="1276"/>
        <v>SI</v>
      </c>
      <c r="BE173" s="3" t="str">
        <f t="shared" si="1277"/>
        <v/>
      </c>
      <c r="BF173" s="3" t="str">
        <f t="shared" si="1278"/>
        <v>NO</v>
      </c>
      <c r="BG173" s="3" t="str">
        <f t="shared" si="1279"/>
        <v/>
      </c>
      <c r="BH173" s="3" t="str">
        <f t="shared" si="1280"/>
        <v>P</v>
      </c>
      <c r="BI173" s="3" t="str">
        <f t="shared" si="941"/>
        <v/>
      </c>
      <c r="BJ173" s="3" t="str">
        <f t="shared" si="942"/>
        <v>M</v>
      </c>
      <c r="BK173" s="3" t="str">
        <f t="shared" si="943"/>
        <v/>
      </c>
      <c r="BL173" s="3" t="str">
        <f t="shared" si="1281"/>
        <v>SI</v>
      </c>
      <c r="BM173" s="3" t="str">
        <f t="shared" si="1282"/>
        <v/>
      </c>
    </row>
    <row r="174" spans="1:65" ht="63" x14ac:dyDescent="0.2">
      <c r="A174" s="494"/>
      <c r="B174" s="496"/>
      <c r="C174" s="356">
        <v>2</v>
      </c>
      <c r="D174" s="56"/>
      <c r="E174" s="240" t="str">
        <f t="shared" si="933"/>
        <v/>
      </c>
      <c r="F174" s="44"/>
      <c r="G174" s="18" t="str">
        <f t="shared" si="1244"/>
        <v/>
      </c>
      <c r="H174" s="44"/>
      <c r="I174" s="18" t="str">
        <f t="shared" si="1245"/>
        <v/>
      </c>
      <c r="J174" s="55" t="str">
        <f t="shared" si="1246"/>
        <v/>
      </c>
      <c r="K174" s="43"/>
      <c r="L174" s="18" t="str">
        <f t="shared" si="1247"/>
        <v/>
      </c>
      <c r="M174" s="43"/>
      <c r="N174" s="18" t="str">
        <f t="shared" si="1248"/>
        <v/>
      </c>
      <c r="O174" s="43"/>
      <c r="P174" s="18" t="str">
        <f t="shared" si="1249"/>
        <v/>
      </c>
      <c r="Q174" s="43"/>
      <c r="R174" s="18" t="str">
        <f t="shared" si="1250"/>
        <v/>
      </c>
      <c r="S174" s="43"/>
      <c r="T174" s="18" t="str">
        <f t="shared" si="1251"/>
        <v/>
      </c>
      <c r="U174" s="43"/>
      <c r="V174" s="18" t="str">
        <f t="shared" si="1252"/>
        <v/>
      </c>
      <c r="W174" s="18">
        <f t="shared" si="1253"/>
        <v>0</v>
      </c>
      <c r="X174" s="57" t="str">
        <f t="shared" si="1254"/>
        <v/>
      </c>
      <c r="Y174" s="57">
        <f t="shared" si="1255"/>
        <v>0</v>
      </c>
      <c r="Z174" s="356"/>
      <c r="AA174" s="498"/>
      <c r="AB174" s="500"/>
      <c r="AC174" s="3" t="s">
        <v>352</v>
      </c>
      <c r="AF174" s="501"/>
      <c r="AG174" s="46" t="str">
        <f t="shared" ref="AG174" si="1423">IF(AG173&gt;0,"- Evitar Posibilidad de Ocurrencia- Reducir el Riesgo","")</f>
        <v>- Evitar Posibilidad de Ocurrencia- Reducir el Riesgo</v>
      </c>
      <c r="AH174" s="46"/>
      <c r="AI174" s="46"/>
      <c r="AJ174" s="46"/>
      <c r="AK174" s="46"/>
      <c r="AL174" s="46"/>
      <c r="AM174" s="3" t="str">
        <f t="shared" si="1262"/>
        <v/>
      </c>
      <c r="AN174" s="3" t="str">
        <f t="shared" si="1263"/>
        <v/>
      </c>
      <c r="AO174" s="3" t="str">
        <f t="shared" si="1264"/>
        <v/>
      </c>
      <c r="AP174" s="3" t="str">
        <f t="shared" si="1265"/>
        <v/>
      </c>
      <c r="AQ174" s="3" t="str">
        <f t="shared" ref="AQ174:AQ175" si="1424">IF(AQ173="Documentar",AQ173,AM174)</f>
        <v/>
      </c>
      <c r="AR174" s="3" t="str">
        <f t="shared" ref="AR174:AR175" si="1425">IF(AR173="Asignar responsable",AR173,AN174)</f>
        <v/>
      </c>
      <c r="AT174" s="3" t="str">
        <f t="shared" ref="AT174:AT175" si="1426">IF(AT173="Establecer periodos de seguimiento adecuados",AT173,AO174)</f>
        <v>Establecer periodos de seguimiento adecuados</v>
      </c>
      <c r="AV174" s="3" t="str">
        <f t="shared" ref="AV174:AV175" si="1427">IF(AV173="Guardar Evidencias",AV173,AP174)</f>
        <v/>
      </c>
      <c r="AX174" s="502"/>
      <c r="AY174" s="502"/>
      <c r="AZ174" s="502"/>
      <c r="BA174" s="502"/>
      <c r="BB174" s="3" t="str">
        <f t="shared" si="1274"/>
        <v/>
      </c>
      <c r="BC174" s="3" t="str">
        <f t="shared" si="1275"/>
        <v/>
      </c>
      <c r="BD174" s="3" t="str">
        <f t="shared" si="1276"/>
        <v/>
      </c>
      <c r="BE174" s="3" t="str">
        <f t="shared" si="1277"/>
        <v/>
      </c>
      <c r="BF174" s="3" t="str">
        <f t="shared" si="1278"/>
        <v/>
      </c>
      <c r="BG174" s="3" t="str">
        <f t="shared" si="1279"/>
        <v/>
      </c>
      <c r="BH174" s="3" t="str">
        <f t="shared" si="1280"/>
        <v/>
      </c>
      <c r="BI174" s="3" t="str">
        <f t="shared" si="941"/>
        <v/>
      </c>
      <c r="BJ174" s="3" t="str">
        <f t="shared" si="942"/>
        <v/>
      </c>
      <c r="BK174" s="3" t="str">
        <f t="shared" si="943"/>
        <v/>
      </c>
      <c r="BL174" s="3" t="str">
        <f t="shared" si="1281"/>
        <v/>
      </c>
      <c r="BM174" s="3" t="str">
        <f t="shared" si="1282"/>
        <v/>
      </c>
    </row>
    <row r="175" spans="1:65" ht="63.75" thickBot="1" x14ac:dyDescent="0.25">
      <c r="A175" s="495"/>
      <c r="B175" s="496"/>
      <c r="C175" s="356">
        <v>3</v>
      </c>
      <c r="D175" s="56"/>
      <c r="E175" s="240" t="str">
        <f t="shared" ref="E175:E196" si="1428">IF($D175="","",IF($D175="SI",10,0))</f>
        <v/>
      </c>
      <c r="F175" s="44"/>
      <c r="G175" s="18" t="str">
        <f t="shared" si="1244"/>
        <v/>
      </c>
      <c r="H175" s="44"/>
      <c r="I175" s="18" t="str">
        <f t="shared" si="1245"/>
        <v/>
      </c>
      <c r="J175" s="55" t="str">
        <f t="shared" si="1246"/>
        <v/>
      </c>
      <c r="K175" s="43"/>
      <c r="L175" s="18" t="str">
        <f t="shared" si="1247"/>
        <v/>
      </c>
      <c r="M175" s="43"/>
      <c r="N175" s="18" t="str">
        <f t="shared" si="1248"/>
        <v/>
      </c>
      <c r="O175" s="43"/>
      <c r="P175" s="18" t="str">
        <f t="shared" si="1249"/>
        <v/>
      </c>
      <c r="Q175" s="43"/>
      <c r="R175" s="18" t="str">
        <f t="shared" si="1250"/>
        <v/>
      </c>
      <c r="S175" s="43"/>
      <c r="T175" s="18" t="str">
        <f t="shared" si="1251"/>
        <v/>
      </c>
      <c r="U175" s="43"/>
      <c r="V175" s="18" t="str">
        <f t="shared" si="1252"/>
        <v/>
      </c>
      <c r="W175" s="18">
        <f t="shared" si="1253"/>
        <v>0</v>
      </c>
      <c r="X175" s="57" t="str">
        <f t="shared" si="1254"/>
        <v/>
      </c>
      <c r="Y175" s="57">
        <f t="shared" si="1255"/>
        <v>0</v>
      </c>
      <c r="Z175" s="356"/>
      <c r="AA175" s="499"/>
      <c r="AB175" s="500"/>
      <c r="AM175" s="3" t="str">
        <f t="shared" si="1262"/>
        <v/>
      </c>
      <c r="AN175" s="3" t="str">
        <f t="shared" si="1263"/>
        <v/>
      </c>
      <c r="AO175" s="3" t="str">
        <f t="shared" si="1264"/>
        <v/>
      </c>
      <c r="AP175" s="3" t="str">
        <f t="shared" si="1265"/>
        <v/>
      </c>
      <c r="AQ175" s="3" t="str">
        <f t="shared" si="1424"/>
        <v/>
      </c>
      <c r="AR175" s="3" t="str">
        <f t="shared" si="1425"/>
        <v/>
      </c>
      <c r="AS175" s="3" t="str">
        <f t="shared" ref="AS175" si="1429">IF(AND(AQ175="Documentar",AR175="Asignar responsable"),CONCATENATE("- ",AQ175,", ",AR175),IF(AQ175="Documentar",CONCATENATE("- ",AQ175),IF(AR175="Asignar responsable",CONCATENATE("- ",AR175),"")))</f>
        <v/>
      </c>
      <c r="AT175" s="3" t="str">
        <f t="shared" si="1426"/>
        <v>Establecer periodos de seguimiento adecuados</v>
      </c>
      <c r="AU175" s="3" t="str">
        <f t="shared" ref="AU175" si="1430">IF(AT175="",AS175,IF(AS175="",CONCATENATE("- ",AT175),CONCATENATE(AS175,", ",AT175)))</f>
        <v>- Establecer periodos de seguimiento adecuados</v>
      </c>
      <c r="AV175" s="3" t="str">
        <f t="shared" si="1427"/>
        <v/>
      </c>
      <c r="AW175" s="3" t="str">
        <f t="shared" ref="AW175" si="1431">IF(AV175="",AU175,IF(AU175="",CONCATENATE("- ",AV175),CONCATENATE(AU175,", ",AV175)))</f>
        <v>- Establecer periodos de seguimiento adecuados</v>
      </c>
      <c r="AX175" s="502"/>
      <c r="AY175" s="502"/>
      <c r="AZ175" s="502"/>
      <c r="BA175" s="502"/>
      <c r="BB175" s="3" t="str">
        <f t="shared" si="1274"/>
        <v/>
      </c>
      <c r="BC175" s="3" t="str">
        <f t="shared" si="1275"/>
        <v/>
      </c>
      <c r="BD175" s="3" t="str">
        <f t="shared" si="1276"/>
        <v/>
      </c>
      <c r="BE175" s="3" t="str">
        <f t="shared" si="1277"/>
        <v/>
      </c>
      <c r="BF175" s="3" t="str">
        <f t="shared" si="1278"/>
        <v/>
      </c>
      <c r="BG175" s="3" t="str">
        <f t="shared" si="1279"/>
        <v/>
      </c>
      <c r="BH175" s="3" t="str">
        <f t="shared" si="1280"/>
        <v/>
      </c>
      <c r="BI175" s="3" t="str">
        <f t="shared" ref="BI175:BI196" si="1432">IF(AND($N175=0,$H175="Preventivo"),"P",IF(AND($N175=0,$H175="Correctivo"),"C",""))</f>
        <v/>
      </c>
      <c r="BJ175" s="3" t="str">
        <f t="shared" ref="BJ175:BJ196" si="1433">IF(AND($N175=30,$O175="Automático"),"A",IF(AND($N175=30,$O175="Manual"),"M",""))</f>
        <v/>
      </c>
      <c r="BK175" s="3" t="str">
        <f t="shared" ref="BK175:BK196" si="1434">IF(AND($N175=0,$O175="Automático"),"A",IF(AND($N175=0,$O175="Manual"),"M",""))</f>
        <v/>
      </c>
      <c r="BL175" s="3" t="str">
        <f t="shared" si="1281"/>
        <v/>
      </c>
      <c r="BM175" s="3" t="str">
        <f t="shared" si="1282"/>
        <v/>
      </c>
    </row>
    <row r="176" spans="1:65" ht="63.75" thickTop="1" x14ac:dyDescent="0.2">
      <c r="A176" s="493" t="str">
        <f>IDENTIFICACIÓN!C65</f>
        <v>28C</v>
      </c>
      <c r="B176" s="496" t="str">
        <f>IF(IDENTIFICACIÓN!D65="","",IDENTIFICACIÓN!D65)</f>
        <v>Gestión del Talento Humano. Decisiones no ajustadas a la normatividad legal.</v>
      </c>
      <c r="C176" s="356">
        <v>1</v>
      </c>
      <c r="D176" s="56" t="s">
        <v>11</v>
      </c>
      <c r="E176" s="240">
        <f t="shared" si="1428"/>
        <v>10</v>
      </c>
      <c r="F176" s="44" t="s">
        <v>643</v>
      </c>
      <c r="G176" s="18" t="str">
        <f t="shared" si="1244"/>
        <v/>
      </c>
      <c r="H176" s="44" t="s">
        <v>20</v>
      </c>
      <c r="I176" s="18" t="str">
        <f t="shared" si="1245"/>
        <v/>
      </c>
      <c r="J176" s="55" t="str">
        <f t="shared" si="1246"/>
        <v>Posibilidad</v>
      </c>
      <c r="K176" s="43" t="s">
        <v>11</v>
      </c>
      <c r="L176" s="18">
        <f t="shared" si="1247"/>
        <v>15</v>
      </c>
      <c r="M176" s="43" t="s">
        <v>11</v>
      </c>
      <c r="N176" s="18">
        <f t="shared" si="1248"/>
        <v>30</v>
      </c>
      <c r="O176" s="43" t="s">
        <v>323</v>
      </c>
      <c r="P176" s="18">
        <f t="shared" si="1249"/>
        <v>10</v>
      </c>
      <c r="Q176" s="43" t="s">
        <v>11</v>
      </c>
      <c r="R176" s="18">
        <f t="shared" si="1250"/>
        <v>5</v>
      </c>
      <c r="S176" s="43" t="s">
        <v>10</v>
      </c>
      <c r="T176" s="18">
        <f t="shared" si="1251"/>
        <v>0</v>
      </c>
      <c r="U176" s="43" t="s">
        <v>11</v>
      </c>
      <c r="V176" s="18">
        <f t="shared" si="1252"/>
        <v>10</v>
      </c>
      <c r="W176" s="18">
        <f t="shared" si="1253"/>
        <v>80</v>
      </c>
      <c r="X176" s="57" t="str">
        <f t="shared" si="1254"/>
        <v>80                           Disminuye en Posibilidad</v>
      </c>
      <c r="Y176" s="57">
        <f t="shared" si="1255"/>
        <v>1</v>
      </c>
      <c r="Z176" s="356"/>
      <c r="AA176" s="497">
        <f t="shared" ref="AA176" si="1435">IF(AB176=0,"",(ROUND((SUM(W176:W178)/AB176),0)))</f>
        <v>80</v>
      </c>
      <c r="AB176" s="500">
        <f t="shared" ref="AB176" si="1436">COUNT(T176:T178)</f>
        <v>1</v>
      </c>
      <c r="AC176" s="3">
        <f t="shared" ref="AC176" si="1437">SUM(Y176:Y178)</f>
        <v>1</v>
      </c>
      <c r="AD176" s="3">
        <f>ANALISIS!D67</f>
        <v>3</v>
      </c>
      <c r="AE176" s="3">
        <f t="shared" ref="AE176" si="1438">IF(AND(AD176=5,AC176&gt;1),3,AD176)</f>
        <v>3</v>
      </c>
      <c r="AF176" s="501">
        <f t="shared" si="1260"/>
        <v>3</v>
      </c>
      <c r="AG176" s="355" t="str">
        <f t="shared" si="1261"/>
        <v>MODERADA</v>
      </c>
      <c r="AH176" s="46"/>
      <c r="AI176" s="46"/>
      <c r="AJ176" s="46"/>
      <c r="AK176" s="46"/>
      <c r="AL176" s="46"/>
      <c r="AM176" s="3" t="str">
        <f t="shared" si="1262"/>
        <v/>
      </c>
      <c r="AN176" s="3" t="str">
        <f t="shared" si="1263"/>
        <v/>
      </c>
      <c r="AO176" s="3" t="str">
        <f t="shared" si="1264"/>
        <v>Establecer periodos de seguimiento adecuados</v>
      </c>
      <c r="AP176" s="3" t="str">
        <f t="shared" si="1265"/>
        <v/>
      </c>
      <c r="AQ176" s="3" t="str">
        <f t="shared" ref="AQ176" si="1439">AM176</f>
        <v/>
      </c>
      <c r="AR176" s="3" t="str">
        <f t="shared" ref="AR176" si="1440">AN176</f>
        <v/>
      </c>
      <c r="AT176" s="3" t="str">
        <f t="shared" ref="AT176" si="1441">AO176</f>
        <v>Establecer periodos de seguimiento adecuados</v>
      </c>
      <c r="AV176" s="3" t="str">
        <f t="shared" ref="AV176" si="1442">AP176</f>
        <v/>
      </c>
      <c r="AX176" s="502" t="str">
        <f t="shared" ref="AX176" si="1443">IF(AW178="","",CONCATENATE(AW178," (de) el(los) control(es) Efectivo(s) "))</f>
        <v xml:space="preserve">- Establecer periodos de seguimiento adecuados (de) el(los) control(es) Efectivo(s) </v>
      </c>
      <c r="AY176" s="502" t="str">
        <f t="shared" ref="AY176" si="1444">IF(CONCATENATE(N176:N178)="","",IF(AND(SUM(E176:E178)=10,SUM(N176:N178)&lt;30),"- Replantear control(es) NO efectivo(s) ",IF(AND(SUM(E176:E178)=20,SUM(N176:N178)&lt;60),"- Replantear control(es) NO efectivo(s) ",IF(AND(SUM(E176:E178)=30,SUM(N176:N178)&lt;90),"- Replantear control(es) NO efectivo(s) ",""))))</f>
        <v/>
      </c>
      <c r="AZ176" s="502" t="str">
        <f t="shared" ref="AZ176" si="1445">IF(AND(AE176&gt;1,AE177&gt;1),"- Tomar Acciones Preventivas y Correctivas",IF(AE176&gt;1,"- Tomar Acciones Preventivas",IF(AE177&gt;1,"- Tomar Acciones Correctivas","")))</f>
        <v>- Tomar Acciones Preventivas</v>
      </c>
      <c r="BA176" s="502" t="str">
        <f t="shared" ref="BA176" si="1446">CONCATENATE(AX176,AY176,AZ176)</f>
        <v>- Establecer periodos de seguimiento adecuados (de) el(los) control(es) Efectivo(s) - Tomar Acciones Preventivas</v>
      </c>
      <c r="BB176" s="3" t="str">
        <f t="shared" si="1274"/>
        <v>SI</v>
      </c>
      <c r="BC176" s="3" t="str">
        <f t="shared" si="1275"/>
        <v/>
      </c>
      <c r="BD176" s="3" t="str">
        <f t="shared" si="1276"/>
        <v>SI</v>
      </c>
      <c r="BE176" s="3" t="str">
        <f t="shared" si="1277"/>
        <v/>
      </c>
      <c r="BF176" s="3" t="str">
        <f t="shared" si="1278"/>
        <v>NO</v>
      </c>
      <c r="BG176" s="3" t="str">
        <f t="shared" si="1279"/>
        <v/>
      </c>
      <c r="BH176" s="3" t="str">
        <f t="shared" si="1280"/>
        <v>P</v>
      </c>
      <c r="BI176" s="3" t="str">
        <f t="shared" si="1432"/>
        <v/>
      </c>
      <c r="BJ176" s="3" t="str">
        <f t="shared" si="1433"/>
        <v>M</v>
      </c>
      <c r="BK176" s="3" t="str">
        <f t="shared" si="1434"/>
        <v/>
      </c>
      <c r="BL176" s="3" t="str">
        <f t="shared" si="1281"/>
        <v>SI</v>
      </c>
      <c r="BM176" s="3" t="str">
        <f t="shared" si="1282"/>
        <v/>
      </c>
    </row>
    <row r="177" spans="1:65" ht="63" x14ac:dyDescent="0.2">
      <c r="A177" s="494"/>
      <c r="B177" s="496"/>
      <c r="C177" s="356">
        <v>2</v>
      </c>
      <c r="D177" s="56"/>
      <c r="E177" s="240" t="str">
        <f t="shared" si="1428"/>
        <v/>
      </c>
      <c r="F177" s="44"/>
      <c r="G177" s="18" t="str">
        <f t="shared" si="1244"/>
        <v/>
      </c>
      <c r="H177" s="44"/>
      <c r="I177" s="18" t="str">
        <f t="shared" si="1245"/>
        <v/>
      </c>
      <c r="J177" s="55" t="str">
        <f t="shared" si="1246"/>
        <v/>
      </c>
      <c r="K177" s="43"/>
      <c r="L177" s="18" t="str">
        <f t="shared" si="1247"/>
        <v/>
      </c>
      <c r="M177" s="43"/>
      <c r="N177" s="18" t="str">
        <f t="shared" si="1248"/>
        <v/>
      </c>
      <c r="O177" s="43"/>
      <c r="P177" s="18" t="str">
        <f t="shared" si="1249"/>
        <v/>
      </c>
      <c r="Q177" s="43"/>
      <c r="R177" s="18" t="str">
        <f t="shared" si="1250"/>
        <v/>
      </c>
      <c r="S177" s="43"/>
      <c r="T177" s="18" t="str">
        <f t="shared" si="1251"/>
        <v/>
      </c>
      <c r="U177" s="43"/>
      <c r="V177" s="18" t="str">
        <f t="shared" si="1252"/>
        <v/>
      </c>
      <c r="W177" s="18">
        <f t="shared" si="1253"/>
        <v>0</v>
      </c>
      <c r="X177" s="57" t="str">
        <f t="shared" si="1254"/>
        <v/>
      </c>
      <c r="Y177" s="57">
        <f t="shared" si="1255"/>
        <v>0</v>
      </c>
      <c r="Z177" s="356"/>
      <c r="AA177" s="498"/>
      <c r="AB177" s="500"/>
      <c r="AC177" s="3" t="s">
        <v>352</v>
      </c>
      <c r="AF177" s="501"/>
      <c r="AG177" s="46" t="str">
        <f t="shared" ref="AG177" si="1447">IF(AG176&gt;0,"- Evitar Posibilidad de Ocurrencia- Reducir el Riesgo","")</f>
        <v>- Evitar Posibilidad de Ocurrencia- Reducir el Riesgo</v>
      </c>
      <c r="AH177" s="46"/>
      <c r="AI177" s="46"/>
      <c r="AJ177" s="46"/>
      <c r="AK177" s="46"/>
      <c r="AL177" s="46"/>
      <c r="AM177" s="3" t="str">
        <f t="shared" si="1262"/>
        <v/>
      </c>
      <c r="AN177" s="3" t="str">
        <f t="shared" si="1263"/>
        <v/>
      </c>
      <c r="AO177" s="3" t="str">
        <f t="shared" si="1264"/>
        <v/>
      </c>
      <c r="AP177" s="3" t="str">
        <f t="shared" si="1265"/>
        <v/>
      </c>
      <c r="AQ177" s="3" t="str">
        <f t="shared" ref="AQ177:AQ178" si="1448">IF(AQ176="Documentar",AQ176,AM177)</f>
        <v/>
      </c>
      <c r="AR177" s="3" t="str">
        <f t="shared" ref="AR177:AR178" si="1449">IF(AR176="Asignar responsable",AR176,AN177)</f>
        <v/>
      </c>
      <c r="AT177" s="3" t="str">
        <f t="shared" ref="AT177:AT178" si="1450">IF(AT176="Establecer periodos de seguimiento adecuados",AT176,AO177)</f>
        <v>Establecer periodos de seguimiento adecuados</v>
      </c>
      <c r="AV177" s="3" t="str">
        <f t="shared" ref="AV177:AV178" si="1451">IF(AV176="Guardar Evidencias",AV176,AP177)</f>
        <v/>
      </c>
      <c r="AX177" s="502"/>
      <c r="AY177" s="502"/>
      <c r="AZ177" s="502"/>
      <c r="BA177" s="502"/>
      <c r="BB177" s="3" t="str">
        <f t="shared" si="1274"/>
        <v/>
      </c>
      <c r="BC177" s="3" t="str">
        <f t="shared" si="1275"/>
        <v/>
      </c>
      <c r="BD177" s="3" t="str">
        <f t="shared" si="1276"/>
        <v/>
      </c>
      <c r="BE177" s="3" t="str">
        <f t="shared" si="1277"/>
        <v/>
      </c>
      <c r="BF177" s="3" t="str">
        <f t="shared" si="1278"/>
        <v/>
      </c>
      <c r="BG177" s="3" t="str">
        <f t="shared" si="1279"/>
        <v/>
      </c>
      <c r="BH177" s="3" t="str">
        <f t="shared" si="1280"/>
        <v/>
      </c>
      <c r="BI177" s="3" t="str">
        <f t="shared" si="1432"/>
        <v/>
      </c>
      <c r="BJ177" s="3" t="str">
        <f t="shared" si="1433"/>
        <v/>
      </c>
      <c r="BK177" s="3" t="str">
        <f t="shared" si="1434"/>
        <v/>
      </c>
      <c r="BL177" s="3" t="str">
        <f t="shared" si="1281"/>
        <v/>
      </c>
      <c r="BM177" s="3" t="str">
        <f t="shared" si="1282"/>
        <v/>
      </c>
    </row>
    <row r="178" spans="1:65" ht="63.75" thickBot="1" x14ac:dyDescent="0.25">
      <c r="A178" s="495"/>
      <c r="B178" s="496"/>
      <c r="C178" s="356">
        <v>3</v>
      </c>
      <c r="D178" s="56"/>
      <c r="E178" s="240" t="str">
        <f t="shared" si="1428"/>
        <v/>
      </c>
      <c r="F178" s="44"/>
      <c r="G178" s="18" t="str">
        <f t="shared" si="1244"/>
        <v/>
      </c>
      <c r="H178" s="44"/>
      <c r="I178" s="18" t="str">
        <f t="shared" si="1245"/>
        <v/>
      </c>
      <c r="J178" s="55" t="str">
        <f t="shared" si="1246"/>
        <v/>
      </c>
      <c r="K178" s="43"/>
      <c r="L178" s="18" t="str">
        <f t="shared" si="1247"/>
        <v/>
      </c>
      <c r="M178" s="43"/>
      <c r="N178" s="18" t="str">
        <f t="shared" si="1248"/>
        <v/>
      </c>
      <c r="O178" s="43"/>
      <c r="P178" s="18" t="str">
        <f t="shared" si="1249"/>
        <v/>
      </c>
      <c r="Q178" s="43"/>
      <c r="R178" s="18" t="str">
        <f t="shared" si="1250"/>
        <v/>
      </c>
      <c r="S178" s="43"/>
      <c r="T178" s="18" t="str">
        <f t="shared" si="1251"/>
        <v/>
      </c>
      <c r="U178" s="43"/>
      <c r="V178" s="18" t="str">
        <f t="shared" si="1252"/>
        <v/>
      </c>
      <c r="W178" s="18">
        <f t="shared" si="1253"/>
        <v>0</v>
      </c>
      <c r="X178" s="57" t="str">
        <f t="shared" si="1254"/>
        <v/>
      </c>
      <c r="Y178" s="57">
        <f t="shared" si="1255"/>
        <v>0</v>
      </c>
      <c r="Z178" s="356"/>
      <c r="AA178" s="499"/>
      <c r="AB178" s="500"/>
      <c r="AM178" s="3" t="str">
        <f t="shared" si="1262"/>
        <v/>
      </c>
      <c r="AN178" s="3" t="str">
        <f t="shared" si="1263"/>
        <v/>
      </c>
      <c r="AO178" s="3" t="str">
        <f t="shared" si="1264"/>
        <v/>
      </c>
      <c r="AP178" s="3" t="str">
        <f t="shared" si="1265"/>
        <v/>
      </c>
      <c r="AQ178" s="3" t="str">
        <f t="shared" si="1448"/>
        <v/>
      </c>
      <c r="AR178" s="3" t="str">
        <f t="shared" si="1449"/>
        <v/>
      </c>
      <c r="AS178" s="3" t="str">
        <f t="shared" ref="AS178" si="1452">IF(AND(AQ178="Documentar",AR178="Asignar responsable"),CONCATENATE("- ",AQ178,", ",AR178),IF(AQ178="Documentar",CONCATENATE("- ",AQ178),IF(AR178="Asignar responsable",CONCATENATE("- ",AR178),"")))</f>
        <v/>
      </c>
      <c r="AT178" s="3" t="str">
        <f t="shared" si="1450"/>
        <v>Establecer periodos de seguimiento adecuados</v>
      </c>
      <c r="AU178" s="3" t="str">
        <f t="shared" ref="AU178" si="1453">IF(AT178="",AS178,IF(AS178="",CONCATENATE("- ",AT178),CONCATENATE(AS178,", ",AT178)))</f>
        <v>- Establecer periodos de seguimiento adecuados</v>
      </c>
      <c r="AV178" s="3" t="str">
        <f t="shared" si="1451"/>
        <v/>
      </c>
      <c r="AW178" s="3" t="str">
        <f t="shared" ref="AW178" si="1454">IF(AV178="",AU178,IF(AU178="",CONCATENATE("- ",AV178),CONCATENATE(AU178,", ",AV178)))</f>
        <v>- Establecer periodos de seguimiento adecuados</v>
      </c>
      <c r="AX178" s="502"/>
      <c r="AY178" s="502"/>
      <c r="AZ178" s="502"/>
      <c r="BA178" s="502"/>
      <c r="BB178" s="3" t="str">
        <f t="shared" si="1274"/>
        <v/>
      </c>
      <c r="BC178" s="3" t="str">
        <f t="shared" si="1275"/>
        <v/>
      </c>
      <c r="BD178" s="3" t="str">
        <f t="shared" si="1276"/>
        <v/>
      </c>
      <c r="BE178" s="3" t="str">
        <f t="shared" si="1277"/>
        <v/>
      </c>
      <c r="BF178" s="3" t="str">
        <f t="shared" si="1278"/>
        <v/>
      </c>
      <c r="BG178" s="3" t="str">
        <f t="shared" si="1279"/>
        <v/>
      </c>
      <c r="BH178" s="3" t="str">
        <f t="shared" si="1280"/>
        <v/>
      </c>
      <c r="BI178" s="3" t="str">
        <f t="shared" si="1432"/>
        <v/>
      </c>
      <c r="BJ178" s="3" t="str">
        <f t="shared" si="1433"/>
        <v/>
      </c>
      <c r="BK178" s="3" t="str">
        <f t="shared" si="1434"/>
        <v/>
      </c>
      <c r="BL178" s="3" t="str">
        <f t="shared" si="1281"/>
        <v/>
      </c>
      <c r="BM178" s="3" t="str">
        <f t="shared" si="1282"/>
        <v/>
      </c>
    </row>
    <row r="179" spans="1:65" ht="63.75" thickTop="1" x14ac:dyDescent="0.2">
      <c r="A179" s="493" t="str">
        <f>IDENTIFICACIÓN!C66</f>
        <v>29C</v>
      </c>
      <c r="B179" s="496" t="str">
        <f>IF(IDENTIFICACIÓN!D66="","",IDENTIFICACIÓN!D66)</f>
        <v>Gestión de Admisiones y Registro. Manipulación de resultados del examen  de admisión.</v>
      </c>
      <c r="C179" s="356">
        <v>1</v>
      </c>
      <c r="D179" s="56" t="s">
        <v>11</v>
      </c>
      <c r="E179" s="240">
        <f t="shared" si="1428"/>
        <v>10</v>
      </c>
      <c r="F179" s="44" t="s">
        <v>644</v>
      </c>
      <c r="G179" s="18" t="str">
        <f t="shared" si="1244"/>
        <v/>
      </c>
      <c r="H179" s="44" t="s">
        <v>20</v>
      </c>
      <c r="I179" s="18" t="str">
        <f t="shared" si="1245"/>
        <v/>
      </c>
      <c r="J179" s="55" t="str">
        <f t="shared" si="1246"/>
        <v>Posibilidad</v>
      </c>
      <c r="K179" s="43" t="s">
        <v>10</v>
      </c>
      <c r="L179" s="18">
        <f t="shared" si="1247"/>
        <v>0</v>
      </c>
      <c r="M179" s="43" t="s">
        <v>11</v>
      </c>
      <c r="N179" s="18">
        <f t="shared" si="1248"/>
        <v>30</v>
      </c>
      <c r="O179" s="43" t="s">
        <v>323</v>
      </c>
      <c r="P179" s="18">
        <f t="shared" si="1249"/>
        <v>10</v>
      </c>
      <c r="Q179" s="43" t="s">
        <v>11</v>
      </c>
      <c r="R179" s="18">
        <f t="shared" si="1250"/>
        <v>5</v>
      </c>
      <c r="S179" s="43" t="s">
        <v>11</v>
      </c>
      <c r="T179" s="18">
        <f t="shared" si="1251"/>
        <v>15</v>
      </c>
      <c r="U179" s="43" t="s">
        <v>11</v>
      </c>
      <c r="V179" s="18">
        <f t="shared" si="1252"/>
        <v>10</v>
      </c>
      <c r="W179" s="18">
        <f t="shared" si="1253"/>
        <v>80</v>
      </c>
      <c r="X179" s="57" t="str">
        <f t="shared" si="1254"/>
        <v>80                           Disminuye en Posibilidad</v>
      </c>
      <c r="Y179" s="57">
        <f t="shared" si="1255"/>
        <v>1</v>
      </c>
      <c r="Z179" s="356"/>
      <c r="AA179" s="497">
        <f t="shared" ref="AA179" si="1455">IF(AB179=0,"",(ROUND((SUM(W179:W181)/AB179),0)))</f>
        <v>88</v>
      </c>
      <c r="AB179" s="500">
        <f t="shared" ref="AB179" si="1456">COUNT(T179:T181)</f>
        <v>2</v>
      </c>
      <c r="AC179" s="3">
        <f t="shared" ref="AC179" si="1457">SUM(Y179:Y181)</f>
        <v>2</v>
      </c>
      <c r="AD179" s="3">
        <f>ANALISIS!D68</f>
        <v>3</v>
      </c>
      <c r="AE179" s="3">
        <f t="shared" ref="AE179" si="1458">IF(AND(AD179=5,AC179&gt;1),3,AD179)</f>
        <v>3</v>
      </c>
      <c r="AF179" s="501">
        <f t="shared" si="1260"/>
        <v>3</v>
      </c>
      <c r="AG179" s="355" t="str">
        <f t="shared" si="1261"/>
        <v>MODERADA</v>
      </c>
      <c r="AH179" s="46"/>
      <c r="AI179" s="46"/>
      <c r="AJ179" s="46"/>
      <c r="AK179" s="46"/>
      <c r="AL179" s="46"/>
      <c r="AM179" s="3" t="str">
        <f t="shared" si="1262"/>
        <v>Documentar</v>
      </c>
      <c r="AN179" s="3" t="str">
        <f t="shared" si="1263"/>
        <v/>
      </c>
      <c r="AO179" s="3" t="str">
        <f t="shared" si="1264"/>
        <v/>
      </c>
      <c r="AP179" s="3" t="str">
        <f t="shared" si="1265"/>
        <v/>
      </c>
      <c r="AQ179" s="3" t="str">
        <f t="shared" ref="AQ179" si="1459">AM179</f>
        <v>Documentar</v>
      </c>
      <c r="AR179" s="3" t="str">
        <f t="shared" ref="AR179" si="1460">AN179</f>
        <v/>
      </c>
      <c r="AT179" s="3" t="str">
        <f t="shared" ref="AT179" si="1461">AO179</f>
        <v/>
      </c>
      <c r="AV179" s="3" t="str">
        <f t="shared" ref="AV179" si="1462">AP179</f>
        <v/>
      </c>
      <c r="AX179" s="502" t="str">
        <f t="shared" ref="AX179" si="1463">IF(AW181="","",CONCATENATE(AW181," (de) el(los) control(es) Efectivo(s) "))</f>
        <v xml:space="preserve">- Documentar (de) el(los) control(es) Efectivo(s) </v>
      </c>
      <c r="AY179" s="502" t="str">
        <f t="shared" ref="AY179" si="1464">IF(CONCATENATE(N179:N181)="","",IF(AND(SUM(E179:E181)=10,SUM(N179:N181)&lt;30),"- Replantear control(es) NO efectivo(s) ",IF(AND(SUM(E179:E181)=20,SUM(N179:N181)&lt;60),"- Replantear control(es) NO efectivo(s) ",IF(AND(SUM(E179:E181)=30,SUM(N179:N181)&lt;90),"- Replantear control(es) NO efectivo(s) ",""))))</f>
        <v/>
      </c>
      <c r="AZ179" s="502" t="str">
        <f t="shared" ref="AZ179" si="1465">IF(AND(AE179&gt;1,AE180&gt;1),"- Tomar Acciones Preventivas y Correctivas",IF(AE179&gt;1,"- Tomar Acciones Preventivas",IF(AE180&gt;1,"- Tomar Acciones Correctivas","")))</f>
        <v>- Tomar Acciones Preventivas</v>
      </c>
      <c r="BA179" s="502" t="str">
        <f t="shared" ref="BA179" si="1466">CONCATENATE(AX179,AY179,AZ179)</f>
        <v>- Documentar (de) el(los) control(es) Efectivo(s) - Tomar Acciones Preventivas</v>
      </c>
      <c r="BB179" s="3" t="str">
        <f t="shared" si="1274"/>
        <v>NO</v>
      </c>
      <c r="BC179" s="3" t="str">
        <f t="shared" si="1275"/>
        <v/>
      </c>
      <c r="BD179" s="3" t="str">
        <f t="shared" si="1276"/>
        <v>SI</v>
      </c>
      <c r="BE179" s="3" t="str">
        <f t="shared" si="1277"/>
        <v/>
      </c>
      <c r="BF179" s="3" t="str">
        <f t="shared" si="1278"/>
        <v>SI</v>
      </c>
      <c r="BG179" s="3" t="str">
        <f t="shared" si="1279"/>
        <v/>
      </c>
      <c r="BH179" s="3" t="str">
        <f t="shared" si="1280"/>
        <v>P</v>
      </c>
      <c r="BI179" s="3" t="str">
        <f t="shared" si="1432"/>
        <v/>
      </c>
      <c r="BJ179" s="3" t="str">
        <f t="shared" si="1433"/>
        <v>M</v>
      </c>
      <c r="BK179" s="3" t="str">
        <f t="shared" si="1434"/>
        <v/>
      </c>
      <c r="BL179" s="3" t="str">
        <f t="shared" si="1281"/>
        <v>SI</v>
      </c>
      <c r="BM179" s="3" t="str">
        <f t="shared" si="1282"/>
        <v/>
      </c>
    </row>
    <row r="180" spans="1:65" ht="47.25" x14ac:dyDescent="0.2">
      <c r="A180" s="494"/>
      <c r="B180" s="496"/>
      <c r="C180" s="356">
        <v>2</v>
      </c>
      <c r="D180" s="56" t="s">
        <v>11</v>
      </c>
      <c r="E180" s="240">
        <f t="shared" si="1428"/>
        <v>10</v>
      </c>
      <c r="F180" s="44" t="s">
        <v>645</v>
      </c>
      <c r="G180" s="18" t="str">
        <f t="shared" si="1244"/>
        <v/>
      </c>
      <c r="H180" s="44" t="s">
        <v>20</v>
      </c>
      <c r="I180" s="18" t="str">
        <f t="shared" si="1245"/>
        <v/>
      </c>
      <c r="J180" s="55" t="str">
        <f t="shared" si="1246"/>
        <v>Posibilidad</v>
      </c>
      <c r="K180" s="43" t="s">
        <v>11</v>
      </c>
      <c r="L180" s="18">
        <f t="shared" si="1247"/>
        <v>15</v>
      </c>
      <c r="M180" s="43" t="s">
        <v>11</v>
      </c>
      <c r="N180" s="18">
        <f t="shared" si="1248"/>
        <v>30</v>
      </c>
      <c r="O180" s="43" t="s">
        <v>323</v>
      </c>
      <c r="P180" s="18">
        <f t="shared" si="1249"/>
        <v>10</v>
      </c>
      <c r="Q180" s="43" t="s">
        <v>11</v>
      </c>
      <c r="R180" s="18">
        <f t="shared" si="1250"/>
        <v>5</v>
      </c>
      <c r="S180" s="43" t="s">
        <v>11</v>
      </c>
      <c r="T180" s="18">
        <f t="shared" si="1251"/>
        <v>15</v>
      </c>
      <c r="U180" s="43" t="s">
        <v>11</v>
      </c>
      <c r="V180" s="18">
        <f t="shared" si="1252"/>
        <v>10</v>
      </c>
      <c r="W180" s="18">
        <f t="shared" si="1253"/>
        <v>95</v>
      </c>
      <c r="X180" s="57" t="str">
        <f t="shared" si="1254"/>
        <v>95                           Disminuye en Posibilidad</v>
      </c>
      <c r="Y180" s="57">
        <f t="shared" si="1255"/>
        <v>1</v>
      </c>
      <c r="Z180" s="356"/>
      <c r="AA180" s="498"/>
      <c r="AB180" s="500"/>
      <c r="AC180" s="3" t="s">
        <v>352</v>
      </c>
      <c r="AF180" s="501"/>
      <c r="AG180" s="46" t="str">
        <f t="shared" ref="AG180" si="1467">IF(AG179&gt;0,"- Evitar Posibilidad de Ocurrencia- Reducir el Riesgo","")</f>
        <v>- Evitar Posibilidad de Ocurrencia- Reducir el Riesgo</v>
      </c>
      <c r="AH180" s="46"/>
      <c r="AI180" s="46"/>
      <c r="AJ180" s="46"/>
      <c r="AK180" s="46"/>
      <c r="AL180" s="46"/>
      <c r="AM180" s="3" t="str">
        <f t="shared" si="1262"/>
        <v/>
      </c>
      <c r="AN180" s="3" t="str">
        <f t="shared" si="1263"/>
        <v/>
      </c>
      <c r="AO180" s="3" t="str">
        <f t="shared" si="1264"/>
        <v/>
      </c>
      <c r="AP180" s="3" t="str">
        <f t="shared" si="1265"/>
        <v/>
      </c>
      <c r="AQ180" s="3" t="str">
        <f t="shared" ref="AQ180:AQ181" si="1468">IF(AQ179="Documentar",AQ179,AM180)</f>
        <v>Documentar</v>
      </c>
      <c r="AR180" s="3" t="str">
        <f t="shared" ref="AR180:AR181" si="1469">IF(AR179="Asignar responsable",AR179,AN180)</f>
        <v/>
      </c>
      <c r="AT180" s="3" t="str">
        <f t="shared" ref="AT180:AT181" si="1470">IF(AT179="Establecer periodos de seguimiento adecuados",AT179,AO180)</f>
        <v/>
      </c>
      <c r="AV180" s="3" t="str">
        <f t="shared" ref="AV180:AV181" si="1471">IF(AV179="Guardar Evidencias",AV179,AP180)</f>
        <v/>
      </c>
      <c r="AX180" s="502"/>
      <c r="AY180" s="502"/>
      <c r="AZ180" s="502"/>
      <c r="BA180" s="502"/>
      <c r="BB180" s="3" t="str">
        <f t="shared" si="1274"/>
        <v>SI</v>
      </c>
      <c r="BC180" s="3" t="str">
        <f t="shared" si="1275"/>
        <v/>
      </c>
      <c r="BD180" s="3" t="str">
        <f t="shared" si="1276"/>
        <v>SI</v>
      </c>
      <c r="BE180" s="3" t="str">
        <f t="shared" si="1277"/>
        <v/>
      </c>
      <c r="BF180" s="3" t="str">
        <f t="shared" si="1278"/>
        <v>SI</v>
      </c>
      <c r="BG180" s="3" t="str">
        <f t="shared" si="1279"/>
        <v/>
      </c>
      <c r="BH180" s="3" t="str">
        <f t="shared" si="1280"/>
        <v>P</v>
      </c>
      <c r="BI180" s="3" t="str">
        <f t="shared" si="1432"/>
        <v/>
      </c>
      <c r="BJ180" s="3" t="str">
        <f t="shared" si="1433"/>
        <v>M</v>
      </c>
      <c r="BK180" s="3" t="str">
        <f t="shared" si="1434"/>
        <v/>
      </c>
      <c r="BL180" s="3" t="str">
        <f t="shared" si="1281"/>
        <v>SI</v>
      </c>
      <c r="BM180" s="3" t="str">
        <f t="shared" si="1282"/>
        <v/>
      </c>
    </row>
    <row r="181" spans="1:65" ht="16.5" thickBot="1" x14ac:dyDescent="0.25">
      <c r="A181" s="495"/>
      <c r="B181" s="496"/>
      <c r="C181" s="356">
        <v>3</v>
      </c>
      <c r="D181" s="56"/>
      <c r="E181" s="240" t="str">
        <f t="shared" si="1428"/>
        <v/>
      </c>
      <c r="F181" s="44"/>
      <c r="G181" s="18" t="str">
        <f t="shared" si="1244"/>
        <v/>
      </c>
      <c r="H181" s="44"/>
      <c r="I181" s="18" t="str">
        <f t="shared" si="1245"/>
        <v/>
      </c>
      <c r="J181" s="55" t="str">
        <f t="shared" si="1246"/>
        <v/>
      </c>
      <c r="K181" s="43"/>
      <c r="L181" s="18" t="str">
        <f t="shared" si="1247"/>
        <v/>
      </c>
      <c r="M181" s="43"/>
      <c r="N181" s="18" t="str">
        <f t="shared" si="1248"/>
        <v/>
      </c>
      <c r="O181" s="43"/>
      <c r="P181" s="18" t="str">
        <f t="shared" si="1249"/>
        <v/>
      </c>
      <c r="Q181" s="43"/>
      <c r="R181" s="18" t="str">
        <f t="shared" si="1250"/>
        <v/>
      </c>
      <c r="S181" s="43"/>
      <c r="T181" s="18" t="str">
        <f t="shared" si="1251"/>
        <v/>
      </c>
      <c r="U181" s="43"/>
      <c r="V181" s="18" t="str">
        <f t="shared" si="1252"/>
        <v/>
      </c>
      <c r="W181" s="18">
        <f t="shared" si="1253"/>
        <v>0</v>
      </c>
      <c r="X181" s="57" t="str">
        <f t="shared" si="1254"/>
        <v/>
      </c>
      <c r="Y181" s="57">
        <f t="shared" si="1255"/>
        <v>0</v>
      </c>
      <c r="Z181" s="356"/>
      <c r="AA181" s="499"/>
      <c r="AB181" s="500"/>
      <c r="AM181" s="3" t="str">
        <f t="shared" si="1262"/>
        <v/>
      </c>
      <c r="AN181" s="3" t="str">
        <f t="shared" si="1263"/>
        <v/>
      </c>
      <c r="AO181" s="3" t="str">
        <f t="shared" si="1264"/>
        <v/>
      </c>
      <c r="AP181" s="3" t="str">
        <f t="shared" si="1265"/>
        <v/>
      </c>
      <c r="AQ181" s="3" t="str">
        <f t="shared" si="1468"/>
        <v>Documentar</v>
      </c>
      <c r="AR181" s="3" t="str">
        <f t="shared" si="1469"/>
        <v/>
      </c>
      <c r="AS181" s="3" t="str">
        <f t="shared" ref="AS181" si="1472">IF(AND(AQ181="Documentar",AR181="Asignar responsable"),CONCATENATE("- ",AQ181,", ",AR181),IF(AQ181="Documentar",CONCATENATE("- ",AQ181),IF(AR181="Asignar responsable",CONCATENATE("- ",AR181),"")))</f>
        <v>- Documentar</v>
      </c>
      <c r="AT181" s="3" t="str">
        <f t="shared" si="1470"/>
        <v/>
      </c>
      <c r="AU181" s="3" t="str">
        <f t="shared" ref="AU181" si="1473">IF(AT181="",AS181,IF(AS181="",CONCATENATE("- ",AT181),CONCATENATE(AS181,", ",AT181)))</f>
        <v>- Documentar</v>
      </c>
      <c r="AV181" s="3" t="str">
        <f t="shared" si="1471"/>
        <v/>
      </c>
      <c r="AW181" s="3" t="str">
        <f t="shared" ref="AW181" si="1474">IF(AV181="",AU181,IF(AU181="",CONCATENATE("- ",AV181),CONCATENATE(AU181,", ",AV181)))</f>
        <v>- Documentar</v>
      </c>
      <c r="AX181" s="502"/>
      <c r="AY181" s="502"/>
      <c r="AZ181" s="502"/>
      <c r="BA181" s="502"/>
      <c r="BB181" s="3" t="str">
        <f t="shared" si="1274"/>
        <v/>
      </c>
      <c r="BC181" s="3" t="str">
        <f t="shared" si="1275"/>
        <v/>
      </c>
      <c r="BD181" s="3" t="str">
        <f t="shared" si="1276"/>
        <v/>
      </c>
      <c r="BE181" s="3" t="str">
        <f t="shared" si="1277"/>
        <v/>
      </c>
      <c r="BF181" s="3" t="str">
        <f t="shared" si="1278"/>
        <v/>
      </c>
      <c r="BG181" s="3" t="str">
        <f t="shared" si="1279"/>
        <v/>
      </c>
      <c r="BH181" s="3" t="str">
        <f t="shared" si="1280"/>
        <v/>
      </c>
      <c r="BI181" s="3" t="str">
        <f t="shared" si="1432"/>
        <v/>
      </c>
      <c r="BJ181" s="3" t="str">
        <f t="shared" si="1433"/>
        <v/>
      </c>
      <c r="BK181" s="3" t="str">
        <f t="shared" si="1434"/>
        <v/>
      </c>
      <c r="BL181" s="3" t="str">
        <f t="shared" si="1281"/>
        <v/>
      </c>
      <c r="BM181" s="3" t="str">
        <f t="shared" si="1282"/>
        <v/>
      </c>
    </row>
    <row r="182" spans="1:65" ht="36.75" thickTop="1" x14ac:dyDescent="0.2">
      <c r="A182" s="493" t="str">
        <f>IDENTIFICACIÓN!C67</f>
        <v>30C</v>
      </c>
      <c r="B182" s="496" t="str">
        <f>IF(IDENTIFICACIÓN!D67="","",IDENTIFICACIÓN!D67)</f>
        <v>Gestión de Admisiones y Registro. Alteración de notas de estudiantes.</v>
      </c>
      <c r="C182" s="356">
        <v>1</v>
      </c>
      <c r="D182" s="56" t="s">
        <v>11</v>
      </c>
      <c r="E182" s="240">
        <f t="shared" si="1428"/>
        <v>10</v>
      </c>
      <c r="F182" s="44" t="s">
        <v>646</v>
      </c>
      <c r="G182" s="18" t="str">
        <f t="shared" si="1244"/>
        <v/>
      </c>
      <c r="H182" s="44" t="s">
        <v>20</v>
      </c>
      <c r="I182" s="18" t="str">
        <f t="shared" si="1245"/>
        <v/>
      </c>
      <c r="J182" s="55" t="str">
        <f t="shared" si="1246"/>
        <v>Posibilidad</v>
      </c>
      <c r="K182" s="43" t="s">
        <v>10</v>
      </c>
      <c r="L182" s="18">
        <f t="shared" si="1247"/>
        <v>0</v>
      </c>
      <c r="M182" s="43" t="s">
        <v>11</v>
      </c>
      <c r="N182" s="18">
        <f t="shared" si="1248"/>
        <v>30</v>
      </c>
      <c r="O182" s="43" t="s">
        <v>322</v>
      </c>
      <c r="P182" s="18">
        <f t="shared" si="1249"/>
        <v>15</v>
      </c>
      <c r="Q182" s="43" t="s">
        <v>11</v>
      </c>
      <c r="R182" s="18">
        <f t="shared" si="1250"/>
        <v>5</v>
      </c>
      <c r="S182" s="43" t="s">
        <v>11</v>
      </c>
      <c r="T182" s="18">
        <f t="shared" si="1251"/>
        <v>15</v>
      </c>
      <c r="U182" s="43" t="s">
        <v>11</v>
      </c>
      <c r="V182" s="18">
        <f t="shared" si="1252"/>
        <v>10</v>
      </c>
      <c r="W182" s="18">
        <f t="shared" si="1253"/>
        <v>85</v>
      </c>
      <c r="X182" s="57" t="str">
        <f t="shared" si="1254"/>
        <v>85                           Disminuye en Posibilidad</v>
      </c>
      <c r="Y182" s="57">
        <f t="shared" si="1255"/>
        <v>1</v>
      </c>
      <c r="Z182" s="356"/>
      <c r="AA182" s="497">
        <f t="shared" ref="AA182" si="1475">IF(AB182=0,"",(ROUND((SUM(W182:W184)/AB182),0)))</f>
        <v>85</v>
      </c>
      <c r="AB182" s="500">
        <f t="shared" ref="AB182" si="1476">COUNT(T182:T184)</f>
        <v>3</v>
      </c>
      <c r="AC182" s="3">
        <f t="shared" ref="AC182" si="1477">SUM(Y182:Y184)</f>
        <v>3</v>
      </c>
      <c r="AD182" s="3">
        <f>ANALISIS!D69</f>
        <v>3</v>
      </c>
      <c r="AE182" s="3">
        <f t="shared" ref="AE182" si="1478">IF(AND(AD182=5,AC182&gt;1),3,AD182)</f>
        <v>3</v>
      </c>
      <c r="AF182" s="501">
        <f t="shared" si="1260"/>
        <v>3</v>
      </c>
      <c r="AG182" s="355" t="str">
        <f t="shared" si="1261"/>
        <v>MODERADA</v>
      </c>
      <c r="AH182" s="46"/>
      <c r="AI182" s="46"/>
      <c r="AJ182" s="46"/>
      <c r="AK182" s="46"/>
      <c r="AL182" s="46"/>
      <c r="AM182" s="3" t="str">
        <f t="shared" si="1262"/>
        <v>Documentar</v>
      </c>
      <c r="AN182" s="3" t="str">
        <f t="shared" si="1263"/>
        <v/>
      </c>
      <c r="AO182" s="3" t="str">
        <f t="shared" si="1264"/>
        <v/>
      </c>
      <c r="AP182" s="3" t="str">
        <f t="shared" si="1265"/>
        <v/>
      </c>
      <c r="AQ182" s="3" t="str">
        <f t="shared" ref="AQ182" si="1479">AM182</f>
        <v>Documentar</v>
      </c>
      <c r="AR182" s="3" t="str">
        <f t="shared" ref="AR182" si="1480">AN182</f>
        <v/>
      </c>
      <c r="AT182" s="3" t="str">
        <f t="shared" ref="AT182" si="1481">AO182</f>
        <v/>
      </c>
      <c r="AV182" s="3" t="str">
        <f t="shared" ref="AV182" si="1482">AP182</f>
        <v/>
      </c>
      <c r="AX182" s="502" t="str">
        <f t="shared" ref="AX182" si="1483">IF(AW184="","",CONCATENATE(AW184," (de) el(los) control(es) Efectivo(s) "))</f>
        <v xml:space="preserve">- Documentar (de) el(los) control(es) Efectivo(s) </v>
      </c>
      <c r="AY182" s="502" t="str">
        <f t="shared" ref="AY182" si="1484">IF(CONCATENATE(N182:N184)="","",IF(AND(SUM(E182:E184)=10,SUM(N182:N184)&lt;30),"- Replantear control(es) NO efectivo(s) ",IF(AND(SUM(E182:E184)=20,SUM(N182:N184)&lt;60),"- Replantear control(es) NO efectivo(s) ",IF(AND(SUM(E182:E184)=30,SUM(N182:N184)&lt;90),"- Replantear control(es) NO efectivo(s) ",""))))</f>
        <v/>
      </c>
      <c r="AZ182" s="502" t="str">
        <f t="shared" ref="AZ182" si="1485">IF(AND(AE182&gt;1,AE183&gt;1),"- Tomar Acciones Preventivas y Correctivas",IF(AE182&gt;1,"- Tomar Acciones Preventivas",IF(AE183&gt;1,"- Tomar Acciones Correctivas","")))</f>
        <v>- Tomar Acciones Preventivas</v>
      </c>
      <c r="BA182" s="502" t="str">
        <f t="shared" ref="BA182" si="1486">CONCATENATE(AX182,AY182,AZ182)</f>
        <v>- Documentar (de) el(los) control(es) Efectivo(s) - Tomar Acciones Preventivas</v>
      </c>
      <c r="BB182" s="3" t="str">
        <f t="shared" si="1274"/>
        <v>NO</v>
      </c>
      <c r="BC182" s="3" t="str">
        <f t="shared" si="1275"/>
        <v/>
      </c>
      <c r="BD182" s="3" t="str">
        <f t="shared" si="1276"/>
        <v>SI</v>
      </c>
      <c r="BE182" s="3" t="str">
        <f t="shared" si="1277"/>
        <v/>
      </c>
      <c r="BF182" s="3" t="str">
        <f t="shared" si="1278"/>
        <v>SI</v>
      </c>
      <c r="BG182" s="3" t="str">
        <f t="shared" si="1279"/>
        <v/>
      </c>
      <c r="BH182" s="3" t="str">
        <f t="shared" si="1280"/>
        <v>P</v>
      </c>
      <c r="BI182" s="3" t="str">
        <f t="shared" si="1432"/>
        <v/>
      </c>
      <c r="BJ182" s="3" t="str">
        <f t="shared" si="1433"/>
        <v>A</v>
      </c>
      <c r="BK182" s="3" t="str">
        <f t="shared" si="1434"/>
        <v/>
      </c>
      <c r="BL182" s="3" t="str">
        <f t="shared" si="1281"/>
        <v>SI</v>
      </c>
      <c r="BM182" s="3" t="str">
        <f t="shared" si="1282"/>
        <v/>
      </c>
    </row>
    <row r="183" spans="1:65" ht="36" x14ac:dyDescent="0.2">
      <c r="A183" s="494"/>
      <c r="B183" s="496"/>
      <c r="C183" s="356">
        <v>2</v>
      </c>
      <c r="D183" s="56" t="s">
        <v>11</v>
      </c>
      <c r="E183" s="240">
        <f t="shared" si="1428"/>
        <v>10</v>
      </c>
      <c r="F183" s="44" t="s">
        <v>647</v>
      </c>
      <c r="G183" s="18" t="str">
        <f t="shared" si="1244"/>
        <v/>
      </c>
      <c r="H183" s="44" t="s">
        <v>20</v>
      </c>
      <c r="I183" s="18" t="str">
        <f t="shared" si="1245"/>
        <v/>
      </c>
      <c r="J183" s="55" t="str">
        <f t="shared" si="1246"/>
        <v>Posibilidad</v>
      </c>
      <c r="K183" s="43" t="s">
        <v>10</v>
      </c>
      <c r="L183" s="18">
        <f t="shared" si="1247"/>
        <v>0</v>
      </c>
      <c r="M183" s="43" t="s">
        <v>11</v>
      </c>
      <c r="N183" s="18">
        <f t="shared" si="1248"/>
        <v>30</v>
      </c>
      <c r="O183" s="43" t="s">
        <v>322</v>
      </c>
      <c r="P183" s="18">
        <f t="shared" si="1249"/>
        <v>15</v>
      </c>
      <c r="Q183" s="43" t="s">
        <v>11</v>
      </c>
      <c r="R183" s="18">
        <f t="shared" si="1250"/>
        <v>5</v>
      </c>
      <c r="S183" s="43" t="s">
        <v>11</v>
      </c>
      <c r="T183" s="18">
        <f t="shared" si="1251"/>
        <v>15</v>
      </c>
      <c r="U183" s="43" t="s">
        <v>11</v>
      </c>
      <c r="V183" s="18">
        <f t="shared" si="1252"/>
        <v>10</v>
      </c>
      <c r="W183" s="18">
        <f t="shared" si="1253"/>
        <v>85</v>
      </c>
      <c r="X183" s="57" t="str">
        <f t="shared" si="1254"/>
        <v>85                           Disminuye en Posibilidad</v>
      </c>
      <c r="Y183" s="57">
        <f t="shared" si="1255"/>
        <v>1</v>
      </c>
      <c r="Z183" s="356"/>
      <c r="AA183" s="498"/>
      <c r="AB183" s="500"/>
      <c r="AC183" s="3" t="s">
        <v>352</v>
      </c>
      <c r="AF183" s="501"/>
      <c r="AG183" s="46" t="str">
        <f t="shared" ref="AG183" si="1487">IF(AG182&gt;0,"- Evitar Posibilidad de Ocurrencia- Reducir el Riesgo","")</f>
        <v>- Evitar Posibilidad de Ocurrencia- Reducir el Riesgo</v>
      </c>
      <c r="AH183" s="46"/>
      <c r="AI183" s="46"/>
      <c r="AJ183" s="46"/>
      <c r="AK183" s="46"/>
      <c r="AL183" s="46"/>
      <c r="AM183" s="3" t="str">
        <f t="shared" si="1262"/>
        <v>Documentar</v>
      </c>
      <c r="AN183" s="3" t="str">
        <f t="shared" si="1263"/>
        <v/>
      </c>
      <c r="AO183" s="3" t="str">
        <f t="shared" si="1264"/>
        <v/>
      </c>
      <c r="AP183" s="3" t="str">
        <f t="shared" si="1265"/>
        <v/>
      </c>
      <c r="AQ183" s="3" t="str">
        <f t="shared" ref="AQ183:AQ184" si="1488">IF(AQ182="Documentar",AQ182,AM183)</f>
        <v>Documentar</v>
      </c>
      <c r="AR183" s="3" t="str">
        <f t="shared" ref="AR183:AR184" si="1489">IF(AR182="Asignar responsable",AR182,AN183)</f>
        <v/>
      </c>
      <c r="AT183" s="3" t="str">
        <f t="shared" ref="AT183:AT184" si="1490">IF(AT182="Establecer periodos de seguimiento adecuados",AT182,AO183)</f>
        <v/>
      </c>
      <c r="AV183" s="3" t="str">
        <f t="shared" ref="AV183:AV184" si="1491">IF(AV182="Guardar Evidencias",AV182,AP183)</f>
        <v/>
      </c>
      <c r="AX183" s="502"/>
      <c r="AY183" s="502"/>
      <c r="AZ183" s="502"/>
      <c r="BA183" s="502"/>
      <c r="BB183" s="3" t="str">
        <f t="shared" si="1274"/>
        <v>NO</v>
      </c>
      <c r="BC183" s="3" t="str">
        <f t="shared" si="1275"/>
        <v/>
      </c>
      <c r="BD183" s="3" t="str">
        <f t="shared" si="1276"/>
        <v>SI</v>
      </c>
      <c r="BE183" s="3" t="str">
        <f t="shared" si="1277"/>
        <v/>
      </c>
      <c r="BF183" s="3" t="str">
        <f t="shared" si="1278"/>
        <v>SI</v>
      </c>
      <c r="BG183" s="3" t="str">
        <f t="shared" si="1279"/>
        <v/>
      </c>
      <c r="BH183" s="3" t="str">
        <f t="shared" si="1280"/>
        <v>P</v>
      </c>
      <c r="BI183" s="3" t="str">
        <f t="shared" si="1432"/>
        <v/>
      </c>
      <c r="BJ183" s="3" t="str">
        <f t="shared" si="1433"/>
        <v>A</v>
      </c>
      <c r="BK183" s="3" t="str">
        <f t="shared" si="1434"/>
        <v/>
      </c>
      <c r="BL183" s="3" t="str">
        <f t="shared" si="1281"/>
        <v>SI</v>
      </c>
      <c r="BM183" s="3" t="str">
        <f t="shared" si="1282"/>
        <v/>
      </c>
    </row>
    <row r="184" spans="1:65" ht="48" thickBot="1" x14ac:dyDescent="0.25">
      <c r="A184" s="495"/>
      <c r="B184" s="496"/>
      <c r="C184" s="356">
        <v>3</v>
      </c>
      <c r="D184" s="56" t="s">
        <v>11</v>
      </c>
      <c r="E184" s="240">
        <f t="shared" si="1428"/>
        <v>10</v>
      </c>
      <c r="F184" s="44" t="s">
        <v>648</v>
      </c>
      <c r="G184" s="18" t="str">
        <f t="shared" si="1244"/>
        <v/>
      </c>
      <c r="H184" s="44" t="s">
        <v>20</v>
      </c>
      <c r="I184" s="18" t="str">
        <f t="shared" si="1245"/>
        <v/>
      </c>
      <c r="J184" s="55" t="str">
        <f t="shared" si="1246"/>
        <v>Posibilidad</v>
      </c>
      <c r="K184" s="43" t="s">
        <v>10</v>
      </c>
      <c r="L184" s="18">
        <f t="shared" si="1247"/>
        <v>0</v>
      </c>
      <c r="M184" s="43" t="s">
        <v>11</v>
      </c>
      <c r="N184" s="18">
        <f t="shared" si="1248"/>
        <v>30</v>
      </c>
      <c r="O184" s="43" t="s">
        <v>322</v>
      </c>
      <c r="P184" s="18">
        <f t="shared" si="1249"/>
        <v>15</v>
      </c>
      <c r="Q184" s="43" t="s">
        <v>11</v>
      </c>
      <c r="R184" s="18">
        <f t="shared" si="1250"/>
        <v>5</v>
      </c>
      <c r="S184" s="43" t="s">
        <v>11</v>
      </c>
      <c r="T184" s="18">
        <f t="shared" si="1251"/>
        <v>15</v>
      </c>
      <c r="U184" s="43" t="s">
        <v>11</v>
      </c>
      <c r="V184" s="18">
        <f t="shared" si="1252"/>
        <v>10</v>
      </c>
      <c r="W184" s="18">
        <f t="shared" si="1253"/>
        <v>85</v>
      </c>
      <c r="X184" s="57" t="str">
        <f t="shared" si="1254"/>
        <v>85                           Disminuye en Posibilidad</v>
      </c>
      <c r="Y184" s="57">
        <f t="shared" si="1255"/>
        <v>1</v>
      </c>
      <c r="Z184" s="356"/>
      <c r="AA184" s="499"/>
      <c r="AB184" s="500"/>
      <c r="AM184" s="3" t="str">
        <f t="shared" si="1262"/>
        <v>Documentar</v>
      </c>
      <c r="AN184" s="3" t="str">
        <f t="shared" si="1263"/>
        <v/>
      </c>
      <c r="AO184" s="3" t="str">
        <f t="shared" si="1264"/>
        <v/>
      </c>
      <c r="AP184" s="3" t="str">
        <f t="shared" si="1265"/>
        <v/>
      </c>
      <c r="AQ184" s="3" t="str">
        <f t="shared" si="1488"/>
        <v>Documentar</v>
      </c>
      <c r="AR184" s="3" t="str">
        <f t="shared" si="1489"/>
        <v/>
      </c>
      <c r="AS184" s="3" t="str">
        <f t="shared" ref="AS184" si="1492">IF(AND(AQ184="Documentar",AR184="Asignar responsable"),CONCATENATE("- ",AQ184,", ",AR184),IF(AQ184="Documentar",CONCATENATE("- ",AQ184),IF(AR184="Asignar responsable",CONCATENATE("- ",AR184),"")))</f>
        <v>- Documentar</v>
      </c>
      <c r="AT184" s="3" t="str">
        <f t="shared" si="1490"/>
        <v/>
      </c>
      <c r="AU184" s="3" t="str">
        <f t="shared" ref="AU184" si="1493">IF(AT184="",AS184,IF(AS184="",CONCATENATE("- ",AT184),CONCATENATE(AS184,", ",AT184)))</f>
        <v>- Documentar</v>
      </c>
      <c r="AV184" s="3" t="str">
        <f t="shared" si="1491"/>
        <v/>
      </c>
      <c r="AW184" s="3" t="str">
        <f t="shared" ref="AW184" si="1494">IF(AV184="",AU184,IF(AU184="",CONCATENATE("- ",AV184),CONCATENATE(AU184,", ",AV184)))</f>
        <v>- Documentar</v>
      </c>
      <c r="AX184" s="502"/>
      <c r="AY184" s="502"/>
      <c r="AZ184" s="502"/>
      <c r="BA184" s="502"/>
      <c r="BB184" s="3" t="str">
        <f t="shared" si="1274"/>
        <v>NO</v>
      </c>
      <c r="BC184" s="3" t="str">
        <f t="shared" si="1275"/>
        <v/>
      </c>
      <c r="BD184" s="3" t="str">
        <f t="shared" si="1276"/>
        <v>SI</v>
      </c>
      <c r="BE184" s="3" t="str">
        <f t="shared" si="1277"/>
        <v/>
      </c>
      <c r="BF184" s="3" t="str">
        <f t="shared" si="1278"/>
        <v>SI</v>
      </c>
      <c r="BG184" s="3" t="str">
        <f t="shared" si="1279"/>
        <v/>
      </c>
      <c r="BH184" s="3" t="str">
        <f t="shared" si="1280"/>
        <v>P</v>
      </c>
      <c r="BI184" s="3" t="str">
        <f t="shared" si="1432"/>
        <v/>
      </c>
      <c r="BJ184" s="3" t="str">
        <f t="shared" si="1433"/>
        <v>A</v>
      </c>
      <c r="BK184" s="3" t="str">
        <f t="shared" si="1434"/>
        <v/>
      </c>
      <c r="BL184" s="3" t="str">
        <f t="shared" si="1281"/>
        <v>SI</v>
      </c>
      <c r="BM184" s="3" t="str">
        <f t="shared" si="1282"/>
        <v/>
      </c>
    </row>
    <row r="185" spans="1:65" ht="48" thickTop="1" x14ac:dyDescent="0.2">
      <c r="A185" s="493" t="str">
        <f>IDENTIFICACIÓN!C68</f>
        <v>31C</v>
      </c>
      <c r="B185" s="496" t="str">
        <f>IF(IDENTIFICACIÓN!D68="","",IDENTIFICACIÓN!D68)</f>
        <v>Gestión y Rendición de Cuentas. Rendición de cuentas a la ciudadanía inadecuada, incompleta e inoportuna</v>
      </c>
      <c r="C185" s="356">
        <v>1</v>
      </c>
      <c r="D185" s="56" t="s">
        <v>11</v>
      </c>
      <c r="E185" s="240">
        <f t="shared" si="1428"/>
        <v>10</v>
      </c>
      <c r="F185" s="44" t="s">
        <v>649</v>
      </c>
      <c r="G185" s="18" t="str">
        <f t="shared" si="1244"/>
        <v/>
      </c>
      <c r="H185" s="44" t="s">
        <v>20</v>
      </c>
      <c r="I185" s="18" t="str">
        <f t="shared" si="1245"/>
        <v/>
      </c>
      <c r="J185" s="55" t="str">
        <f t="shared" si="1246"/>
        <v>Posibilidad</v>
      </c>
      <c r="K185" s="43" t="s">
        <v>11</v>
      </c>
      <c r="L185" s="18">
        <f t="shared" si="1247"/>
        <v>15</v>
      </c>
      <c r="M185" s="43" t="s">
        <v>11</v>
      </c>
      <c r="N185" s="18">
        <f t="shared" si="1248"/>
        <v>30</v>
      </c>
      <c r="O185" s="43" t="s">
        <v>323</v>
      </c>
      <c r="P185" s="18">
        <f t="shared" si="1249"/>
        <v>10</v>
      </c>
      <c r="Q185" s="43" t="s">
        <v>11</v>
      </c>
      <c r="R185" s="18">
        <f t="shared" si="1250"/>
        <v>5</v>
      </c>
      <c r="S185" s="43" t="s">
        <v>11</v>
      </c>
      <c r="T185" s="18">
        <f t="shared" si="1251"/>
        <v>15</v>
      </c>
      <c r="U185" s="43" t="s">
        <v>11</v>
      </c>
      <c r="V185" s="18">
        <f t="shared" si="1252"/>
        <v>10</v>
      </c>
      <c r="W185" s="18">
        <f t="shared" si="1253"/>
        <v>95</v>
      </c>
      <c r="X185" s="57" t="str">
        <f t="shared" si="1254"/>
        <v>95                           Disminuye en Posibilidad</v>
      </c>
      <c r="Y185" s="57">
        <f t="shared" si="1255"/>
        <v>1</v>
      </c>
      <c r="Z185" s="356"/>
      <c r="AA185" s="497">
        <f t="shared" ref="AA185" si="1495">IF(AB185=0,"",(ROUND((SUM(W185:W187)/AB185),0)))</f>
        <v>95</v>
      </c>
      <c r="AB185" s="500">
        <f t="shared" ref="AB185" si="1496">COUNT(T185:T187)</f>
        <v>1</v>
      </c>
      <c r="AC185" s="3">
        <f t="shared" ref="AC185" si="1497">SUM(Y185:Y187)</f>
        <v>1</v>
      </c>
      <c r="AD185" s="3">
        <f>ANALISIS!D70</f>
        <v>3</v>
      </c>
      <c r="AE185" s="3">
        <f t="shared" ref="AE185" si="1498">IF(AND(AD185=5,AC185&gt;1),3,AD185)</f>
        <v>3</v>
      </c>
      <c r="AF185" s="501">
        <f t="shared" si="1260"/>
        <v>3</v>
      </c>
      <c r="AG185" s="355" t="str">
        <f t="shared" si="1261"/>
        <v>MODERADA</v>
      </c>
      <c r="AH185" s="46"/>
      <c r="AI185" s="46"/>
      <c r="AJ185" s="46"/>
      <c r="AK185" s="46"/>
      <c r="AL185" s="46"/>
      <c r="AM185" s="3" t="str">
        <f t="shared" si="1262"/>
        <v/>
      </c>
      <c r="AN185" s="3" t="str">
        <f t="shared" si="1263"/>
        <v/>
      </c>
      <c r="AO185" s="3" t="str">
        <f t="shared" si="1264"/>
        <v/>
      </c>
      <c r="AP185" s="3" t="str">
        <f t="shared" si="1265"/>
        <v/>
      </c>
      <c r="AQ185" s="3" t="str">
        <f t="shared" ref="AQ185" si="1499">AM185</f>
        <v/>
      </c>
      <c r="AR185" s="3" t="str">
        <f t="shared" ref="AR185" si="1500">AN185</f>
        <v/>
      </c>
      <c r="AT185" s="3" t="str">
        <f t="shared" ref="AT185" si="1501">AO185</f>
        <v/>
      </c>
      <c r="AV185" s="3" t="str">
        <f t="shared" ref="AV185" si="1502">AP185</f>
        <v/>
      </c>
      <c r="AX185" s="502" t="str">
        <f t="shared" ref="AX185" si="1503">IF(AW187="","",CONCATENATE(AW187," (de) el(los) control(es) Efectivo(s) "))</f>
        <v/>
      </c>
      <c r="AY185" s="502" t="str">
        <f t="shared" ref="AY185" si="1504">IF(CONCATENATE(N185:N187)="","",IF(AND(SUM(E185:E187)=10,SUM(N185:N187)&lt;30),"- Replantear control(es) NO efectivo(s) ",IF(AND(SUM(E185:E187)=20,SUM(N185:N187)&lt;60),"- Replantear control(es) NO efectivo(s) ",IF(AND(SUM(E185:E187)=30,SUM(N185:N187)&lt;90),"- Replantear control(es) NO efectivo(s) ",""))))</f>
        <v/>
      </c>
      <c r="AZ185" s="502" t="str">
        <f t="shared" ref="AZ185" si="1505">IF(AND(AE185&gt;1,AE186&gt;1),"- Tomar Acciones Preventivas y Correctivas",IF(AE185&gt;1,"- Tomar Acciones Preventivas",IF(AE186&gt;1,"- Tomar Acciones Correctivas","")))</f>
        <v>- Tomar Acciones Preventivas</v>
      </c>
      <c r="BA185" s="502" t="str">
        <f t="shared" ref="BA185" si="1506">CONCATENATE(AX185,AY185,AZ185)</f>
        <v>- Tomar Acciones Preventivas</v>
      </c>
      <c r="BB185" s="3" t="str">
        <f t="shared" si="1274"/>
        <v>SI</v>
      </c>
      <c r="BC185" s="3" t="str">
        <f t="shared" si="1275"/>
        <v/>
      </c>
      <c r="BD185" s="3" t="str">
        <f t="shared" si="1276"/>
        <v>SI</v>
      </c>
      <c r="BE185" s="3" t="str">
        <f t="shared" si="1277"/>
        <v/>
      </c>
      <c r="BF185" s="3" t="str">
        <f t="shared" si="1278"/>
        <v>SI</v>
      </c>
      <c r="BG185" s="3" t="str">
        <f t="shared" si="1279"/>
        <v/>
      </c>
      <c r="BH185" s="3" t="str">
        <f t="shared" si="1280"/>
        <v>P</v>
      </c>
      <c r="BI185" s="3" t="str">
        <f t="shared" si="1432"/>
        <v/>
      </c>
      <c r="BJ185" s="3" t="str">
        <f t="shared" si="1433"/>
        <v>M</v>
      </c>
      <c r="BK185" s="3" t="str">
        <f t="shared" si="1434"/>
        <v/>
      </c>
      <c r="BL185" s="3" t="str">
        <f t="shared" si="1281"/>
        <v>SI</v>
      </c>
      <c r="BM185" s="3" t="str">
        <f t="shared" si="1282"/>
        <v/>
      </c>
    </row>
    <row r="186" spans="1:65" ht="31.5" x14ac:dyDescent="0.2">
      <c r="A186" s="494"/>
      <c r="B186" s="496"/>
      <c r="C186" s="356">
        <v>2</v>
      </c>
      <c r="D186" s="56"/>
      <c r="E186" s="240" t="str">
        <f t="shared" si="1428"/>
        <v/>
      </c>
      <c r="F186" s="44"/>
      <c r="G186" s="18" t="str">
        <f t="shared" si="1244"/>
        <v/>
      </c>
      <c r="H186" s="44"/>
      <c r="I186" s="18" t="str">
        <f t="shared" si="1245"/>
        <v/>
      </c>
      <c r="J186" s="55" t="str">
        <f t="shared" si="1246"/>
        <v/>
      </c>
      <c r="K186" s="43"/>
      <c r="L186" s="18" t="str">
        <f t="shared" si="1247"/>
        <v/>
      </c>
      <c r="M186" s="43"/>
      <c r="N186" s="18" t="str">
        <f t="shared" si="1248"/>
        <v/>
      </c>
      <c r="O186" s="43"/>
      <c r="P186" s="18" t="str">
        <f t="shared" si="1249"/>
        <v/>
      </c>
      <c r="Q186" s="43"/>
      <c r="R186" s="18" t="str">
        <f t="shared" si="1250"/>
        <v/>
      </c>
      <c r="S186" s="43"/>
      <c r="T186" s="18" t="str">
        <f t="shared" si="1251"/>
        <v/>
      </c>
      <c r="U186" s="43"/>
      <c r="V186" s="18" t="str">
        <f t="shared" si="1252"/>
        <v/>
      </c>
      <c r="W186" s="18">
        <f t="shared" si="1253"/>
        <v>0</v>
      </c>
      <c r="X186" s="57" t="str">
        <f t="shared" si="1254"/>
        <v/>
      </c>
      <c r="Y186" s="57">
        <f t="shared" si="1255"/>
        <v>0</v>
      </c>
      <c r="Z186" s="356"/>
      <c r="AA186" s="498"/>
      <c r="AB186" s="500"/>
      <c r="AC186" s="3" t="s">
        <v>352</v>
      </c>
      <c r="AF186" s="501"/>
      <c r="AG186" s="46" t="str">
        <f t="shared" ref="AG186" si="1507">IF(AG185&gt;0,"- Evitar Posibilidad de Ocurrencia- Reducir el Riesgo","")</f>
        <v>- Evitar Posibilidad de Ocurrencia- Reducir el Riesgo</v>
      </c>
      <c r="AH186" s="46"/>
      <c r="AI186" s="46"/>
      <c r="AJ186" s="46"/>
      <c r="AK186" s="46"/>
      <c r="AL186" s="46"/>
      <c r="AM186" s="3" t="str">
        <f t="shared" si="1262"/>
        <v/>
      </c>
      <c r="AN186" s="3" t="str">
        <f t="shared" si="1263"/>
        <v/>
      </c>
      <c r="AO186" s="3" t="str">
        <f t="shared" si="1264"/>
        <v/>
      </c>
      <c r="AP186" s="3" t="str">
        <f t="shared" si="1265"/>
        <v/>
      </c>
      <c r="AQ186" s="3" t="str">
        <f t="shared" ref="AQ186:AQ187" si="1508">IF(AQ185="Documentar",AQ185,AM186)</f>
        <v/>
      </c>
      <c r="AR186" s="3" t="str">
        <f t="shared" ref="AR186:AR187" si="1509">IF(AR185="Asignar responsable",AR185,AN186)</f>
        <v/>
      </c>
      <c r="AT186" s="3" t="str">
        <f t="shared" ref="AT186:AT187" si="1510">IF(AT185="Establecer periodos de seguimiento adecuados",AT185,AO186)</f>
        <v/>
      </c>
      <c r="AV186" s="3" t="str">
        <f t="shared" ref="AV186:AV187" si="1511">IF(AV185="Guardar Evidencias",AV185,AP186)</f>
        <v/>
      </c>
      <c r="AX186" s="502"/>
      <c r="AY186" s="502"/>
      <c r="AZ186" s="502"/>
      <c r="BA186" s="502"/>
      <c r="BB186" s="3" t="str">
        <f t="shared" si="1274"/>
        <v/>
      </c>
      <c r="BC186" s="3" t="str">
        <f t="shared" si="1275"/>
        <v/>
      </c>
      <c r="BD186" s="3" t="str">
        <f t="shared" si="1276"/>
        <v/>
      </c>
      <c r="BE186" s="3" t="str">
        <f t="shared" si="1277"/>
        <v/>
      </c>
      <c r="BF186" s="3" t="str">
        <f t="shared" si="1278"/>
        <v/>
      </c>
      <c r="BG186" s="3" t="str">
        <f t="shared" si="1279"/>
        <v/>
      </c>
      <c r="BH186" s="3" t="str">
        <f t="shared" si="1280"/>
        <v/>
      </c>
      <c r="BI186" s="3" t="str">
        <f t="shared" si="1432"/>
        <v/>
      </c>
      <c r="BJ186" s="3" t="str">
        <f t="shared" si="1433"/>
        <v/>
      </c>
      <c r="BK186" s="3" t="str">
        <f t="shared" si="1434"/>
        <v/>
      </c>
      <c r="BL186" s="3" t="str">
        <f t="shared" si="1281"/>
        <v/>
      </c>
      <c r="BM186" s="3" t="str">
        <f t="shared" si="1282"/>
        <v/>
      </c>
    </row>
    <row r="187" spans="1:65" ht="16.5" thickBot="1" x14ac:dyDescent="0.25">
      <c r="A187" s="495"/>
      <c r="B187" s="496"/>
      <c r="C187" s="356">
        <v>3</v>
      </c>
      <c r="D187" s="56"/>
      <c r="E187" s="240" t="str">
        <f t="shared" si="1428"/>
        <v/>
      </c>
      <c r="F187" s="44"/>
      <c r="G187" s="18" t="str">
        <f t="shared" si="1244"/>
        <v/>
      </c>
      <c r="H187" s="44"/>
      <c r="I187" s="18" t="str">
        <f t="shared" si="1245"/>
        <v/>
      </c>
      <c r="J187" s="55" t="str">
        <f t="shared" si="1246"/>
        <v/>
      </c>
      <c r="K187" s="43"/>
      <c r="L187" s="18" t="str">
        <f t="shared" si="1247"/>
        <v/>
      </c>
      <c r="M187" s="43"/>
      <c r="N187" s="18" t="str">
        <f t="shared" si="1248"/>
        <v/>
      </c>
      <c r="O187" s="43"/>
      <c r="P187" s="18" t="str">
        <f t="shared" si="1249"/>
        <v/>
      </c>
      <c r="Q187" s="43"/>
      <c r="R187" s="18" t="str">
        <f t="shared" si="1250"/>
        <v/>
      </c>
      <c r="S187" s="43"/>
      <c r="T187" s="18" t="str">
        <f t="shared" si="1251"/>
        <v/>
      </c>
      <c r="U187" s="43"/>
      <c r="V187" s="18" t="str">
        <f t="shared" si="1252"/>
        <v/>
      </c>
      <c r="W187" s="18">
        <f t="shared" si="1253"/>
        <v>0</v>
      </c>
      <c r="X187" s="57" t="str">
        <f t="shared" si="1254"/>
        <v/>
      </c>
      <c r="Y187" s="57">
        <f t="shared" si="1255"/>
        <v>0</v>
      </c>
      <c r="Z187" s="356"/>
      <c r="AA187" s="499"/>
      <c r="AB187" s="500"/>
      <c r="AM187" s="3" t="str">
        <f t="shared" si="1262"/>
        <v/>
      </c>
      <c r="AN187" s="3" t="str">
        <f t="shared" si="1263"/>
        <v/>
      </c>
      <c r="AO187" s="3" t="str">
        <f t="shared" si="1264"/>
        <v/>
      </c>
      <c r="AP187" s="3" t="str">
        <f t="shared" si="1265"/>
        <v/>
      </c>
      <c r="AQ187" s="3" t="str">
        <f t="shared" si="1508"/>
        <v/>
      </c>
      <c r="AR187" s="3" t="str">
        <f t="shared" si="1509"/>
        <v/>
      </c>
      <c r="AS187" s="3" t="str">
        <f t="shared" ref="AS187" si="1512">IF(AND(AQ187="Documentar",AR187="Asignar responsable"),CONCATENATE("- ",AQ187,", ",AR187),IF(AQ187="Documentar",CONCATENATE("- ",AQ187),IF(AR187="Asignar responsable",CONCATENATE("- ",AR187),"")))</f>
        <v/>
      </c>
      <c r="AT187" s="3" t="str">
        <f t="shared" si="1510"/>
        <v/>
      </c>
      <c r="AU187" s="3" t="str">
        <f t="shared" ref="AU187" si="1513">IF(AT187="",AS187,IF(AS187="",CONCATENATE("- ",AT187),CONCATENATE(AS187,", ",AT187)))</f>
        <v/>
      </c>
      <c r="AV187" s="3" t="str">
        <f t="shared" si="1511"/>
        <v/>
      </c>
      <c r="AW187" s="3" t="str">
        <f t="shared" ref="AW187" si="1514">IF(AV187="",AU187,IF(AU187="",CONCATENATE("- ",AV187),CONCATENATE(AU187,", ",AV187)))</f>
        <v/>
      </c>
      <c r="AX187" s="502"/>
      <c r="AY187" s="502"/>
      <c r="AZ187" s="502"/>
      <c r="BA187" s="502"/>
      <c r="BB187" s="3" t="str">
        <f t="shared" si="1274"/>
        <v/>
      </c>
      <c r="BC187" s="3" t="str">
        <f t="shared" si="1275"/>
        <v/>
      </c>
      <c r="BD187" s="3" t="str">
        <f t="shared" si="1276"/>
        <v/>
      </c>
      <c r="BE187" s="3" t="str">
        <f t="shared" si="1277"/>
        <v/>
      </c>
      <c r="BF187" s="3" t="str">
        <f t="shared" si="1278"/>
        <v/>
      </c>
      <c r="BG187" s="3" t="str">
        <f t="shared" si="1279"/>
        <v/>
      </c>
      <c r="BH187" s="3" t="str">
        <f t="shared" si="1280"/>
        <v/>
      </c>
      <c r="BI187" s="3" t="str">
        <f t="shared" si="1432"/>
        <v/>
      </c>
      <c r="BJ187" s="3" t="str">
        <f t="shared" si="1433"/>
        <v/>
      </c>
      <c r="BK187" s="3" t="str">
        <f t="shared" si="1434"/>
        <v/>
      </c>
      <c r="BL187" s="3" t="str">
        <f t="shared" si="1281"/>
        <v/>
      </c>
      <c r="BM187" s="3" t="str">
        <f t="shared" si="1282"/>
        <v/>
      </c>
    </row>
    <row r="188" spans="1:65" ht="36.75" thickTop="1" x14ac:dyDescent="0.2">
      <c r="A188" s="493" t="str">
        <f>IDENTIFICACIÓN!C69</f>
        <v>32C</v>
      </c>
      <c r="B188" s="496" t="str">
        <f>IF(IDENTIFICACIÓN!D69="","",IDENTIFICACIÓN!D69)</f>
        <v>Gestión y Rendición de Cuentas. Alteración de la información</v>
      </c>
      <c r="C188" s="356">
        <v>1</v>
      </c>
      <c r="D188" s="56" t="s">
        <v>11</v>
      </c>
      <c r="E188" s="240">
        <f t="shared" si="1428"/>
        <v>10</v>
      </c>
      <c r="F188" s="44" t="s">
        <v>650</v>
      </c>
      <c r="G188" s="18" t="str">
        <f t="shared" si="1244"/>
        <v/>
      </c>
      <c r="H188" s="44" t="s">
        <v>20</v>
      </c>
      <c r="I188" s="18" t="str">
        <f t="shared" si="1245"/>
        <v/>
      </c>
      <c r="J188" s="55" t="str">
        <f t="shared" si="1246"/>
        <v>Posibilidad</v>
      </c>
      <c r="K188" s="43" t="s">
        <v>11</v>
      </c>
      <c r="L188" s="18">
        <f t="shared" si="1247"/>
        <v>15</v>
      </c>
      <c r="M188" s="43" t="s">
        <v>11</v>
      </c>
      <c r="N188" s="18">
        <f t="shared" si="1248"/>
        <v>30</v>
      </c>
      <c r="O188" s="43" t="s">
        <v>323</v>
      </c>
      <c r="P188" s="18">
        <f t="shared" si="1249"/>
        <v>10</v>
      </c>
      <c r="Q188" s="43" t="s">
        <v>11</v>
      </c>
      <c r="R188" s="18">
        <f t="shared" si="1250"/>
        <v>5</v>
      </c>
      <c r="S188" s="43" t="s">
        <v>11</v>
      </c>
      <c r="T188" s="18">
        <f t="shared" si="1251"/>
        <v>15</v>
      </c>
      <c r="U188" s="43" t="s">
        <v>10</v>
      </c>
      <c r="V188" s="18">
        <f t="shared" si="1252"/>
        <v>0</v>
      </c>
      <c r="W188" s="18">
        <f t="shared" si="1253"/>
        <v>85</v>
      </c>
      <c r="X188" s="57" t="str">
        <f t="shared" si="1254"/>
        <v>85                           Disminuye en Posibilidad</v>
      </c>
      <c r="Y188" s="57">
        <f t="shared" si="1255"/>
        <v>1</v>
      </c>
      <c r="Z188" s="356"/>
      <c r="AA188" s="497">
        <f t="shared" ref="AA188" si="1515">IF(AB188=0,"",(ROUND((SUM(W188:W190)/AB188),0)))</f>
        <v>82</v>
      </c>
      <c r="AB188" s="500">
        <f t="shared" ref="AB188" si="1516">COUNT(T188:T190)</f>
        <v>3</v>
      </c>
      <c r="AC188" s="3">
        <f t="shared" ref="AC188" si="1517">SUM(Y188:Y190)</f>
        <v>2</v>
      </c>
      <c r="AD188" s="3">
        <f>ANALISIS!D71</f>
        <v>3</v>
      </c>
      <c r="AE188" s="3">
        <f t="shared" ref="AE188" si="1518">IF(AND(AD188=5,AC188&gt;1),3,AD188)</f>
        <v>3</v>
      </c>
      <c r="AF188" s="501">
        <f t="shared" si="1260"/>
        <v>3</v>
      </c>
      <c r="AG188" s="355" t="str">
        <f t="shared" si="1261"/>
        <v>MODERADA</v>
      </c>
      <c r="AH188" s="46"/>
      <c r="AI188" s="46"/>
      <c r="AJ188" s="46"/>
      <c r="AK188" s="46"/>
      <c r="AL188" s="46"/>
      <c r="AM188" s="3" t="str">
        <f t="shared" si="1262"/>
        <v/>
      </c>
      <c r="AN188" s="3" t="str">
        <f t="shared" si="1263"/>
        <v/>
      </c>
      <c r="AO188" s="3" t="str">
        <f t="shared" si="1264"/>
        <v/>
      </c>
      <c r="AP188" s="3" t="str">
        <f t="shared" si="1265"/>
        <v>Guardar Evidencias</v>
      </c>
      <c r="AQ188" s="3" t="str">
        <f t="shared" ref="AQ188" si="1519">AM188</f>
        <v/>
      </c>
      <c r="AR188" s="3" t="str">
        <f t="shared" ref="AR188" si="1520">AN188</f>
        <v/>
      </c>
      <c r="AT188" s="3" t="str">
        <f t="shared" ref="AT188" si="1521">AO188</f>
        <v/>
      </c>
      <c r="AV188" s="3" t="str">
        <f t="shared" ref="AV188" si="1522">AP188</f>
        <v>Guardar Evidencias</v>
      </c>
      <c r="AX188" s="502" t="str">
        <f t="shared" ref="AX188" si="1523">IF(AW190="","",CONCATENATE(AW190," (de) el(los) control(es) Efectivo(s) "))</f>
        <v xml:space="preserve">- Documentar, Establecer periodos de seguimiento adecuados, Guardar Evidencias (de) el(los) control(es) Efectivo(s) </v>
      </c>
      <c r="AY188" s="502" t="str">
        <f t="shared" ref="AY188" si="1524">IF(CONCATENATE(N188:N190)="","",IF(AND(SUM(E188:E190)=10,SUM(N188:N190)&lt;30),"- Replantear control(es) NO efectivo(s) ",IF(AND(SUM(E188:E190)=20,SUM(N188:N190)&lt;60),"- Replantear control(es) NO efectivo(s) ",IF(AND(SUM(E188:E190)=30,SUM(N188:N190)&lt;90),"- Replantear control(es) NO efectivo(s) ",""))))</f>
        <v/>
      </c>
      <c r="AZ188" s="502" t="str">
        <f t="shared" ref="AZ188" si="1525">IF(AND(AE188&gt;1,AE189&gt;1),"- Tomar Acciones Preventivas y Correctivas",IF(AE188&gt;1,"- Tomar Acciones Preventivas",IF(AE189&gt;1,"- Tomar Acciones Correctivas","")))</f>
        <v>- Tomar Acciones Preventivas</v>
      </c>
      <c r="BA188" s="502" t="str">
        <f t="shared" ref="BA188" si="1526">CONCATENATE(AX188,AY188,AZ188)</f>
        <v>- Documentar, Establecer periodos de seguimiento adecuados, Guardar Evidencias (de) el(los) control(es) Efectivo(s) - Tomar Acciones Preventivas</v>
      </c>
      <c r="BB188" s="3" t="str">
        <f t="shared" si="1274"/>
        <v>SI</v>
      </c>
      <c r="BC188" s="3" t="str">
        <f t="shared" si="1275"/>
        <v/>
      </c>
      <c r="BD188" s="3" t="str">
        <f t="shared" si="1276"/>
        <v>SI</v>
      </c>
      <c r="BE188" s="3" t="str">
        <f t="shared" si="1277"/>
        <v/>
      </c>
      <c r="BF188" s="3" t="str">
        <f t="shared" si="1278"/>
        <v>SI</v>
      </c>
      <c r="BG188" s="3" t="str">
        <f t="shared" si="1279"/>
        <v/>
      </c>
      <c r="BH188" s="3" t="str">
        <f t="shared" si="1280"/>
        <v>P</v>
      </c>
      <c r="BI188" s="3" t="str">
        <f t="shared" si="1432"/>
        <v/>
      </c>
      <c r="BJ188" s="3" t="str">
        <f t="shared" si="1433"/>
        <v>M</v>
      </c>
      <c r="BK188" s="3" t="str">
        <f t="shared" si="1434"/>
        <v/>
      </c>
      <c r="BL188" s="3" t="str">
        <f t="shared" si="1281"/>
        <v>NO</v>
      </c>
      <c r="BM188" s="3" t="str">
        <f t="shared" si="1282"/>
        <v/>
      </c>
    </row>
    <row r="189" spans="1:65" ht="63" x14ac:dyDescent="0.2">
      <c r="A189" s="494"/>
      <c r="B189" s="496"/>
      <c r="C189" s="356">
        <v>2</v>
      </c>
      <c r="D189" s="56" t="s">
        <v>11</v>
      </c>
      <c r="E189" s="240">
        <f t="shared" si="1428"/>
        <v>10</v>
      </c>
      <c r="F189" s="44" t="s">
        <v>651</v>
      </c>
      <c r="G189" s="18" t="str">
        <f t="shared" si="1244"/>
        <v/>
      </c>
      <c r="H189" s="44" t="s">
        <v>21</v>
      </c>
      <c r="I189" s="18" t="str">
        <f t="shared" si="1245"/>
        <v/>
      </c>
      <c r="J189" s="55" t="str">
        <f t="shared" si="1246"/>
        <v>No Aplica</v>
      </c>
      <c r="K189" s="43" t="s">
        <v>10</v>
      </c>
      <c r="L189" s="18">
        <f t="shared" si="1247"/>
        <v>0</v>
      </c>
      <c r="M189" s="43" t="s">
        <v>11</v>
      </c>
      <c r="N189" s="18">
        <f t="shared" si="1248"/>
        <v>30</v>
      </c>
      <c r="O189" s="43" t="s">
        <v>323</v>
      </c>
      <c r="P189" s="18">
        <f t="shared" si="1249"/>
        <v>10</v>
      </c>
      <c r="Q189" s="43" t="s">
        <v>11</v>
      </c>
      <c r="R189" s="18">
        <f t="shared" si="1250"/>
        <v>5</v>
      </c>
      <c r="S189" s="43" t="s">
        <v>10</v>
      </c>
      <c r="T189" s="18">
        <f t="shared" si="1251"/>
        <v>0</v>
      </c>
      <c r="U189" s="43" t="s">
        <v>11</v>
      </c>
      <c r="V189" s="18">
        <f t="shared" si="1252"/>
        <v>10</v>
      </c>
      <c r="W189" s="18">
        <f t="shared" si="1253"/>
        <v>65</v>
      </c>
      <c r="X189" s="57">
        <f t="shared" si="1254"/>
        <v>65</v>
      </c>
      <c r="Y189" s="57">
        <f t="shared" si="1255"/>
        <v>0</v>
      </c>
      <c r="Z189" s="356"/>
      <c r="AA189" s="498"/>
      <c r="AB189" s="500"/>
      <c r="AC189" s="3" t="s">
        <v>352</v>
      </c>
      <c r="AF189" s="501"/>
      <c r="AG189" s="46" t="str">
        <f t="shared" ref="AG189" si="1527">IF(AG188&gt;0,"- Evitar Posibilidad de Ocurrencia- Reducir el Riesgo","")</f>
        <v>- Evitar Posibilidad de Ocurrencia- Reducir el Riesgo</v>
      </c>
      <c r="AH189" s="46"/>
      <c r="AI189" s="46"/>
      <c r="AJ189" s="46"/>
      <c r="AK189" s="46"/>
      <c r="AL189" s="46"/>
      <c r="AM189" s="3" t="str">
        <f t="shared" si="1262"/>
        <v>Documentar</v>
      </c>
      <c r="AN189" s="3" t="str">
        <f t="shared" si="1263"/>
        <v/>
      </c>
      <c r="AO189" s="3" t="str">
        <f t="shared" si="1264"/>
        <v>Establecer periodos de seguimiento adecuados</v>
      </c>
      <c r="AP189" s="3" t="str">
        <f t="shared" si="1265"/>
        <v/>
      </c>
      <c r="AQ189" s="3" t="str">
        <f t="shared" ref="AQ189:AQ190" si="1528">IF(AQ188="Documentar",AQ188,AM189)</f>
        <v>Documentar</v>
      </c>
      <c r="AR189" s="3" t="str">
        <f t="shared" ref="AR189:AR190" si="1529">IF(AR188="Asignar responsable",AR188,AN189)</f>
        <v/>
      </c>
      <c r="AT189" s="3" t="str">
        <f t="shared" ref="AT189:AT190" si="1530">IF(AT188="Establecer periodos de seguimiento adecuados",AT188,AO189)</f>
        <v>Establecer periodos de seguimiento adecuados</v>
      </c>
      <c r="AV189" s="3" t="str">
        <f t="shared" ref="AV189:AV190" si="1531">IF(AV188="Guardar Evidencias",AV188,AP189)</f>
        <v>Guardar Evidencias</v>
      </c>
      <c r="AX189" s="502"/>
      <c r="AY189" s="502"/>
      <c r="AZ189" s="502"/>
      <c r="BA189" s="502"/>
      <c r="BB189" s="3" t="str">
        <f t="shared" si="1274"/>
        <v>NO</v>
      </c>
      <c r="BC189" s="3" t="str">
        <f t="shared" si="1275"/>
        <v/>
      </c>
      <c r="BD189" s="3" t="str">
        <f t="shared" si="1276"/>
        <v>SI</v>
      </c>
      <c r="BE189" s="3" t="str">
        <f t="shared" si="1277"/>
        <v/>
      </c>
      <c r="BF189" s="3" t="str">
        <f t="shared" si="1278"/>
        <v>NO</v>
      </c>
      <c r="BG189" s="3" t="str">
        <f t="shared" si="1279"/>
        <v/>
      </c>
      <c r="BH189" s="3" t="str">
        <f t="shared" si="1280"/>
        <v>C</v>
      </c>
      <c r="BI189" s="3" t="str">
        <f t="shared" si="1432"/>
        <v/>
      </c>
      <c r="BJ189" s="3" t="str">
        <f t="shared" si="1433"/>
        <v>M</v>
      </c>
      <c r="BK189" s="3" t="str">
        <f t="shared" si="1434"/>
        <v/>
      </c>
      <c r="BL189" s="3" t="str">
        <f t="shared" si="1281"/>
        <v>SI</v>
      </c>
      <c r="BM189" s="3" t="str">
        <f t="shared" si="1282"/>
        <v/>
      </c>
    </row>
    <row r="190" spans="1:65" ht="111" thickBot="1" x14ac:dyDescent="0.25">
      <c r="A190" s="495"/>
      <c r="B190" s="496"/>
      <c r="C190" s="356">
        <v>3</v>
      </c>
      <c r="D190" s="56" t="s">
        <v>11</v>
      </c>
      <c r="E190" s="240">
        <f t="shared" si="1428"/>
        <v>10</v>
      </c>
      <c r="F190" s="44" t="s">
        <v>652</v>
      </c>
      <c r="G190" s="18" t="str">
        <f t="shared" si="1244"/>
        <v/>
      </c>
      <c r="H190" s="44" t="s">
        <v>20</v>
      </c>
      <c r="I190" s="18" t="str">
        <f t="shared" si="1245"/>
        <v/>
      </c>
      <c r="J190" s="55" t="str">
        <f t="shared" si="1246"/>
        <v>Posibilidad</v>
      </c>
      <c r="K190" s="43" t="s">
        <v>11</v>
      </c>
      <c r="L190" s="18">
        <f t="shared" si="1247"/>
        <v>15</v>
      </c>
      <c r="M190" s="43" t="s">
        <v>11</v>
      </c>
      <c r="N190" s="18">
        <f t="shared" si="1248"/>
        <v>30</v>
      </c>
      <c r="O190" s="43" t="s">
        <v>323</v>
      </c>
      <c r="P190" s="18">
        <f t="shared" si="1249"/>
        <v>10</v>
      </c>
      <c r="Q190" s="43" t="s">
        <v>11</v>
      </c>
      <c r="R190" s="18">
        <f t="shared" si="1250"/>
        <v>5</v>
      </c>
      <c r="S190" s="43" t="s">
        <v>11</v>
      </c>
      <c r="T190" s="18">
        <f t="shared" si="1251"/>
        <v>15</v>
      </c>
      <c r="U190" s="43" t="s">
        <v>11</v>
      </c>
      <c r="V190" s="18">
        <f t="shared" si="1252"/>
        <v>10</v>
      </c>
      <c r="W190" s="18">
        <f t="shared" si="1253"/>
        <v>95</v>
      </c>
      <c r="X190" s="57" t="str">
        <f t="shared" si="1254"/>
        <v>95                           Disminuye en Posibilidad</v>
      </c>
      <c r="Y190" s="57">
        <f t="shared" si="1255"/>
        <v>1</v>
      </c>
      <c r="Z190" s="356"/>
      <c r="AA190" s="499"/>
      <c r="AB190" s="500"/>
      <c r="AM190" s="3" t="str">
        <f t="shared" si="1262"/>
        <v/>
      </c>
      <c r="AN190" s="3" t="str">
        <f t="shared" si="1263"/>
        <v/>
      </c>
      <c r="AO190" s="3" t="str">
        <f t="shared" si="1264"/>
        <v/>
      </c>
      <c r="AP190" s="3" t="str">
        <f t="shared" si="1265"/>
        <v/>
      </c>
      <c r="AQ190" s="3" t="str">
        <f t="shared" si="1528"/>
        <v>Documentar</v>
      </c>
      <c r="AR190" s="3" t="str">
        <f t="shared" si="1529"/>
        <v/>
      </c>
      <c r="AS190" s="3" t="str">
        <f t="shared" ref="AS190" si="1532">IF(AND(AQ190="Documentar",AR190="Asignar responsable"),CONCATENATE("- ",AQ190,", ",AR190),IF(AQ190="Documentar",CONCATENATE("- ",AQ190),IF(AR190="Asignar responsable",CONCATENATE("- ",AR190),"")))</f>
        <v>- Documentar</v>
      </c>
      <c r="AT190" s="3" t="str">
        <f t="shared" si="1530"/>
        <v>Establecer periodos de seguimiento adecuados</v>
      </c>
      <c r="AU190" s="3" t="str">
        <f t="shared" ref="AU190" si="1533">IF(AT190="",AS190,IF(AS190="",CONCATENATE("- ",AT190),CONCATENATE(AS190,", ",AT190)))</f>
        <v>- Documentar, Establecer periodos de seguimiento adecuados</v>
      </c>
      <c r="AV190" s="3" t="str">
        <f t="shared" si="1531"/>
        <v>Guardar Evidencias</v>
      </c>
      <c r="AW190" s="3" t="str">
        <f t="shared" ref="AW190" si="1534">IF(AV190="",AU190,IF(AU190="",CONCATENATE("- ",AV190),CONCATENATE(AU190,", ",AV190)))</f>
        <v>- Documentar, Establecer periodos de seguimiento adecuados, Guardar Evidencias</v>
      </c>
      <c r="AX190" s="502"/>
      <c r="AY190" s="502"/>
      <c r="AZ190" s="502"/>
      <c r="BA190" s="502"/>
      <c r="BB190" s="3" t="str">
        <f t="shared" si="1274"/>
        <v>SI</v>
      </c>
      <c r="BC190" s="3" t="str">
        <f t="shared" si="1275"/>
        <v/>
      </c>
      <c r="BD190" s="3" t="str">
        <f t="shared" si="1276"/>
        <v>SI</v>
      </c>
      <c r="BE190" s="3" t="str">
        <f t="shared" si="1277"/>
        <v/>
      </c>
      <c r="BF190" s="3" t="str">
        <f t="shared" si="1278"/>
        <v>SI</v>
      </c>
      <c r="BG190" s="3" t="str">
        <f t="shared" si="1279"/>
        <v/>
      </c>
      <c r="BH190" s="3" t="str">
        <f t="shared" si="1280"/>
        <v>P</v>
      </c>
      <c r="BI190" s="3" t="str">
        <f t="shared" si="1432"/>
        <v/>
      </c>
      <c r="BJ190" s="3" t="str">
        <f t="shared" si="1433"/>
        <v>M</v>
      </c>
      <c r="BK190" s="3" t="str">
        <f t="shared" si="1434"/>
        <v/>
      </c>
      <c r="BL190" s="3" t="str">
        <f t="shared" si="1281"/>
        <v>SI</v>
      </c>
      <c r="BM190" s="3" t="str">
        <f t="shared" si="1282"/>
        <v/>
      </c>
    </row>
    <row r="191" spans="1:65" ht="36.75" thickTop="1" x14ac:dyDescent="0.2">
      <c r="A191" s="493" t="str">
        <f>IDENTIFICACIÓN!C70</f>
        <v>33C</v>
      </c>
      <c r="B191" s="496" t="str">
        <f>IF(IDENTIFICACIÓN!D70="","",IDENTIFICACIÓN!D70)</f>
        <v>Evaluación Independiente. Falta de Objetividad e Independencia en el proceso auditor, de evaluación y seguimiento</v>
      </c>
      <c r="C191" s="356">
        <v>1</v>
      </c>
      <c r="D191" s="56" t="s">
        <v>11</v>
      </c>
      <c r="E191" s="240">
        <f t="shared" si="1428"/>
        <v>10</v>
      </c>
      <c r="F191" s="44" t="s">
        <v>653</v>
      </c>
      <c r="G191" s="18" t="str">
        <f t="shared" si="1244"/>
        <v/>
      </c>
      <c r="H191" s="44" t="s">
        <v>20</v>
      </c>
      <c r="I191" s="18" t="str">
        <f t="shared" si="1245"/>
        <v/>
      </c>
      <c r="J191" s="55" t="str">
        <f t="shared" si="1246"/>
        <v>Posibilidad</v>
      </c>
      <c r="K191" s="43" t="s">
        <v>11</v>
      </c>
      <c r="L191" s="18">
        <f t="shared" si="1247"/>
        <v>15</v>
      </c>
      <c r="M191" s="43" t="s">
        <v>11</v>
      </c>
      <c r="N191" s="18">
        <f t="shared" si="1248"/>
        <v>30</v>
      </c>
      <c r="O191" s="43" t="s">
        <v>323</v>
      </c>
      <c r="P191" s="18">
        <f t="shared" si="1249"/>
        <v>10</v>
      </c>
      <c r="Q191" s="43" t="s">
        <v>11</v>
      </c>
      <c r="R191" s="18">
        <f t="shared" si="1250"/>
        <v>5</v>
      </c>
      <c r="S191" s="43" t="s">
        <v>11</v>
      </c>
      <c r="T191" s="18">
        <f t="shared" si="1251"/>
        <v>15</v>
      </c>
      <c r="U191" s="43" t="s">
        <v>11</v>
      </c>
      <c r="V191" s="18">
        <f t="shared" si="1252"/>
        <v>10</v>
      </c>
      <c r="W191" s="18">
        <f t="shared" si="1253"/>
        <v>95</v>
      </c>
      <c r="X191" s="57" t="str">
        <f t="shared" si="1254"/>
        <v>95                           Disminuye en Posibilidad</v>
      </c>
      <c r="Y191" s="57">
        <f t="shared" si="1255"/>
        <v>1</v>
      </c>
      <c r="Z191" s="356"/>
      <c r="AA191" s="497">
        <f t="shared" ref="AA191" si="1535">IF(AB191=0,"",(ROUND((SUM(W191:W193)/AB191),0)))</f>
        <v>95</v>
      </c>
      <c r="AB191" s="500">
        <f t="shared" ref="AB191" si="1536">COUNT(T191:T193)</f>
        <v>1</v>
      </c>
      <c r="AC191" s="3">
        <f t="shared" ref="AC191" si="1537">SUM(Y191:Y193)</f>
        <v>1</v>
      </c>
      <c r="AD191" s="3">
        <f>ANALISIS!D72</f>
        <v>3</v>
      </c>
      <c r="AE191" s="3">
        <f t="shared" ref="AE191" si="1538">IF(AND(AD191=5,AC191&gt;1),3,AD191)</f>
        <v>3</v>
      </c>
      <c r="AF191" s="501">
        <f t="shared" si="1260"/>
        <v>3</v>
      </c>
      <c r="AG191" s="355" t="str">
        <f t="shared" si="1261"/>
        <v>MODERADA</v>
      </c>
      <c r="AH191" s="46"/>
      <c r="AI191" s="46"/>
      <c r="AJ191" s="46"/>
      <c r="AK191" s="46"/>
      <c r="AL191" s="46"/>
      <c r="AM191" s="3" t="str">
        <f t="shared" si="1262"/>
        <v/>
      </c>
      <c r="AN191" s="3" t="str">
        <f t="shared" si="1263"/>
        <v/>
      </c>
      <c r="AO191" s="3" t="str">
        <f t="shared" si="1264"/>
        <v/>
      </c>
      <c r="AP191" s="3" t="str">
        <f t="shared" si="1265"/>
        <v/>
      </c>
      <c r="AQ191" s="3" t="str">
        <f t="shared" ref="AQ191" si="1539">AM191</f>
        <v/>
      </c>
      <c r="AR191" s="3" t="str">
        <f t="shared" ref="AR191" si="1540">AN191</f>
        <v/>
      </c>
      <c r="AT191" s="3" t="str">
        <f t="shared" ref="AT191" si="1541">AO191</f>
        <v/>
      </c>
      <c r="AV191" s="3" t="str">
        <f t="shared" ref="AV191" si="1542">AP191</f>
        <v/>
      </c>
      <c r="AX191" s="502" t="str">
        <f t="shared" ref="AX191" si="1543">IF(AW193="","",CONCATENATE(AW193," (de) el(los) control(es) Efectivo(s) "))</f>
        <v/>
      </c>
      <c r="AY191" s="502" t="str">
        <f t="shared" ref="AY191" si="1544">IF(CONCATENATE(N191:N193)="","",IF(AND(SUM(E191:E193)=10,SUM(N191:N193)&lt;30),"- Replantear control(es) NO efectivo(s) ",IF(AND(SUM(E191:E193)=20,SUM(N191:N193)&lt;60),"- Replantear control(es) NO efectivo(s) ",IF(AND(SUM(E191:E193)=30,SUM(N191:N193)&lt;90),"- Replantear control(es) NO efectivo(s) ",""))))</f>
        <v/>
      </c>
      <c r="AZ191" s="502" t="str">
        <f t="shared" ref="AZ191" si="1545">IF(AND(AE191&gt;1,AE192&gt;1),"- Tomar Acciones Preventivas y Correctivas",IF(AE191&gt;1,"- Tomar Acciones Preventivas",IF(AE192&gt;1,"- Tomar Acciones Correctivas","")))</f>
        <v>- Tomar Acciones Preventivas</v>
      </c>
      <c r="BA191" s="502" t="str">
        <f t="shared" ref="BA191" si="1546">CONCATENATE(AX191,AY191,AZ191)</f>
        <v>- Tomar Acciones Preventivas</v>
      </c>
      <c r="BB191" s="3" t="str">
        <f t="shared" si="1274"/>
        <v>SI</v>
      </c>
      <c r="BC191" s="3" t="str">
        <f t="shared" si="1275"/>
        <v/>
      </c>
      <c r="BD191" s="3" t="str">
        <f t="shared" si="1276"/>
        <v>SI</v>
      </c>
      <c r="BE191" s="3" t="str">
        <f t="shared" si="1277"/>
        <v/>
      </c>
      <c r="BF191" s="3" t="str">
        <f t="shared" si="1278"/>
        <v>SI</v>
      </c>
      <c r="BG191" s="3" t="str">
        <f t="shared" si="1279"/>
        <v/>
      </c>
      <c r="BH191" s="3" t="str">
        <f t="shared" si="1280"/>
        <v>P</v>
      </c>
      <c r="BI191" s="3" t="str">
        <f t="shared" si="1432"/>
        <v/>
      </c>
      <c r="BJ191" s="3" t="str">
        <f t="shared" si="1433"/>
        <v>M</v>
      </c>
      <c r="BK191" s="3" t="str">
        <f t="shared" si="1434"/>
        <v/>
      </c>
      <c r="BL191" s="3" t="str">
        <f t="shared" si="1281"/>
        <v>SI</v>
      </c>
      <c r="BM191" s="3" t="str">
        <f t="shared" si="1282"/>
        <v/>
      </c>
    </row>
    <row r="192" spans="1:65" ht="31.5" x14ac:dyDescent="0.2">
      <c r="A192" s="494"/>
      <c r="B192" s="496"/>
      <c r="C192" s="356">
        <v>2</v>
      </c>
      <c r="D192" s="56"/>
      <c r="E192" s="240" t="str">
        <f t="shared" si="1428"/>
        <v/>
      </c>
      <c r="F192" s="44"/>
      <c r="G192" s="18" t="str">
        <f t="shared" si="1244"/>
        <v/>
      </c>
      <c r="H192" s="44"/>
      <c r="I192" s="18" t="str">
        <f t="shared" si="1245"/>
        <v/>
      </c>
      <c r="J192" s="55" t="str">
        <f t="shared" si="1246"/>
        <v/>
      </c>
      <c r="K192" s="43"/>
      <c r="L192" s="18" t="str">
        <f t="shared" si="1247"/>
        <v/>
      </c>
      <c r="M192" s="43"/>
      <c r="N192" s="18" t="str">
        <f t="shared" si="1248"/>
        <v/>
      </c>
      <c r="O192" s="43"/>
      <c r="P192" s="18" t="str">
        <f t="shared" si="1249"/>
        <v/>
      </c>
      <c r="Q192" s="43"/>
      <c r="R192" s="18" t="str">
        <f t="shared" si="1250"/>
        <v/>
      </c>
      <c r="S192" s="43"/>
      <c r="T192" s="18" t="str">
        <f t="shared" si="1251"/>
        <v/>
      </c>
      <c r="U192" s="43"/>
      <c r="V192" s="18" t="str">
        <f t="shared" si="1252"/>
        <v/>
      </c>
      <c r="W192" s="18">
        <f t="shared" si="1253"/>
        <v>0</v>
      </c>
      <c r="X192" s="57" t="str">
        <f t="shared" si="1254"/>
        <v/>
      </c>
      <c r="Y192" s="57">
        <f t="shared" si="1255"/>
        <v>0</v>
      </c>
      <c r="Z192" s="356"/>
      <c r="AA192" s="498"/>
      <c r="AB192" s="500"/>
      <c r="AC192" s="3" t="s">
        <v>352</v>
      </c>
      <c r="AF192" s="501"/>
      <c r="AG192" s="46" t="str">
        <f t="shared" ref="AG192" si="1547">IF(AG191&gt;0,"- Evitar Posibilidad de Ocurrencia- Reducir el Riesgo","")</f>
        <v>- Evitar Posibilidad de Ocurrencia- Reducir el Riesgo</v>
      </c>
      <c r="AH192" s="46"/>
      <c r="AI192" s="46"/>
      <c r="AJ192" s="46"/>
      <c r="AK192" s="46"/>
      <c r="AL192" s="46"/>
      <c r="AM192" s="3" t="str">
        <f t="shared" si="1262"/>
        <v/>
      </c>
      <c r="AN192" s="3" t="str">
        <f t="shared" si="1263"/>
        <v/>
      </c>
      <c r="AO192" s="3" t="str">
        <f t="shared" si="1264"/>
        <v/>
      </c>
      <c r="AP192" s="3" t="str">
        <f t="shared" si="1265"/>
        <v/>
      </c>
      <c r="AQ192" s="3" t="str">
        <f t="shared" ref="AQ192:AQ193" si="1548">IF(AQ191="Documentar",AQ191,AM192)</f>
        <v/>
      </c>
      <c r="AR192" s="3" t="str">
        <f t="shared" ref="AR192:AR193" si="1549">IF(AR191="Asignar responsable",AR191,AN192)</f>
        <v/>
      </c>
      <c r="AT192" s="3" t="str">
        <f t="shared" ref="AT192:AT193" si="1550">IF(AT191="Establecer periodos de seguimiento adecuados",AT191,AO192)</f>
        <v/>
      </c>
      <c r="AV192" s="3" t="str">
        <f t="shared" ref="AV192:AV193" si="1551">IF(AV191="Guardar Evidencias",AV191,AP192)</f>
        <v/>
      </c>
      <c r="AX192" s="502"/>
      <c r="AY192" s="502"/>
      <c r="AZ192" s="502"/>
      <c r="BA192" s="502"/>
      <c r="BB192" s="3" t="str">
        <f t="shared" si="1274"/>
        <v/>
      </c>
      <c r="BC192" s="3" t="str">
        <f t="shared" si="1275"/>
        <v/>
      </c>
      <c r="BD192" s="3" t="str">
        <f t="shared" si="1276"/>
        <v/>
      </c>
      <c r="BE192" s="3" t="str">
        <f t="shared" si="1277"/>
        <v/>
      </c>
      <c r="BF192" s="3" t="str">
        <f t="shared" si="1278"/>
        <v/>
      </c>
      <c r="BG192" s="3" t="str">
        <f t="shared" si="1279"/>
        <v/>
      </c>
      <c r="BH192" s="3" t="str">
        <f t="shared" si="1280"/>
        <v/>
      </c>
      <c r="BI192" s="3" t="str">
        <f t="shared" si="1432"/>
        <v/>
      </c>
      <c r="BJ192" s="3" t="str">
        <f t="shared" si="1433"/>
        <v/>
      </c>
      <c r="BK192" s="3" t="str">
        <f t="shared" si="1434"/>
        <v/>
      </c>
      <c r="BL192" s="3" t="str">
        <f t="shared" si="1281"/>
        <v/>
      </c>
      <c r="BM192" s="3" t="str">
        <f t="shared" si="1282"/>
        <v/>
      </c>
    </row>
    <row r="193" spans="1:65" ht="16.5" thickBot="1" x14ac:dyDescent="0.25">
      <c r="A193" s="495"/>
      <c r="B193" s="496"/>
      <c r="C193" s="356">
        <v>3</v>
      </c>
      <c r="D193" s="56"/>
      <c r="E193" s="240" t="str">
        <f t="shared" si="1428"/>
        <v/>
      </c>
      <c r="F193" s="44"/>
      <c r="G193" s="18" t="str">
        <f t="shared" si="1244"/>
        <v/>
      </c>
      <c r="H193" s="44"/>
      <c r="I193" s="18" t="str">
        <f t="shared" si="1245"/>
        <v/>
      </c>
      <c r="J193" s="55" t="str">
        <f t="shared" si="1246"/>
        <v/>
      </c>
      <c r="K193" s="43"/>
      <c r="L193" s="18" t="str">
        <f t="shared" si="1247"/>
        <v/>
      </c>
      <c r="M193" s="43"/>
      <c r="N193" s="18" t="str">
        <f t="shared" si="1248"/>
        <v/>
      </c>
      <c r="O193" s="43"/>
      <c r="P193" s="18" t="str">
        <f t="shared" si="1249"/>
        <v/>
      </c>
      <c r="Q193" s="43"/>
      <c r="R193" s="18" t="str">
        <f t="shared" si="1250"/>
        <v/>
      </c>
      <c r="S193" s="43"/>
      <c r="T193" s="18" t="str">
        <f t="shared" si="1251"/>
        <v/>
      </c>
      <c r="U193" s="43"/>
      <c r="V193" s="18" t="str">
        <f t="shared" si="1252"/>
        <v/>
      </c>
      <c r="W193" s="18">
        <f t="shared" si="1253"/>
        <v>0</v>
      </c>
      <c r="X193" s="57" t="str">
        <f t="shared" si="1254"/>
        <v/>
      </c>
      <c r="Y193" s="57">
        <f t="shared" si="1255"/>
        <v>0</v>
      </c>
      <c r="Z193" s="356"/>
      <c r="AA193" s="499"/>
      <c r="AB193" s="500"/>
      <c r="AM193" s="3" t="str">
        <f t="shared" si="1262"/>
        <v/>
      </c>
      <c r="AN193" s="3" t="str">
        <f t="shared" si="1263"/>
        <v/>
      </c>
      <c r="AO193" s="3" t="str">
        <f t="shared" si="1264"/>
        <v/>
      </c>
      <c r="AP193" s="3" t="str">
        <f t="shared" si="1265"/>
        <v/>
      </c>
      <c r="AQ193" s="3" t="str">
        <f t="shared" si="1548"/>
        <v/>
      </c>
      <c r="AR193" s="3" t="str">
        <f t="shared" si="1549"/>
        <v/>
      </c>
      <c r="AS193" s="3" t="str">
        <f t="shared" ref="AS193" si="1552">IF(AND(AQ193="Documentar",AR193="Asignar responsable"),CONCATENATE("- ",AQ193,", ",AR193),IF(AQ193="Documentar",CONCATENATE("- ",AQ193),IF(AR193="Asignar responsable",CONCATENATE("- ",AR193),"")))</f>
        <v/>
      </c>
      <c r="AT193" s="3" t="str">
        <f t="shared" si="1550"/>
        <v/>
      </c>
      <c r="AU193" s="3" t="str">
        <f t="shared" ref="AU193" si="1553">IF(AT193="",AS193,IF(AS193="",CONCATENATE("- ",AT193),CONCATENATE(AS193,", ",AT193)))</f>
        <v/>
      </c>
      <c r="AV193" s="3" t="str">
        <f t="shared" si="1551"/>
        <v/>
      </c>
      <c r="AW193" s="3" t="str">
        <f t="shared" ref="AW193" si="1554">IF(AV193="",AU193,IF(AU193="",CONCATENATE("- ",AV193),CONCATENATE(AU193,", ",AV193)))</f>
        <v/>
      </c>
      <c r="AX193" s="502"/>
      <c r="AY193" s="502"/>
      <c r="AZ193" s="502"/>
      <c r="BA193" s="502"/>
      <c r="BB193" s="3" t="str">
        <f t="shared" si="1274"/>
        <v/>
      </c>
      <c r="BC193" s="3" t="str">
        <f t="shared" si="1275"/>
        <v/>
      </c>
      <c r="BD193" s="3" t="str">
        <f t="shared" si="1276"/>
        <v/>
      </c>
      <c r="BE193" s="3" t="str">
        <f t="shared" si="1277"/>
        <v/>
      </c>
      <c r="BF193" s="3" t="str">
        <f t="shared" si="1278"/>
        <v/>
      </c>
      <c r="BG193" s="3" t="str">
        <f t="shared" si="1279"/>
        <v/>
      </c>
      <c r="BH193" s="3" t="str">
        <f t="shared" si="1280"/>
        <v/>
      </c>
      <c r="BI193" s="3" t="str">
        <f t="shared" si="1432"/>
        <v/>
      </c>
      <c r="BJ193" s="3" t="str">
        <f t="shared" si="1433"/>
        <v/>
      </c>
      <c r="BK193" s="3" t="str">
        <f t="shared" si="1434"/>
        <v/>
      </c>
      <c r="BL193" s="3" t="str">
        <f t="shared" si="1281"/>
        <v/>
      </c>
      <c r="BM193" s="3" t="str">
        <f t="shared" si="1282"/>
        <v/>
      </c>
    </row>
    <row r="194" spans="1:65" ht="36.75" thickTop="1" x14ac:dyDescent="0.2">
      <c r="A194" s="493" t="str">
        <f>IDENTIFICACIÓN!C71</f>
        <v>34C</v>
      </c>
      <c r="B194" s="496" t="str">
        <f>IF(IDENTIFICACIÓN!D71="","",IDENTIFICACIÓN!D71)</f>
        <v>Evaluación Independiente. No reportar posibles actos de corrupción e irregularidades</v>
      </c>
      <c r="C194" s="356">
        <v>1</v>
      </c>
      <c r="D194" s="56" t="s">
        <v>11</v>
      </c>
      <c r="E194" s="240">
        <f t="shared" si="1428"/>
        <v>10</v>
      </c>
      <c r="F194" s="44" t="s">
        <v>653</v>
      </c>
      <c r="G194" s="18" t="str">
        <f t="shared" si="1244"/>
        <v/>
      </c>
      <c r="H194" s="44" t="s">
        <v>20</v>
      </c>
      <c r="I194" s="18" t="str">
        <f t="shared" si="1245"/>
        <v/>
      </c>
      <c r="J194" s="55" t="str">
        <f t="shared" si="1246"/>
        <v>Posibilidad</v>
      </c>
      <c r="K194" s="43" t="s">
        <v>11</v>
      </c>
      <c r="L194" s="18">
        <f t="shared" si="1247"/>
        <v>15</v>
      </c>
      <c r="M194" s="43" t="s">
        <v>11</v>
      </c>
      <c r="N194" s="18">
        <f t="shared" si="1248"/>
        <v>30</v>
      </c>
      <c r="O194" s="43" t="s">
        <v>323</v>
      </c>
      <c r="P194" s="18">
        <f t="shared" si="1249"/>
        <v>10</v>
      </c>
      <c r="Q194" s="43" t="s">
        <v>11</v>
      </c>
      <c r="R194" s="18">
        <f t="shared" si="1250"/>
        <v>5</v>
      </c>
      <c r="S194" s="43" t="s">
        <v>11</v>
      </c>
      <c r="T194" s="18">
        <f t="shared" si="1251"/>
        <v>15</v>
      </c>
      <c r="U194" s="43" t="s">
        <v>11</v>
      </c>
      <c r="V194" s="18">
        <f t="shared" si="1252"/>
        <v>10</v>
      </c>
      <c r="W194" s="18">
        <f t="shared" si="1253"/>
        <v>95</v>
      </c>
      <c r="X194" s="57" t="str">
        <f t="shared" si="1254"/>
        <v>95                           Disminuye en Posibilidad</v>
      </c>
      <c r="Y194" s="57">
        <f t="shared" si="1255"/>
        <v>1</v>
      </c>
      <c r="Z194" s="356"/>
      <c r="AA194" s="497">
        <f t="shared" ref="AA194" si="1555">IF(AB194=0,"",(ROUND((SUM(W194:W196)/AB194),0)))</f>
        <v>95</v>
      </c>
      <c r="AB194" s="500">
        <f t="shared" ref="AB194" si="1556">COUNT(T194:T196)</f>
        <v>1</v>
      </c>
      <c r="AC194" s="3">
        <f t="shared" ref="AC194" si="1557">SUM(Y194:Y196)</f>
        <v>1</v>
      </c>
      <c r="AD194" s="3">
        <f>ANALISIS!D73</f>
        <v>3</v>
      </c>
      <c r="AE194" s="3">
        <f t="shared" ref="AE194" si="1558">IF(AND(AD194=5,AC194&gt;1),3,AD194)</f>
        <v>3</v>
      </c>
      <c r="AF194" s="501">
        <f t="shared" si="1260"/>
        <v>3</v>
      </c>
      <c r="AG194" s="355" t="str">
        <f t="shared" si="1261"/>
        <v>MODERADA</v>
      </c>
      <c r="AH194" s="46"/>
      <c r="AI194" s="46"/>
      <c r="AJ194" s="46"/>
      <c r="AK194" s="46"/>
      <c r="AL194" s="46"/>
      <c r="AM194" s="3" t="str">
        <f t="shared" si="1262"/>
        <v/>
      </c>
      <c r="AN194" s="3" t="str">
        <f t="shared" si="1263"/>
        <v/>
      </c>
      <c r="AO194" s="3" t="str">
        <f t="shared" si="1264"/>
        <v/>
      </c>
      <c r="AP194" s="3" t="str">
        <f t="shared" si="1265"/>
        <v/>
      </c>
      <c r="AQ194" s="3" t="str">
        <f t="shared" ref="AQ194" si="1559">AM194</f>
        <v/>
      </c>
      <c r="AR194" s="3" t="str">
        <f t="shared" ref="AR194" si="1560">AN194</f>
        <v/>
      </c>
      <c r="AT194" s="3" t="str">
        <f t="shared" ref="AT194" si="1561">AO194</f>
        <v/>
      </c>
      <c r="AV194" s="3" t="str">
        <f t="shared" ref="AV194" si="1562">AP194</f>
        <v/>
      </c>
      <c r="AX194" s="502" t="str">
        <f t="shared" ref="AX194" si="1563">IF(AW196="","",CONCATENATE(AW196," (de) el(los) control(es) Efectivo(s) "))</f>
        <v/>
      </c>
      <c r="AY194" s="502" t="str">
        <f t="shared" ref="AY194" si="1564">IF(CONCATENATE(N194:N196)="","",IF(AND(SUM(E194:E196)=10,SUM(N194:N196)&lt;30),"- Replantear control(es) NO efectivo(s) ",IF(AND(SUM(E194:E196)=20,SUM(N194:N196)&lt;60),"- Replantear control(es) NO efectivo(s) ",IF(AND(SUM(E194:E196)=30,SUM(N194:N196)&lt;90),"- Replantear control(es) NO efectivo(s) ",""))))</f>
        <v/>
      </c>
      <c r="AZ194" s="502" t="str">
        <f t="shared" ref="AZ194" si="1565">IF(AND(AE194&gt;1,AE195&gt;1),"- Tomar Acciones Preventivas y Correctivas",IF(AE194&gt;1,"- Tomar Acciones Preventivas",IF(AE195&gt;1,"- Tomar Acciones Correctivas","")))</f>
        <v>- Tomar Acciones Preventivas</v>
      </c>
      <c r="BA194" s="502" t="str">
        <f t="shared" ref="BA194" si="1566">CONCATENATE(AX194,AY194,AZ194)</f>
        <v>- Tomar Acciones Preventivas</v>
      </c>
      <c r="BB194" s="3" t="str">
        <f t="shared" si="1274"/>
        <v>SI</v>
      </c>
      <c r="BC194" s="3" t="str">
        <f t="shared" si="1275"/>
        <v/>
      </c>
      <c r="BD194" s="3" t="str">
        <f t="shared" si="1276"/>
        <v>SI</v>
      </c>
      <c r="BE194" s="3" t="str">
        <f t="shared" si="1277"/>
        <v/>
      </c>
      <c r="BF194" s="3" t="str">
        <f t="shared" si="1278"/>
        <v>SI</v>
      </c>
      <c r="BG194" s="3" t="str">
        <f t="shared" si="1279"/>
        <v/>
      </c>
      <c r="BH194" s="3" t="str">
        <f t="shared" si="1280"/>
        <v>P</v>
      </c>
      <c r="BI194" s="3" t="str">
        <f t="shared" si="1432"/>
        <v/>
      </c>
      <c r="BJ194" s="3" t="str">
        <f t="shared" si="1433"/>
        <v>M</v>
      </c>
      <c r="BK194" s="3" t="str">
        <f t="shared" si="1434"/>
        <v/>
      </c>
      <c r="BL194" s="3" t="str">
        <f t="shared" si="1281"/>
        <v>SI</v>
      </c>
      <c r="BM194" s="3" t="str">
        <f t="shared" si="1282"/>
        <v/>
      </c>
    </row>
    <row r="195" spans="1:65" ht="31.5" x14ac:dyDescent="0.2">
      <c r="A195" s="494"/>
      <c r="B195" s="496"/>
      <c r="C195" s="356">
        <v>2</v>
      </c>
      <c r="D195" s="56"/>
      <c r="E195" s="240" t="str">
        <f t="shared" si="1428"/>
        <v/>
      </c>
      <c r="F195" s="44"/>
      <c r="G195" s="18" t="str">
        <f t="shared" si="1244"/>
        <v/>
      </c>
      <c r="H195" s="44"/>
      <c r="I195" s="18" t="str">
        <f t="shared" si="1245"/>
        <v/>
      </c>
      <c r="J195" s="55" t="str">
        <f t="shared" si="1246"/>
        <v/>
      </c>
      <c r="K195" s="43"/>
      <c r="L195" s="18" t="str">
        <f t="shared" si="1247"/>
        <v/>
      </c>
      <c r="M195" s="43"/>
      <c r="N195" s="18" t="str">
        <f t="shared" si="1248"/>
        <v/>
      </c>
      <c r="O195" s="43"/>
      <c r="P195" s="18" t="str">
        <f t="shared" si="1249"/>
        <v/>
      </c>
      <c r="Q195" s="43"/>
      <c r="R195" s="18" t="str">
        <f t="shared" si="1250"/>
        <v/>
      </c>
      <c r="S195" s="43"/>
      <c r="T195" s="18" t="str">
        <f t="shared" si="1251"/>
        <v/>
      </c>
      <c r="U195" s="43"/>
      <c r="V195" s="18" t="str">
        <f t="shared" si="1252"/>
        <v/>
      </c>
      <c r="W195" s="18">
        <f t="shared" si="1253"/>
        <v>0</v>
      </c>
      <c r="X195" s="57" t="str">
        <f t="shared" si="1254"/>
        <v/>
      </c>
      <c r="Y195" s="57">
        <f t="shared" si="1255"/>
        <v>0</v>
      </c>
      <c r="Z195" s="356"/>
      <c r="AA195" s="498"/>
      <c r="AB195" s="500"/>
      <c r="AC195" s="3" t="s">
        <v>352</v>
      </c>
      <c r="AF195" s="501"/>
      <c r="AG195" s="46" t="str">
        <f t="shared" ref="AG195" si="1567">IF(AG194&gt;0,"- Evitar Posibilidad de Ocurrencia- Reducir el Riesgo","")</f>
        <v>- Evitar Posibilidad de Ocurrencia- Reducir el Riesgo</v>
      </c>
      <c r="AH195" s="46"/>
      <c r="AI195" s="46"/>
      <c r="AJ195" s="46"/>
      <c r="AK195" s="46"/>
      <c r="AL195" s="46"/>
      <c r="AM195" s="3" t="str">
        <f t="shared" si="1262"/>
        <v/>
      </c>
      <c r="AN195" s="3" t="str">
        <f t="shared" si="1263"/>
        <v/>
      </c>
      <c r="AO195" s="3" t="str">
        <f t="shared" si="1264"/>
        <v/>
      </c>
      <c r="AP195" s="3" t="str">
        <f t="shared" si="1265"/>
        <v/>
      </c>
      <c r="AQ195" s="3" t="str">
        <f t="shared" ref="AQ195:AQ196" si="1568">IF(AQ194="Documentar",AQ194,AM195)</f>
        <v/>
      </c>
      <c r="AR195" s="3" t="str">
        <f t="shared" ref="AR195:AR196" si="1569">IF(AR194="Asignar responsable",AR194,AN195)</f>
        <v/>
      </c>
      <c r="AT195" s="3" t="str">
        <f t="shared" ref="AT195:AT196" si="1570">IF(AT194="Establecer periodos de seguimiento adecuados",AT194,AO195)</f>
        <v/>
      </c>
      <c r="AV195" s="3" t="str">
        <f t="shared" ref="AV195:AV196" si="1571">IF(AV194="Guardar Evidencias",AV194,AP195)</f>
        <v/>
      </c>
      <c r="AX195" s="502"/>
      <c r="AY195" s="502"/>
      <c r="AZ195" s="502"/>
      <c r="BA195" s="502"/>
      <c r="BB195" s="3" t="str">
        <f t="shared" si="1274"/>
        <v/>
      </c>
      <c r="BC195" s="3" t="str">
        <f t="shared" si="1275"/>
        <v/>
      </c>
      <c r="BD195" s="3" t="str">
        <f t="shared" si="1276"/>
        <v/>
      </c>
      <c r="BE195" s="3" t="str">
        <f t="shared" si="1277"/>
        <v/>
      </c>
      <c r="BF195" s="3" t="str">
        <f t="shared" si="1278"/>
        <v/>
      </c>
      <c r="BG195" s="3" t="str">
        <f t="shared" si="1279"/>
        <v/>
      </c>
      <c r="BH195" s="3" t="str">
        <f t="shared" si="1280"/>
        <v/>
      </c>
      <c r="BI195" s="3" t="str">
        <f t="shared" si="1432"/>
        <v/>
      </c>
      <c r="BJ195" s="3" t="str">
        <f t="shared" si="1433"/>
        <v/>
      </c>
      <c r="BK195" s="3" t="str">
        <f t="shared" si="1434"/>
        <v/>
      </c>
      <c r="BL195" s="3" t="str">
        <f t="shared" si="1281"/>
        <v/>
      </c>
      <c r="BM195" s="3" t="str">
        <f t="shared" si="1282"/>
        <v/>
      </c>
    </row>
    <row r="196" spans="1:65" ht="16.5" thickBot="1" x14ac:dyDescent="0.25">
      <c r="A196" s="495"/>
      <c r="B196" s="496"/>
      <c r="C196" s="356">
        <v>3</v>
      </c>
      <c r="D196" s="56"/>
      <c r="E196" s="240" t="str">
        <f t="shared" si="1428"/>
        <v/>
      </c>
      <c r="F196" s="44"/>
      <c r="G196" s="18" t="str">
        <f t="shared" si="1244"/>
        <v/>
      </c>
      <c r="H196" s="44"/>
      <c r="I196" s="18" t="str">
        <f t="shared" si="1245"/>
        <v/>
      </c>
      <c r="J196" s="55" t="str">
        <f t="shared" si="1246"/>
        <v/>
      </c>
      <c r="K196" s="43"/>
      <c r="L196" s="18" t="str">
        <f t="shared" si="1247"/>
        <v/>
      </c>
      <c r="M196" s="43"/>
      <c r="N196" s="18" t="str">
        <f t="shared" si="1248"/>
        <v/>
      </c>
      <c r="O196" s="43"/>
      <c r="P196" s="18" t="str">
        <f t="shared" si="1249"/>
        <v/>
      </c>
      <c r="Q196" s="43"/>
      <c r="R196" s="18" t="str">
        <f t="shared" si="1250"/>
        <v/>
      </c>
      <c r="S196" s="43"/>
      <c r="T196" s="18" t="str">
        <f t="shared" si="1251"/>
        <v/>
      </c>
      <c r="U196" s="43"/>
      <c r="V196" s="18" t="str">
        <f t="shared" si="1252"/>
        <v/>
      </c>
      <c r="W196" s="18">
        <f t="shared" si="1253"/>
        <v>0</v>
      </c>
      <c r="X196" s="57" t="str">
        <f t="shared" si="1254"/>
        <v/>
      </c>
      <c r="Y196" s="57">
        <f t="shared" si="1255"/>
        <v>0</v>
      </c>
      <c r="Z196" s="356"/>
      <c r="AA196" s="499"/>
      <c r="AB196" s="500"/>
      <c r="AM196" s="3" t="str">
        <f t="shared" si="1262"/>
        <v/>
      </c>
      <c r="AN196" s="3" t="str">
        <f t="shared" si="1263"/>
        <v/>
      </c>
      <c r="AO196" s="3" t="str">
        <f t="shared" si="1264"/>
        <v/>
      </c>
      <c r="AP196" s="3" t="str">
        <f t="shared" si="1265"/>
        <v/>
      </c>
      <c r="AQ196" s="3" t="str">
        <f t="shared" si="1568"/>
        <v/>
      </c>
      <c r="AR196" s="3" t="str">
        <f t="shared" si="1569"/>
        <v/>
      </c>
      <c r="AS196" s="3" t="str">
        <f t="shared" ref="AS196" si="1572">IF(AND(AQ196="Documentar",AR196="Asignar responsable"),CONCATENATE("- ",AQ196,", ",AR196),IF(AQ196="Documentar",CONCATENATE("- ",AQ196),IF(AR196="Asignar responsable",CONCATENATE("- ",AR196),"")))</f>
        <v/>
      </c>
      <c r="AT196" s="3" t="str">
        <f t="shared" si="1570"/>
        <v/>
      </c>
      <c r="AU196" s="3" t="str">
        <f t="shared" ref="AU196" si="1573">IF(AT196="",AS196,IF(AS196="",CONCATENATE("- ",AT196),CONCATENATE(AS196,", ",AT196)))</f>
        <v/>
      </c>
      <c r="AV196" s="3" t="str">
        <f t="shared" si="1571"/>
        <v/>
      </c>
      <c r="AW196" s="3" t="str">
        <f t="shared" ref="AW196" si="1574">IF(AV196="",AU196,IF(AU196="",CONCATENATE("- ",AV196),CONCATENATE(AU196,", ",AV196)))</f>
        <v/>
      </c>
      <c r="AX196" s="502"/>
      <c r="AY196" s="502"/>
      <c r="AZ196" s="502"/>
      <c r="BA196" s="502"/>
      <c r="BB196" s="3" t="str">
        <f t="shared" si="1274"/>
        <v/>
      </c>
      <c r="BC196" s="3" t="str">
        <f t="shared" si="1275"/>
        <v/>
      </c>
      <c r="BD196" s="3" t="str">
        <f t="shared" si="1276"/>
        <v/>
      </c>
      <c r="BE196" s="3" t="str">
        <f t="shared" si="1277"/>
        <v/>
      </c>
      <c r="BF196" s="3" t="str">
        <f t="shared" si="1278"/>
        <v/>
      </c>
      <c r="BG196" s="3" t="str">
        <f t="shared" si="1279"/>
        <v/>
      </c>
      <c r="BH196" s="3" t="str">
        <f t="shared" si="1280"/>
        <v/>
      </c>
      <c r="BI196" s="3" t="str">
        <f t="shared" si="1432"/>
        <v/>
      </c>
      <c r="BJ196" s="3" t="str">
        <f t="shared" si="1433"/>
        <v/>
      </c>
      <c r="BK196" s="3" t="str">
        <f t="shared" si="1434"/>
        <v/>
      </c>
      <c r="BL196" s="3" t="str">
        <f t="shared" si="1281"/>
        <v/>
      </c>
      <c r="BM196" s="3" t="str">
        <f t="shared" si="1282"/>
        <v/>
      </c>
    </row>
    <row r="197" spans="1:65" ht="16.5" thickTop="1" x14ac:dyDescent="0.2"/>
  </sheetData>
  <sheetProtection algorithmName="SHA-512" hashValue="NIYVZ8/l9gwG4nDXnUGlIwUj5+ktPp6UDuhpxOHA0gNGYTrrzF/EwrYygWHNzGMVa79Ea68FNX2ez8Zbrfombg==" saltValue="+jUL0sprd8yORPeMdUsXow==" spinCount="100000" sheet="1" objects="1" scenarios="1" formatCells="0" formatRows="0" insertRows="0" selectLockedCells="1"/>
  <dataConsolidate/>
  <mergeCells count="589">
    <mergeCell ref="A107:A109"/>
    <mergeCell ref="B107:B109"/>
    <mergeCell ref="AA107:AA109"/>
    <mergeCell ref="AB107:AB109"/>
    <mergeCell ref="AF107:AF108"/>
    <mergeCell ref="AX107:AX109"/>
    <mergeCell ref="AY107:AY109"/>
    <mergeCell ref="AZ107:AZ109"/>
    <mergeCell ref="BA107:BA109"/>
    <mergeCell ref="A104:A106"/>
    <mergeCell ref="B104:B106"/>
    <mergeCell ref="AA104:AA106"/>
    <mergeCell ref="AB104:AB106"/>
    <mergeCell ref="AF104:AF105"/>
    <mergeCell ref="AX104:AX106"/>
    <mergeCell ref="AY104:AY106"/>
    <mergeCell ref="AZ104:AZ106"/>
    <mergeCell ref="BA104:BA106"/>
    <mergeCell ref="A101:A103"/>
    <mergeCell ref="B101:B103"/>
    <mergeCell ref="AA101:AA103"/>
    <mergeCell ref="AB101:AB103"/>
    <mergeCell ref="AF101:AF102"/>
    <mergeCell ref="AX101:AX103"/>
    <mergeCell ref="AY101:AY103"/>
    <mergeCell ref="AZ101:AZ103"/>
    <mergeCell ref="BA101:BA103"/>
    <mergeCell ref="BA95:BA97"/>
    <mergeCell ref="A98:A100"/>
    <mergeCell ref="B98:B100"/>
    <mergeCell ref="AA98:AA100"/>
    <mergeCell ref="AB98:AB100"/>
    <mergeCell ref="AF98:AF99"/>
    <mergeCell ref="AX98:AX100"/>
    <mergeCell ref="AY98:AY100"/>
    <mergeCell ref="AZ98:AZ100"/>
    <mergeCell ref="BA98:BA100"/>
    <mergeCell ref="A94:AA94"/>
    <mergeCell ref="A95:A97"/>
    <mergeCell ref="B95:B97"/>
    <mergeCell ref="AA95:AA97"/>
    <mergeCell ref="AB95:AB97"/>
    <mergeCell ref="AY37:AY39"/>
    <mergeCell ref="AZ31:AZ33"/>
    <mergeCell ref="AZ34:AZ36"/>
    <mergeCell ref="AZ37:AZ39"/>
    <mergeCell ref="AY31:AY33"/>
    <mergeCell ref="AY34:AY36"/>
    <mergeCell ref="AA37:AA39"/>
    <mergeCell ref="AF95:AF96"/>
    <mergeCell ref="AX95:AX97"/>
    <mergeCell ref="AY95:AY97"/>
    <mergeCell ref="AZ95:AZ97"/>
    <mergeCell ref="A40:A42"/>
    <mergeCell ref="B40:B42"/>
    <mergeCell ref="AA40:AA42"/>
    <mergeCell ref="AB40:AB42"/>
    <mergeCell ref="AF40:AF41"/>
    <mergeCell ref="AX40:AX42"/>
    <mergeCell ref="AY40:AY42"/>
    <mergeCell ref="AZ40:AZ42"/>
    <mergeCell ref="AZ16:AZ18"/>
    <mergeCell ref="AZ19:AZ21"/>
    <mergeCell ref="AZ22:AZ24"/>
    <mergeCell ref="AZ25:AZ27"/>
    <mergeCell ref="AZ28:AZ30"/>
    <mergeCell ref="AY16:AY18"/>
    <mergeCell ref="AY19:AY21"/>
    <mergeCell ref="AY22:AY24"/>
    <mergeCell ref="AY25:AY27"/>
    <mergeCell ref="AY28:AY30"/>
    <mergeCell ref="BA13:BA15"/>
    <mergeCell ref="BA16:BA18"/>
    <mergeCell ref="BA19:BA21"/>
    <mergeCell ref="BA22:BA24"/>
    <mergeCell ref="BA25:BA27"/>
    <mergeCell ref="BA28:BA30"/>
    <mergeCell ref="BA31:BA33"/>
    <mergeCell ref="BA34:BA36"/>
    <mergeCell ref="BA37:BA39"/>
    <mergeCell ref="AF16:AF17"/>
    <mergeCell ref="AF19:AF20"/>
    <mergeCell ref="AF22:AF23"/>
    <mergeCell ref="AF25:AF26"/>
    <mergeCell ref="AX37:AX39"/>
    <mergeCell ref="AX16:AX18"/>
    <mergeCell ref="AX19:AX21"/>
    <mergeCell ref="AX22:AX24"/>
    <mergeCell ref="AX25:AX27"/>
    <mergeCell ref="AX28:AX30"/>
    <mergeCell ref="AX31:AX33"/>
    <mergeCell ref="AX34:AX36"/>
    <mergeCell ref="A28:A30"/>
    <mergeCell ref="A37:A39"/>
    <mergeCell ref="B37:B39"/>
    <mergeCell ref="B28:B30"/>
    <mergeCell ref="A31:A33"/>
    <mergeCell ref="B31:B33"/>
    <mergeCell ref="B34:B36"/>
    <mergeCell ref="AF31:AF32"/>
    <mergeCell ref="AF34:AF35"/>
    <mergeCell ref="A34:A36"/>
    <mergeCell ref="AF37:AF38"/>
    <mergeCell ref="AB37:AB39"/>
    <mergeCell ref="AA34:AA36"/>
    <mergeCell ref="AA28:AA30"/>
    <mergeCell ref="AA31:AA33"/>
    <mergeCell ref="AB31:AB33"/>
    <mergeCell ref="AB34:AB36"/>
    <mergeCell ref="AF28:AF29"/>
    <mergeCell ref="AB28:AB30"/>
    <mergeCell ref="AG8:AG9"/>
    <mergeCell ref="AB8:AB9"/>
    <mergeCell ref="AC8:AC9"/>
    <mergeCell ref="AD8:AD9"/>
    <mergeCell ref="AE8:AE9"/>
    <mergeCell ref="AF8:AF9"/>
    <mergeCell ref="A1:B3"/>
    <mergeCell ref="B8:B9"/>
    <mergeCell ref="C8:C9"/>
    <mergeCell ref="D8:J8"/>
    <mergeCell ref="A7:B7"/>
    <mergeCell ref="C7:AA7"/>
    <mergeCell ref="X8:X9"/>
    <mergeCell ref="AA8:AA9"/>
    <mergeCell ref="U1:AA1"/>
    <mergeCell ref="U2:AA2"/>
    <mergeCell ref="U3:AA3"/>
    <mergeCell ref="Q8:U8"/>
    <mergeCell ref="M9:N9"/>
    <mergeCell ref="O9:P9"/>
    <mergeCell ref="K8:P8"/>
    <mergeCell ref="S9:T9"/>
    <mergeCell ref="A5:AA5"/>
    <mergeCell ref="A6:B6"/>
    <mergeCell ref="AB16:AB18"/>
    <mergeCell ref="AB19:AB21"/>
    <mergeCell ref="AB22:AB24"/>
    <mergeCell ref="AB25:AB27"/>
    <mergeCell ref="AA22:AA24"/>
    <mergeCell ref="A19:A21"/>
    <mergeCell ref="AA16:AA18"/>
    <mergeCell ref="B19:B21"/>
    <mergeCell ref="BA10:BA12"/>
    <mergeCell ref="AX10:AX12"/>
    <mergeCell ref="AY10:AY12"/>
    <mergeCell ref="AZ10:AZ12"/>
    <mergeCell ref="AX13:AX15"/>
    <mergeCell ref="B10:B12"/>
    <mergeCell ref="AA10:AA12"/>
    <mergeCell ref="A13:A15"/>
    <mergeCell ref="B13:B15"/>
    <mergeCell ref="AA13:AA15"/>
    <mergeCell ref="AZ13:AZ15"/>
    <mergeCell ref="AF10:AF11"/>
    <mergeCell ref="AB10:AB12"/>
    <mergeCell ref="AF13:AF14"/>
    <mergeCell ref="AY13:AY15"/>
    <mergeCell ref="AB13:AB15"/>
    <mergeCell ref="C6:AA6"/>
    <mergeCell ref="A8:A9"/>
    <mergeCell ref="K9:L9"/>
    <mergeCell ref="Q9:R9"/>
    <mergeCell ref="U9:V9"/>
    <mergeCell ref="C1:T3"/>
    <mergeCell ref="A10:A12"/>
    <mergeCell ref="A25:A27"/>
    <mergeCell ref="B25:B27"/>
    <mergeCell ref="AA25:AA27"/>
    <mergeCell ref="A16:A18"/>
    <mergeCell ref="B16:B18"/>
    <mergeCell ref="A22:A24"/>
    <mergeCell ref="AA19:AA21"/>
    <mergeCell ref="B22:B24"/>
    <mergeCell ref="BA40:BA42"/>
    <mergeCell ref="A43:A45"/>
    <mergeCell ref="B43:B45"/>
    <mergeCell ref="AA43:AA45"/>
    <mergeCell ref="AB43:AB45"/>
    <mergeCell ref="AF43:AF44"/>
    <mergeCell ref="AX43:AX45"/>
    <mergeCell ref="AY43:AY45"/>
    <mergeCell ref="AZ43:AZ45"/>
    <mergeCell ref="BA43:BA45"/>
    <mergeCell ref="A46:A48"/>
    <mergeCell ref="B46:B48"/>
    <mergeCell ref="AA46:AA48"/>
    <mergeCell ref="AB46:AB48"/>
    <mergeCell ref="AF46:AF47"/>
    <mergeCell ref="AX46:AX48"/>
    <mergeCell ref="AY46:AY48"/>
    <mergeCell ref="AZ46:AZ48"/>
    <mergeCell ref="BA46:BA48"/>
    <mergeCell ref="A49:A51"/>
    <mergeCell ref="B49:B51"/>
    <mergeCell ref="AA49:AA51"/>
    <mergeCell ref="AB49:AB51"/>
    <mergeCell ref="AF49:AF50"/>
    <mergeCell ref="AX49:AX51"/>
    <mergeCell ref="AY49:AY51"/>
    <mergeCell ref="AZ49:AZ51"/>
    <mergeCell ref="BA49:BA51"/>
    <mergeCell ref="A52:A54"/>
    <mergeCell ref="B52:B54"/>
    <mergeCell ref="AA52:AA54"/>
    <mergeCell ref="AB52:AB54"/>
    <mergeCell ref="AF52:AF53"/>
    <mergeCell ref="AX52:AX54"/>
    <mergeCell ref="AY52:AY54"/>
    <mergeCell ref="AZ52:AZ54"/>
    <mergeCell ref="BA52:BA54"/>
    <mergeCell ref="A55:A57"/>
    <mergeCell ref="B55:B57"/>
    <mergeCell ref="AA55:AA57"/>
    <mergeCell ref="AB55:AB57"/>
    <mergeCell ref="AF55:AF56"/>
    <mergeCell ref="AX55:AX57"/>
    <mergeCell ref="AY55:AY57"/>
    <mergeCell ref="AZ55:AZ57"/>
    <mergeCell ref="BA55:BA57"/>
    <mergeCell ref="A58:A60"/>
    <mergeCell ref="B58:B60"/>
    <mergeCell ref="AA58:AA60"/>
    <mergeCell ref="AB58:AB60"/>
    <mergeCell ref="AF58:AF59"/>
    <mergeCell ref="AX58:AX60"/>
    <mergeCell ref="AY58:AY60"/>
    <mergeCell ref="AZ58:AZ60"/>
    <mergeCell ref="BA58:BA60"/>
    <mergeCell ref="A61:A63"/>
    <mergeCell ref="B61:B63"/>
    <mergeCell ref="AA61:AA63"/>
    <mergeCell ref="AB61:AB63"/>
    <mergeCell ref="AF61:AF62"/>
    <mergeCell ref="AX61:AX63"/>
    <mergeCell ref="AY61:AY63"/>
    <mergeCell ref="AZ61:AZ63"/>
    <mergeCell ref="BA61:BA63"/>
    <mergeCell ref="A64:A66"/>
    <mergeCell ref="B64:B66"/>
    <mergeCell ref="AA64:AA66"/>
    <mergeCell ref="AB64:AB66"/>
    <mergeCell ref="AF64:AF65"/>
    <mergeCell ref="AX64:AX66"/>
    <mergeCell ref="AY64:AY66"/>
    <mergeCell ref="AZ64:AZ66"/>
    <mergeCell ref="BA64:BA66"/>
    <mergeCell ref="A67:A69"/>
    <mergeCell ref="B67:B69"/>
    <mergeCell ref="AA67:AA69"/>
    <mergeCell ref="AB67:AB69"/>
    <mergeCell ref="AF67:AF68"/>
    <mergeCell ref="AX67:AX69"/>
    <mergeCell ref="AY67:AY69"/>
    <mergeCell ref="AZ67:AZ69"/>
    <mergeCell ref="BA67:BA69"/>
    <mergeCell ref="A70:A72"/>
    <mergeCell ref="B70:B72"/>
    <mergeCell ref="AA70:AA72"/>
    <mergeCell ref="AB70:AB72"/>
    <mergeCell ref="AF70:AF71"/>
    <mergeCell ref="AX70:AX72"/>
    <mergeCell ref="AY70:AY72"/>
    <mergeCell ref="AZ70:AZ72"/>
    <mergeCell ref="BA70:BA72"/>
    <mergeCell ref="A73:A75"/>
    <mergeCell ref="B73:B75"/>
    <mergeCell ref="AA73:AA75"/>
    <mergeCell ref="AB73:AB75"/>
    <mergeCell ref="AF73:AF74"/>
    <mergeCell ref="AX73:AX75"/>
    <mergeCell ref="AY73:AY75"/>
    <mergeCell ref="AZ73:AZ75"/>
    <mergeCell ref="BA73:BA75"/>
    <mergeCell ref="A76:A78"/>
    <mergeCell ref="B76:B78"/>
    <mergeCell ref="AA76:AA78"/>
    <mergeCell ref="AB76:AB78"/>
    <mergeCell ref="AF76:AF77"/>
    <mergeCell ref="AX76:AX78"/>
    <mergeCell ref="AY76:AY78"/>
    <mergeCell ref="AZ76:AZ78"/>
    <mergeCell ref="BA76:BA78"/>
    <mergeCell ref="A79:A81"/>
    <mergeCell ref="B79:B81"/>
    <mergeCell ref="AA79:AA81"/>
    <mergeCell ref="AB79:AB81"/>
    <mergeCell ref="AF79:AF80"/>
    <mergeCell ref="AX79:AX81"/>
    <mergeCell ref="AY79:AY81"/>
    <mergeCell ref="AZ79:AZ81"/>
    <mergeCell ref="BA79:BA81"/>
    <mergeCell ref="A82:A84"/>
    <mergeCell ref="B82:B84"/>
    <mergeCell ref="AA82:AA84"/>
    <mergeCell ref="AB82:AB84"/>
    <mergeCell ref="AF82:AF83"/>
    <mergeCell ref="AX82:AX84"/>
    <mergeCell ref="AY82:AY84"/>
    <mergeCell ref="AZ82:AZ84"/>
    <mergeCell ref="BA82:BA84"/>
    <mergeCell ref="A85:A87"/>
    <mergeCell ref="B85:B87"/>
    <mergeCell ref="AA85:AA87"/>
    <mergeCell ref="AB85:AB87"/>
    <mergeCell ref="AF85:AF86"/>
    <mergeCell ref="AX85:AX87"/>
    <mergeCell ref="AY85:AY87"/>
    <mergeCell ref="AZ85:AZ87"/>
    <mergeCell ref="BA85:BA87"/>
    <mergeCell ref="A88:A90"/>
    <mergeCell ref="B88:B90"/>
    <mergeCell ref="AA88:AA90"/>
    <mergeCell ref="AB88:AB90"/>
    <mergeCell ref="AF88:AF89"/>
    <mergeCell ref="AX88:AX90"/>
    <mergeCell ref="AY88:AY90"/>
    <mergeCell ref="AZ88:AZ90"/>
    <mergeCell ref="BA88:BA90"/>
    <mergeCell ref="A91:A93"/>
    <mergeCell ref="B91:B93"/>
    <mergeCell ref="AA91:AA93"/>
    <mergeCell ref="AB91:AB93"/>
    <mergeCell ref="AF91:AF92"/>
    <mergeCell ref="AX91:AX93"/>
    <mergeCell ref="AY91:AY93"/>
    <mergeCell ref="AZ91:AZ93"/>
    <mergeCell ref="BA91:BA93"/>
    <mergeCell ref="A110:A112"/>
    <mergeCell ref="B110:B112"/>
    <mergeCell ref="AA110:AA112"/>
    <mergeCell ref="AB110:AB112"/>
    <mergeCell ref="AF110:AF111"/>
    <mergeCell ref="AX110:AX112"/>
    <mergeCell ref="AY110:AY112"/>
    <mergeCell ref="AZ110:AZ112"/>
    <mergeCell ref="BA110:BA112"/>
    <mergeCell ref="A113:A115"/>
    <mergeCell ref="B113:B115"/>
    <mergeCell ref="AA113:AA115"/>
    <mergeCell ref="AB113:AB115"/>
    <mergeCell ref="AF113:AF114"/>
    <mergeCell ref="AX113:AX115"/>
    <mergeCell ref="AY113:AY115"/>
    <mergeCell ref="AZ113:AZ115"/>
    <mergeCell ref="BA113:BA115"/>
    <mergeCell ref="A116:A118"/>
    <mergeCell ref="B116:B118"/>
    <mergeCell ref="AA116:AA118"/>
    <mergeCell ref="AB116:AB118"/>
    <mergeCell ref="AF116:AF117"/>
    <mergeCell ref="AX116:AX118"/>
    <mergeCell ref="AY116:AY118"/>
    <mergeCell ref="AZ116:AZ118"/>
    <mergeCell ref="BA116:BA118"/>
    <mergeCell ref="A119:A121"/>
    <mergeCell ref="B119:B121"/>
    <mergeCell ref="AA119:AA121"/>
    <mergeCell ref="AB119:AB121"/>
    <mergeCell ref="AF119:AF120"/>
    <mergeCell ref="AX119:AX121"/>
    <mergeCell ref="AY119:AY121"/>
    <mergeCell ref="AZ119:AZ121"/>
    <mergeCell ref="BA119:BA121"/>
    <mergeCell ref="A122:A124"/>
    <mergeCell ref="B122:B124"/>
    <mergeCell ref="AA122:AA124"/>
    <mergeCell ref="AB122:AB124"/>
    <mergeCell ref="AF122:AF123"/>
    <mergeCell ref="AX122:AX124"/>
    <mergeCell ref="AY122:AY124"/>
    <mergeCell ref="AZ122:AZ124"/>
    <mergeCell ref="BA122:BA124"/>
    <mergeCell ref="A125:A127"/>
    <mergeCell ref="B125:B127"/>
    <mergeCell ref="AA125:AA127"/>
    <mergeCell ref="AB125:AB127"/>
    <mergeCell ref="AF125:AF126"/>
    <mergeCell ref="AX125:AX127"/>
    <mergeCell ref="AY125:AY127"/>
    <mergeCell ref="AZ125:AZ127"/>
    <mergeCell ref="BA125:BA127"/>
    <mergeCell ref="A128:A130"/>
    <mergeCell ref="B128:B130"/>
    <mergeCell ref="AA128:AA130"/>
    <mergeCell ref="AB128:AB130"/>
    <mergeCell ref="AF128:AF129"/>
    <mergeCell ref="AX128:AX130"/>
    <mergeCell ref="AY128:AY130"/>
    <mergeCell ref="AZ128:AZ130"/>
    <mergeCell ref="BA128:BA130"/>
    <mergeCell ref="A131:A133"/>
    <mergeCell ref="B131:B133"/>
    <mergeCell ref="AA131:AA133"/>
    <mergeCell ref="AB131:AB133"/>
    <mergeCell ref="AF131:AF132"/>
    <mergeCell ref="AX131:AX133"/>
    <mergeCell ref="AY131:AY133"/>
    <mergeCell ref="AZ131:AZ133"/>
    <mergeCell ref="BA131:BA133"/>
    <mergeCell ref="A134:A136"/>
    <mergeCell ref="B134:B136"/>
    <mergeCell ref="AA134:AA136"/>
    <mergeCell ref="AB134:AB136"/>
    <mergeCell ref="AF134:AF135"/>
    <mergeCell ref="AX134:AX136"/>
    <mergeCell ref="AY134:AY136"/>
    <mergeCell ref="AZ134:AZ136"/>
    <mergeCell ref="BA134:BA136"/>
    <mergeCell ref="A137:A139"/>
    <mergeCell ref="B137:B139"/>
    <mergeCell ref="AA137:AA139"/>
    <mergeCell ref="AB137:AB139"/>
    <mergeCell ref="AF137:AF138"/>
    <mergeCell ref="AX137:AX139"/>
    <mergeCell ref="AY137:AY139"/>
    <mergeCell ref="AZ137:AZ139"/>
    <mergeCell ref="BA137:BA139"/>
    <mergeCell ref="A140:A142"/>
    <mergeCell ref="B140:B142"/>
    <mergeCell ref="AA140:AA142"/>
    <mergeCell ref="AB140:AB142"/>
    <mergeCell ref="AF140:AF141"/>
    <mergeCell ref="AX140:AX142"/>
    <mergeCell ref="AY140:AY142"/>
    <mergeCell ref="AZ140:AZ142"/>
    <mergeCell ref="BA140:BA142"/>
    <mergeCell ref="A143:A145"/>
    <mergeCell ref="B143:B145"/>
    <mergeCell ref="AA143:AA145"/>
    <mergeCell ref="AB143:AB145"/>
    <mergeCell ref="AF143:AF144"/>
    <mergeCell ref="AX143:AX145"/>
    <mergeCell ref="AY143:AY145"/>
    <mergeCell ref="AZ143:AZ145"/>
    <mergeCell ref="BA143:BA145"/>
    <mergeCell ref="A146:A148"/>
    <mergeCell ref="B146:B148"/>
    <mergeCell ref="AA146:AA148"/>
    <mergeCell ref="AB146:AB148"/>
    <mergeCell ref="AF146:AF147"/>
    <mergeCell ref="AX146:AX148"/>
    <mergeCell ref="AY146:AY148"/>
    <mergeCell ref="AZ146:AZ148"/>
    <mergeCell ref="BA146:BA148"/>
    <mergeCell ref="A149:A151"/>
    <mergeCell ref="B149:B151"/>
    <mergeCell ref="AA149:AA151"/>
    <mergeCell ref="AB149:AB151"/>
    <mergeCell ref="AF149:AF150"/>
    <mergeCell ref="AX149:AX151"/>
    <mergeCell ref="AY149:AY151"/>
    <mergeCell ref="AZ149:AZ151"/>
    <mergeCell ref="BA149:BA151"/>
    <mergeCell ref="A152:A154"/>
    <mergeCell ref="B152:B154"/>
    <mergeCell ref="AA152:AA154"/>
    <mergeCell ref="AB152:AB154"/>
    <mergeCell ref="AF152:AF153"/>
    <mergeCell ref="AX152:AX154"/>
    <mergeCell ref="AY152:AY154"/>
    <mergeCell ref="AZ152:AZ154"/>
    <mergeCell ref="BA152:BA154"/>
    <mergeCell ref="A155:A157"/>
    <mergeCell ref="B155:B157"/>
    <mergeCell ref="AA155:AA157"/>
    <mergeCell ref="AB155:AB157"/>
    <mergeCell ref="AF155:AF156"/>
    <mergeCell ref="AX155:AX157"/>
    <mergeCell ref="AY155:AY157"/>
    <mergeCell ref="AZ155:AZ157"/>
    <mergeCell ref="BA155:BA157"/>
    <mergeCell ref="A158:A160"/>
    <mergeCell ref="B158:B160"/>
    <mergeCell ref="AA158:AA160"/>
    <mergeCell ref="AB158:AB160"/>
    <mergeCell ref="AF158:AF159"/>
    <mergeCell ref="AX158:AX160"/>
    <mergeCell ref="AY158:AY160"/>
    <mergeCell ref="AZ158:AZ160"/>
    <mergeCell ref="BA158:BA160"/>
    <mergeCell ref="A161:A163"/>
    <mergeCell ref="B161:B163"/>
    <mergeCell ref="AA161:AA163"/>
    <mergeCell ref="AB161:AB163"/>
    <mergeCell ref="AF161:AF162"/>
    <mergeCell ref="AX161:AX163"/>
    <mergeCell ref="AY161:AY163"/>
    <mergeCell ref="AZ161:AZ163"/>
    <mergeCell ref="BA161:BA163"/>
    <mergeCell ref="A164:A166"/>
    <mergeCell ref="B164:B166"/>
    <mergeCell ref="AA164:AA166"/>
    <mergeCell ref="AB164:AB166"/>
    <mergeCell ref="AF164:AF165"/>
    <mergeCell ref="AX164:AX166"/>
    <mergeCell ref="AY164:AY166"/>
    <mergeCell ref="AZ164:AZ166"/>
    <mergeCell ref="BA164:BA166"/>
    <mergeCell ref="A167:A169"/>
    <mergeCell ref="B167:B169"/>
    <mergeCell ref="AA167:AA169"/>
    <mergeCell ref="AB167:AB169"/>
    <mergeCell ref="AF167:AF168"/>
    <mergeCell ref="AX167:AX169"/>
    <mergeCell ref="AY167:AY169"/>
    <mergeCell ref="AZ167:AZ169"/>
    <mergeCell ref="BA167:BA169"/>
    <mergeCell ref="A170:A172"/>
    <mergeCell ref="B170:B172"/>
    <mergeCell ref="AA170:AA172"/>
    <mergeCell ref="AB170:AB172"/>
    <mergeCell ref="AF170:AF171"/>
    <mergeCell ref="AX170:AX172"/>
    <mergeCell ref="AY170:AY172"/>
    <mergeCell ref="AZ170:AZ172"/>
    <mergeCell ref="BA170:BA172"/>
    <mergeCell ref="A173:A175"/>
    <mergeCell ref="B173:B175"/>
    <mergeCell ref="AA173:AA175"/>
    <mergeCell ref="AB173:AB175"/>
    <mergeCell ref="AF173:AF174"/>
    <mergeCell ref="AX173:AX175"/>
    <mergeCell ref="AY173:AY175"/>
    <mergeCell ref="AZ173:AZ175"/>
    <mergeCell ref="BA173:BA175"/>
    <mergeCell ref="A176:A178"/>
    <mergeCell ref="B176:B178"/>
    <mergeCell ref="AA176:AA178"/>
    <mergeCell ref="AB176:AB178"/>
    <mergeCell ref="AF176:AF177"/>
    <mergeCell ref="AX176:AX178"/>
    <mergeCell ref="AY176:AY178"/>
    <mergeCell ref="AZ176:AZ178"/>
    <mergeCell ref="BA176:BA178"/>
    <mergeCell ref="A179:A181"/>
    <mergeCell ref="B179:B181"/>
    <mergeCell ref="AA179:AA181"/>
    <mergeCell ref="AB179:AB181"/>
    <mergeCell ref="AF179:AF180"/>
    <mergeCell ref="AX179:AX181"/>
    <mergeCell ref="AY179:AY181"/>
    <mergeCell ref="AZ179:AZ181"/>
    <mergeCell ref="BA179:BA181"/>
    <mergeCell ref="A182:A184"/>
    <mergeCell ref="B182:B184"/>
    <mergeCell ref="AA182:AA184"/>
    <mergeCell ref="AB182:AB184"/>
    <mergeCell ref="AF182:AF183"/>
    <mergeCell ref="AX182:AX184"/>
    <mergeCell ref="AY182:AY184"/>
    <mergeCell ref="AZ182:AZ184"/>
    <mergeCell ref="BA182:BA184"/>
    <mergeCell ref="A185:A187"/>
    <mergeCell ref="B185:B187"/>
    <mergeCell ref="AA185:AA187"/>
    <mergeCell ref="AB185:AB187"/>
    <mergeCell ref="AF185:AF186"/>
    <mergeCell ref="AX185:AX187"/>
    <mergeCell ref="AY185:AY187"/>
    <mergeCell ref="AZ185:AZ187"/>
    <mergeCell ref="BA185:BA187"/>
    <mergeCell ref="A188:A190"/>
    <mergeCell ref="B188:B190"/>
    <mergeCell ref="AA188:AA190"/>
    <mergeCell ref="AB188:AB190"/>
    <mergeCell ref="AF188:AF189"/>
    <mergeCell ref="AX188:AX190"/>
    <mergeCell ref="AY188:AY190"/>
    <mergeCell ref="AZ188:AZ190"/>
    <mergeCell ref="BA188:BA190"/>
    <mergeCell ref="A191:A193"/>
    <mergeCell ref="B191:B193"/>
    <mergeCell ref="AA191:AA193"/>
    <mergeCell ref="AB191:AB193"/>
    <mergeCell ref="AF191:AF192"/>
    <mergeCell ref="AX191:AX193"/>
    <mergeCell ref="AY191:AY193"/>
    <mergeCell ref="AZ191:AZ193"/>
    <mergeCell ref="BA191:BA193"/>
    <mergeCell ref="A194:A196"/>
    <mergeCell ref="B194:B196"/>
    <mergeCell ref="AA194:AA196"/>
    <mergeCell ref="AB194:AB196"/>
    <mergeCell ref="AF194:AF195"/>
    <mergeCell ref="AX194:AX196"/>
    <mergeCell ref="AY194:AY196"/>
    <mergeCell ref="AZ194:AZ196"/>
    <mergeCell ref="BA194:BA196"/>
  </mergeCells>
  <conditionalFormatting sqref="H14:H93 J14:J93 F10:F93 H107:H196 F107:F196 J107:J196">
    <cfRule type="cellIs" dxfId="404" priority="99" operator="equal">
      <formula>$D10="SI"</formula>
    </cfRule>
  </conditionalFormatting>
  <conditionalFormatting sqref="H11 H14:H93 J14:J93 H107:H196 J107:J196">
    <cfRule type="cellIs" dxfId="403" priority="96" operator="equal">
      <formula>$D11="SI"</formula>
    </cfRule>
  </conditionalFormatting>
  <conditionalFormatting sqref="J11">
    <cfRule type="cellIs" dxfId="402" priority="95" operator="equal">
      <formula>$D11="SI"</formula>
    </cfRule>
  </conditionalFormatting>
  <conditionalFormatting sqref="H11 J11">
    <cfRule type="cellIs" dxfId="401" priority="94" operator="equal">
      <formula>$D11="SI"</formula>
    </cfRule>
  </conditionalFormatting>
  <conditionalFormatting sqref="F11">
    <cfRule type="cellIs" dxfId="400" priority="93" operator="equal">
      <formula>$D11="SI"</formula>
    </cfRule>
  </conditionalFormatting>
  <conditionalFormatting sqref="H12">
    <cfRule type="cellIs" dxfId="399" priority="92" operator="equal">
      <formula>$D12="SI"</formula>
    </cfRule>
  </conditionalFormatting>
  <conditionalFormatting sqref="J12">
    <cfRule type="cellIs" dxfId="398" priority="91" operator="equal">
      <formula>$D12="SI"</formula>
    </cfRule>
  </conditionalFormatting>
  <conditionalFormatting sqref="H12 J12">
    <cfRule type="cellIs" dxfId="397" priority="90" operator="equal">
      <formula>$D12="SI"</formula>
    </cfRule>
  </conditionalFormatting>
  <conditionalFormatting sqref="F12">
    <cfRule type="cellIs" dxfId="396" priority="89" operator="equal">
      <formula>$D12="SI"</formula>
    </cfRule>
  </conditionalFormatting>
  <conditionalFormatting sqref="H13">
    <cfRule type="cellIs" dxfId="395" priority="63" operator="equal">
      <formula>$D13="SI"</formula>
    </cfRule>
  </conditionalFormatting>
  <conditionalFormatting sqref="J13">
    <cfRule type="cellIs" dxfId="394" priority="62" operator="equal">
      <formula>$D13="SI"</formula>
    </cfRule>
  </conditionalFormatting>
  <conditionalFormatting sqref="H13 J13">
    <cfRule type="cellIs" dxfId="393" priority="61" operator="equal">
      <formula>$D13="SI"</formula>
    </cfRule>
  </conditionalFormatting>
  <conditionalFormatting sqref="F13">
    <cfRule type="cellIs" dxfId="392" priority="60" operator="equal">
      <formula>$D13="SI"</formula>
    </cfRule>
  </conditionalFormatting>
  <conditionalFormatting sqref="H10">
    <cfRule type="cellIs" dxfId="391" priority="51" operator="equal">
      <formula>$D10="SI"</formula>
    </cfRule>
  </conditionalFormatting>
  <conditionalFormatting sqref="J10:J93">
    <cfRule type="cellIs" dxfId="390" priority="46" operator="notEqual">
      <formula>$D$10</formula>
    </cfRule>
    <cfRule type="cellIs" dxfId="389" priority="50" operator="equal">
      <formula>$D$10</formula>
    </cfRule>
  </conditionalFormatting>
  <conditionalFormatting sqref="X10:Y93">
    <cfRule type="cellIs" dxfId="388" priority="38" operator="equal">
      <formula>" "</formula>
    </cfRule>
  </conditionalFormatting>
  <conditionalFormatting sqref="H95:H97 F95:F97 J95:J97">
    <cfRule type="cellIs" dxfId="387" priority="30" operator="equal">
      <formula>$D95="SI"</formula>
    </cfRule>
  </conditionalFormatting>
  <conditionalFormatting sqref="H95:H97 J95:J97">
    <cfRule type="cellIs" dxfId="386" priority="29" operator="equal">
      <formula>$D95="SI"</formula>
    </cfRule>
  </conditionalFormatting>
  <conditionalFormatting sqref="J95:J97">
    <cfRule type="cellIs" dxfId="385" priority="27" operator="notEqual">
      <formula>$D$10</formula>
    </cfRule>
    <cfRule type="cellIs" dxfId="384" priority="28" operator="equal">
      <formula>$D$10</formula>
    </cfRule>
  </conditionalFormatting>
  <conditionalFormatting sqref="X95:Y97">
    <cfRule type="cellIs" dxfId="383" priority="25" operator="equal">
      <formula>" "</formula>
    </cfRule>
  </conditionalFormatting>
  <conditionalFormatting sqref="H98:H100 F98:F100 J98:J100">
    <cfRule type="cellIs" dxfId="382" priority="24" operator="equal">
      <formula>$D98="SI"</formula>
    </cfRule>
  </conditionalFormatting>
  <conditionalFormatting sqref="H98:H100 J98:J100">
    <cfRule type="cellIs" dxfId="381" priority="23" operator="equal">
      <formula>$D98="SI"</formula>
    </cfRule>
  </conditionalFormatting>
  <conditionalFormatting sqref="J98:J100">
    <cfRule type="cellIs" dxfId="380" priority="21" operator="notEqual">
      <formula>$D$10</formula>
    </cfRule>
    <cfRule type="cellIs" dxfId="379" priority="22" operator="equal">
      <formula>$D$10</formula>
    </cfRule>
  </conditionalFormatting>
  <conditionalFormatting sqref="X98:Y100">
    <cfRule type="cellIs" dxfId="378" priority="19" operator="equal">
      <formula>" "</formula>
    </cfRule>
  </conditionalFormatting>
  <conditionalFormatting sqref="H101:H103 F101:F103 J101:J103">
    <cfRule type="cellIs" dxfId="377" priority="18" operator="equal">
      <formula>$D101="SI"</formula>
    </cfRule>
  </conditionalFormatting>
  <conditionalFormatting sqref="H101:H103 J101:J103">
    <cfRule type="cellIs" dxfId="376" priority="17" operator="equal">
      <formula>$D101="SI"</formula>
    </cfRule>
  </conditionalFormatting>
  <conditionalFormatting sqref="J101:J103">
    <cfRule type="cellIs" dxfId="375" priority="15" operator="notEqual">
      <formula>$D$10</formula>
    </cfRule>
    <cfRule type="cellIs" dxfId="374" priority="16" operator="equal">
      <formula>$D$10</formula>
    </cfRule>
  </conditionalFormatting>
  <conditionalFormatting sqref="X101:Y103">
    <cfRule type="cellIs" dxfId="373" priority="13" operator="equal">
      <formula>" "</formula>
    </cfRule>
  </conditionalFormatting>
  <conditionalFormatting sqref="H104:H106 F104:F106 J104:J106">
    <cfRule type="cellIs" dxfId="372" priority="12" operator="equal">
      <formula>$D104="SI"</formula>
    </cfRule>
  </conditionalFormatting>
  <conditionalFormatting sqref="H104:H106 J104:J106">
    <cfRule type="cellIs" dxfId="371" priority="11" operator="equal">
      <formula>$D104="SI"</formula>
    </cfRule>
  </conditionalFormatting>
  <conditionalFormatting sqref="J104:J106">
    <cfRule type="cellIs" dxfId="370" priority="9" operator="notEqual">
      <formula>$D$10</formula>
    </cfRule>
    <cfRule type="cellIs" dxfId="369" priority="10" operator="equal">
      <formula>$D$10</formula>
    </cfRule>
  </conditionalFormatting>
  <conditionalFormatting sqref="X104:Y106">
    <cfRule type="cellIs" dxfId="368" priority="7" operator="equal">
      <formula>" "</formula>
    </cfRule>
  </conditionalFormatting>
  <conditionalFormatting sqref="J107:J196">
    <cfRule type="cellIs" dxfId="367" priority="3" operator="notEqual">
      <formula>$D$10</formula>
    </cfRule>
    <cfRule type="cellIs" dxfId="366" priority="4" operator="equal">
      <formula>$D$10</formula>
    </cfRule>
  </conditionalFormatting>
  <conditionalFormatting sqref="X107:Y196">
    <cfRule type="cellIs" dxfId="365" priority="1" operator="equal">
      <formula>" "</formula>
    </cfRule>
  </conditionalFormatting>
  <dataValidations count="11">
    <dataValidation type="list" allowBlank="1" showInputMessage="1" showErrorMessage="1" sqref="D14:D15 D17:D18 D20:D21 D23:D24 D26:D27 D29:D30 D32:D33 D35:D36 D108:D109 D11:D12 D96:D97 D99:D100 D102:D103 D105:D106 D38:D39 D41:D42 D65:D66 D44:D45 D50:D51 D56:D57 D62:D63 D68:D69 D47:D48 D53:D54 D59:D60 D71:D72 D74:D75 D77:D78 D80:D81 D83:D84 D86:D87 D89:D90 D92:D93 D111:D112 D114:D115 D117:D118 D120:D121 D123:D124 D126:D127 D129:D130 D132:D133 D135:D136 D138:D139 D141:D142 D144:D145 D147:D148 D150:D151 D153:D154 D156:D157 D159:D160 D162:D163 D165:D166 D168:D169 D171:D172 D174:D175 D177:D178 D180:D181 D183:D184 D186:D187 D189:D190 D192:D193 D195:D196">
      <formula1>IF(D10="SI",exisc23,"")</formula1>
    </dataValidation>
    <dataValidation operator="equal" allowBlank="1" showInputMessage="1" showErrorMessage="1" sqref="J95:J196 J10:J93"/>
    <dataValidation type="list" allowBlank="1" showInputMessage="1" showErrorMessage="1" sqref="D37 D34 D31 D28 D25 D22 D19 D16 D10 D13 D95 D98 D101 D104 D107 D40 D43 D49 D55 D61 D67 D46 D52 D58 D64 D70 D73 D76 D79 D82 D85 D88 D91 D110 D113 D116 D119 D122 D125 D128 D131 D134 D137 D140 D143 D146 D149 D152 D155 D158 D161 D164 D167 D170 D173 D176 D179 D182 D185 D188 D191 D194">
      <formula1>exisc</formula1>
    </dataValidation>
    <dataValidation type="list" operator="equal" allowBlank="1" showInputMessage="1" showErrorMessage="1" sqref="H10:H93 H95:H196">
      <formula1>IF(D10="SI",tip,"")</formula1>
    </dataValidation>
    <dataValidation type="textLength" operator="lessThanOrEqual" showInputMessage="1" showErrorMessage="1" errorTitle="Contenido Campo" error="Indique SI existe o NO control_x000a_si NO existe, no permite el ingreso de datos_x000a_si SI existe, maximo 100 caracteres" sqref="F10:F93 F95:F196">
      <formula1>IF(OR(D10="NO",D10=""),0,100)</formula1>
    </dataValidation>
    <dataValidation type="list" allowBlank="1" showInputMessage="1" showErrorMessage="1" sqref="K10:K93 K95:K196">
      <formula1>IF(D10="SI",exis,"")</formula1>
    </dataValidation>
    <dataValidation type="list" allowBlank="1" showInputMessage="1" showErrorMessage="1" sqref="M10:M93 M95:M196">
      <formula1>IF(D10="SI",exis,"")</formula1>
    </dataValidation>
    <dataValidation type="list" allowBlank="1" showInputMessage="1" showErrorMessage="1" sqref="Q10:Q93 Q95:Q196">
      <formula1>IF(D10="SI",exis,"")</formula1>
    </dataValidation>
    <dataValidation type="list" allowBlank="1" showInputMessage="1" showErrorMessage="1" sqref="O10:O93 O95:O196">
      <formula1>IF(D10="SI",automanu,"")</formula1>
    </dataValidation>
    <dataValidation type="list" allowBlank="1" showInputMessage="1" showErrorMessage="1" sqref="U10:U93 U95:U196">
      <formula1>IF(D10="SI",exis,"")</formula1>
    </dataValidation>
    <dataValidation type="list" allowBlank="1" showInputMessage="1" showErrorMessage="1" sqref="S10:S93 S95:S196">
      <formula1>IF(D10="SI",exis,"")</formula1>
    </dataValidation>
  </dataValidations>
  <pageMargins left="0.31" right="0.2" top="0.91" bottom="0.98425196850393704" header="0.6" footer="0"/>
  <pageSetup paperSize="9" scale="38" orientation="landscape" r:id="rId1"/>
  <headerFooter alignWithMargins="0">
    <oddHeader>&amp;C&amp;"Kredit,Normal"&amp;22M A P A   D E   R I E S G O S</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beginsWith" priority="41" operator="beginsWith" id="{A528D932-176E-4663-857C-A8F98D7A8162}">
            <xm:f>LEFT(X10,5)="Falta"</xm:f>
            <x14:dxf>
              <font>
                <color rgb="FF9C0006"/>
              </font>
              <fill>
                <patternFill>
                  <bgColor rgb="FFFFC7CE"/>
                </patternFill>
              </fill>
            </x14:dxf>
          </x14:cfRule>
          <xm:sqref>X10:Y93</xm:sqref>
        </x14:conditionalFormatting>
        <x14:conditionalFormatting xmlns:xm="http://schemas.microsoft.com/office/excel/2006/main">
          <x14:cfRule type="beginsWith" priority="26" operator="beginsWith" id="{DDEA9D45-5FCB-4B4B-B456-E4ADDD9C35C1}">
            <xm:f>LEFT(X95,5)="Falta"</xm:f>
            <x14:dxf>
              <font>
                <color rgb="FF9C0006"/>
              </font>
              <fill>
                <patternFill>
                  <bgColor rgb="FFFFC7CE"/>
                </patternFill>
              </fill>
            </x14:dxf>
          </x14:cfRule>
          <xm:sqref>X95:Y97</xm:sqref>
        </x14:conditionalFormatting>
        <x14:conditionalFormatting xmlns:xm="http://schemas.microsoft.com/office/excel/2006/main">
          <x14:cfRule type="beginsWith" priority="20" operator="beginsWith" id="{FBA77D90-3CBF-419D-90B5-128059E0A51D}">
            <xm:f>LEFT(X98,5)="Falta"</xm:f>
            <x14:dxf>
              <font>
                <color rgb="FF9C0006"/>
              </font>
              <fill>
                <patternFill>
                  <bgColor rgb="FFFFC7CE"/>
                </patternFill>
              </fill>
            </x14:dxf>
          </x14:cfRule>
          <xm:sqref>X98:Y100</xm:sqref>
        </x14:conditionalFormatting>
        <x14:conditionalFormatting xmlns:xm="http://schemas.microsoft.com/office/excel/2006/main">
          <x14:cfRule type="beginsWith" priority="14" operator="beginsWith" id="{EDA9B9FE-5A01-43C6-970A-37F82F5BBAAF}">
            <xm:f>LEFT(X101,5)="Falta"</xm:f>
            <x14:dxf>
              <font>
                <color rgb="FF9C0006"/>
              </font>
              <fill>
                <patternFill>
                  <bgColor rgb="FFFFC7CE"/>
                </patternFill>
              </fill>
            </x14:dxf>
          </x14:cfRule>
          <xm:sqref>X101:Y103</xm:sqref>
        </x14:conditionalFormatting>
        <x14:conditionalFormatting xmlns:xm="http://schemas.microsoft.com/office/excel/2006/main">
          <x14:cfRule type="beginsWith" priority="8" operator="beginsWith" id="{A755FCCA-2DB1-432E-A3C9-3FEEC3C68854}">
            <xm:f>LEFT(X104,5)="Falta"</xm:f>
            <x14:dxf>
              <font>
                <color rgb="FF9C0006"/>
              </font>
              <fill>
                <patternFill>
                  <bgColor rgb="FFFFC7CE"/>
                </patternFill>
              </fill>
            </x14:dxf>
          </x14:cfRule>
          <xm:sqref>X104:Y106</xm:sqref>
        </x14:conditionalFormatting>
        <x14:conditionalFormatting xmlns:xm="http://schemas.microsoft.com/office/excel/2006/main">
          <x14:cfRule type="beginsWith" priority="2" operator="beginsWith" id="{B00DC0A1-D042-4E00-9FFF-54A4371309FA}">
            <xm:f>LEFT(X107,5)="Falta"</xm:f>
            <x14:dxf>
              <font>
                <color rgb="FF9C0006"/>
              </font>
              <fill>
                <patternFill>
                  <bgColor rgb="FFFFC7CE"/>
                </patternFill>
              </fill>
            </x14:dxf>
          </x14:cfRule>
          <xm:sqref>X107:Y196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5" tint="-0.249977111117893"/>
  </sheetPr>
  <dimension ref="A1:R196"/>
  <sheetViews>
    <sheetView zoomScale="90" zoomScaleNormal="90" workbookViewId="0">
      <pane xSplit="4" ySplit="8" topLeftCell="E9" activePane="bottomRight" state="frozen"/>
      <selection activeCell="A12" sqref="A12:E12"/>
      <selection pane="topRight" activeCell="A12" sqref="A12:E12"/>
      <selection pane="bottomLeft" activeCell="A12" sqref="A12:E12"/>
      <selection pane="bottomRight" activeCell="P9" sqref="P9"/>
    </sheetView>
  </sheetViews>
  <sheetFormatPr baseColWidth="10" defaultRowHeight="15.75" x14ac:dyDescent="0.2"/>
  <cols>
    <col min="1" max="1" width="4" style="3" customWidth="1"/>
    <col min="2" max="2" width="16.88671875" style="3" customWidth="1"/>
    <col min="3" max="4" width="12.88671875" style="3" customWidth="1"/>
    <col min="5" max="5" width="2.21875" style="3" customWidth="1"/>
    <col min="6" max="6" width="2.109375" style="3" customWidth="1"/>
    <col min="7" max="7" width="1.88671875" style="3" customWidth="1"/>
    <col min="8" max="8" width="2.44140625" style="3" customWidth="1"/>
    <col min="9" max="9" width="4.88671875" style="228" customWidth="1"/>
    <col min="10" max="10" width="5.21875" style="3" customWidth="1"/>
    <col min="11" max="11" width="17.44140625" style="3" customWidth="1"/>
    <col min="12" max="13" width="9" style="3" customWidth="1"/>
    <col min="14" max="14" width="9.21875" style="3" customWidth="1"/>
    <col min="15" max="15" width="18.109375" style="3" customWidth="1"/>
    <col min="16" max="16" width="14.77734375" style="3" customWidth="1"/>
    <col min="17" max="17" width="23.109375" style="3" customWidth="1"/>
    <col min="18" max="18" width="13" style="3" customWidth="1"/>
    <col min="19" max="16384" width="11.5546875" style="3"/>
  </cols>
  <sheetData>
    <row r="1" spans="1:18" ht="22.5" customHeight="1" x14ac:dyDescent="0.2">
      <c r="A1" s="437" t="s">
        <v>145</v>
      </c>
      <c r="B1" s="437"/>
      <c r="C1" s="506" t="s">
        <v>151</v>
      </c>
      <c r="D1" s="507"/>
      <c r="E1" s="507"/>
      <c r="F1" s="507"/>
      <c r="G1" s="507"/>
      <c r="H1" s="507"/>
      <c r="I1" s="507"/>
      <c r="J1" s="507"/>
      <c r="K1" s="507"/>
      <c r="L1" s="507"/>
      <c r="M1" s="507"/>
      <c r="N1" s="507"/>
      <c r="O1" s="507"/>
      <c r="P1" s="508"/>
      <c r="Q1" s="521" t="s">
        <v>71</v>
      </c>
      <c r="R1" s="521"/>
    </row>
    <row r="2" spans="1:18" ht="22.5" customHeight="1" x14ac:dyDescent="0.2">
      <c r="A2" s="437"/>
      <c r="B2" s="437"/>
      <c r="C2" s="509"/>
      <c r="D2" s="510"/>
      <c r="E2" s="510"/>
      <c r="F2" s="510"/>
      <c r="G2" s="510"/>
      <c r="H2" s="510"/>
      <c r="I2" s="510"/>
      <c r="J2" s="510"/>
      <c r="K2" s="510"/>
      <c r="L2" s="510"/>
      <c r="M2" s="510"/>
      <c r="N2" s="510"/>
      <c r="O2" s="510"/>
      <c r="P2" s="511"/>
      <c r="Q2" s="521" t="s">
        <v>107</v>
      </c>
      <c r="R2" s="521"/>
    </row>
    <row r="3" spans="1:18" ht="22.5" customHeight="1" x14ac:dyDescent="0.2">
      <c r="A3" s="437"/>
      <c r="B3" s="437"/>
      <c r="C3" s="512"/>
      <c r="D3" s="513"/>
      <c r="E3" s="513"/>
      <c r="F3" s="513"/>
      <c r="G3" s="513"/>
      <c r="H3" s="513"/>
      <c r="I3" s="513"/>
      <c r="J3" s="513"/>
      <c r="K3" s="513"/>
      <c r="L3" s="513"/>
      <c r="M3" s="513"/>
      <c r="N3" s="513"/>
      <c r="O3" s="513"/>
      <c r="P3" s="514"/>
      <c r="Q3" s="521" t="s">
        <v>408</v>
      </c>
      <c r="R3" s="521"/>
    </row>
    <row r="4" spans="1:18" ht="3.75" customHeight="1" x14ac:dyDescent="0.2">
      <c r="A4" s="33"/>
      <c r="B4" s="34"/>
      <c r="C4" s="34"/>
      <c r="D4" s="34"/>
      <c r="E4" s="35"/>
      <c r="F4" s="35"/>
      <c r="G4" s="35"/>
      <c r="H4" s="35"/>
      <c r="I4" s="227"/>
      <c r="J4" s="35"/>
      <c r="K4" s="35"/>
      <c r="L4" s="35"/>
      <c r="M4" s="38"/>
      <c r="N4" s="58"/>
      <c r="O4" s="58"/>
      <c r="P4" s="49"/>
      <c r="Q4" s="49"/>
    </row>
    <row r="5" spans="1:18" ht="36" customHeight="1" x14ac:dyDescent="0.2">
      <c r="A5" s="439" t="s">
        <v>27</v>
      </c>
      <c r="B5" s="439"/>
      <c r="C5" s="439"/>
      <c r="D5" s="439"/>
      <c r="E5" s="439"/>
      <c r="F5" s="439"/>
      <c r="G5" s="439"/>
      <c r="H5" s="439"/>
      <c r="I5" s="439"/>
      <c r="J5" s="439"/>
      <c r="K5" s="439"/>
      <c r="L5" s="439"/>
      <c r="M5" s="439"/>
      <c r="N5" s="523"/>
      <c r="O5" s="523"/>
      <c r="P5" s="523"/>
      <c r="Q5" s="523"/>
      <c r="R5" s="439"/>
    </row>
    <row r="6" spans="1:18" ht="15.75" customHeight="1" x14ac:dyDescent="0.2">
      <c r="A6" s="529" t="str">
        <f>'CONTEXTO ESTRATEGICO'!A7</f>
        <v>INSTITUCIONAL</v>
      </c>
      <c r="B6" s="529"/>
      <c r="C6" s="536" t="str">
        <f>'CONTEXTO ESTRATEGICO'!B7</f>
        <v>Mapa de Riesgo Institucional</v>
      </c>
      <c r="D6" s="537"/>
      <c r="E6" s="537"/>
      <c r="F6" s="537"/>
      <c r="G6" s="537"/>
      <c r="H6" s="537"/>
      <c r="I6" s="537"/>
      <c r="J6" s="537"/>
      <c r="K6" s="537"/>
      <c r="L6" s="537"/>
      <c r="M6" s="537"/>
      <c r="N6" s="537"/>
      <c r="O6" s="177"/>
      <c r="P6" s="538" t="str">
        <f>'CONTEXTO ESTRATEGICO'!A6</f>
        <v>Fecha de Actualización (AAAA/MM/DD)</v>
      </c>
      <c r="Q6" s="539"/>
      <c r="R6" s="97">
        <f>'CONTEXTO ESTRATEGICO'!B6</f>
        <v>42443</v>
      </c>
    </row>
    <row r="7" spans="1:18" ht="32.25" customHeight="1" x14ac:dyDescent="0.2">
      <c r="A7" s="529" t="str">
        <f>'CONTEXTO ESTRATEGICO'!A8</f>
        <v>MISION</v>
      </c>
      <c r="B7" s="529"/>
      <c r="C7" s="536"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537"/>
      <c r="E7" s="537"/>
      <c r="F7" s="537"/>
      <c r="G7" s="537"/>
      <c r="H7" s="537"/>
      <c r="I7" s="537"/>
      <c r="J7" s="537"/>
      <c r="K7" s="537"/>
      <c r="L7" s="537"/>
      <c r="M7" s="537"/>
      <c r="N7" s="544" t="s">
        <v>212</v>
      </c>
      <c r="O7" s="544"/>
      <c r="P7" s="524" t="s">
        <v>18</v>
      </c>
      <c r="Q7" s="524" t="s">
        <v>150</v>
      </c>
      <c r="R7" s="524" t="s">
        <v>143</v>
      </c>
    </row>
    <row r="8" spans="1:18" ht="31.5" customHeight="1" x14ac:dyDescent="0.2">
      <c r="A8" s="6" t="s">
        <v>26</v>
      </c>
      <c r="B8" s="11" t="s">
        <v>1</v>
      </c>
      <c r="C8" s="11" t="s">
        <v>147</v>
      </c>
      <c r="D8" s="11" t="s">
        <v>148</v>
      </c>
      <c r="E8" s="531" t="s">
        <v>312</v>
      </c>
      <c r="F8" s="531"/>
      <c r="G8" s="531" t="s">
        <v>314</v>
      </c>
      <c r="H8" s="531"/>
      <c r="I8" s="229" t="s">
        <v>313</v>
      </c>
      <c r="J8" s="53" t="s">
        <v>25</v>
      </c>
      <c r="K8" s="53" t="s">
        <v>17</v>
      </c>
      <c r="L8" s="189" t="s">
        <v>296</v>
      </c>
      <c r="M8" s="72" t="s">
        <v>74</v>
      </c>
      <c r="N8" s="186" t="s">
        <v>18</v>
      </c>
      <c r="O8" s="53" t="s">
        <v>211</v>
      </c>
      <c r="P8" s="525"/>
      <c r="Q8" s="525"/>
      <c r="R8" s="525"/>
    </row>
    <row r="9" spans="1:18" ht="39.75" customHeight="1" x14ac:dyDescent="0.2">
      <c r="A9" s="503" t="str">
        <f>VALORACIÓN!A10</f>
        <v>1G</v>
      </c>
      <c r="B9" s="496" t="str">
        <f>VALORACIÓN!B10</f>
        <v>Relaciones Interinstitucionales. Concentrar labores múltiples en poco personal</v>
      </c>
      <c r="C9" s="530" t="str">
        <f>IF(IDENTIFICACIÓN!B9="","",IDENTIFICACIÓN!B9)</f>
        <v>Gestión de nuevos proyectos de movilidad, convenios y cooperación. Falta de vinculación de personal necesario en la Oficina de Relaciones Internacionales.</v>
      </c>
      <c r="D9" s="530" t="str">
        <f>IF(IDENTIFICACIÓN!F9="","",IDENTIFICACIÓN!F9)</f>
        <v>Bajo rendimiento en la gestión</v>
      </c>
      <c r="E9" s="532">
        <f>ANALISIS!D11</f>
        <v>3</v>
      </c>
      <c r="F9" s="533" t="str">
        <f>ANALISIS!E11</f>
        <v>POSIBLE</v>
      </c>
      <c r="G9" s="532">
        <f>ANALISIS!G11</f>
        <v>3</v>
      </c>
      <c r="H9" s="533" t="str">
        <f>ANALISIS!H11</f>
        <v>MODERADO</v>
      </c>
      <c r="I9" s="540" t="str">
        <f>ANALISIS!J11</f>
        <v>ALTA 3:3</v>
      </c>
      <c r="J9" s="20">
        <f>VALORACIÓN!C10</f>
        <v>1</v>
      </c>
      <c r="K9" s="230" t="str">
        <f>IF(VALORACIÓN!F10=0,"",VALORACIÓN!F10)</f>
        <v/>
      </c>
      <c r="L9" s="543" t="str">
        <f>VALORACIÓN!AA10</f>
        <v/>
      </c>
      <c r="M9" s="526" t="str">
        <f>VALORACIÓN!AG10</f>
        <v>ALTA 3:3</v>
      </c>
      <c r="N9" s="530" t="str">
        <f>VALORACIÓN!AG11</f>
        <v>- Evitar Posibilidad de Ocurrencia- Reducir el Riesgo- Compartir o Transferir el Riesgo</v>
      </c>
      <c r="O9" s="545" t="str">
        <f>IF(B9="","",IF(VALORACIÓN!BA10="","Aceptar el Riesgo sin necesidad de tomar otras medidas de control diferentes a las que se poseen, considerando que estos son efectivos con ponderacion de 100, y la evaluación final del riesgos es Baja 1:1",VALORACIÓN!BA10))</f>
        <v>- Tomar Acciones Preventivas y Correctivas</v>
      </c>
      <c r="P9" s="393" t="s">
        <v>399</v>
      </c>
      <c r="Q9" s="393" t="s">
        <v>779</v>
      </c>
      <c r="R9" s="394" t="s">
        <v>70</v>
      </c>
    </row>
    <row r="10" spans="1:18" ht="39.75" customHeight="1" x14ac:dyDescent="0.2">
      <c r="A10" s="503"/>
      <c r="B10" s="496"/>
      <c r="C10" s="530"/>
      <c r="D10" s="530"/>
      <c r="E10" s="532"/>
      <c r="F10" s="534"/>
      <c r="G10" s="532"/>
      <c r="H10" s="534"/>
      <c r="I10" s="541"/>
      <c r="J10" s="20">
        <f>VALORACIÓN!C11</f>
        <v>2</v>
      </c>
      <c r="K10" s="230" t="str">
        <f>IF(VALORACIÓN!F11=0,"",VALORACIÓN!F11)</f>
        <v/>
      </c>
      <c r="L10" s="543"/>
      <c r="M10" s="527"/>
      <c r="N10" s="530"/>
      <c r="O10" s="546"/>
      <c r="P10" s="393"/>
      <c r="Q10" s="393"/>
      <c r="R10" s="394"/>
    </row>
    <row r="11" spans="1:18" ht="39.75" customHeight="1" x14ac:dyDescent="0.2">
      <c r="A11" s="503"/>
      <c r="B11" s="496"/>
      <c r="C11" s="530"/>
      <c r="D11" s="530"/>
      <c r="E11" s="532"/>
      <c r="F11" s="535"/>
      <c r="G11" s="532"/>
      <c r="H11" s="535"/>
      <c r="I11" s="542"/>
      <c r="J11" s="20">
        <f>VALORACIÓN!C12</f>
        <v>3</v>
      </c>
      <c r="K11" s="230" t="str">
        <f>IF(VALORACIÓN!F12=0,"",VALORACIÓN!F12)</f>
        <v/>
      </c>
      <c r="L11" s="543"/>
      <c r="M11" s="528"/>
      <c r="N11" s="530"/>
      <c r="O11" s="547"/>
      <c r="P11" s="393"/>
      <c r="Q11" s="393"/>
      <c r="R11" s="394"/>
    </row>
    <row r="12" spans="1:18" ht="39.75" customHeight="1" x14ac:dyDescent="0.2">
      <c r="A12" s="503" t="str">
        <f>VALORACIÓN!A13</f>
        <v>2G</v>
      </c>
      <c r="B12" s="496" t="str">
        <f>VALORACIÓN!B13</f>
        <v xml:space="preserve">Relaciones Interinstitucionales. Escaso registro y control de la movilidad internacional entrante y saliente. </v>
      </c>
      <c r="C12" s="530" t="str">
        <f>IF(IDENTIFICACIÓN!B10="","",IDENTIFICACIÓN!B10)</f>
        <v>Desconocimiento de los usuarios en relacion al procedimiendo de registro de la movilidad internacional entrante y saliente</v>
      </c>
      <c r="D12" s="530" t="str">
        <f>IF(IDENTIFICACIÓN!F10="","",IDENTIFICACIÓN!F10)</f>
        <v>Bajo resultado en los indicadores. Percepciónes poco favorables en distintos escenarios (Visita de PARES, Evaluadores del MEN, SNIES y SUE). Bajo registro de movilidad internacional. Disminución de los recursos aportados por falta de información real.</v>
      </c>
      <c r="E12" s="532">
        <f>ANALISIS!D12</f>
        <v>3</v>
      </c>
      <c r="F12" s="533" t="str">
        <f>ANALISIS!E12</f>
        <v>POSIBLE</v>
      </c>
      <c r="G12" s="532">
        <f>ANALISIS!G12</f>
        <v>4</v>
      </c>
      <c r="H12" s="533" t="str">
        <f>ANALISIS!H12</f>
        <v>MAYOR</v>
      </c>
      <c r="I12" s="540" t="str">
        <f>ANALISIS!J12</f>
        <v>EXTREMA 3:4</v>
      </c>
      <c r="J12" s="20">
        <f>VALORACIÓN!C13</f>
        <v>1</v>
      </c>
      <c r="K12" s="230" t="str">
        <f>IF(VALORACIÓN!F13=0,"",VALORACIÓN!F13)</f>
        <v>Guia de tramites migratorios</v>
      </c>
      <c r="L12" s="543">
        <f>VALORACIÓN!AA13</f>
        <v>95</v>
      </c>
      <c r="M12" s="526" t="str">
        <f>VALORACIÓN!AG13</f>
        <v>ALTA 1:4</v>
      </c>
      <c r="N12" s="530" t="str">
        <f>VALORACIÓN!AG14</f>
        <v>- Reducir el Riesgo- Compartir o Transferir el Riesgo</v>
      </c>
      <c r="O12" s="545" t="str">
        <f>IF(B12="","",IF(VALORACIÓN!BA13="","Aceptar el Riesgo sin necesidad de tomar otras medidas de control diferentes a las que se poseen, considerando que estos son efectivos con ponderacion de 100, y la evaluación final del riesgos es Baja 1:1",VALORACIÓN!BA13))</f>
        <v>- Tomar Acciones Correctivas</v>
      </c>
      <c r="P12" s="393" t="s">
        <v>403</v>
      </c>
      <c r="Q12" s="393" t="s">
        <v>780</v>
      </c>
      <c r="R12" s="394" t="s">
        <v>70</v>
      </c>
    </row>
    <row r="13" spans="1:18" ht="39.75" customHeight="1" x14ac:dyDescent="0.2">
      <c r="A13" s="503"/>
      <c r="B13" s="496"/>
      <c r="C13" s="530"/>
      <c r="D13" s="530"/>
      <c r="E13" s="532"/>
      <c r="F13" s="534"/>
      <c r="G13" s="532"/>
      <c r="H13" s="534"/>
      <c r="I13" s="541"/>
      <c r="J13" s="20">
        <f>VALORACIÓN!C14</f>
        <v>2</v>
      </c>
      <c r="K13" s="230" t="str">
        <f>IF(VALORACIÓN!F14=0,"",VALORACIÓN!F14)</f>
        <v>Difusión de procedimientos  para el registro de la movilidad Internacional</v>
      </c>
      <c r="L13" s="543"/>
      <c r="M13" s="527"/>
      <c r="N13" s="530"/>
      <c r="O13" s="546"/>
      <c r="P13" s="393" t="s">
        <v>403</v>
      </c>
      <c r="Q13" s="393" t="s">
        <v>781</v>
      </c>
      <c r="R13" s="394" t="s">
        <v>70</v>
      </c>
    </row>
    <row r="14" spans="1:18" ht="39.75" customHeight="1" x14ac:dyDescent="0.2">
      <c r="A14" s="503"/>
      <c r="B14" s="496"/>
      <c r="C14" s="530"/>
      <c r="D14" s="530"/>
      <c r="E14" s="532"/>
      <c r="F14" s="535"/>
      <c r="G14" s="532"/>
      <c r="H14" s="535"/>
      <c r="I14" s="542"/>
      <c r="J14" s="20">
        <f>VALORACIÓN!C15</f>
        <v>3</v>
      </c>
      <c r="K14" s="230" t="str">
        <f>IF(VALORACIÓN!F15=0,"",VALORACIÓN!F15)</f>
        <v>Formatos para el registro de la movilidad.  RI - F01 y RI - F02</v>
      </c>
      <c r="L14" s="543"/>
      <c r="M14" s="528"/>
      <c r="N14" s="530"/>
      <c r="O14" s="547"/>
      <c r="P14" s="393" t="s">
        <v>403</v>
      </c>
      <c r="Q14" s="393" t="s">
        <v>782</v>
      </c>
      <c r="R14" s="394" t="s">
        <v>70</v>
      </c>
    </row>
    <row r="15" spans="1:18" ht="39.75" customHeight="1" x14ac:dyDescent="0.2">
      <c r="A15" s="503" t="str">
        <f>VALORACIÓN!A16</f>
        <v>3G</v>
      </c>
      <c r="B15" s="496" t="str">
        <f>VALORACIÓN!B16</f>
        <v>Relaciones Interinstitucionales. Gestionar la movilidad internacional sin requisitos legales</v>
      </c>
      <c r="C15" s="530" t="str">
        <f>IF(IDENTIFICACIÓN!B11="","",IDENTIFICACIÓN!B11)</f>
        <v>Desconocimiento del  personal de la Oficina de Relaciones  internacionales y la comunidad universitaria de los procedimietos y requisitos nacionales e internacionales legales y migratorios</v>
      </c>
      <c r="D15" s="530" t="str">
        <f>IF(IDENTIFICACIÓN!F11="","",IDENTIFICACIÓN!F11)</f>
        <v>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v>
      </c>
      <c r="E15" s="532">
        <f>ANALISIS!D13</f>
        <v>2</v>
      </c>
      <c r="F15" s="533" t="str">
        <f>ANALISIS!E13</f>
        <v>IMPROBABLE</v>
      </c>
      <c r="G15" s="532">
        <f>ANALISIS!G13</f>
        <v>4</v>
      </c>
      <c r="H15" s="533" t="str">
        <f>ANALISIS!H13</f>
        <v>MAYOR</v>
      </c>
      <c r="I15" s="540" t="str">
        <f>ANALISIS!J13</f>
        <v>ALTA 2:4</v>
      </c>
      <c r="J15" s="20">
        <f>VALORACIÓN!C16</f>
        <v>1</v>
      </c>
      <c r="K15" s="230" t="str">
        <f>IF(VALORACIÓN!F16=0,"",VALORACIÓN!F16)</f>
        <v>Guia de tramites migratorios</v>
      </c>
      <c r="L15" s="543">
        <f>VALORACIÓN!AA16</f>
        <v>95</v>
      </c>
      <c r="M15" s="526" t="str">
        <f>VALORACIÓN!AG16</f>
        <v>ALTA 1:4</v>
      </c>
      <c r="N15" s="530" t="str">
        <f>VALORACIÓN!AG17</f>
        <v>- Reducir el Riesgo- Compartir o Transferir el Riesgo</v>
      </c>
      <c r="O15" s="545" t="str">
        <f>IF(B15="","",IF(VALORACIÓN!BA16="","Aceptar el Riesgo sin necesidad de tomar otras medidas de control diferentes a las que se poseen, considerando que estos son efectivos con ponderacion de 100, y la evaluación final del riesgos es Baja 1:1",VALORACIÓN!BA16))</f>
        <v>- Tomar Acciones Correctivas</v>
      </c>
      <c r="P15" s="393" t="s">
        <v>403</v>
      </c>
      <c r="Q15" s="393" t="s">
        <v>782</v>
      </c>
      <c r="R15" s="394" t="s">
        <v>70</v>
      </c>
    </row>
    <row r="16" spans="1:18" ht="39.75" customHeight="1" x14ac:dyDescent="0.2">
      <c r="A16" s="503"/>
      <c r="B16" s="496"/>
      <c r="C16" s="530"/>
      <c r="D16" s="530"/>
      <c r="E16" s="532"/>
      <c r="F16" s="534"/>
      <c r="G16" s="532"/>
      <c r="H16" s="534"/>
      <c r="I16" s="541"/>
      <c r="J16" s="20">
        <f>VALORACIÓN!C17</f>
        <v>2</v>
      </c>
      <c r="K16" s="230" t="str">
        <f>IF(VALORACIÓN!F17=0,"",VALORACIÓN!F17)</f>
        <v/>
      </c>
      <c r="L16" s="543"/>
      <c r="M16" s="527"/>
      <c r="N16" s="530"/>
      <c r="O16" s="546"/>
      <c r="P16" s="393"/>
      <c r="Q16" s="393"/>
      <c r="R16" s="394"/>
    </row>
    <row r="17" spans="1:18" ht="39.75" customHeight="1" x14ac:dyDescent="0.2">
      <c r="A17" s="503"/>
      <c r="B17" s="496"/>
      <c r="C17" s="530"/>
      <c r="D17" s="530"/>
      <c r="E17" s="532"/>
      <c r="F17" s="535"/>
      <c r="G17" s="532"/>
      <c r="H17" s="535"/>
      <c r="I17" s="542"/>
      <c r="J17" s="20">
        <f>VALORACIÓN!C18</f>
        <v>3</v>
      </c>
      <c r="K17" s="230" t="str">
        <f>IF(VALORACIÓN!F18=0,"",VALORACIÓN!F18)</f>
        <v/>
      </c>
      <c r="L17" s="543"/>
      <c r="M17" s="528"/>
      <c r="N17" s="530"/>
      <c r="O17" s="547"/>
      <c r="P17" s="393"/>
      <c r="Q17" s="393"/>
      <c r="R17" s="394"/>
    </row>
    <row r="18" spans="1:18" ht="39.75" customHeight="1" x14ac:dyDescent="0.2">
      <c r="A18" s="503" t="str">
        <f>VALORACIÓN!A19</f>
        <v>4G</v>
      </c>
      <c r="B18" s="496" t="str">
        <f>VALORACIÓN!B19</f>
        <v>Acreditación. Insuficiente Implementación de la Política Institucional de Autoevaluación, Acreditación y Aseguramiento de la calidad</v>
      </c>
      <c r="C18" s="530" t="str">
        <f>IF(IDENTIFICACIÓN!B12="","",IDENTIFICACIÓN!B12)</f>
        <v>1. Poco conocimiento y difusión de la política de autoevaluación y del funcionamiento de la misma</v>
      </c>
      <c r="D18" s="530" t="str">
        <f>IF(IDENTIFICACIÓN!F12="","",IDENTIFICACIÓN!F12)</f>
        <v xml:space="preserve">1. Atraso en la dinámica de fortalecimiento de la cultura de autoevaluación, acreditación y mejoramiento continuo en los programas académicos.
2. Bajo desarrollo en los procesos académicos
3. Incumplimiento de las metas del plan de gobierno. </v>
      </c>
      <c r="E18" s="532">
        <f>ANALISIS!D14</f>
        <v>3</v>
      </c>
      <c r="F18" s="533" t="str">
        <f>ANALISIS!E14</f>
        <v>POSIBLE</v>
      </c>
      <c r="G18" s="532">
        <f>ANALISIS!G14</f>
        <v>4</v>
      </c>
      <c r="H18" s="533" t="str">
        <f>ANALISIS!H14</f>
        <v>MAYOR</v>
      </c>
      <c r="I18" s="540" t="str">
        <f>ANALISIS!J14</f>
        <v>EXTREMA 3:4</v>
      </c>
      <c r="J18" s="20">
        <f>VALORACIÓN!C19</f>
        <v>1</v>
      </c>
      <c r="K18" s="230" t="str">
        <f>IF(VALORACIÓN!F19=0,"",VALORACIÓN!F19)</f>
        <v>Acompañamiento de la OAC mediante asesorías y revisión permanente durante la ejecución del proceso</v>
      </c>
      <c r="L18" s="543">
        <f>VALORACIÓN!AA19</f>
        <v>95</v>
      </c>
      <c r="M18" s="526" t="str">
        <f>VALORACIÓN!AG19</f>
        <v>ALTA 1:4</v>
      </c>
      <c r="N18" s="530" t="str">
        <f>VALORACIÓN!AG20</f>
        <v>- Reducir el Riesgo- Compartir o Transferir el Riesgo</v>
      </c>
      <c r="O18" s="545" t="str">
        <f>IF(B18="","",IF(VALORACIÓN!BA19="","Aceptar el Riesgo sin necesidad de tomar otras medidas de control diferentes a las que se poseen, considerando que estos son efectivos con ponderacion de 100, y la evaluación final del riesgos es Baja 1:1",VALORACIÓN!BA19))</f>
        <v>- Tomar Acciones Correctivas</v>
      </c>
      <c r="P18" s="395" t="s">
        <v>404</v>
      </c>
      <c r="Q18" s="395" t="s">
        <v>783</v>
      </c>
      <c r="R18" s="396" t="s">
        <v>70</v>
      </c>
    </row>
    <row r="19" spans="1:18" ht="39.75" customHeight="1" x14ac:dyDescent="0.2">
      <c r="A19" s="503"/>
      <c r="B19" s="496"/>
      <c r="C19" s="530"/>
      <c r="D19" s="530"/>
      <c r="E19" s="532"/>
      <c r="F19" s="534"/>
      <c r="G19" s="532"/>
      <c r="H19" s="534"/>
      <c r="I19" s="541"/>
      <c r="J19" s="20">
        <f>VALORACIÓN!C20</f>
        <v>2</v>
      </c>
      <c r="K19" s="230" t="str">
        <f>IF(VALORACIÓN!F20=0,"",VALORACIÓN!F20)</f>
        <v>Sensibilización a través de talleres, seminarios, reuniones  y comunicaciones afines al riesgo</v>
      </c>
      <c r="L19" s="543"/>
      <c r="M19" s="527"/>
      <c r="N19" s="530"/>
      <c r="O19" s="546"/>
      <c r="P19" s="395"/>
      <c r="Q19" s="395"/>
      <c r="R19" s="396"/>
    </row>
    <row r="20" spans="1:18" ht="39.75" customHeight="1" x14ac:dyDescent="0.2">
      <c r="A20" s="503"/>
      <c r="B20" s="496"/>
      <c r="C20" s="530"/>
      <c r="D20" s="530"/>
      <c r="E20" s="532"/>
      <c r="F20" s="535"/>
      <c r="G20" s="532"/>
      <c r="H20" s="535"/>
      <c r="I20" s="542"/>
      <c r="J20" s="20">
        <f>VALORACIÓN!C21</f>
        <v>3</v>
      </c>
      <c r="K20" s="230" t="str">
        <f>IF(VALORACIÓN!F21=0,"",VALORACIÓN!F21)</f>
        <v>Procedimientos, formatos y guías</v>
      </c>
      <c r="L20" s="543"/>
      <c r="M20" s="528"/>
      <c r="N20" s="530"/>
      <c r="O20" s="547"/>
      <c r="P20" s="395"/>
      <c r="Q20" s="395"/>
      <c r="R20" s="396"/>
    </row>
    <row r="21" spans="1:18" ht="39.75" customHeight="1" x14ac:dyDescent="0.2">
      <c r="A21" s="503" t="str">
        <f>VALORACIÓN!A22</f>
        <v>5G</v>
      </c>
      <c r="B21" s="496" t="str">
        <f>VALORACIÓN!B22</f>
        <v xml:space="preserve">Acreditación. Deficiencia en la calidad técnica de los informes </v>
      </c>
      <c r="C21" s="530" t="str">
        <f>IF(IDENTIFICACIÓN!B13="","",IDENTIFICACIÓN!B13)</f>
        <v xml:space="preserve">1. Poco conocimiento referente al proceso de Acreditación o registro calificado por parte de directivos, así como de la política de autoevaluación y del funcionamiento de la misma. 
2. Inadecuada ejecución de procedimientos, lineamientos y formatos establecidos en el COGUI o por instancias externas de control. </v>
      </c>
      <c r="D21" s="530" t="str">
        <f>IF(IDENTIFICACIÓN!F13="","",IDENTIFICACIÓN!F13)</f>
        <v>1. Informes que no corresponden con las realidades del programa
2. Pérdida de credibilidad en los procesos de autoevaluación y mejora continua
3. Requerimiento de información complentaria (Auto)</v>
      </c>
      <c r="E21" s="532">
        <f>ANALISIS!D15</f>
        <v>1</v>
      </c>
      <c r="F21" s="533" t="str">
        <f>ANALISIS!E15</f>
        <v>RARO</v>
      </c>
      <c r="G21" s="532">
        <f>ANALISIS!G15</f>
        <v>4</v>
      </c>
      <c r="H21" s="533" t="str">
        <f>ANALISIS!H15</f>
        <v>MAYOR</v>
      </c>
      <c r="I21" s="540" t="str">
        <f>ANALISIS!J15</f>
        <v>ALTA 1:4</v>
      </c>
      <c r="J21" s="20">
        <f>VALORACIÓN!C22</f>
        <v>1</v>
      </c>
      <c r="K21" s="230" t="str">
        <f>IF(VALORACIÓN!F22=0,"",VALORACIÓN!F22)</f>
        <v>Procedimientos, formatos y guías</v>
      </c>
      <c r="L21" s="543">
        <f>VALORACIÓN!AA22</f>
        <v>95</v>
      </c>
      <c r="M21" s="526" t="str">
        <f>VALORACIÓN!AG22</f>
        <v>ALTA 1:4</v>
      </c>
      <c r="N21" s="530" t="str">
        <f>VALORACIÓN!AG23</f>
        <v>- Reducir el Riesgo- Compartir o Transferir el Riesgo</v>
      </c>
      <c r="O21" s="545" t="str">
        <f>IF(B21="","",IF(VALORACIÓN!BA22="","Aceptar el Riesgo sin necesidad de tomar otras medidas de control diferentes a las que se poseen, considerando que estos son efectivos con ponderacion de 100, y la evaluación final del riesgos es Baja 1:1",VALORACIÓN!BA22))</f>
        <v>- Tomar Acciones Correctivas</v>
      </c>
      <c r="P21" s="395" t="s">
        <v>404</v>
      </c>
      <c r="Q21" s="395" t="s">
        <v>783</v>
      </c>
      <c r="R21" s="396" t="s">
        <v>70</v>
      </c>
    </row>
    <row r="22" spans="1:18" ht="39.75" customHeight="1" x14ac:dyDescent="0.2">
      <c r="A22" s="503"/>
      <c r="B22" s="496"/>
      <c r="C22" s="530"/>
      <c r="D22" s="530"/>
      <c r="E22" s="532"/>
      <c r="F22" s="534"/>
      <c r="G22" s="532"/>
      <c r="H22" s="534"/>
      <c r="I22" s="541"/>
      <c r="J22" s="20">
        <f>VALORACIÓN!C23</f>
        <v>2</v>
      </c>
      <c r="K22" s="230" t="str">
        <f>IF(VALORACIÓN!F23=0,"",VALORACIÓN!F23)</f>
        <v>Sensibilización a través de talleres, seminarios, reuniones  y comunicaciones afines al riesgo</v>
      </c>
      <c r="L22" s="543"/>
      <c r="M22" s="527"/>
      <c r="N22" s="530"/>
      <c r="O22" s="546"/>
      <c r="P22" s="395"/>
      <c r="Q22" s="395"/>
      <c r="R22" s="396"/>
    </row>
    <row r="23" spans="1:18" ht="39.75" customHeight="1" x14ac:dyDescent="0.2">
      <c r="A23" s="503"/>
      <c r="B23" s="496"/>
      <c r="C23" s="530"/>
      <c r="D23" s="530"/>
      <c r="E23" s="532"/>
      <c r="F23" s="535"/>
      <c r="G23" s="532"/>
      <c r="H23" s="535"/>
      <c r="I23" s="542"/>
      <c r="J23" s="20">
        <f>VALORACIÓN!C24</f>
        <v>3</v>
      </c>
      <c r="K23" s="230" t="str">
        <f>IF(VALORACIÓN!F24=0,"",VALORACIÓN!F24)</f>
        <v>Lectura y valoración por parte de lectores o pares colaborativos internos y/o externos</v>
      </c>
      <c r="L23" s="543"/>
      <c r="M23" s="528"/>
      <c r="N23" s="530"/>
      <c r="O23" s="547"/>
      <c r="P23" s="395"/>
      <c r="Q23" s="395"/>
      <c r="R23" s="396"/>
    </row>
    <row r="24" spans="1:18" ht="39.75" customHeight="1" x14ac:dyDescent="0.2">
      <c r="A24" s="503" t="str">
        <f>VALORACIÓN!A25</f>
        <v>6G</v>
      </c>
      <c r="B24" s="496" t="str">
        <f>VALORACIÓN!B25</f>
        <v>Acreditación. Negación de la acreditación o de la renovación de registro calificado</v>
      </c>
      <c r="C24" s="530" t="str">
        <f>IF(IDENTIFICACIÓN!B14="","",IDENTIFICACIÓN!B14)</f>
        <v>1. Pocas competencias en la administración del trámite de registro calificado o acreditación, de algunos directivos para el cumplimiento de procedimientos y lineamientos 
2. Baja calidad de los programas académicos</v>
      </c>
      <c r="D24" s="530" t="str">
        <f>IF(IDENTIFICACIÓN!F14="","",IDENTIFICACIÓN!F14)</f>
        <v>1. Desprestigio tanto de la Institución como del programa académico
2. Baja posibilidad de continuar con el proceso de Acreditación Institucional</v>
      </c>
      <c r="E24" s="532">
        <f>ANALISIS!D16</f>
        <v>3</v>
      </c>
      <c r="F24" s="533" t="str">
        <f>ANALISIS!E16</f>
        <v>POSIBLE</v>
      </c>
      <c r="G24" s="532">
        <f>ANALISIS!G16</f>
        <v>4</v>
      </c>
      <c r="H24" s="533" t="str">
        <f>ANALISIS!H16</f>
        <v>MAYOR</v>
      </c>
      <c r="I24" s="540" t="str">
        <f>ANALISIS!J16</f>
        <v>EXTREMA 3:4</v>
      </c>
      <c r="J24" s="20">
        <f>VALORACIÓN!C25</f>
        <v>1</v>
      </c>
      <c r="K24" s="230" t="str">
        <f>IF(VALORACIÓN!F25=0,"",VALORACIÓN!F25)</f>
        <v>Se han implementado, procedimientos y formatos</v>
      </c>
      <c r="L24" s="543">
        <f>VALORACIÓN!AA25</f>
        <v>95</v>
      </c>
      <c r="M24" s="526" t="str">
        <f>VALORACIÓN!AG25</f>
        <v>ALTA 1:4</v>
      </c>
      <c r="N24" s="530" t="str">
        <f>VALORACIÓN!AG26</f>
        <v>- Reducir el Riesgo- Compartir o Transferir el Riesgo</v>
      </c>
      <c r="O24" s="545" t="str">
        <f>IF(B24="","",IF(VALORACIÓN!BA25="","Aceptar el Riesgo sin necesidad de tomar otras medidas de control diferentes a las que se poseen, considerando que estos son efectivos con ponderacion de 100, y la evaluación final del riesgos es Baja 1:1",VALORACIÓN!BA25))</f>
        <v>- Tomar Acciones Correctivas</v>
      </c>
      <c r="P24" s="395" t="s">
        <v>400</v>
      </c>
      <c r="Q24" s="395" t="s">
        <v>784</v>
      </c>
      <c r="R24" s="396" t="s">
        <v>97</v>
      </c>
    </row>
    <row r="25" spans="1:18" ht="39.75" customHeight="1" x14ac:dyDescent="0.2">
      <c r="A25" s="503"/>
      <c r="B25" s="496"/>
      <c r="C25" s="530"/>
      <c r="D25" s="530"/>
      <c r="E25" s="532"/>
      <c r="F25" s="534"/>
      <c r="G25" s="532"/>
      <c r="H25" s="534"/>
      <c r="I25" s="541"/>
      <c r="J25" s="20">
        <f>VALORACIÓN!C26</f>
        <v>2</v>
      </c>
      <c r="K25" s="230" t="str">
        <f>IF(VALORACIÓN!F26=0,"",VALORACIÓN!F26)</f>
        <v>Lectura y valoración técnica y/o disciplinar de los informes</v>
      </c>
      <c r="L25" s="543"/>
      <c r="M25" s="527"/>
      <c r="N25" s="530"/>
      <c r="O25" s="546"/>
      <c r="P25" s="395"/>
      <c r="Q25" s="395"/>
      <c r="R25" s="396"/>
    </row>
    <row r="26" spans="1:18" ht="39.75" customHeight="1" x14ac:dyDescent="0.2">
      <c r="A26" s="503"/>
      <c r="B26" s="496"/>
      <c r="C26" s="530"/>
      <c r="D26" s="530"/>
      <c r="E26" s="532"/>
      <c r="F26" s="535"/>
      <c r="G26" s="532"/>
      <c r="H26" s="535"/>
      <c r="I26" s="542"/>
      <c r="J26" s="20">
        <f>VALORACIÓN!C27</f>
        <v>3</v>
      </c>
      <c r="K26" s="230" t="str">
        <f>IF(VALORACIÓN!F27=0,"",VALORACIÓN!F27)</f>
        <v>Contextualización y aplicación de los lineamientos establecidos por el MEN y el CNA</v>
      </c>
      <c r="L26" s="543"/>
      <c r="M26" s="528"/>
      <c r="N26" s="530"/>
      <c r="O26" s="547"/>
      <c r="P26" s="395"/>
      <c r="Q26" s="395"/>
      <c r="R26" s="396"/>
    </row>
    <row r="27" spans="1:18" ht="39.75" customHeight="1" x14ac:dyDescent="0.2">
      <c r="A27" s="503" t="str">
        <f>VALORACIÓN!A28</f>
        <v>7G</v>
      </c>
      <c r="B27" s="496" t="str">
        <f>VALORACIÓN!B28</f>
        <v>Acreditación. Incumplimiento en algunas actividades establecidas en el plan de trabajo</v>
      </c>
      <c r="C27" s="530" t="str">
        <f>IF(IDENTIFICACIÓN!B15="","",IDENTIFICACIÓN!B15)</f>
        <v>* Poco espacio físico adecuado según la naturaleza de la Oficina asignado para la ejecución de las actividades de la OAC, en consideración a la interrelación permanente que desarrollan sus funcionarios con la comunidad académica.
* Falta de un soporte tecnológico que facilite el seguimiento a los procesos y la integración de un acervo documental con información institucional para la elaboración de los documentos</v>
      </c>
      <c r="D27" s="530" t="str">
        <f>IF(IDENTIFICACIÓN!F15="","",IDENTIFICACIÓN!F15)</f>
        <v xml:space="preserve">* Incumplimiento de los indicadores establecidos en el plan de trabajo, SCG, plan de gobierno y plan de desarrollo
* Poca interacción de los funcionarios en la ejecución  de actividades encaminadas a los procesos de autoevaluación, acreditación y aseguramiento de la calidad de los programas.
</v>
      </c>
      <c r="E27" s="532">
        <f>ANALISIS!D17</f>
        <v>5</v>
      </c>
      <c r="F27" s="533" t="str">
        <f>ANALISIS!E17</f>
        <v>CASI CERTEZA</v>
      </c>
      <c r="G27" s="532">
        <f>ANALISIS!G17</f>
        <v>3</v>
      </c>
      <c r="H27" s="533" t="str">
        <f>ANALISIS!H17</f>
        <v>MODERADO</v>
      </c>
      <c r="I27" s="540" t="str">
        <f>ANALISIS!J17</f>
        <v>EXTREMA 5:3</v>
      </c>
      <c r="J27" s="20">
        <f>VALORACIÓN!C28</f>
        <v>1</v>
      </c>
      <c r="K27" s="230" t="str">
        <f>IF(VALORACIÓN!F28=0,"",VALORACIÓN!F28)</f>
        <v>Asignación de rubro para remodelación y dotación de elementos y equipos de oficina</v>
      </c>
      <c r="L27" s="543">
        <f>VALORACIÓN!AA28</f>
        <v>80</v>
      </c>
      <c r="M27" s="526" t="str">
        <f>VALORACIÓN!AG28</f>
        <v>ALTA 5:1</v>
      </c>
      <c r="N27" s="530" t="str">
        <f>VALORACIÓN!AG29</f>
        <v>- Evitar Posibilidad de Ocurrencia- Reducir el Riesgo- Compartir o Transferir el riesgo</v>
      </c>
      <c r="O27" s="545" t="str">
        <f>IF(B27="","",IF(VALORACIÓN!BA28="","Aceptar el Riesgo sin necesidad de tomar otras medidas de control diferentes a las que se poseen, considerando que estos son efectivos con ponderacion de 100, y la evaluación final del riesgos es Baja 1:1",VALORACIÓN!BA28))</f>
        <v>- Establecer periodos de seguimiento adecuados (de) el(los) control(es) Efectivo(s) - Tomar Acciones Preventivas</v>
      </c>
      <c r="P27" s="395" t="s">
        <v>400</v>
      </c>
      <c r="Q27" s="395" t="s">
        <v>784</v>
      </c>
      <c r="R27" s="396" t="s">
        <v>97</v>
      </c>
    </row>
    <row r="28" spans="1:18" ht="39.75" customHeight="1" x14ac:dyDescent="0.2">
      <c r="A28" s="503"/>
      <c r="B28" s="496"/>
      <c r="C28" s="530"/>
      <c r="D28" s="530"/>
      <c r="E28" s="532"/>
      <c r="F28" s="534"/>
      <c r="G28" s="532"/>
      <c r="H28" s="534"/>
      <c r="I28" s="541"/>
      <c r="J28" s="20">
        <f>VALORACIÓN!C29</f>
        <v>2</v>
      </c>
      <c r="K28" s="230" t="str">
        <f>IF(VALORACIÓN!F29=0,"",VALORACIÓN!F29)</f>
        <v>Reubicación de espacios y fortalecimiento del # de funcionarios y contratistas adscritos a la OAC</v>
      </c>
      <c r="L28" s="543"/>
      <c r="M28" s="527"/>
      <c r="N28" s="530"/>
      <c r="O28" s="546"/>
      <c r="P28" s="395"/>
      <c r="Q28" s="395"/>
      <c r="R28" s="396"/>
    </row>
    <row r="29" spans="1:18" ht="39.75" customHeight="1" x14ac:dyDescent="0.2">
      <c r="A29" s="503"/>
      <c r="B29" s="496"/>
      <c r="C29" s="530"/>
      <c r="D29" s="530"/>
      <c r="E29" s="532"/>
      <c r="F29" s="535"/>
      <c r="G29" s="532"/>
      <c r="H29" s="535"/>
      <c r="I29" s="542"/>
      <c r="J29" s="20">
        <f>VALORACIÓN!C30</f>
        <v>3</v>
      </c>
      <c r="K29" s="230" t="str">
        <f>IF(VALORACIÓN!F30=0,"",VALORACIÓN!F30)</f>
        <v/>
      </c>
      <c r="L29" s="543"/>
      <c r="M29" s="528"/>
      <c r="N29" s="530"/>
      <c r="O29" s="547"/>
      <c r="P29" s="395"/>
      <c r="Q29" s="395"/>
      <c r="R29" s="396"/>
    </row>
    <row r="30" spans="1:18" ht="39.75" customHeight="1" x14ac:dyDescent="0.2">
      <c r="A30" s="503" t="str">
        <f>VALORACIÓN!A31</f>
        <v>8G</v>
      </c>
      <c r="B30" s="496" t="str">
        <f>VALORACIÓN!B31</f>
        <v>Acreditación. Retraso en el otorgamiento o renovacion del registro calificado</v>
      </c>
      <c r="C30" s="530" t="str">
        <f>IF(IDENTIFICACIÓN!B16="","",IDENTIFICACIÓN!B16)</f>
        <v>1.  Solicitudes al MEN despues del tiempo estipulado, es decir, con tiempos superiores a los  10 meses previsto para el caso de los registros calificados. 
2. Interpretación de las normas mas allá de lo que la ley no distingue, por parte del MEN en algunos casos
3. Congestión de trámites en el MEN referente a solicitud de registro calificado.
4. Falta de sincronización en las diferentes respuestas que deben emitir los entes gubernamentales, mas exactamente en los programas de la salud.</v>
      </c>
      <c r="D30" s="530" t="str">
        <f>IF(IDENTIFICACIÓN!F16="","",IDENTIFICACIÓN!F16)</f>
        <v>1. Suspensión de la oferta del programa por vencimiento de registro sin que se haya producido la respuesta del MEN.
2. Impacto en los indicadores de la Institución</v>
      </c>
      <c r="E30" s="532">
        <f>ANALISIS!D18</f>
        <v>4</v>
      </c>
      <c r="F30" s="533" t="str">
        <f>ANALISIS!E18</f>
        <v>PROBABLE</v>
      </c>
      <c r="G30" s="532">
        <f>ANALISIS!G18</f>
        <v>4</v>
      </c>
      <c r="H30" s="533" t="str">
        <f>ANALISIS!H18</f>
        <v>MAYOR</v>
      </c>
      <c r="I30" s="540" t="str">
        <f>ANALISIS!J18</f>
        <v>EXTREMA 4:4</v>
      </c>
      <c r="J30" s="20">
        <f>VALORACIÓN!C31</f>
        <v>1</v>
      </c>
      <c r="K30" s="230" t="str">
        <f>IF(VALORACIÓN!F31=0,"",VALORACIÓN!F31)</f>
        <v>Alerta a la fecha de vencimiento</v>
      </c>
      <c r="L30" s="543">
        <f>VALORACIÓN!AA31</f>
        <v>95</v>
      </c>
      <c r="M30" s="526" t="str">
        <f>VALORACIÓN!AG31</f>
        <v>ALTA 1:4</v>
      </c>
      <c r="N30" s="530" t="str">
        <f>VALORACIÓN!AG32</f>
        <v>- Reducir el Riesgo- Compartir o Transferir el Riesgo</v>
      </c>
      <c r="O30" s="545" t="str">
        <f>IF(B30="","",IF(VALORACIÓN!BA31="","Aceptar el Riesgo sin necesidad de tomar otras medidas de control diferentes a las que se poseen, considerando que estos son efectivos con ponderacion de 100, y la evaluación final del riesgos es Baja 1:1",VALORACIÓN!BA31))</f>
        <v>- Tomar Acciones Correctivas</v>
      </c>
      <c r="P30" s="395" t="s">
        <v>400</v>
      </c>
      <c r="Q30" s="395" t="s">
        <v>784</v>
      </c>
      <c r="R30" s="396" t="s">
        <v>97</v>
      </c>
    </row>
    <row r="31" spans="1:18" ht="39.75" customHeight="1" x14ac:dyDescent="0.2">
      <c r="A31" s="503"/>
      <c r="B31" s="496"/>
      <c r="C31" s="530"/>
      <c r="D31" s="530"/>
      <c r="E31" s="532"/>
      <c r="F31" s="534"/>
      <c r="G31" s="532"/>
      <c r="H31" s="534"/>
      <c r="I31" s="541"/>
      <c r="J31" s="20">
        <f>VALORACIÓN!C32</f>
        <v>2</v>
      </c>
      <c r="K31" s="230" t="str">
        <f>IF(VALORACIÓN!F32=0,"",VALORACIÓN!F32)</f>
        <v>Seguimiento permanente a la respuesta del CNA a través de diversos medios de comunicación</v>
      </c>
      <c r="L31" s="543"/>
      <c r="M31" s="527"/>
      <c r="N31" s="530"/>
      <c r="O31" s="546"/>
      <c r="P31" s="395"/>
      <c r="Q31" s="395"/>
      <c r="R31" s="396"/>
    </row>
    <row r="32" spans="1:18" ht="39.75" customHeight="1" x14ac:dyDescent="0.2">
      <c r="A32" s="503"/>
      <c r="B32" s="496"/>
      <c r="C32" s="530"/>
      <c r="D32" s="530"/>
      <c r="E32" s="532"/>
      <c r="F32" s="535"/>
      <c r="G32" s="532"/>
      <c r="H32" s="535"/>
      <c r="I32" s="542"/>
      <c r="J32" s="20">
        <f>VALORACIÓN!C33</f>
        <v>3</v>
      </c>
      <c r="K32" s="230" t="str">
        <f>IF(VALORACIÓN!F33=0,"",VALORACIÓN!F33)</f>
        <v/>
      </c>
      <c r="L32" s="543"/>
      <c r="M32" s="528"/>
      <c r="N32" s="530"/>
      <c r="O32" s="547"/>
      <c r="P32" s="395"/>
      <c r="Q32" s="395"/>
      <c r="R32" s="396"/>
    </row>
    <row r="33" spans="1:18" ht="39.75" customHeight="1" x14ac:dyDescent="0.2">
      <c r="A33" s="503" t="str">
        <f>VALORACIÓN!A34</f>
        <v>9G</v>
      </c>
      <c r="B33" s="496" t="str">
        <f>VALORACIÓN!B34</f>
        <v>Gestión de la Calidad. La alta dirección no asegura la disponibilidad de los recursos para el mantenimiento y mejora del sistema.</v>
      </c>
      <c r="C33" s="530" t="str">
        <f>IF(IDENTIFICACIÓN!B17="","",IDENTIFICACIÓN!B17)</f>
        <v>Insuficientes mecanismos de control y seguimiento para el aseguramiento de la calidad. 
Desarticulación de planes de mejoramientos de los procesos con el plan de acción institucional.</v>
      </c>
      <c r="D33" s="530" t="str">
        <f>IF(IDENTIFICACIÓN!F17="","",IDENTIFICACIÓN!F17)</f>
        <v>Suspensión o pérdida de los Certificados de la calidad.
Pérdida de la cultura de la gestión de la calidad institucional.</v>
      </c>
      <c r="E33" s="532">
        <f>ANALISIS!D19</f>
        <v>1</v>
      </c>
      <c r="F33" s="533" t="str">
        <f>ANALISIS!E19</f>
        <v>RARO</v>
      </c>
      <c r="G33" s="532">
        <f>ANALISIS!G19</f>
        <v>4</v>
      </c>
      <c r="H33" s="533" t="str">
        <f>ANALISIS!H19</f>
        <v>MAYOR</v>
      </c>
      <c r="I33" s="540" t="str">
        <f>ANALISIS!J19</f>
        <v>ALTA 1:4</v>
      </c>
      <c r="J33" s="20">
        <f>VALORACIÓN!C34</f>
        <v>1</v>
      </c>
      <c r="K33" s="230" t="str">
        <f>IF(VALORACIÓN!F34=0,"",VALORACIÓN!F34)</f>
        <v>Revisiones del Sistema COGUI por la alta dirección.</v>
      </c>
      <c r="L33" s="543">
        <f>VALORACIÓN!AA34</f>
        <v>95</v>
      </c>
      <c r="M33" s="526" t="str">
        <f>VALORACIÓN!AG34</f>
        <v>ALTA 1:4</v>
      </c>
      <c r="N33" s="530" t="str">
        <f>VALORACIÓN!AG35</f>
        <v>- Reducir el Riesgo- Compartir o Transferir el Riesgo</v>
      </c>
      <c r="O33" s="545" t="str">
        <f>IF(B33="","",IF(VALORACIÓN!BA34="","Aceptar el Riesgo sin necesidad de tomar otras medidas de control diferentes a las que se poseen, considerando que estos son efectivos con ponderacion de 100, y la evaluación final del riesgos es Baja 1:1",VALORACIÓN!BA34))</f>
        <v>- Tomar Acciones Correctivas</v>
      </c>
      <c r="P33" s="395" t="s">
        <v>404</v>
      </c>
      <c r="Q33" s="395" t="s">
        <v>785</v>
      </c>
      <c r="R33" s="396" t="s">
        <v>70</v>
      </c>
    </row>
    <row r="34" spans="1:18" ht="39.75" customHeight="1" x14ac:dyDescent="0.2">
      <c r="A34" s="503"/>
      <c r="B34" s="496"/>
      <c r="C34" s="530"/>
      <c r="D34" s="530"/>
      <c r="E34" s="532"/>
      <c r="F34" s="534"/>
      <c r="G34" s="532"/>
      <c r="H34" s="534"/>
      <c r="I34" s="541"/>
      <c r="J34" s="20">
        <f>VALORACIÓN!C35</f>
        <v>2</v>
      </c>
      <c r="K34" s="230" t="str">
        <f>IF(VALORACIÓN!F35=0,"",VALORACIÓN!F35)</f>
        <v>Informar a la alta dirección las necesidades de recursos.</v>
      </c>
      <c r="L34" s="543"/>
      <c r="M34" s="527"/>
      <c r="N34" s="530"/>
      <c r="O34" s="546"/>
      <c r="P34" s="395"/>
      <c r="Q34" s="395"/>
      <c r="R34" s="396"/>
    </row>
    <row r="35" spans="1:18" ht="39.75" customHeight="1" x14ac:dyDescent="0.2">
      <c r="A35" s="503"/>
      <c r="B35" s="496"/>
      <c r="C35" s="530"/>
      <c r="D35" s="530"/>
      <c r="E35" s="532"/>
      <c r="F35" s="535"/>
      <c r="G35" s="532"/>
      <c r="H35" s="535"/>
      <c r="I35" s="542"/>
      <c r="J35" s="20">
        <f>VALORACIÓN!C36</f>
        <v>3</v>
      </c>
      <c r="K35" s="230" t="str">
        <f>IF(VALORACIÓN!F36=0,"",VALORACIÓN!F36)</f>
        <v/>
      </c>
      <c r="L35" s="543"/>
      <c r="M35" s="528"/>
      <c r="N35" s="530"/>
      <c r="O35" s="547"/>
      <c r="P35" s="395"/>
      <c r="Q35" s="395"/>
      <c r="R35" s="396"/>
    </row>
    <row r="36" spans="1:18" ht="39.75" customHeight="1" x14ac:dyDescent="0.2">
      <c r="A36" s="503" t="str">
        <f>VALORACIÓN!A37</f>
        <v>10G</v>
      </c>
      <c r="B36" s="496" t="str">
        <f>VALORACIÓN!B37</f>
        <v>Comunicaciones. Inoportuna e ineficaz divulgación de los productos comunicativos y publicitarios ante los usuarios internos y externos.</v>
      </c>
      <c r="C36" s="530" t="str">
        <f>IF(IDENTIFICACIÓN!B18="","",IDENTIFICACIÓN!B18)</f>
        <v xml:space="preserve">Dependencia en la toma de decisiones. Demora en la revisión de los productos comunicativos por parte de la Alta Dirección y/o jefes. </v>
      </c>
      <c r="D36" s="530" t="str">
        <f>IF(IDENTIFICACIÓN!F18="","",IDENTIFICACIÓN!F18)</f>
        <v>Disminución de los indicadores de calidad, pérdida de la credibilidad, presentación desactualizada de la información y discontinuidad de publicaciones.</v>
      </c>
      <c r="E36" s="532">
        <f>ANALISIS!D20</f>
        <v>3</v>
      </c>
      <c r="F36" s="533" t="str">
        <f>ANALISIS!E20</f>
        <v>POSIBLE</v>
      </c>
      <c r="G36" s="532">
        <f>ANALISIS!G20</f>
        <v>4</v>
      </c>
      <c r="H36" s="533" t="str">
        <f>ANALISIS!H20</f>
        <v>MAYOR</v>
      </c>
      <c r="I36" s="540" t="str">
        <f>ANALISIS!J20</f>
        <v>EXTREMA 3:4</v>
      </c>
      <c r="J36" s="20">
        <f>VALORACIÓN!C37</f>
        <v>1</v>
      </c>
      <c r="K36" s="230" t="str">
        <f>IF(VALORACIÓN!F37=0,"",VALORACIÓN!F37)</f>
        <v>Aprobación y visto bueno del jefe inmediato</v>
      </c>
      <c r="L36" s="543">
        <f>VALORACIÓN!AA37</f>
        <v>95</v>
      </c>
      <c r="M36" s="526" t="str">
        <f>VALORACIÓN!AG37</f>
        <v>ALTA 1:4</v>
      </c>
      <c r="N36" s="530" t="str">
        <f>VALORACIÓN!AG38</f>
        <v>- Reducir el Riesgo- Compartir o Transferir el Riesgo</v>
      </c>
      <c r="O36" s="545" t="str">
        <f>IF(B36="","",IF(VALORACIÓN!BA37="","Aceptar el Riesgo sin necesidad de tomar otras medidas de control diferentes a las que se poseen, considerando que estos son efectivos con ponderacion de 100, y la evaluación final del riesgos es Baja 1:1",VALORACIÓN!BA37))</f>
        <v>- Tomar Acciones Correctivas</v>
      </c>
      <c r="P36" s="395" t="s">
        <v>404</v>
      </c>
      <c r="Q36" s="395" t="s">
        <v>786</v>
      </c>
      <c r="R36" s="396" t="s">
        <v>70</v>
      </c>
    </row>
    <row r="37" spans="1:18" ht="39.75" customHeight="1" x14ac:dyDescent="0.2">
      <c r="A37" s="503"/>
      <c r="B37" s="496"/>
      <c r="C37" s="530"/>
      <c r="D37" s="530"/>
      <c r="E37" s="532"/>
      <c r="F37" s="534"/>
      <c r="G37" s="532"/>
      <c r="H37" s="534"/>
      <c r="I37" s="541"/>
      <c r="J37" s="20">
        <f>VALORACIÓN!C38</f>
        <v>2</v>
      </c>
      <c r="K37" s="230" t="str">
        <f>IF(VALORACIÓN!F38=0,"",VALORACIÓN!F38)</f>
        <v/>
      </c>
      <c r="L37" s="543"/>
      <c r="M37" s="527"/>
      <c r="N37" s="530"/>
      <c r="O37" s="546"/>
      <c r="P37" s="395" t="s">
        <v>404</v>
      </c>
      <c r="Q37" s="395" t="s">
        <v>787</v>
      </c>
      <c r="R37" s="396" t="s">
        <v>70</v>
      </c>
    </row>
    <row r="38" spans="1:18" ht="39.75" customHeight="1" x14ac:dyDescent="0.2">
      <c r="A38" s="503"/>
      <c r="B38" s="496"/>
      <c r="C38" s="530"/>
      <c r="D38" s="530"/>
      <c r="E38" s="532"/>
      <c r="F38" s="535"/>
      <c r="G38" s="532"/>
      <c r="H38" s="535"/>
      <c r="I38" s="542"/>
      <c r="J38" s="20">
        <f>VALORACIÓN!C39</f>
        <v>3</v>
      </c>
      <c r="K38" s="230" t="str">
        <f>IF(VALORACIÓN!F39=0,"",VALORACIÓN!F39)</f>
        <v/>
      </c>
      <c r="L38" s="543"/>
      <c r="M38" s="528"/>
      <c r="N38" s="530"/>
      <c r="O38" s="547"/>
      <c r="P38" s="395"/>
      <c r="Q38" s="395"/>
      <c r="R38" s="396"/>
    </row>
    <row r="39" spans="1:18" ht="39.75" customHeight="1" x14ac:dyDescent="0.2">
      <c r="A39" s="503" t="str">
        <f>VALORACIÓN!A40</f>
        <v>11G</v>
      </c>
      <c r="B39" s="496" t="str">
        <f>VALORACIÓN!B40</f>
        <v>Gestión Academica. Pérdida de Registro Calificado de los Programas Académicos.</v>
      </c>
      <c r="C39" s="530" t="str">
        <f>IF(IDENTIFICACIÓN!B19="","",IDENTIFICACIÓN!B19)</f>
        <v>1. Falta de revisión de los vencimientos del Registro Calificado de los Programas Académicos.
2. Descuido por parte de personal responsable del proceso.
3. Alta carga laboral.
4. Desconocimiento de la normatividad especifica de cada programa por parte de éstos. 
5.La falta de Cómites de Autoevalción en cada programa.          
6. Falta de capacitación sobre el proceso de registro calificado  a los responsables que ingresan nuevos en los distintos programas.                    
7.Falta o inadecada infratructura fisica y/o tecnologica</v>
      </c>
      <c r="D39" s="530" t="str">
        <f>IF(IDENTIFICACIÓN!F19="","",IDENTIFICACIÓN!F19)</f>
        <v>1. Reducción de la oferta académica.
2. Pérdida de la credibilidad institucional.
3.  Impacto económico (Disminución de ingresos).
4. Deserción estudiantil.</v>
      </c>
      <c r="E39" s="532">
        <f>ANALISIS!D21</f>
        <v>3</v>
      </c>
      <c r="F39" s="533" t="str">
        <f>ANALISIS!E21</f>
        <v>POSIBLE</v>
      </c>
      <c r="G39" s="532">
        <f>ANALISIS!G21</f>
        <v>4</v>
      </c>
      <c r="H39" s="533" t="str">
        <f>ANALISIS!H21</f>
        <v>MAYOR</v>
      </c>
      <c r="I39" s="540" t="str">
        <f>ANALISIS!J21</f>
        <v>EXTREMA 3:4</v>
      </c>
      <c r="J39" s="357">
        <f>VALORACIÓN!C40</f>
        <v>1</v>
      </c>
      <c r="K39" s="358" t="str">
        <f>IF(VALORACIÓN!F40=0,"",VALORACIÓN!F40)</f>
        <v>Sensibilización a través de talleres, seminarios, reuniones  y comunicaciones afines al riesgo</v>
      </c>
      <c r="L39" s="543">
        <f>VALORACIÓN!AA40</f>
        <v>88</v>
      </c>
      <c r="M39" s="526" t="str">
        <f>VALORACIÓN!AG40</f>
        <v>ALTA 1:4</v>
      </c>
      <c r="N39" s="530" t="str">
        <f>VALORACIÓN!AG41</f>
        <v>- Reducir el Riesgo- Compartir o Transferir el Riesgo</v>
      </c>
      <c r="O39" s="545" t="str">
        <f>IF(B39="","",IF(VALORACIÓN!BA40="","Aceptar el Riesgo sin necesidad de tomar otras medidas de control diferentes a las que se poseen, considerando que estos son efectivos con ponderacion de 100, y la evaluación final del riesgos es Baja 1:1",VALORACIÓN!BA40))</f>
        <v>- Establecer periodos de seguimiento adecuados (de) el(los) control(es) Efectivo(s) - Tomar Acciones Correctivas</v>
      </c>
      <c r="P39" s="395" t="s">
        <v>404</v>
      </c>
      <c r="Q39" s="395" t="s">
        <v>788</v>
      </c>
      <c r="R39" s="396" t="s">
        <v>69</v>
      </c>
    </row>
    <row r="40" spans="1:18" ht="39.75" customHeight="1" x14ac:dyDescent="0.2">
      <c r="A40" s="503"/>
      <c r="B40" s="496"/>
      <c r="C40" s="530"/>
      <c r="D40" s="530"/>
      <c r="E40" s="532"/>
      <c r="F40" s="534"/>
      <c r="G40" s="532"/>
      <c r="H40" s="534"/>
      <c r="I40" s="541"/>
      <c r="J40" s="357">
        <f>VALORACIÓN!C41</f>
        <v>2</v>
      </c>
      <c r="K40" s="358" t="str">
        <f>IF(VALORACIÓN!F41=0,"",VALORACIÓN!F41)</f>
        <v>Se han implementado, procedimientos, formatos y guías</v>
      </c>
      <c r="L40" s="543"/>
      <c r="M40" s="527"/>
      <c r="N40" s="530"/>
      <c r="O40" s="546"/>
      <c r="P40" s="395" t="s">
        <v>403</v>
      </c>
      <c r="Q40" s="395" t="s">
        <v>789</v>
      </c>
      <c r="R40" s="396" t="s">
        <v>69</v>
      </c>
    </row>
    <row r="41" spans="1:18" ht="39.75" customHeight="1" x14ac:dyDescent="0.2">
      <c r="A41" s="503"/>
      <c r="B41" s="496"/>
      <c r="C41" s="530"/>
      <c r="D41" s="530"/>
      <c r="E41" s="532"/>
      <c r="F41" s="535"/>
      <c r="G41" s="532"/>
      <c r="H41" s="535"/>
      <c r="I41" s="542"/>
      <c r="J41" s="357">
        <f>VALORACIÓN!C42</f>
        <v>3</v>
      </c>
      <c r="K41" s="358" t="str">
        <f>IF(VALORACIÓN!F42=0,"",VALORACIÓN!F42)</f>
        <v/>
      </c>
      <c r="L41" s="543"/>
      <c r="M41" s="528"/>
      <c r="N41" s="530"/>
      <c r="O41" s="547"/>
      <c r="P41" s="395"/>
      <c r="Q41" s="395"/>
      <c r="R41" s="396"/>
    </row>
    <row r="42" spans="1:18" ht="39.75" customHeight="1" x14ac:dyDescent="0.2">
      <c r="A42" s="503" t="str">
        <f>VALORACIÓN!A43</f>
        <v>12G</v>
      </c>
      <c r="B42" s="496" t="str">
        <f>VALORACIÓN!B43</f>
        <v>Gestión Academica. Formulación inadecuada de políticas.</v>
      </c>
      <c r="C42" s="530" t="str">
        <f>IF(IDENTIFICACIÓN!B20="","",IDENTIFICACIÓN!B20)</f>
        <v>1. Inadecuada revisión del contexto. 
2.  Toma de decisiones basadas en situaciones particulares, sin considerar la generalidad que aplica en cada caso.  
3. Alta carga laboral.</v>
      </c>
      <c r="D42" s="530" t="str">
        <f>IF(IDENTIFICACIÓN!F20="","",IDENTIFICACIÓN!F20)</f>
        <v>1. Ausencia de unidad de criterio.
2. Posibles toma de decisiones inadecuadas.
3. Retrasa el desarrollo institucional.
4. Exposición a sanciones.
5. Favorecimiento a casos particulares.</v>
      </c>
      <c r="E42" s="532">
        <f>ANALISIS!D22</f>
        <v>3</v>
      </c>
      <c r="F42" s="533" t="str">
        <f>ANALISIS!E22</f>
        <v>POSIBLE</v>
      </c>
      <c r="G42" s="532">
        <f>ANALISIS!G22</f>
        <v>4</v>
      </c>
      <c r="H42" s="533" t="str">
        <f>ANALISIS!H22</f>
        <v>MAYOR</v>
      </c>
      <c r="I42" s="540" t="str">
        <f>ANALISIS!J22</f>
        <v>EXTREMA 3:4</v>
      </c>
      <c r="J42" s="357">
        <f>VALORACIÓN!C43</f>
        <v>1</v>
      </c>
      <c r="K42" s="358" t="str">
        <f>IF(VALORACIÓN!F43=0,"",VALORACIÓN!F43)</f>
        <v>Reuniones de revision de los directivos academicos en los difrentes programas</v>
      </c>
      <c r="L42" s="543">
        <f>VALORACIÓN!AA43</f>
        <v>95</v>
      </c>
      <c r="M42" s="526" t="str">
        <f>VALORACIÓN!AG43</f>
        <v>ALTA 1:4</v>
      </c>
      <c r="N42" s="530" t="str">
        <f>VALORACIÓN!AG44</f>
        <v>- Reducir el Riesgo- Compartir o Transferir el Riesgo</v>
      </c>
      <c r="O42" s="545" t="str">
        <f>IF(B42="","",IF(VALORACIÓN!BA43="","Aceptar el Riesgo sin necesidad de tomar otras medidas de control diferentes a las que se poseen, considerando que estos son efectivos con ponderacion de 100, y la evaluación final del riesgos es Baja 1:1",VALORACIÓN!BA43))</f>
        <v>- Tomar Acciones Correctivas</v>
      </c>
      <c r="P42" s="395" t="s">
        <v>403</v>
      </c>
      <c r="Q42" s="395" t="s">
        <v>790</v>
      </c>
      <c r="R42" s="396" t="s">
        <v>69</v>
      </c>
    </row>
    <row r="43" spans="1:18" ht="39.75" customHeight="1" x14ac:dyDescent="0.2">
      <c r="A43" s="503"/>
      <c r="B43" s="496"/>
      <c r="C43" s="530"/>
      <c r="D43" s="530"/>
      <c r="E43" s="532"/>
      <c r="F43" s="534"/>
      <c r="G43" s="532"/>
      <c r="H43" s="534"/>
      <c r="I43" s="541"/>
      <c r="J43" s="357">
        <f>VALORACIÓN!C44</f>
        <v>2</v>
      </c>
      <c r="K43" s="358" t="str">
        <f>IF(VALORACIÓN!F44=0,"",VALORACIÓN!F44)</f>
        <v>Se ha recibido orientacion y apoyo de asesores internos y externos para el tema.</v>
      </c>
      <c r="L43" s="543"/>
      <c r="M43" s="527"/>
      <c r="N43" s="530"/>
      <c r="O43" s="546"/>
      <c r="P43" s="395"/>
      <c r="Q43" s="395"/>
      <c r="R43" s="396"/>
    </row>
    <row r="44" spans="1:18" ht="39.75" customHeight="1" x14ac:dyDescent="0.2">
      <c r="A44" s="503"/>
      <c r="B44" s="496"/>
      <c r="C44" s="530"/>
      <c r="D44" s="530"/>
      <c r="E44" s="532"/>
      <c r="F44" s="535"/>
      <c r="G44" s="532"/>
      <c r="H44" s="535"/>
      <c r="I44" s="542"/>
      <c r="J44" s="357">
        <f>VALORACIÓN!C45</f>
        <v>3</v>
      </c>
      <c r="K44" s="358" t="str">
        <f>IF(VALORACIÓN!F45=0,"",VALORACIÓN!F45)</f>
        <v/>
      </c>
      <c r="L44" s="543"/>
      <c r="M44" s="528"/>
      <c r="N44" s="530"/>
      <c r="O44" s="547"/>
      <c r="P44" s="395"/>
      <c r="Q44" s="395"/>
      <c r="R44" s="396"/>
    </row>
    <row r="45" spans="1:18" ht="39.75" customHeight="1" x14ac:dyDescent="0.2">
      <c r="A45" s="503" t="str">
        <f>VALORACIÓN!A46</f>
        <v>13G</v>
      </c>
      <c r="B45" s="496" t="str">
        <f>VALORACIÓN!B46</f>
        <v>Gestión Academica. Aplicación inadecuada de la normatividad en el desarrollo de los diferentes procesos academicos de los programas.</v>
      </c>
      <c r="C45" s="530" t="str">
        <f>IF(IDENTIFICACIÓN!B21="","",IDENTIFICACIÓN!B21)</f>
        <v xml:space="preserve">1. Desconocimiento de la normativa existente o falta de revisión de los responsables del proceso.
2.  Descuido por parte de personal responsable del proceso.
3.  Alta carga laboral.                                   </v>
      </c>
      <c r="D45" s="530" t="str">
        <f>IF(IDENTIFICACIÓN!F21="","",IDENTIFICACIÓN!F21)</f>
        <v>1. Incremento de: demandas, derechos de petición, tutelas, PQR.
2. Incumplimiento de la planeación académica.
3. Perdida de credibilidad institucional.
4. Sanciones económicas y/o administrativas.
5. Afectación de la gobernabilidad institucional.</v>
      </c>
      <c r="E45" s="532">
        <f>ANALISIS!D23</f>
        <v>2</v>
      </c>
      <c r="F45" s="533" t="str">
        <f>ANALISIS!E23</f>
        <v>IMPROBABLE</v>
      </c>
      <c r="G45" s="532">
        <f>ANALISIS!G23</f>
        <v>4</v>
      </c>
      <c r="H45" s="533" t="str">
        <f>ANALISIS!H23</f>
        <v>MAYOR</v>
      </c>
      <c r="I45" s="540" t="str">
        <f>ANALISIS!J23</f>
        <v>ALTA 2:4</v>
      </c>
      <c r="J45" s="357">
        <f>VALORACIÓN!C46</f>
        <v>1</v>
      </c>
      <c r="K45" s="358" t="str">
        <f>IF(VALORACIÓN!F46=0,"",VALORACIÓN!F46)</f>
        <v>Procedimientos escritos</v>
      </c>
      <c r="L45" s="543">
        <f>VALORACIÓN!AA46</f>
        <v>95</v>
      </c>
      <c r="M45" s="526" t="str">
        <f>VALORACIÓN!AG46</f>
        <v>ALTA 1:4</v>
      </c>
      <c r="N45" s="530" t="str">
        <f>VALORACIÓN!AG47</f>
        <v>- Reducir el Riesgo- Compartir o Transferir el Riesgo</v>
      </c>
      <c r="O45" s="545" t="str">
        <f>IF(B45="","",IF(VALORACIÓN!BA46="","Aceptar el Riesgo sin necesidad de tomar otras medidas de control diferentes a las que se poseen, considerando que estos son efectivos con ponderacion de 100, y la evaluación final del riesgos es Baja 1:1",VALORACIÓN!BA46))</f>
        <v>- Tomar Acciones Correctivas</v>
      </c>
      <c r="P45" s="395" t="s">
        <v>404</v>
      </c>
      <c r="Q45" s="395" t="s">
        <v>791</v>
      </c>
      <c r="R45" s="396" t="s">
        <v>70</v>
      </c>
    </row>
    <row r="46" spans="1:18" ht="39.75" customHeight="1" x14ac:dyDescent="0.2">
      <c r="A46" s="503"/>
      <c r="B46" s="496"/>
      <c r="C46" s="530"/>
      <c r="D46" s="530"/>
      <c r="E46" s="532"/>
      <c r="F46" s="534"/>
      <c r="G46" s="532"/>
      <c r="H46" s="534"/>
      <c r="I46" s="541"/>
      <c r="J46" s="357">
        <f>VALORACIÓN!C47</f>
        <v>2</v>
      </c>
      <c r="K46" s="358" t="str">
        <f>IF(VALORACIÓN!F47=0,"",VALORACIÓN!F47)</f>
        <v>Utilización Formato</v>
      </c>
      <c r="L46" s="543"/>
      <c r="M46" s="527"/>
      <c r="N46" s="530"/>
      <c r="O46" s="546"/>
      <c r="P46" s="395"/>
      <c r="Q46" s="395"/>
      <c r="R46" s="396"/>
    </row>
    <row r="47" spans="1:18" ht="39.75" customHeight="1" x14ac:dyDescent="0.2">
      <c r="A47" s="503"/>
      <c r="B47" s="496"/>
      <c r="C47" s="530"/>
      <c r="D47" s="530"/>
      <c r="E47" s="532"/>
      <c r="F47" s="535"/>
      <c r="G47" s="532"/>
      <c r="H47" s="535"/>
      <c r="I47" s="542"/>
      <c r="J47" s="357">
        <f>VALORACIÓN!C48</f>
        <v>3</v>
      </c>
      <c r="K47" s="358" t="str">
        <f>IF(VALORACIÓN!F48=0,"",VALORACIÓN!F48)</f>
        <v>Uso de Normograma</v>
      </c>
      <c r="L47" s="543"/>
      <c r="M47" s="528"/>
      <c r="N47" s="530"/>
      <c r="O47" s="547"/>
      <c r="P47" s="395"/>
      <c r="Q47" s="395"/>
      <c r="R47" s="396"/>
    </row>
    <row r="48" spans="1:18" ht="39.75" customHeight="1" x14ac:dyDescent="0.2">
      <c r="A48" s="503" t="str">
        <f>VALORACIÓN!A49</f>
        <v>14G</v>
      </c>
      <c r="B48" s="496" t="str">
        <f>VALORACIÓN!B49</f>
        <v>Gestión Academica. Deterioro en la calidad de los programas académicos por necesidades de recursos no cubiertas.</v>
      </c>
      <c r="C48" s="530" t="str">
        <f>IF(IDENTIFICACIÓN!B22="","",IDENTIFICACIÓN!B22)</f>
        <v>1. Planeación inadecuada.                                         
2. Mala priorización de las necesidades de los programas académicos.</v>
      </c>
      <c r="D48" s="530" t="str">
        <f>IF(IDENTIFICACIÓN!F22="","",IDENTIFICACIÓN!F22)</f>
        <v>1. Mala ejecución de los recursos.
2. Necesidades insatisfechas de los programas académicos.</v>
      </c>
      <c r="E48" s="532">
        <f>ANALISIS!D24</f>
        <v>3</v>
      </c>
      <c r="F48" s="533" t="str">
        <f>ANALISIS!E24</f>
        <v>POSIBLE</v>
      </c>
      <c r="G48" s="532">
        <f>ANALISIS!G24</f>
        <v>4</v>
      </c>
      <c r="H48" s="533" t="str">
        <f>ANALISIS!H24</f>
        <v>MAYOR</v>
      </c>
      <c r="I48" s="540" t="str">
        <f>ANALISIS!J24</f>
        <v>EXTREMA 3:4</v>
      </c>
      <c r="J48" s="357">
        <f>VALORACIÓN!C49</f>
        <v>1</v>
      </c>
      <c r="K48" s="358" t="str">
        <f>IF(VALORACIÓN!F49=0,"",VALORACIÓN!F49)</f>
        <v>Procedimientos escritos</v>
      </c>
      <c r="L48" s="543">
        <f>VALORACIÓN!AA49</f>
        <v>95</v>
      </c>
      <c r="M48" s="526" t="str">
        <f>VALORACIÓN!AG49</f>
        <v>ALTA 1:4</v>
      </c>
      <c r="N48" s="530" t="str">
        <f>VALORACIÓN!AG50</f>
        <v>- Reducir el Riesgo- Compartir o Transferir el Riesgo</v>
      </c>
      <c r="O48" s="545" t="str">
        <f>IF(B48="","",IF(VALORACIÓN!BA49="","Aceptar el Riesgo sin necesidad de tomar otras medidas de control diferentes a las que se poseen, considerando que estos son efectivos con ponderacion de 100, y la evaluación final del riesgos es Baja 1:1",VALORACIÓN!BA49))</f>
        <v>- Tomar Acciones Correctivas</v>
      </c>
      <c r="P48" s="395" t="s">
        <v>404</v>
      </c>
      <c r="Q48" s="395" t="s">
        <v>792</v>
      </c>
      <c r="R48" s="396" t="s">
        <v>69</v>
      </c>
    </row>
    <row r="49" spans="1:18" ht="39.75" customHeight="1" x14ac:dyDescent="0.2">
      <c r="A49" s="503"/>
      <c r="B49" s="496"/>
      <c r="C49" s="530"/>
      <c r="D49" s="530"/>
      <c r="E49" s="532"/>
      <c r="F49" s="534"/>
      <c r="G49" s="532"/>
      <c r="H49" s="534"/>
      <c r="I49" s="541"/>
      <c r="J49" s="357">
        <f>VALORACIÓN!C50</f>
        <v>2</v>
      </c>
      <c r="K49" s="358" t="str">
        <f>IF(VALORACIÓN!F50=0,"",VALORACIÓN!F50)</f>
        <v>Formatos establecidos</v>
      </c>
      <c r="L49" s="543"/>
      <c r="M49" s="527"/>
      <c r="N49" s="530"/>
      <c r="O49" s="546"/>
      <c r="P49" s="395"/>
      <c r="Q49" s="395"/>
      <c r="R49" s="396"/>
    </row>
    <row r="50" spans="1:18" ht="39.75" customHeight="1" x14ac:dyDescent="0.2">
      <c r="A50" s="503"/>
      <c r="B50" s="496"/>
      <c r="C50" s="530"/>
      <c r="D50" s="530"/>
      <c r="E50" s="532"/>
      <c r="F50" s="535"/>
      <c r="G50" s="532"/>
      <c r="H50" s="535"/>
      <c r="I50" s="542"/>
      <c r="J50" s="357">
        <f>VALORACIÓN!C51</f>
        <v>3</v>
      </c>
      <c r="K50" s="358" t="str">
        <f>IF(VALORACIÓN!F51=0,"",VALORACIÓN!F51)</f>
        <v>Capacitaciones, talleres, seminarios</v>
      </c>
      <c r="L50" s="543"/>
      <c r="M50" s="528"/>
      <c r="N50" s="530"/>
      <c r="O50" s="547"/>
      <c r="P50" s="395"/>
      <c r="Q50" s="395"/>
      <c r="R50" s="396"/>
    </row>
    <row r="51" spans="1:18" ht="39.75" customHeight="1" x14ac:dyDescent="0.2">
      <c r="A51" s="503" t="str">
        <f>VALORACIÓN!A52</f>
        <v>15G</v>
      </c>
      <c r="B51" s="496" t="str">
        <f>VALORACIÓN!B52</f>
        <v xml:space="preserve">Gestión de Investigación. No fomentar la actividad investigativa en la Universidad.  </v>
      </c>
      <c r="C51" s="530" t="str">
        <f>IF(IDENTIFICACIÓN!B23="","",IDENTIFICACIÓN!B23)</f>
        <v xml:space="preserve">Falta de gestión de recursos para actividades de investigación. 
Desconocimiento de necesidades de los grupos de investigación
Desconocimiento de procedimientos </v>
      </c>
      <c r="D51" s="530" t="str">
        <f>IF(IDENTIFICACIÓN!F23="","",IDENTIFICACIÓN!F23)</f>
        <v>Disminuyen los indicadores de la actividad investigativa
Reducción de presupuesto para la investigación
Disminución de la visibilidad de la Universidad</v>
      </c>
      <c r="E51" s="532">
        <f>ANALISIS!D25</f>
        <v>1</v>
      </c>
      <c r="F51" s="533" t="str">
        <f>ANALISIS!E25</f>
        <v>RARO</v>
      </c>
      <c r="G51" s="532">
        <f>ANALISIS!G25</f>
        <v>5</v>
      </c>
      <c r="H51" s="533" t="str">
        <f>ANALISIS!H25</f>
        <v>CATASTRÓFICO</v>
      </c>
      <c r="I51" s="540" t="str">
        <f>ANALISIS!J25</f>
        <v>ALTA 1:5</v>
      </c>
      <c r="J51" s="357">
        <f>VALORACIÓN!C52</f>
        <v>1</v>
      </c>
      <c r="K51" s="358" t="str">
        <f>IF(VALORACIÓN!F52=0,"",VALORACIÓN!F52)</f>
        <v>plan de acción</v>
      </c>
      <c r="L51" s="543">
        <f>VALORACIÓN!AA52</f>
        <v>98</v>
      </c>
      <c r="M51" s="526" t="str">
        <f>VALORACIÓN!AG52</f>
        <v>ALTA 1:5</v>
      </c>
      <c r="N51" s="530" t="str">
        <f>VALORACIÓN!AG53</f>
        <v>- Reducir el Riesgo- Compartir o Transferir el Riesgo</v>
      </c>
      <c r="O51" s="545" t="str">
        <f>IF(B51="","",IF(VALORACIÓN!BA52="","Aceptar el Riesgo sin necesidad de tomar otras medidas de control diferentes a las que se poseen, considerando que estos son efectivos con ponderacion de 100, y la evaluación final del riesgos es Baja 1:1",VALORACIÓN!BA52))</f>
        <v>- Tomar Acciones Correctivas</v>
      </c>
      <c r="P51" s="397" t="s">
        <v>404</v>
      </c>
      <c r="Q51" s="397" t="s">
        <v>793</v>
      </c>
      <c r="R51" s="396" t="s">
        <v>70</v>
      </c>
    </row>
    <row r="52" spans="1:18" ht="39.75" customHeight="1" x14ac:dyDescent="0.2">
      <c r="A52" s="503"/>
      <c r="B52" s="496"/>
      <c r="C52" s="530"/>
      <c r="D52" s="530"/>
      <c r="E52" s="532"/>
      <c r="F52" s="534"/>
      <c r="G52" s="532"/>
      <c r="H52" s="534"/>
      <c r="I52" s="541"/>
      <c r="J52" s="357">
        <f>VALORACIÓN!C53</f>
        <v>2</v>
      </c>
      <c r="K52" s="358" t="str">
        <f>IF(VALORACIÓN!F53=0,"",VALORACIÓN!F53)</f>
        <v>Asignación de presupuesto</v>
      </c>
      <c r="L52" s="543"/>
      <c r="M52" s="527"/>
      <c r="N52" s="530"/>
      <c r="O52" s="546"/>
      <c r="P52" s="397" t="s">
        <v>404</v>
      </c>
      <c r="Q52" s="395" t="s">
        <v>794</v>
      </c>
      <c r="R52" s="396" t="s">
        <v>70</v>
      </c>
    </row>
    <row r="53" spans="1:18" ht="39.75" customHeight="1" x14ac:dyDescent="0.2">
      <c r="A53" s="503"/>
      <c r="B53" s="496"/>
      <c r="C53" s="530"/>
      <c r="D53" s="530"/>
      <c r="E53" s="532"/>
      <c r="F53" s="535"/>
      <c r="G53" s="532"/>
      <c r="H53" s="535"/>
      <c r="I53" s="542"/>
      <c r="J53" s="357">
        <f>VALORACIÓN!C54</f>
        <v>3</v>
      </c>
      <c r="K53" s="358" t="str">
        <f>IF(VALORACIÓN!F54=0,"",VALORACIÓN!F54)</f>
        <v>Sistema de Información SIVI</v>
      </c>
      <c r="L53" s="543"/>
      <c r="M53" s="528"/>
      <c r="N53" s="530"/>
      <c r="O53" s="547"/>
      <c r="P53" s="397" t="s">
        <v>404</v>
      </c>
      <c r="Q53" s="397" t="s">
        <v>795</v>
      </c>
      <c r="R53" s="396" t="s">
        <v>70</v>
      </c>
    </row>
    <row r="54" spans="1:18" ht="39.75" customHeight="1" x14ac:dyDescent="0.2">
      <c r="A54" s="503" t="str">
        <f>VALORACIÓN!A55</f>
        <v>16G</v>
      </c>
      <c r="B54" s="496" t="str">
        <f>VALORACIÓN!B55</f>
        <v>Gestión de Investigación. Deficiente cumplimiento del plan de acción de la Vicerrectoría de Investigación</v>
      </c>
      <c r="C54" s="530" t="str">
        <f>IF(IDENTIFICACIÓN!B24="","",IDENTIFICACIÓN!B24)</f>
        <v>Deficiente planificación del plan de acción.
Sobrecarga laboral.
Deficiente seguimiento a la ejecución del plan de acción.
Escaso personal, para el creciente incremento de las actividades de investigación.</v>
      </c>
      <c r="D54" s="530" t="str">
        <f>IF(IDENTIFICACIÓN!F24="","",IDENTIFICACIÓN!F24)</f>
        <v>Disminuyen los indicadores de la actividad investigativa.
Reducción de presupuesto para la investigación.
Disminución de la visibilidad de resultados de la investigación de la Universidad.</v>
      </c>
      <c r="E54" s="532">
        <f>ANALISIS!D26</f>
        <v>1</v>
      </c>
      <c r="F54" s="533" t="str">
        <f>ANALISIS!E26</f>
        <v>RARO</v>
      </c>
      <c r="G54" s="532">
        <f>ANALISIS!G26</f>
        <v>4</v>
      </c>
      <c r="H54" s="533" t="str">
        <f>ANALISIS!H26</f>
        <v>MAYOR</v>
      </c>
      <c r="I54" s="540" t="str">
        <f>ANALISIS!J26</f>
        <v>ALTA 1:4</v>
      </c>
      <c r="J54" s="357">
        <f>VALORACIÓN!C55</f>
        <v>1</v>
      </c>
      <c r="K54" s="358" t="str">
        <f>IF(VALORACIÓN!F55=0,"",VALORACIÓN!F55)</f>
        <v xml:space="preserve">Seguimiento del plan de acción </v>
      </c>
      <c r="L54" s="543">
        <f>VALORACIÓN!AA55</f>
        <v>95</v>
      </c>
      <c r="M54" s="526" t="str">
        <f>VALORACIÓN!AG55</f>
        <v>ALTA 1:4</v>
      </c>
      <c r="N54" s="530" t="str">
        <f>VALORACIÓN!AG56</f>
        <v>- Reducir el Riesgo- Compartir o Transferir el Riesgo</v>
      </c>
      <c r="O54" s="545" t="str">
        <f>IF(B54="","",IF(VALORACIÓN!BA55="","Aceptar el Riesgo sin necesidad de tomar otras medidas de control diferentes a las que se poseen, considerando que estos son efectivos con ponderacion de 100, y la evaluación final del riesgos es Baja 1:1",VALORACIÓN!BA55))</f>
        <v>- Tomar Acciones Correctivas</v>
      </c>
      <c r="P54" s="397" t="s">
        <v>404</v>
      </c>
      <c r="Q54" s="397" t="s">
        <v>796</v>
      </c>
      <c r="R54" s="396" t="s">
        <v>70</v>
      </c>
    </row>
    <row r="55" spans="1:18" ht="39.75" customHeight="1" x14ac:dyDescent="0.2">
      <c r="A55" s="503"/>
      <c r="B55" s="496"/>
      <c r="C55" s="530"/>
      <c r="D55" s="530"/>
      <c r="E55" s="532"/>
      <c r="F55" s="534"/>
      <c r="G55" s="532"/>
      <c r="H55" s="534"/>
      <c r="I55" s="541"/>
      <c r="J55" s="357">
        <f>VALORACIÓN!C56</f>
        <v>2</v>
      </c>
      <c r="K55" s="358" t="str">
        <f>IF(VALORACIÓN!F56=0,"",VALORACIÓN!F56)</f>
        <v>Actas de seguimiento del plan de acción.</v>
      </c>
      <c r="L55" s="543"/>
      <c r="M55" s="527"/>
      <c r="N55" s="530"/>
      <c r="O55" s="546"/>
      <c r="P55" s="397" t="s">
        <v>404</v>
      </c>
      <c r="Q55" s="397" t="s">
        <v>797</v>
      </c>
      <c r="R55" s="396" t="s">
        <v>70</v>
      </c>
    </row>
    <row r="56" spans="1:18" ht="39.75" customHeight="1" x14ac:dyDescent="0.2">
      <c r="A56" s="503"/>
      <c r="B56" s="496"/>
      <c r="C56" s="530"/>
      <c r="D56" s="530"/>
      <c r="E56" s="532"/>
      <c r="F56" s="535"/>
      <c r="G56" s="532"/>
      <c r="H56" s="535"/>
      <c r="I56" s="542"/>
      <c r="J56" s="357">
        <f>VALORACIÓN!C57</f>
        <v>3</v>
      </c>
      <c r="K56" s="358" t="str">
        <f>IF(VALORACIÓN!F57=0,"",VALORACIÓN!F57)</f>
        <v>Boletín de la Vicerrectoría de Investigación.</v>
      </c>
      <c r="L56" s="543"/>
      <c r="M56" s="528"/>
      <c r="N56" s="530"/>
      <c r="O56" s="547"/>
      <c r="P56" s="397" t="s">
        <v>404</v>
      </c>
      <c r="Q56" s="397" t="s">
        <v>798</v>
      </c>
      <c r="R56" s="396" t="s">
        <v>70</v>
      </c>
    </row>
    <row r="57" spans="1:18" ht="39.75" customHeight="1" x14ac:dyDescent="0.2">
      <c r="A57" s="503" t="str">
        <f>VALORACIÓN!A58</f>
        <v>17G</v>
      </c>
      <c r="B57" s="496" t="str">
        <f>VALORACIÓN!B58</f>
        <v>Gestión de Extensión y Proyección Social. Incumplimiento en los compromisos establecidos en la formalización de los proyectos.</v>
      </c>
      <c r="C57" s="530" t="str">
        <f>IF(IDENTIFICACIÓN!B25="","",IDENTIFICACIÓN!B25)</f>
        <v>Aumento en la oferta de servicios y los requerimientos por las partes interesadas.
Deficiencia en la infraestructura de los proveedores tecnológicos.</v>
      </c>
      <c r="D57" s="530" t="str">
        <f>IF(IDENTIFICACIÓN!F25="","",IDENTIFICACIÓN!F25)</f>
        <v>Baja competitividad.
Disminución de ventas de servicios, e impacto socioeconómicos en las áreas de influencia.</v>
      </c>
      <c r="E57" s="532">
        <f>ANALISIS!D27</f>
        <v>3</v>
      </c>
      <c r="F57" s="533" t="str">
        <f>ANALISIS!E27</f>
        <v>POSIBLE</v>
      </c>
      <c r="G57" s="532">
        <f>ANALISIS!G27</f>
        <v>4</v>
      </c>
      <c r="H57" s="533" t="str">
        <f>ANALISIS!H27</f>
        <v>MAYOR</v>
      </c>
      <c r="I57" s="540" t="str">
        <f>ANALISIS!J27</f>
        <v>EXTREMA 3:4</v>
      </c>
      <c r="J57" s="357">
        <f>VALORACIÓN!C58</f>
        <v>1</v>
      </c>
      <c r="K57" s="358" t="str">
        <f>IF(VALORACIÓN!F58=0,"",VALORACIÓN!F58)</f>
        <v>EX-F14 Procedimiento de Plan de Calidad aplicado a proyectos de la Vicerrectoría de Extensión</v>
      </c>
      <c r="L57" s="543">
        <f>VALORACIÓN!AA58</f>
        <v>95</v>
      </c>
      <c r="M57" s="526" t="str">
        <f>VALORACIÓN!AG58</f>
        <v>ALTA 1:4</v>
      </c>
      <c r="N57" s="530" t="str">
        <f>VALORACIÓN!AG59</f>
        <v>- Reducir el Riesgo- Compartir o Transferir el Riesgo</v>
      </c>
      <c r="O57" s="545" t="str">
        <f>IF(B57="","",IF(VALORACIÓN!BA58="","Aceptar el Riesgo sin necesidad de tomar otras medidas de control diferentes a las que se poseen, considerando que estos son efectivos con ponderacion de 100, y la evaluación final del riesgos es Baja 1:1",VALORACIÓN!BA58))</f>
        <v>- Tomar Acciones Correctivas</v>
      </c>
      <c r="P57" s="395" t="s">
        <v>404</v>
      </c>
      <c r="Q57" s="395" t="s">
        <v>799</v>
      </c>
      <c r="R57" s="396" t="s">
        <v>69</v>
      </c>
    </row>
    <row r="58" spans="1:18" ht="39.75" customHeight="1" x14ac:dyDescent="0.2">
      <c r="A58" s="503"/>
      <c r="B58" s="496"/>
      <c r="C58" s="530"/>
      <c r="D58" s="530"/>
      <c r="E58" s="532"/>
      <c r="F58" s="534"/>
      <c r="G58" s="532"/>
      <c r="H58" s="534"/>
      <c r="I58" s="541"/>
      <c r="J58" s="357">
        <f>VALORACIÓN!C59</f>
        <v>2</v>
      </c>
      <c r="K58" s="358" t="str">
        <f>IF(VALORACIÓN!F59=0,"",VALORACIÓN!F59)</f>
        <v>Encuestas de satisfacción del usuario.</v>
      </c>
      <c r="L58" s="543"/>
      <c r="M58" s="527"/>
      <c r="N58" s="530"/>
      <c r="O58" s="546"/>
      <c r="P58" s="395"/>
      <c r="Q58" s="395"/>
      <c r="R58" s="396"/>
    </row>
    <row r="59" spans="1:18" ht="39.75" customHeight="1" x14ac:dyDescent="0.2">
      <c r="A59" s="503"/>
      <c r="B59" s="496"/>
      <c r="C59" s="530"/>
      <c r="D59" s="530"/>
      <c r="E59" s="532"/>
      <c r="F59" s="535"/>
      <c r="G59" s="532"/>
      <c r="H59" s="535"/>
      <c r="I59" s="542"/>
      <c r="J59" s="357">
        <f>VALORACIÓN!C60</f>
        <v>3</v>
      </c>
      <c r="K59" s="358" t="str">
        <f>IF(VALORACIÓN!F60=0,"",VALORACIÓN!F60)</f>
        <v/>
      </c>
      <c r="L59" s="543"/>
      <c r="M59" s="528"/>
      <c r="N59" s="530"/>
      <c r="O59" s="547"/>
      <c r="P59" s="395"/>
      <c r="Q59" s="395"/>
      <c r="R59" s="396"/>
    </row>
    <row r="60" spans="1:18" ht="39.75" customHeight="1" x14ac:dyDescent="0.2">
      <c r="A60" s="503" t="str">
        <f>VALORACIÓN!A61</f>
        <v>18G</v>
      </c>
      <c r="B60" s="496" t="str">
        <f>VALORACIÓN!B61</f>
        <v>Gestión de Extensión y Proyección Social. Limitada interacción e integración con las comunidades nacionales e internacionales en el fortalecimiento de la presencia de la Universidad en la vida social y cultural del país.</v>
      </c>
      <c r="C60" s="530" t="str">
        <f>IF(IDENTIFICACIÓN!B26="","",IDENTIFICACIÓN!B26)</f>
        <v>Canales de comunicación deficientes.</v>
      </c>
      <c r="D60" s="530" t="str">
        <f>IF(IDENTIFICACIÓN!F26="","",IDENTIFICACIÓN!F26)</f>
        <v>Bajo impacto social.</v>
      </c>
      <c r="E60" s="532">
        <f>ANALISIS!D28</f>
        <v>4</v>
      </c>
      <c r="F60" s="533" t="str">
        <f>ANALISIS!E28</f>
        <v>PROBABLE</v>
      </c>
      <c r="G60" s="532">
        <f>ANALISIS!G28</f>
        <v>3</v>
      </c>
      <c r="H60" s="533" t="str">
        <f>ANALISIS!H28</f>
        <v>MODERADO</v>
      </c>
      <c r="I60" s="540" t="str">
        <f>ANALISIS!J28</f>
        <v>ALTA 4:3</v>
      </c>
      <c r="J60" s="357">
        <f>VALORACIÓN!C61</f>
        <v>1</v>
      </c>
      <c r="K60" s="358" t="str">
        <f>IF(VALORACIÓN!F61=0,"",VALORACIÓN!F61)</f>
        <v/>
      </c>
      <c r="L60" s="543" t="str">
        <f>VALORACIÓN!AA61</f>
        <v/>
      </c>
      <c r="M60" s="526" t="str">
        <f>VALORACIÓN!AG61</f>
        <v>ALTA 4:3</v>
      </c>
      <c r="N60" s="530" t="str">
        <f>VALORACIÓN!AG62</f>
        <v>- Evitar Posibilidad de Ocurrencia- Reducir el Riesgo- Compartir o Transferir el Riesgo</v>
      </c>
      <c r="O60" s="545" t="str">
        <f>IF(B60="","",IF(VALORACIÓN!BA61="","Aceptar el Riesgo sin necesidad de tomar otras medidas de control diferentes a las que se poseen, considerando que estos son efectivos con ponderacion de 100, y la evaluación final del riesgos es Baja 1:1",VALORACIÓN!BA61))</f>
        <v>- Tomar Acciones Preventivas y Correctivas</v>
      </c>
      <c r="P60" s="395" t="s">
        <v>400</v>
      </c>
      <c r="Q60" s="395" t="s">
        <v>800</v>
      </c>
      <c r="R60" s="396" t="s">
        <v>97</v>
      </c>
    </row>
    <row r="61" spans="1:18" ht="39.75" customHeight="1" x14ac:dyDescent="0.2">
      <c r="A61" s="503"/>
      <c r="B61" s="496"/>
      <c r="C61" s="530"/>
      <c r="D61" s="530"/>
      <c r="E61" s="532"/>
      <c r="F61" s="534"/>
      <c r="G61" s="532"/>
      <c r="H61" s="534"/>
      <c r="I61" s="541"/>
      <c r="J61" s="357">
        <f>VALORACIÓN!C62</f>
        <v>2</v>
      </c>
      <c r="K61" s="358" t="str">
        <f>IF(VALORACIÓN!F62=0,"",VALORACIÓN!F62)</f>
        <v/>
      </c>
      <c r="L61" s="543"/>
      <c r="M61" s="527"/>
      <c r="N61" s="530"/>
      <c r="O61" s="546"/>
      <c r="P61" s="395"/>
      <c r="Q61" s="395"/>
      <c r="R61" s="396"/>
    </row>
    <row r="62" spans="1:18" ht="39.75" customHeight="1" x14ac:dyDescent="0.2">
      <c r="A62" s="503"/>
      <c r="B62" s="496"/>
      <c r="C62" s="530"/>
      <c r="D62" s="530"/>
      <c r="E62" s="532"/>
      <c r="F62" s="535"/>
      <c r="G62" s="532"/>
      <c r="H62" s="535"/>
      <c r="I62" s="542"/>
      <c r="J62" s="357">
        <f>VALORACIÓN!C63</f>
        <v>3</v>
      </c>
      <c r="K62" s="358" t="str">
        <f>IF(VALORACIÓN!F63=0,"",VALORACIÓN!F63)</f>
        <v/>
      </c>
      <c r="L62" s="543"/>
      <c r="M62" s="528"/>
      <c r="N62" s="530"/>
      <c r="O62" s="547"/>
      <c r="P62" s="395"/>
      <c r="Q62" s="395"/>
      <c r="R62" s="396"/>
    </row>
    <row r="63" spans="1:18" ht="39.75" customHeight="1" x14ac:dyDescent="0.2">
      <c r="A63" s="503" t="str">
        <f>VALORACIÓN!A64</f>
        <v>19G</v>
      </c>
      <c r="B63" s="496" t="str">
        <f>VALORACIÓN!B64</f>
        <v>Gestión de Extensión y Proyección Social. Interrupción en las actividades e incumplimiento de los proyectos de extensión y proyección social, en las zonas de influencia.</v>
      </c>
      <c r="C63" s="530" t="str">
        <f>IF(IDENTIFICACIÓN!B27="","",IDENTIFICACIÓN!B27)</f>
        <v>*Presencia de grupos armados en las zonas de influencia.
*Deficiencia en las vías de acceso a las zonas de influencia.</v>
      </c>
      <c r="D63" s="530" t="str">
        <f>IF(IDENTIFICACIÓN!F27="","",IDENTIFICACIÓN!F27)</f>
        <v>Incumplimiento contractual con los aliados.
Sanciones.
Pérdida de la imagen institucional.</v>
      </c>
      <c r="E63" s="532">
        <f>ANALISIS!D29</f>
        <v>3</v>
      </c>
      <c r="F63" s="533" t="str">
        <f>ANALISIS!E29</f>
        <v>POSIBLE</v>
      </c>
      <c r="G63" s="532">
        <f>ANALISIS!G29</f>
        <v>4</v>
      </c>
      <c r="H63" s="533" t="str">
        <f>ANALISIS!H29</f>
        <v>MAYOR</v>
      </c>
      <c r="I63" s="540" t="str">
        <f>ANALISIS!J29</f>
        <v>EXTREMA 3:4</v>
      </c>
      <c r="J63" s="357">
        <f>VALORACIÓN!C64</f>
        <v>1</v>
      </c>
      <c r="K63" s="358" t="str">
        <f>IF(VALORACIÓN!F64=0,"",VALORACIÓN!F64)</f>
        <v>EX-F14 Procedimiento de Plan de Calidad aplicado a proyectos de la Vicerrectoría de Extensión</v>
      </c>
      <c r="L63" s="543">
        <f>VALORACIÓN!AA64</f>
        <v>80</v>
      </c>
      <c r="M63" s="526" t="str">
        <f>VALORACIÓN!AG64</f>
        <v>ALTA 1:4</v>
      </c>
      <c r="N63" s="530" t="str">
        <f>VALORACIÓN!AG65</f>
        <v>- Reducir el Riesgo- Compartir o Transferir el Riesgo</v>
      </c>
      <c r="O63" s="545" t="str">
        <f>IF(B63="","",IF(VALORACIÓN!BA64="","Aceptar el Riesgo sin necesidad de tomar otras medidas de control diferentes a las que se poseen, considerando que estos son efectivos con ponderacion de 100, y la evaluación final del riesgos es Baja 1:1",VALORACIÓN!BA64))</f>
        <v>- Establecer periodos de seguimiento adecuados (de) el(los) control(es) Efectivo(s) - Tomar Acciones Correctivas</v>
      </c>
      <c r="P63" s="395" t="s">
        <v>400</v>
      </c>
      <c r="Q63" s="395" t="s">
        <v>800</v>
      </c>
      <c r="R63" s="396" t="s">
        <v>97</v>
      </c>
    </row>
    <row r="64" spans="1:18" ht="39.75" customHeight="1" x14ac:dyDescent="0.2">
      <c r="A64" s="503"/>
      <c r="B64" s="496"/>
      <c r="C64" s="530"/>
      <c r="D64" s="530"/>
      <c r="E64" s="532"/>
      <c r="F64" s="534"/>
      <c r="G64" s="532"/>
      <c r="H64" s="534"/>
      <c r="I64" s="541"/>
      <c r="J64" s="357">
        <f>VALORACIÓN!C65</f>
        <v>2</v>
      </c>
      <c r="K64" s="358" t="str">
        <f>IF(VALORACIÓN!F65=0,"",VALORACIÓN!F65)</f>
        <v/>
      </c>
      <c r="L64" s="543"/>
      <c r="M64" s="527"/>
      <c r="N64" s="530"/>
      <c r="O64" s="546"/>
      <c r="P64" s="395"/>
      <c r="Q64" s="395"/>
      <c r="R64" s="396"/>
    </row>
    <row r="65" spans="1:18" ht="39.75" customHeight="1" x14ac:dyDescent="0.2">
      <c r="A65" s="503"/>
      <c r="B65" s="496"/>
      <c r="C65" s="530"/>
      <c r="D65" s="530"/>
      <c r="E65" s="532"/>
      <c r="F65" s="535"/>
      <c r="G65" s="532"/>
      <c r="H65" s="535"/>
      <c r="I65" s="542"/>
      <c r="J65" s="357">
        <f>VALORACIÓN!C66</f>
        <v>3</v>
      </c>
      <c r="K65" s="358" t="str">
        <f>IF(VALORACIÓN!F66=0,"",VALORACIÓN!F66)</f>
        <v/>
      </c>
      <c r="L65" s="543"/>
      <c r="M65" s="528"/>
      <c r="N65" s="530"/>
      <c r="O65" s="547"/>
      <c r="P65" s="395"/>
      <c r="Q65" s="395"/>
      <c r="R65" s="396"/>
    </row>
    <row r="66" spans="1:18" ht="39.75" customHeight="1" x14ac:dyDescent="0.2">
      <c r="A66" s="503" t="str">
        <f>VALORACIÓN!A67</f>
        <v>20G</v>
      </c>
      <c r="B66" s="496" t="str">
        <f>VALORACIÓN!B67</f>
        <v>Gestión de Contratación. Celebración de contratos sin el cumplimiento de los requisitos internos y externos de carácter contractual</v>
      </c>
      <c r="C66" s="530" t="str">
        <f>IF(IDENTIFICACIÓN!B28="","",IDENTIFICACIÓN!B28)</f>
        <v>Desconocimiento de las normas internas, externas y jurisprudenciales que rigen la celebración de contratos.</v>
      </c>
      <c r="D66" s="530" t="str">
        <f>IF(IDENTIFICACIÓN!F28="","",IDENTIFICACIÓN!F28)</f>
        <v>Sanciones administrativas, disciplinarias, fiscales y penales, demandas.</v>
      </c>
      <c r="E66" s="532">
        <f>ANALISIS!D30</f>
        <v>1</v>
      </c>
      <c r="F66" s="533" t="str">
        <f>ANALISIS!E30</f>
        <v>RARO</v>
      </c>
      <c r="G66" s="532">
        <f>ANALISIS!G30</f>
        <v>4</v>
      </c>
      <c r="H66" s="533" t="str">
        <f>ANALISIS!H30</f>
        <v>MAYOR</v>
      </c>
      <c r="I66" s="540" t="str">
        <f>ANALISIS!J30</f>
        <v>ALTA 1:4</v>
      </c>
      <c r="J66" s="357">
        <f>VALORACIÓN!C67</f>
        <v>1</v>
      </c>
      <c r="K66" s="358" t="str">
        <f>IF(VALORACIÓN!F67=0,"",VALORACIÓN!F67)</f>
        <v xml:space="preserve">Lista de chequeo según la clase o naturaleza del contrato  </v>
      </c>
      <c r="L66" s="543">
        <f>VALORACIÓN!AA67</f>
        <v>90</v>
      </c>
      <c r="M66" s="526" t="str">
        <f>VALORACIÓN!AG67</f>
        <v>ALTA 1:4</v>
      </c>
      <c r="N66" s="530" t="str">
        <f>VALORACIÓN!AG68</f>
        <v>- Reducir el Riesgo- Compartir o Transferir el Riesgo</v>
      </c>
      <c r="O66" s="545" t="str">
        <f>IF(B66="","",IF(VALORACIÓN!BA67="","Aceptar el Riesgo sin necesidad de tomar otras medidas de control diferentes a las que se poseen, considerando que estos son efectivos con ponderacion de 100, y la evaluación final del riesgos es Baja 1:1",VALORACIÓN!BA67))</f>
        <v>- Documentar (de) el(los) control(es) Efectivo(s) - Tomar Acciones Correctivas</v>
      </c>
      <c r="P66" s="395" t="s">
        <v>400</v>
      </c>
      <c r="Q66" s="398" t="s">
        <v>801</v>
      </c>
      <c r="R66" s="396" t="s">
        <v>97</v>
      </c>
    </row>
    <row r="67" spans="1:18" ht="39.75" customHeight="1" x14ac:dyDescent="0.2">
      <c r="A67" s="503"/>
      <c r="B67" s="496"/>
      <c r="C67" s="530"/>
      <c r="D67" s="530"/>
      <c r="E67" s="532"/>
      <c r="F67" s="534"/>
      <c r="G67" s="532"/>
      <c r="H67" s="534"/>
      <c r="I67" s="541"/>
      <c r="J67" s="357">
        <f>VALORACIÓN!C68</f>
        <v>2</v>
      </c>
      <c r="K67" s="358" t="str">
        <f>IF(VALORACIÓN!F68=0,"",VALORACIÓN!F68)</f>
        <v>Procedimiento de contratación según modalidades de selección.</v>
      </c>
      <c r="L67" s="543"/>
      <c r="M67" s="527"/>
      <c r="N67" s="530"/>
      <c r="O67" s="546"/>
      <c r="P67" s="395"/>
      <c r="Q67" s="395"/>
      <c r="R67" s="396"/>
    </row>
    <row r="68" spans="1:18" ht="39.75" customHeight="1" x14ac:dyDescent="0.2">
      <c r="A68" s="503"/>
      <c r="B68" s="496"/>
      <c r="C68" s="530"/>
      <c r="D68" s="530"/>
      <c r="E68" s="532"/>
      <c r="F68" s="535"/>
      <c r="G68" s="532"/>
      <c r="H68" s="535"/>
      <c r="I68" s="542"/>
      <c r="J68" s="357">
        <f>VALORACIÓN!C69</f>
        <v>3</v>
      </c>
      <c r="K68" s="358" t="str">
        <f>IF(VALORACIÓN!F69=0,"",VALORACIÓN!F69)</f>
        <v>Informar los cambios en materia contractual</v>
      </c>
      <c r="L68" s="543"/>
      <c r="M68" s="528"/>
      <c r="N68" s="530"/>
      <c r="O68" s="547"/>
      <c r="P68" s="395"/>
      <c r="Q68" s="395"/>
      <c r="R68" s="396"/>
    </row>
    <row r="69" spans="1:18" ht="39.75" customHeight="1" x14ac:dyDescent="0.2">
      <c r="A69" s="503" t="str">
        <f>VALORACIÓN!A70</f>
        <v>21G</v>
      </c>
      <c r="B69" s="496" t="str">
        <f>VALORACIÓN!B70</f>
        <v>Gestión de Contratación. Documentación incompleta en la carpeta contractual</v>
      </c>
      <c r="C69" s="530" t="str">
        <f>IF(IDENTIFICACIÓN!B29="","",IDENTIFICACIÓN!B29)</f>
        <v>Falta de entrega oportuna de la documentación relacionada con un contrato</v>
      </c>
      <c r="D69" s="530" t="str">
        <f>IF(IDENTIFICACIÓN!F29="","",IDENTIFICACIÓN!F29)</f>
        <v>Sanciones administrativas, disciplinarias, fiscales y penales, demandas.</v>
      </c>
      <c r="E69" s="532">
        <f>ANALISIS!D31</f>
        <v>3</v>
      </c>
      <c r="F69" s="533" t="str">
        <f>ANALISIS!E31</f>
        <v>POSIBLE</v>
      </c>
      <c r="G69" s="532">
        <f>ANALISIS!G31</f>
        <v>4</v>
      </c>
      <c r="H69" s="533" t="str">
        <f>ANALISIS!H31</f>
        <v>MAYOR</v>
      </c>
      <c r="I69" s="540" t="str">
        <f>ANALISIS!J31</f>
        <v>EXTREMA 3:4</v>
      </c>
      <c r="J69" s="357">
        <f>VALORACIÓN!C70</f>
        <v>1</v>
      </c>
      <c r="K69" s="358" t="str">
        <f>IF(VALORACIÓN!F70=0,"",VALORACIÓN!F70)</f>
        <v>Solicitar a los supervisores allegar la documentación que debe reposar en la carpeta contractual</v>
      </c>
      <c r="L69" s="543">
        <f>VALORACIÓN!AA70</f>
        <v>95</v>
      </c>
      <c r="M69" s="526" t="str">
        <f>VALORACIÓN!AG70</f>
        <v>ALTA 1:4</v>
      </c>
      <c r="N69" s="530" t="str">
        <f>VALORACIÓN!AG71</f>
        <v>- Reducir el Riesgo- Compartir o Transferir el Riesgo</v>
      </c>
      <c r="O69" s="545" t="str">
        <f>IF(B69="","",IF(VALORACIÓN!BA70="","Aceptar el Riesgo sin necesidad de tomar otras medidas de control diferentes a las que se poseen, considerando que estos son efectivos con ponderacion de 100, y la evaluación final del riesgos es Baja 1:1",VALORACIÓN!BA70))</f>
        <v>- Tomar Acciones Correctivas</v>
      </c>
      <c r="P69" s="395" t="s">
        <v>400</v>
      </c>
      <c r="Q69" s="395" t="s">
        <v>801</v>
      </c>
      <c r="R69" s="396" t="s">
        <v>97</v>
      </c>
    </row>
    <row r="70" spans="1:18" ht="39.75" customHeight="1" x14ac:dyDescent="0.2">
      <c r="A70" s="503"/>
      <c r="B70" s="496"/>
      <c r="C70" s="530"/>
      <c r="D70" s="530"/>
      <c r="E70" s="532"/>
      <c r="F70" s="534"/>
      <c r="G70" s="532"/>
      <c r="H70" s="534"/>
      <c r="I70" s="541"/>
      <c r="J70" s="357">
        <f>VALORACIÓN!C71</f>
        <v>2</v>
      </c>
      <c r="K70" s="358" t="str">
        <f>IF(VALORACIÓN!F71=0,"",VALORACIÓN!F71)</f>
        <v/>
      </c>
      <c r="L70" s="543"/>
      <c r="M70" s="527"/>
      <c r="N70" s="530"/>
      <c r="O70" s="546"/>
      <c r="P70" s="395"/>
      <c r="Q70" s="395"/>
      <c r="R70" s="396"/>
    </row>
    <row r="71" spans="1:18" ht="39.75" customHeight="1" x14ac:dyDescent="0.2">
      <c r="A71" s="503"/>
      <c r="B71" s="496"/>
      <c r="C71" s="530"/>
      <c r="D71" s="530"/>
      <c r="E71" s="532"/>
      <c r="F71" s="535"/>
      <c r="G71" s="532"/>
      <c r="H71" s="535"/>
      <c r="I71" s="542"/>
      <c r="J71" s="357">
        <f>VALORACIÓN!C72</f>
        <v>3</v>
      </c>
      <c r="K71" s="358" t="str">
        <f>IF(VALORACIÓN!F72=0,"",VALORACIÓN!F72)</f>
        <v/>
      </c>
      <c r="L71" s="543"/>
      <c r="M71" s="528"/>
      <c r="N71" s="530"/>
      <c r="O71" s="547"/>
      <c r="P71" s="395"/>
      <c r="Q71" s="395"/>
      <c r="R71" s="396"/>
    </row>
    <row r="72" spans="1:18" ht="39.75" customHeight="1" x14ac:dyDescent="0.2">
      <c r="A72" s="503" t="str">
        <f>VALORACIÓN!A73</f>
        <v>22G</v>
      </c>
      <c r="B72" s="496" t="str">
        <f>VALORACIÓN!B73</f>
        <v>Gestión Administrativa. Inseguridad en el campus</v>
      </c>
      <c r="C72" s="530" t="str">
        <f>IF(IDENTIFICACIÓN!B30="","",IDENTIFICACIÓN!B30)</f>
        <v>Falta de personal de seguridad.
Falta de dispositivos de seguridad.
poco sistema de iluminación.</v>
      </c>
      <c r="D72" s="530" t="str">
        <f>IF(IDENTIFICACIÓN!F30="","",IDENTIFICACIÓN!F30)</f>
        <v>Demandas
Detrimento del patrimonio
Incremento de la prima de poliza de seguros
Perdida de imagen</v>
      </c>
      <c r="E72" s="532">
        <f>ANALISIS!D32</f>
        <v>4</v>
      </c>
      <c r="F72" s="533" t="str">
        <f>ANALISIS!E32</f>
        <v>PROBABLE</v>
      </c>
      <c r="G72" s="532">
        <f>ANALISIS!G32</f>
        <v>5</v>
      </c>
      <c r="H72" s="533" t="str">
        <f>ANALISIS!H32</f>
        <v>CATASTRÓFICO</v>
      </c>
      <c r="I72" s="540" t="str">
        <f>ANALISIS!J32</f>
        <v>EXTREMA 4:5</v>
      </c>
      <c r="J72" s="357">
        <f>VALORACIÓN!C73</f>
        <v>1</v>
      </c>
      <c r="K72" s="358" t="str">
        <f>IF(VALORACIÓN!F73=0,"",VALORACIÓN!F73)</f>
        <v>Guardia armado fisico</v>
      </c>
      <c r="L72" s="543">
        <f>VALORACIÓN!AA73</f>
        <v>38</v>
      </c>
      <c r="M72" s="526" t="str">
        <f>VALORACIÓN!AG73</f>
        <v>EXTREMA 4:5</v>
      </c>
      <c r="N72" s="530" t="str">
        <f>VALORACIÓN!AG74</f>
        <v>- Eliminar Causa(s)- Evitar Posibilidad de Ocurrencia- Reducir el Riesgo- Compartir o Transferir el Riesgo</v>
      </c>
      <c r="O72" s="545" t="str">
        <f>IF(B72="","",IF(VALORACIÓN!BA73="","Aceptar el Riesgo sin necesidad de tomar otras medidas de control diferentes a las que se poseen, considerando que estos son efectivos con ponderacion de 100, y la evaluación final del riesgos es Baja 1:1",VALORACIÓN!BA73))</f>
        <v>- Replantear control(es) NO efectivo(s) - Tomar Acciones Preventivas y Correctivas</v>
      </c>
      <c r="P72" s="395" t="s">
        <v>404</v>
      </c>
      <c r="Q72" s="399" t="s">
        <v>802</v>
      </c>
      <c r="R72" s="396" t="s">
        <v>69</v>
      </c>
    </row>
    <row r="73" spans="1:18" ht="39.75" customHeight="1" x14ac:dyDescent="0.2">
      <c r="A73" s="503"/>
      <c r="B73" s="496"/>
      <c r="C73" s="530"/>
      <c r="D73" s="530"/>
      <c r="E73" s="532"/>
      <c r="F73" s="534"/>
      <c r="G73" s="532"/>
      <c r="H73" s="534"/>
      <c r="I73" s="541"/>
      <c r="J73" s="357">
        <f>VALORACIÓN!C74</f>
        <v>2</v>
      </c>
      <c r="K73" s="358" t="str">
        <f>IF(VALORACIÓN!F74=0,"",VALORACIÓN!F74)</f>
        <v>Camaras de vigilancia instaladas</v>
      </c>
      <c r="L73" s="543"/>
      <c r="M73" s="527"/>
      <c r="N73" s="530"/>
      <c r="O73" s="546"/>
      <c r="P73" s="395" t="s">
        <v>404</v>
      </c>
      <c r="Q73" s="399" t="s">
        <v>803</v>
      </c>
      <c r="R73" s="396" t="s">
        <v>69</v>
      </c>
    </row>
    <row r="74" spans="1:18" ht="39.75" customHeight="1" x14ac:dyDescent="0.2">
      <c r="A74" s="503"/>
      <c r="B74" s="496"/>
      <c r="C74" s="530"/>
      <c r="D74" s="530"/>
      <c r="E74" s="532"/>
      <c r="F74" s="535"/>
      <c r="G74" s="532"/>
      <c r="H74" s="535"/>
      <c r="I74" s="542"/>
      <c r="J74" s="357">
        <f>VALORACIÓN!C75</f>
        <v>3</v>
      </c>
      <c r="K74" s="358" t="str">
        <f>IF(VALORACIÓN!F75=0,"",VALORACIÓN!F75)</f>
        <v/>
      </c>
      <c r="L74" s="543"/>
      <c r="M74" s="528"/>
      <c r="N74" s="530"/>
      <c r="O74" s="547"/>
      <c r="P74" s="395"/>
      <c r="Q74" s="395"/>
      <c r="R74" s="396"/>
    </row>
    <row r="75" spans="1:18" ht="39.75" customHeight="1" x14ac:dyDescent="0.2">
      <c r="A75" s="503" t="str">
        <f>VALORACIÓN!A76</f>
        <v>23G</v>
      </c>
      <c r="B75" s="496" t="str">
        <f>VALORACIÓN!B76</f>
        <v>Gestión Administrativa. Inadecuado gestión de los residuos</v>
      </c>
      <c r="C75" s="530" t="str">
        <f>IF(IDENTIFICACIÓN!B31="","",IDENTIFICACIÓN!B31)</f>
        <v>Incumplimiento de los Programas formulados para el manejo adecuado de los residuos generados en las actividades desarrolladas.
Falta de asignación presupuestal para la implementación del PGIR.</v>
      </c>
      <c r="D75" s="530" t="str">
        <f>IF(IDENTIFICACIÓN!F31="","",IDENTIFICACIÓN!F31)</f>
        <v>Afectación y riesgos a la salud
Contaminación ambiental
Sanciones ambientales</v>
      </c>
      <c r="E75" s="532">
        <f>ANALISIS!D33</f>
        <v>4</v>
      </c>
      <c r="F75" s="533" t="str">
        <f>ANALISIS!E33</f>
        <v>PROBABLE</v>
      </c>
      <c r="G75" s="532">
        <f>ANALISIS!G33</f>
        <v>4</v>
      </c>
      <c r="H75" s="533" t="str">
        <f>ANALISIS!H33</f>
        <v>MAYOR</v>
      </c>
      <c r="I75" s="540" t="str">
        <f>ANALISIS!J33</f>
        <v>EXTREMA 4:4</v>
      </c>
      <c r="J75" s="357">
        <f>VALORACIÓN!C76</f>
        <v>1</v>
      </c>
      <c r="K75" s="358" t="str">
        <f>IF(VALORACIÓN!F76=0,"",VALORACIÓN!F76)</f>
        <v>Planes de Manejo Ambiental</v>
      </c>
      <c r="L75" s="543">
        <f>VALORACIÓN!AA76</f>
        <v>50</v>
      </c>
      <c r="M75" s="526" t="str">
        <f>VALORACIÓN!AG76</f>
        <v>EXTREMA 4:4</v>
      </c>
      <c r="N75" s="530" t="str">
        <f>VALORACIÓN!AG77</f>
        <v>- Eliminar Causa(s)- Evitar Posibilidad de Ocurrencia- Reducir el Riesgo- Compartir o Transferir el Riesgo</v>
      </c>
      <c r="O75" s="545" t="str">
        <f>IF(B75="","",IF(VALORACIÓN!BA76="","Aceptar el Riesgo sin necesidad de tomar otras medidas de control diferentes a las que se poseen, considerando que estos son efectivos con ponderacion de 100, y la evaluación final del riesgos es Baja 1:1",VALORACIÓN!BA76))</f>
        <v>- Replantear control(es) NO efectivo(s) - Tomar Acciones Preventivas y Correctivas</v>
      </c>
      <c r="P75" s="395" t="s">
        <v>404</v>
      </c>
      <c r="Q75" s="395" t="s">
        <v>804</v>
      </c>
      <c r="R75" s="396" t="s">
        <v>70</v>
      </c>
    </row>
    <row r="76" spans="1:18" ht="39.75" customHeight="1" x14ac:dyDescent="0.2">
      <c r="A76" s="503"/>
      <c r="B76" s="496"/>
      <c r="C76" s="530"/>
      <c r="D76" s="530"/>
      <c r="E76" s="532"/>
      <c r="F76" s="534"/>
      <c r="G76" s="532"/>
      <c r="H76" s="534"/>
      <c r="I76" s="541"/>
      <c r="J76" s="357">
        <f>VALORACIÓN!C77</f>
        <v>2</v>
      </c>
      <c r="K76" s="358" t="str">
        <f>IF(VALORACIÓN!F77=0,"",VALORACIÓN!F77)</f>
        <v/>
      </c>
      <c r="L76" s="543"/>
      <c r="M76" s="527"/>
      <c r="N76" s="530"/>
      <c r="O76" s="546"/>
      <c r="P76" s="395"/>
      <c r="Q76" s="395"/>
      <c r="R76" s="396"/>
    </row>
    <row r="77" spans="1:18" ht="39.75" customHeight="1" x14ac:dyDescent="0.2">
      <c r="A77" s="503"/>
      <c r="B77" s="496"/>
      <c r="C77" s="530"/>
      <c r="D77" s="530"/>
      <c r="E77" s="532"/>
      <c r="F77" s="535"/>
      <c r="G77" s="532"/>
      <c r="H77" s="535"/>
      <c r="I77" s="542"/>
      <c r="J77" s="357">
        <f>VALORACIÓN!C78</f>
        <v>3</v>
      </c>
      <c r="K77" s="358" t="str">
        <f>IF(VALORACIÓN!F78=0,"",VALORACIÓN!F78)</f>
        <v/>
      </c>
      <c r="L77" s="543"/>
      <c r="M77" s="528"/>
      <c r="N77" s="530"/>
      <c r="O77" s="547"/>
      <c r="P77" s="395"/>
      <c r="Q77" s="395"/>
      <c r="R77" s="396"/>
    </row>
    <row r="78" spans="1:18" ht="39.75" customHeight="1" x14ac:dyDescent="0.2">
      <c r="A78" s="503" t="str">
        <f>VALORACIÓN!A79</f>
        <v>24G</v>
      </c>
      <c r="B78" s="496" t="str">
        <f>VALORACIÓN!B79</f>
        <v>Gestión del Talento Humano. Deficiente desempeño laboral de los funcionarios de la Universidad.</v>
      </c>
      <c r="C78" s="530" t="str">
        <f>IF(IDENTIFICACIÓN!B32="","",IDENTIFICACIÓN!B32)</f>
        <v>1. Falta de mecanismos o herramientas para evaluar las competencias laborales de los servidores públicos.
2. Falta de seguimiento y de exigencia de competencias por parte de los jefes o responsables de área.
3. Deficientes procesos de inducción y reinducción a los empleados.
4. Poco compromiso de los jefes en desarrollar el proceso de inducción y reinducción al personal vinculado a su depedencia.</v>
      </c>
      <c r="D78" s="530" t="str">
        <f>IF(IDENTIFICACIÓN!F32="","",IDENTIFICACIÓN!F32)</f>
        <v>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v>
      </c>
      <c r="E78" s="532">
        <f>ANALISIS!D34</f>
        <v>5</v>
      </c>
      <c r="F78" s="533" t="str">
        <f>ANALISIS!E34</f>
        <v>CASI CERTEZA</v>
      </c>
      <c r="G78" s="532">
        <f>ANALISIS!G34</f>
        <v>4</v>
      </c>
      <c r="H78" s="533" t="str">
        <f>ANALISIS!H34</f>
        <v>MAYOR</v>
      </c>
      <c r="I78" s="540" t="str">
        <f>ANALISIS!J34</f>
        <v>EXTREMA 5:4</v>
      </c>
      <c r="J78" s="357">
        <f>VALORACIÓN!C79</f>
        <v>1</v>
      </c>
      <c r="K78" s="358" t="str">
        <f>IF(VALORACIÓN!F79=0,"",VALORACIÓN!F79)</f>
        <v>Procedimiento de Evaluación por Competencias</v>
      </c>
      <c r="L78" s="543">
        <f>VALORACIÓN!AA79</f>
        <v>53</v>
      </c>
      <c r="M78" s="526" t="str">
        <f>VALORACIÓN!AG79</f>
        <v>EXTREMA 4:4</v>
      </c>
      <c r="N78" s="530" t="str">
        <f>VALORACIÓN!AG80</f>
        <v>- Eliminar Causa(s)- Evitar Posibilidad de Ocurrencia- Reducir el Riesgo- Compartir o Transferir el Riesgo</v>
      </c>
      <c r="O78" s="545" t="str">
        <f>IF(B78="","",IF(VALORACIÓN!BA79="","Aceptar el Riesgo sin necesidad de tomar otras medidas de control diferentes a las que se poseen, considerando que estos son efectivos con ponderacion de 100, y la evaluación final del riesgos es Baja 1:1",VALORACIÓN!BA79))</f>
        <v>- Documentar, Establecer periodos de seguimiento adecuados (de) el(los) control(es) Efectivo(s) - Replantear control(es) NO efectivo(s) - Tomar Acciones Preventivas y Correctivas</v>
      </c>
      <c r="P78" s="395" t="s">
        <v>404</v>
      </c>
      <c r="Q78" s="395" t="s">
        <v>805</v>
      </c>
      <c r="R78" s="396" t="s">
        <v>69</v>
      </c>
    </row>
    <row r="79" spans="1:18" ht="39.75" customHeight="1" x14ac:dyDescent="0.2">
      <c r="A79" s="503"/>
      <c r="B79" s="496"/>
      <c r="C79" s="530"/>
      <c r="D79" s="530"/>
      <c r="E79" s="532"/>
      <c r="F79" s="534"/>
      <c r="G79" s="532"/>
      <c r="H79" s="534"/>
      <c r="I79" s="541"/>
      <c r="J79" s="357">
        <f>VALORACIÓN!C80</f>
        <v>2</v>
      </c>
      <c r="K79" s="358" t="str">
        <f>IF(VALORACIÓN!F80=0,"",VALORACIÓN!F80)</f>
        <v>Formatos de Inducción y Reinducción</v>
      </c>
      <c r="L79" s="543"/>
      <c r="M79" s="527"/>
      <c r="N79" s="530"/>
      <c r="O79" s="546"/>
      <c r="P79" s="395" t="s">
        <v>404</v>
      </c>
      <c r="Q79" s="395" t="s">
        <v>806</v>
      </c>
      <c r="R79" s="396" t="s">
        <v>70</v>
      </c>
    </row>
    <row r="80" spans="1:18" ht="39.75" customHeight="1" x14ac:dyDescent="0.2">
      <c r="A80" s="503"/>
      <c r="B80" s="496"/>
      <c r="C80" s="530"/>
      <c r="D80" s="530"/>
      <c r="E80" s="532"/>
      <c r="F80" s="535"/>
      <c r="G80" s="532"/>
      <c r="H80" s="535"/>
      <c r="I80" s="542"/>
      <c r="J80" s="357">
        <f>VALORACIÓN!C81</f>
        <v>3</v>
      </c>
      <c r="K80" s="358" t="str">
        <f>IF(VALORACIÓN!F81=0,"",VALORACIÓN!F81)</f>
        <v/>
      </c>
      <c r="L80" s="543"/>
      <c r="M80" s="528"/>
      <c r="N80" s="530"/>
      <c r="O80" s="547"/>
      <c r="P80" s="395"/>
      <c r="Q80" s="395"/>
      <c r="R80" s="396"/>
    </row>
    <row r="81" spans="1:18" ht="39.75" customHeight="1" x14ac:dyDescent="0.2">
      <c r="A81" s="503" t="str">
        <f>VALORACIÓN!A82</f>
        <v>25G</v>
      </c>
      <c r="B81" s="496" t="str">
        <f>VALORACIÓN!B82</f>
        <v>Gestión del Talento Humano. Falta de plan de incentivos y/o estímulos.</v>
      </c>
      <c r="C81" s="530" t="str">
        <f>IF(IDENTIFICACIÓN!B33="","",IDENTIFICACIÓN!B33)</f>
        <v>1. Falta de Formulación del plan de incentivos para los empleados.
2.Falta de diagnostico integral de las 
necesidades reales de los 
funcionarios frente al programas de 
Bienestar Social Laboral.</v>
      </c>
      <c r="D81" s="530" t="str">
        <f>IF(IDENTIFICACIÓN!F33="","",IDENTIFICACIÓN!F33)</f>
        <v>1. Inconformidad de los empleados.
2. Desestimulación del desempeño laboral.
3. Inadecuado ambiente laboral.</v>
      </c>
      <c r="E81" s="532">
        <f>ANALISIS!D35</f>
        <v>5</v>
      </c>
      <c r="F81" s="533" t="str">
        <f>ANALISIS!E35</f>
        <v>CASI CERTEZA</v>
      </c>
      <c r="G81" s="532">
        <f>ANALISIS!G35</f>
        <v>3</v>
      </c>
      <c r="H81" s="533" t="str">
        <f>ANALISIS!H35</f>
        <v>MODERADO</v>
      </c>
      <c r="I81" s="540" t="str">
        <f>ANALISIS!J35</f>
        <v>EXTREMA 5:3</v>
      </c>
      <c r="J81" s="357">
        <f>VALORACIÓN!C82</f>
        <v>1</v>
      </c>
      <c r="K81" s="358" t="str">
        <f>IF(VALORACIÓN!F82=0,"",VALORACIÓN!F82)</f>
        <v/>
      </c>
      <c r="L81" s="543" t="str">
        <f>VALORACIÓN!AA82</f>
        <v/>
      </c>
      <c r="M81" s="526" t="str">
        <f>VALORACIÓN!AG82</f>
        <v>EXTREMA 5:3</v>
      </c>
      <c r="N81" s="530" t="str">
        <f>VALORACIÓN!AG83</f>
        <v>- Eliminar Causa(s)- Evitar Posibilidad de Ocurrencia- Reducir el Riesgo- Compartir o Transferir el Riesgo</v>
      </c>
      <c r="O81" s="545" t="str">
        <f>IF(B81="","",IF(VALORACIÓN!BA82="","Aceptar el Riesgo sin necesidad de tomar otras medidas de control diferentes a las que se poseen, considerando que estos son efectivos con ponderacion de 100, y la evaluación final del riesgos es Baja 1:1",VALORACIÓN!BA82))</f>
        <v>- Tomar Acciones Preventivas y Correctivas</v>
      </c>
      <c r="P81" s="395" t="s">
        <v>404</v>
      </c>
      <c r="Q81" s="395" t="s">
        <v>807</v>
      </c>
      <c r="R81" s="396" t="s">
        <v>70</v>
      </c>
    </row>
    <row r="82" spans="1:18" ht="39.75" customHeight="1" x14ac:dyDescent="0.2">
      <c r="A82" s="503"/>
      <c r="B82" s="496"/>
      <c r="C82" s="530"/>
      <c r="D82" s="530"/>
      <c r="E82" s="532"/>
      <c r="F82" s="534"/>
      <c r="G82" s="532"/>
      <c r="H82" s="534"/>
      <c r="I82" s="541"/>
      <c r="J82" s="357">
        <f>VALORACIÓN!C83</f>
        <v>2</v>
      </c>
      <c r="K82" s="358" t="str">
        <f>IF(VALORACIÓN!F83=0,"",VALORACIÓN!F83)</f>
        <v/>
      </c>
      <c r="L82" s="543"/>
      <c r="M82" s="527"/>
      <c r="N82" s="530"/>
      <c r="O82" s="546"/>
      <c r="P82" s="395"/>
      <c r="Q82" s="395"/>
      <c r="R82" s="396"/>
    </row>
    <row r="83" spans="1:18" ht="39.75" customHeight="1" x14ac:dyDescent="0.2">
      <c r="A83" s="503"/>
      <c r="B83" s="496"/>
      <c r="C83" s="530"/>
      <c r="D83" s="530"/>
      <c r="E83" s="532"/>
      <c r="F83" s="535"/>
      <c r="G83" s="532"/>
      <c r="H83" s="535"/>
      <c r="I83" s="542"/>
      <c r="J83" s="357">
        <f>VALORACIÓN!C84</f>
        <v>3</v>
      </c>
      <c r="K83" s="358" t="str">
        <f>IF(VALORACIÓN!F84=0,"",VALORACIÓN!F84)</f>
        <v/>
      </c>
      <c r="L83" s="543"/>
      <c r="M83" s="528"/>
      <c r="N83" s="530"/>
      <c r="O83" s="547"/>
      <c r="P83" s="395"/>
      <c r="Q83" s="395"/>
      <c r="R83" s="396"/>
    </row>
    <row r="84" spans="1:18" ht="39.75" customHeight="1" x14ac:dyDescent="0.2">
      <c r="A84" s="503" t="str">
        <f>VALORACIÓN!A85</f>
        <v>26G</v>
      </c>
      <c r="B84" s="496" t="str">
        <f>VALORACIÓN!B85</f>
        <v>Gestión del Talento Humano. Demoras en la afilicación de catedráticos y ocasionales al Sistema de Seguridad Social Integral, y de los contratistas y estudiantes de Práctica a la Administradora de Riesgos Laborales.</v>
      </c>
      <c r="C84" s="530" t="str">
        <f>IF(IDENTIFICACIÓN!B34="","",IDENTIFICACIÓN!B34)</f>
        <v>1. Reporte tardío de la información de personal vinculado y/o contratado y de estudiantes de prácticas.
2. Omisión de información del personal vinculado y/o contratado y de estudiantes en prácticas.</v>
      </c>
      <c r="D84" s="530" t="str">
        <f>IF(IDENTIFICACIÓN!F34="","",IDENTIFICACIÓN!F34)</f>
        <v>1. Incumplimiento de obligaciones del empleador y/o contratante.
2. Sanciones y/o multas.
3. Demandas con repercusiones económicas.</v>
      </c>
      <c r="E84" s="532">
        <f>ANALISIS!D36</f>
        <v>5</v>
      </c>
      <c r="F84" s="533" t="str">
        <f>ANALISIS!E36</f>
        <v>CASI CERTEZA</v>
      </c>
      <c r="G84" s="532">
        <f>ANALISIS!G36</f>
        <v>5</v>
      </c>
      <c r="H84" s="533" t="str">
        <f>ANALISIS!H36</f>
        <v>CATASTRÓFICO</v>
      </c>
      <c r="I84" s="540" t="str">
        <f>ANALISIS!J36</f>
        <v>EXTREMA 5:5</v>
      </c>
      <c r="J84" s="357">
        <f>VALORACIÓN!C85</f>
        <v>1</v>
      </c>
      <c r="K84" s="358" t="str">
        <f>IF(VALORACIÓN!F85=0,"",VALORACIÓN!F85)</f>
        <v>Procedimiento de vinculación de empleados</v>
      </c>
      <c r="L84" s="543">
        <f>VALORACIÓN!AA85</f>
        <v>43</v>
      </c>
      <c r="M84" s="526" t="str">
        <f>VALORACIÓN!AG85</f>
        <v>EXTREMA 5:3</v>
      </c>
      <c r="N84" s="530" t="str">
        <f>VALORACIÓN!AG86</f>
        <v>- Eliminar Causa(s)- Evitar Posibilidad de Ocurrencia- Reducir el Riesgo- Compartir o Transferir el Riesgo</v>
      </c>
      <c r="O84" s="545" t="str">
        <f>IF(B84="","",IF(VALORACIÓN!BA85="","Aceptar el Riesgo sin necesidad de tomar otras medidas de control diferentes a las que se poseen, considerando que estos son efectivos con ponderacion de 100, y la evaluación final del riesgos es Baja 1:1",VALORACIÓN!BA85))</f>
        <v>- Replantear control(es) NO efectivo(s) - Tomar Acciones Preventivas y Correctivas</v>
      </c>
      <c r="P84" s="395" t="s">
        <v>404</v>
      </c>
      <c r="Q84" s="395" t="s">
        <v>808</v>
      </c>
      <c r="R84" s="396" t="s">
        <v>69</v>
      </c>
    </row>
    <row r="85" spans="1:18" ht="39.75" customHeight="1" x14ac:dyDescent="0.2">
      <c r="A85" s="503"/>
      <c r="B85" s="496"/>
      <c r="C85" s="530"/>
      <c r="D85" s="530"/>
      <c r="E85" s="532"/>
      <c r="F85" s="534"/>
      <c r="G85" s="532"/>
      <c r="H85" s="534"/>
      <c r="I85" s="541"/>
      <c r="J85" s="357">
        <f>VALORACIÓN!C86</f>
        <v>2</v>
      </c>
      <c r="K85" s="358" t="str">
        <f>IF(VALORACIÓN!F86=0,"",VALORACIÓN!F86)</f>
        <v>Relación de catedráticos, contratistas y estudiantes de prácticas.</v>
      </c>
      <c r="L85" s="543"/>
      <c r="M85" s="527"/>
      <c r="N85" s="530"/>
      <c r="O85" s="546"/>
      <c r="P85" s="395"/>
      <c r="Q85" s="395"/>
      <c r="R85" s="396"/>
    </row>
    <row r="86" spans="1:18" ht="39.75" customHeight="1" x14ac:dyDescent="0.2">
      <c r="A86" s="503"/>
      <c r="B86" s="496"/>
      <c r="C86" s="530"/>
      <c r="D86" s="530"/>
      <c r="E86" s="532"/>
      <c r="F86" s="535"/>
      <c r="G86" s="532"/>
      <c r="H86" s="535"/>
      <c r="I86" s="542"/>
      <c r="J86" s="357">
        <f>VALORACIÓN!C87</f>
        <v>3</v>
      </c>
      <c r="K86" s="358" t="str">
        <f>IF(VALORACIÓN!F87=0,"",VALORACIÓN!F87)</f>
        <v/>
      </c>
      <c r="L86" s="543"/>
      <c r="M86" s="528"/>
      <c r="N86" s="530"/>
      <c r="O86" s="547"/>
      <c r="P86" s="395"/>
      <c r="Q86" s="398"/>
      <c r="R86" s="398"/>
    </row>
    <row r="87" spans="1:18" ht="39.75" customHeight="1" x14ac:dyDescent="0.2">
      <c r="A87" s="503" t="str">
        <f>VALORACIÓN!A88</f>
        <v>27G</v>
      </c>
      <c r="B87" s="496" t="str">
        <f>VALORACIÓN!B88</f>
        <v>Evaluación Independiente. Deficiente evaluación y verificacion de la existencia, nivel de desarrollo y grado de efectividad del Sistema de Control Interno</v>
      </c>
      <c r="C87" s="530" t="str">
        <f>IF(IDENTIFICACIÓN!B35="","",IDENTIFICACIÓN!B35)</f>
        <v>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informacion</v>
      </c>
      <c r="D87" s="530" t="str">
        <f>IF(IDENTIFICACIÓN!F35="","",IDENTIFICACIÓN!F35)</f>
        <v xml:space="preserve">No consecución de metas misionales.
Sanciones por los diferentes organos de control.
Deterioro o perdida de los bienes o recursos publicos.
</v>
      </c>
      <c r="E87" s="532">
        <f>ANALISIS!D37</f>
        <v>1</v>
      </c>
      <c r="F87" s="533" t="str">
        <f>ANALISIS!E37</f>
        <v>RARO</v>
      </c>
      <c r="G87" s="532">
        <f>ANALISIS!G37</f>
        <v>4</v>
      </c>
      <c r="H87" s="533" t="str">
        <f>ANALISIS!H37</f>
        <v>MAYOR</v>
      </c>
      <c r="I87" s="540" t="str">
        <f>ANALISIS!J37</f>
        <v>ALTA 1:4</v>
      </c>
      <c r="J87" s="357">
        <f>VALORACIÓN!C88</f>
        <v>1</v>
      </c>
      <c r="K87" s="358" t="str">
        <f>IF(VALORACIÓN!F88=0,"",VALORACIÓN!F88)</f>
        <v>Revisión y aprobación del Plan Anual de Auditorias por el CCCI</v>
      </c>
      <c r="L87" s="543">
        <f>VALORACIÓN!AA88</f>
        <v>95</v>
      </c>
      <c r="M87" s="526" t="str">
        <f>VALORACIÓN!AG88</f>
        <v>ALTA 1:4</v>
      </c>
      <c r="N87" s="530" t="str">
        <f>VALORACIÓN!AG89</f>
        <v>- Reducir el Riesgo- Compartir o Transferir el Riesgo</v>
      </c>
      <c r="O87" s="545" t="str">
        <f>IF(B87="","",IF(VALORACIÓN!BA88="","Aceptar el Riesgo sin necesidad de tomar otras medidas de control diferentes a las que se poseen, considerando que estos son efectivos con ponderacion de 100, y la evaluación final del riesgos es Baja 1:1",VALORACIÓN!BA88))</f>
        <v>- Tomar Acciones Correctivas</v>
      </c>
      <c r="P87" s="395" t="s">
        <v>400</v>
      </c>
      <c r="Q87" s="395" t="s">
        <v>801</v>
      </c>
      <c r="R87" s="396" t="s">
        <v>97</v>
      </c>
    </row>
    <row r="88" spans="1:18" ht="39.75" customHeight="1" x14ac:dyDescent="0.2">
      <c r="A88" s="503"/>
      <c r="B88" s="496"/>
      <c r="C88" s="530"/>
      <c r="D88" s="530"/>
      <c r="E88" s="532"/>
      <c r="F88" s="534"/>
      <c r="G88" s="532"/>
      <c r="H88" s="534"/>
      <c r="I88" s="541"/>
      <c r="J88" s="357">
        <f>VALORACIÓN!C89</f>
        <v>2</v>
      </c>
      <c r="K88" s="358" t="str">
        <f>IF(VALORACIÓN!F89=0,"",VALORACIÓN!F89)</f>
        <v>Procedimiento de evaluación SCI</v>
      </c>
      <c r="L88" s="543"/>
      <c r="M88" s="527"/>
      <c r="N88" s="530"/>
      <c r="O88" s="546"/>
      <c r="P88" s="395"/>
      <c r="Q88" s="395"/>
      <c r="R88" s="396"/>
    </row>
    <row r="89" spans="1:18" ht="39.75" customHeight="1" x14ac:dyDescent="0.2">
      <c r="A89" s="503"/>
      <c r="B89" s="496"/>
      <c r="C89" s="530"/>
      <c r="D89" s="530"/>
      <c r="E89" s="532"/>
      <c r="F89" s="535"/>
      <c r="G89" s="532"/>
      <c r="H89" s="535"/>
      <c r="I89" s="542"/>
      <c r="J89" s="357">
        <f>VALORACIÓN!C90</f>
        <v>3</v>
      </c>
      <c r="K89" s="358" t="str">
        <f>IF(VALORACIÓN!F90=0,"",VALORACIÓN!F90)</f>
        <v>Seguimiento de indicadores de cumplimiento del plan anual de auditorias y de avances del sistema de control interno</v>
      </c>
      <c r="L89" s="543"/>
      <c r="M89" s="528"/>
      <c r="N89" s="530"/>
      <c r="O89" s="547"/>
      <c r="P89" s="395"/>
      <c r="Q89" s="395"/>
      <c r="R89" s="396"/>
    </row>
    <row r="90" spans="1:18" ht="39.75" customHeight="1" x14ac:dyDescent="0.2">
      <c r="A90" s="503" t="str">
        <f>VALORACIÓN!A91</f>
        <v>28G</v>
      </c>
      <c r="B90" s="496" t="str">
        <f>VALORACIÓN!B91</f>
        <v>Evaluación Independiente. Deficiente evaluación del nivel de avance de las acciones pactadas en los planes de mejoramiento</v>
      </c>
      <c r="C90" s="530" t="str">
        <f>IF(IDENTIFICACIÓN!B36="","",IDENTIFICACIÓN!B36)</f>
        <v>Baja disponibilidad en el equipo de trabajo en el seguimiento del sistema.
Personal sin las competencias y conocimientos adecuadas
Poca disponibilidad de la informacion de entrada
Falta de cultura del autocontrol, autogestion y autorregulación</v>
      </c>
      <c r="D90" s="530" t="str">
        <f>IF(IDENTIFICACIÓN!F36="","",IDENTIFICACIÓN!F36)</f>
        <v>Incumplimiento en el logro de metas y objetivos.
Sanciones de organismos de control
Deterioro o perdida de los bienes o recursos publicos.</v>
      </c>
      <c r="E90" s="532">
        <f>ANALISIS!D38</f>
        <v>2</v>
      </c>
      <c r="F90" s="533" t="str">
        <f>ANALISIS!E38</f>
        <v>IMPROBABLE</v>
      </c>
      <c r="G90" s="532">
        <f>ANALISIS!G38</f>
        <v>4</v>
      </c>
      <c r="H90" s="533" t="str">
        <f>ANALISIS!H38</f>
        <v>MAYOR</v>
      </c>
      <c r="I90" s="540" t="str">
        <f>ANALISIS!J38</f>
        <v>ALTA 2:4</v>
      </c>
      <c r="J90" s="357">
        <f>VALORACIÓN!C91</f>
        <v>1</v>
      </c>
      <c r="K90" s="358" t="str">
        <f>IF(VALORACIÓN!F91=0,"",VALORACIÓN!F91)</f>
        <v>Seguimiento de indicadores de ejecución del plan anual de auditorias, de asesorias y acompañamientos ejecutados y de informes entregados oportunamente</v>
      </c>
      <c r="L90" s="543">
        <f>VALORACIÓN!AA91</f>
        <v>95</v>
      </c>
      <c r="M90" s="526" t="str">
        <f>VALORACIÓN!AG91</f>
        <v>ALTA 1:4</v>
      </c>
      <c r="N90" s="530" t="str">
        <f>VALORACIÓN!AG92</f>
        <v>- Reducir el Riesgo- Compartir o Transferir el Riesgo</v>
      </c>
      <c r="O90" s="545" t="str">
        <f>IF(B90="","",IF(VALORACIÓN!BA91="","Aceptar el Riesgo sin necesidad de tomar otras medidas de control diferentes a las que se poseen, considerando que estos son efectivos con ponderacion de 100, y la evaluación final del riesgos es Baja 1:1",VALORACIÓN!BA91))</f>
        <v>- Tomar Acciones Correctivas</v>
      </c>
      <c r="P90" s="395" t="s">
        <v>400</v>
      </c>
      <c r="Q90" s="395" t="s">
        <v>801</v>
      </c>
      <c r="R90" s="396" t="s">
        <v>97</v>
      </c>
    </row>
    <row r="91" spans="1:18" ht="39.75" customHeight="1" x14ac:dyDescent="0.2">
      <c r="A91" s="503"/>
      <c r="B91" s="496"/>
      <c r="C91" s="530"/>
      <c r="D91" s="530"/>
      <c r="E91" s="532"/>
      <c r="F91" s="534"/>
      <c r="G91" s="532"/>
      <c r="H91" s="534"/>
      <c r="I91" s="541"/>
      <c r="J91" s="357">
        <f>VALORACIÓN!C92</f>
        <v>2</v>
      </c>
      <c r="K91" s="358" t="str">
        <f>IF(VALORACIÓN!F92=0,"",VALORACIÓN!F92)</f>
        <v>Seguimiento a las fechas de presentacion de avances de PM</v>
      </c>
      <c r="L91" s="543"/>
      <c r="M91" s="527"/>
      <c r="N91" s="530"/>
      <c r="O91" s="546"/>
      <c r="P91" s="395"/>
      <c r="Q91" s="395"/>
      <c r="R91" s="396"/>
    </row>
    <row r="92" spans="1:18" ht="39.75" customHeight="1" thickBot="1" x14ac:dyDescent="0.25">
      <c r="A92" s="503"/>
      <c r="B92" s="496"/>
      <c r="C92" s="530"/>
      <c r="D92" s="530"/>
      <c r="E92" s="532"/>
      <c r="F92" s="535"/>
      <c r="G92" s="532"/>
      <c r="H92" s="535"/>
      <c r="I92" s="542"/>
      <c r="J92" s="357">
        <f>VALORACIÓN!C93</f>
        <v>3</v>
      </c>
      <c r="K92" s="358" t="str">
        <f>IF(VALORACIÓN!F93=0,"",VALORACIÓN!F93)</f>
        <v>Procedimiento Plan de mejoramiento</v>
      </c>
      <c r="L92" s="543"/>
      <c r="M92" s="528"/>
      <c r="N92" s="530"/>
      <c r="O92" s="547"/>
      <c r="P92" s="395"/>
      <c r="Q92" s="395"/>
      <c r="R92" s="396"/>
    </row>
    <row r="93" spans="1:18" ht="24.75" customHeight="1" thickTop="1" thickBot="1" x14ac:dyDescent="0.25">
      <c r="A93" s="460" t="str">
        <f>IDENTIFICACIÓN!A37</f>
        <v>RIESGOS DE CORRUPCIÓN</v>
      </c>
      <c r="B93" s="461"/>
      <c r="C93" s="461"/>
      <c r="D93" s="461"/>
      <c r="E93" s="461"/>
      <c r="F93" s="461"/>
      <c r="G93" s="461"/>
      <c r="H93" s="461"/>
      <c r="I93" s="461"/>
      <c r="J93" s="461"/>
      <c r="K93" s="461"/>
      <c r="L93" s="461"/>
      <c r="M93" s="461"/>
      <c r="N93" s="461"/>
      <c r="O93" s="461"/>
      <c r="P93" s="461"/>
      <c r="Q93" s="461"/>
      <c r="R93" s="462"/>
    </row>
    <row r="94" spans="1:18" ht="39.75" customHeight="1" thickTop="1" x14ac:dyDescent="0.2">
      <c r="A94" s="549" t="str">
        <f>VALORACIÓN!A95</f>
        <v>1C</v>
      </c>
      <c r="B94" s="496" t="str">
        <f>VALORACIÓN!B95</f>
        <v>Relaciones Interinstitucionales. Tráfico de Influencias</v>
      </c>
      <c r="C94" s="530" t="str">
        <f>IF(IDENTIFICACIÓN!B38="","",IDENTIFICACIÓN!B38)</f>
        <v>Concentración de autoridad o exceso de poder. Extralimitación de funciones. Ausencia Cultura de Ética y Buen Gobierno.</v>
      </c>
      <c r="D94" s="552" t="str">
        <f>IF(IDENTIFICACIÓN!D38="","","NA")</f>
        <v>NA</v>
      </c>
      <c r="E94" s="532">
        <f>ANALISIS!D40</f>
        <v>3</v>
      </c>
      <c r="F94" s="533" t="str">
        <f>ANALISIS!E40</f>
        <v>POSIBLE</v>
      </c>
      <c r="G94" s="556" t="s">
        <v>353</v>
      </c>
      <c r="H94" s="557"/>
      <c r="I94" s="548" t="str">
        <f>ANALISIS!J40</f>
        <v>MODERADA</v>
      </c>
      <c r="J94" s="248">
        <f>VALORACIÓN!C95</f>
        <v>1</v>
      </c>
      <c r="K94" s="251" t="str">
        <f>IF(VALORACIÓN!F95=0,"",VALORACIÓN!F95)</f>
        <v/>
      </c>
      <c r="L94" s="543" t="str">
        <f>VALORACIÓN!AA95</f>
        <v/>
      </c>
      <c r="M94" s="555" t="str">
        <f>VALORACIÓN!AG95</f>
        <v>MODERADA</v>
      </c>
      <c r="N94" s="530" t="str">
        <f>VALORACIÓN!AG96</f>
        <v>- Evitar Posibilidad de Ocurrencia- Reducir el Riesgo</v>
      </c>
      <c r="O94" s="545" t="str">
        <f>IF(B94="","",IF(VALORACIÓN!BA95="","Aceptar el Riesgo sin necesidad de tomar otras medidas de control diferentes a las que se poseen, considerando que estos son efectivos con ponderacion de 100, y la evaluación final del riesgos es Baja 1:1",VALORACIÓN!BA95))</f>
        <v>- Tomar Acciones Preventivas</v>
      </c>
      <c r="P94" s="395" t="s">
        <v>403</v>
      </c>
      <c r="Q94" s="395" t="s">
        <v>809</v>
      </c>
      <c r="R94" s="396" t="s">
        <v>70</v>
      </c>
    </row>
    <row r="95" spans="1:18" ht="39.75" customHeight="1" x14ac:dyDescent="0.2">
      <c r="A95" s="550"/>
      <c r="B95" s="496"/>
      <c r="C95" s="530"/>
      <c r="D95" s="553"/>
      <c r="E95" s="532"/>
      <c r="F95" s="534"/>
      <c r="G95" s="558"/>
      <c r="H95" s="559"/>
      <c r="I95" s="541"/>
      <c r="J95" s="248">
        <f>VALORACIÓN!C96</f>
        <v>2</v>
      </c>
      <c r="K95" s="251" t="str">
        <f>IF(VALORACIÓN!F96=0,"",VALORACIÓN!F96)</f>
        <v/>
      </c>
      <c r="L95" s="543"/>
      <c r="M95" s="527"/>
      <c r="N95" s="530"/>
      <c r="O95" s="546"/>
      <c r="P95" s="395"/>
      <c r="Q95" s="395"/>
      <c r="R95" s="396"/>
    </row>
    <row r="96" spans="1:18" ht="39.75" customHeight="1" thickBot="1" x14ac:dyDescent="0.25">
      <c r="A96" s="551"/>
      <c r="B96" s="496"/>
      <c r="C96" s="530"/>
      <c r="D96" s="554"/>
      <c r="E96" s="532"/>
      <c r="F96" s="535"/>
      <c r="G96" s="560"/>
      <c r="H96" s="561"/>
      <c r="I96" s="542"/>
      <c r="J96" s="248">
        <f>VALORACIÓN!C97</f>
        <v>3</v>
      </c>
      <c r="K96" s="251" t="str">
        <f>IF(VALORACIÓN!F97=0,"",VALORACIÓN!F97)</f>
        <v/>
      </c>
      <c r="L96" s="543"/>
      <c r="M96" s="528"/>
      <c r="N96" s="530"/>
      <c r="O96" s="547"/>
      <c r="P96" s="395"/>
      <c r="Q96" s="395"/>
      <c r="R96" s="396"/>
    </row>
    <row r="97" spans="1:18" ht="39.75" customHeight="1" thickTop="1" x14ac:dyDescent="0.2">
      <c r="A97" s="549" t="str">
        <f>VALORACIÓN!A98</f>
        <v>2C</v>
      </c>
      <c r="B97" s="496" t="str">
        <f>VALORACIÓN!B98</f>
        <v>Dirección y Planeación. Ausencia o debilidad de procesos y procedimientos para la gestión administrativa y misional</v>
      </c>
      <c r="C97" s="530" t="str">
        <f>IF(IDENTIFICACIÓN!B39="","",IDENTIFICACIÓN!B39)</f>
        <v>Ausencia de cultura de información</v>
      </c>
      <c r="D97" s="552" t="str">
        <f>IF(IDENTIFICACIÓN!D39="","","NA")</f>
        <v>NA</v>
      </c>
      <c r="E97" s="532">
        <f>ANALISIS!D41</f>
        <v>3</v>
      </c>
      <c r="F97" s="533" t="str">
        <f>ANALISIS!E41</f>
        <v>POSIBLE</v>
      </c>
      <c r="G97" s="556" t="s">
        <v>353</v>
      </c>
      <c r="H97" s="557"/>
      <c r="I97" s="548" t="str">
        <f>ANALISIS!J41</f>
        <v>MODERADA</v>
      </c>
      <c r="J97" s="248">
        <f>VALORACIÓN!C98</f>
        <v>1</v>
      </c>
      <c r="K97" s="251" t="str">
        <f>IF(VALORACIÓN!F98=0,"",VALORACIÓN!F98)</f>
        <v>Revisión por la Alta Dirección del Sistema de Gestión Integral de la Calidad</v>
      </c>
      <c r="L97" s="543">
        <f>VALORACIÓN!AA98</f>
        <v>95</v>
      </c>
      <c r="M97" s="555" t="str">
        <f>VALORACIÓN!AG98</f>
        <v>MODERADA</v>
      </c>
      <c r="N97" s="530" t="str">
        <f>VALORACIÓN!AG99</f>
        <v>- Evitar Posibilidad de Ocurrencia- Reducir el Riesgo</v>
      </c>
      <c r="O97" s="545" t="str">
        <f>IF(B97="","",IF(VALORACIÓN!BA98="","Aceptar el Riesgo sin necesidad de tomar otras medidas de control diferentes a las que se poseen, considerando que estos son efectivos con ponderacion de 100, y la evaluación final del riesgos es Baja 1:1",VALORACIÓN!BA98))</f>
        <v>- Tomar Acciones Preventivas</v>
      </c>
      <c r="P97" s="395" t="s">
        <v>406</v>
      </c>
      <c r="Q97" s="395" t="s">
        <v>801</v>
      </c>
      <c r="R97" s="396" t="s">
        <v>97</v>
      </c>
    </row>
    <row r="98" spans="1:18" ht="39.75" customHeight="1" x14ac:dyDescent="0.2">
      <c r="A98" s="550"/>
      <c r="B98" s="496"/>
      <c r="C98" s="530"/>
      <c r="D98" s="553"/>
      <c r="E98" s="532"/>
      <c r="F98" s="534"/>
      <c r="G98" s="558"/>
      <c r="H98" s="559"/>
      <c r="I98" s="541"/>
      <c r="J98" s="248">
        <f>VALORACIÓN!C99</f>
        <v>2</v>
      </c>
      <c r="K98" s="251" t="str">
        <f>IF(VALORACIÓN!F99=0,"",VALORACIÓN!F99)</f>
        <v/>
      </c>
      <c r="L98" s="543"/>
      <c r="M98" s="527"/>
      <c r="N98" s="530"/>
      <c r="O98" s="546"/>
      <c r="P98" s="395"/>
      <c r="Q98" s="395"/>
      <c r="R98" s="396"/>
    </row>
    <row r="99" spans="1:18" ht="39.75" customHeight="1" thickBot="1" x14ac:dyDescent="0.25">
      <c r="A99" s="551"/>
      <c r="B99" s="496"/>
      <c r="C99" s="530"/>
      <c r="D99" s="554"/>
      <c r="E99" s="532"/>
      <c r="F99" s="535"/>
      <c r="G99" s="560"/>
      <c r="H99" s="561"/>
      <c r="I99" s="542"/>
      <c r="J99" s="248">
        <f>VALORACIÓN!C100</f>
        <v>3</v>
      </c>
      <c r="K99" s="251" t="str">
        <f>IF(VALORACIÓN!F100=0,"",VALORACIÓN!F100)</f>
        <v/>
      </c>
      <c r="L99" s="543"/>
      <c r="M99" s="528"/>
      <c r="N99" s="530"/>
      <c r="O99" s="547"/>
      <c r="P99" s="395"/>
      <c r="Q99" s="395"/>
      <c r="R99" s="396"/>
    </row>
    <row r="100" spans="1:18" ht="39.75" customHeight="1" thickTop="1" x14ac:dyDescent="0.2">
      <c r="A100" s="549" t="str">
        <f>VALORACIÓN!A101</f>
        <v>3C</v>
      </c>
      <c r="B100" s="496" t="str">
        <f>VALORACIÓN!B101</f>
        <v>Dirección y Planeación. Prevaricato</v>
      </c>
      <c r="C100" s="530" t="str">
        <f>IF(IDENTIFICACIÓN!B40="","",IDENTIFICACIÓN!B40)</f>
        <v>Desconocimiento de la ley</v>
      </c>
      <c r="D100" s="552" t="str">
        <f>IF(IDENTIFICACIÓN!D40="","","NA")</f>
        <v>NA</v>
      </c>
      <c r="E100" s="532">
        <f>ANALISIS!D42</f>
        <v>3</v>
      </c>
      <c r="F100" s="533" t="str">
        <f>ANALISIS!E42</f>
        <v>POSIBLE</v>
      </c>
      <c r="G100" s="556" t="s">
        <v>353</v>
      </c>
      <c r="H100" s="557"/>
      <c r="I100" s="548" t="str">
        <f>ANALISIS!J42</f>
        <v>MODERADA</v>
      </c>
      <c r="J100" s="248">
        <f>VALORACIÓN!C101</f>
        <v>1</v>
      </c>
      <c r="K100" s="251" t="str">
        <f>IF(VALORACIÓN!F101=0,"",VALORACIÓN!F101)</f>
        <v>Consejos: Superior, Académico, Investigación, Extensión, Planeación, Facultad y Programas</v>
      </c>
      <c r="L100" s="543">
        <f>VALORACIÓN!AA101</f>
        <v>95</v>
      </c>
      <c r="M100" s="555" t="str">
        <f>VALORACIÓN!AG101</f>
        <v>MODERADA</v>
      </c>
      <c r="N100" s="530" t="str">
        <f>VALORACIÓN!AG102</f>
        <v>- Evitar Posibilidad de Ocurrencia- Reducir el Riesgo</v>
      </c>
      <c r="O100" s="545" t="str">
        <f>IF(B100="","",IF(VALORACIÓN!BA101="","Aceptar el Riesgo sin necesidad de tomar otras medidas de control diferentes a las que se poseen, considerando que estos son efectivos con ponderacion de 100, y la evaluación final del riesgos es Baja 1:1",VALORACIÓN!BA101))</f>
        <v>- Tomar Acciones Preventivas</v>
      </c>
      <c r="P100" s="395" t="s">
        <v>406</v>
      </c>
      <c r="Q100" s="395" t="s">
        <v>801</v>
      </c>
      <c r="R100" s="396" t="s">
        <v>97</v>
      </c>
    </row>
    <row r="101" spans="1:18" ht="39.75" customHeight="1" x14ac:dyDescent="0.2">
      <c r="A101" s="550"/>
      <c r="B101" s="496"/>
      <c r="C101" s="530"/>
      <c r="D101" s="553"/>
      <c r="E101" s="532"/>
      <c r="F101" s="534"/>
      <c r="G101" s="558"/>
      <c r="H101" s="559"/>
      <c r="I101" s="541"/>
      <c r="J101" s="248">
        <f>VALORACIÓN!C102</f>
        <v>2</v>
      </c>
      <c r="K101" s="251" t="str">
        <f>IF(VALORACIÓN!F102=0,"",VALORACIÓN!F102)</f>
        <v/>
      </c>
      <c r="L101" s="543"/>
      <c r="M101" s="527"/>
      <c r="N101" s="530"/>
      <c r="O101" s="546"/>
      <c r="P101" s="395"/>
      <c r="Q101" s="395"/>
      <c r="R101" s="396"/>
    </row>
    <row r="102" spans="1:18" ht="39.75" customHeight="1" thickBot="1" x14ac:dyDescent="0.25">
      <c r="A102" s="551"/>
      <c r="B102" s="496"/>
      <c r="C102" s="530"/>
      <c r="D102" s="554"/>
      <c r="E102" s="532"/>
      <c r="F102" s="535"/>
      <c r="G102" s="560"/>
      <c r="H102" s="561"/>
      <c r="I102" s="542"/>
      <c r="J102" s="248">
        <f>VALORACIÓN!C103</f>
        <v>3</v>
      </c>
      <c r="K102" s="251" t="str">
        <f>IF(VALORACIÓN!F103=0,"",VALORACIÓN!F103)</f>
        <v/>
      </c>
      <c r="L102" s="543"/>
      <c r="M102" s="528"/>
      <c r="N102" s="530"/>
      <c r="O102" s="547"/>
      <c r="P102" s="395"/>
      <c r="Q102" s="395"/>
      <c r="R102" s="396"/>
    </row>
    <row r="103" spans="1:18" ht="39.75" customHeight="1" thickTop="1" x14ac:dyDescent="0.2">
      <c r="A103" s="549" t="str">
        <f>VALORACIÓN!A104</f>
        <v>4C</v>
      </c>
      <c r="B103" s="496" t="str">
        <f>VALORACIÓN!B104</f>
        <v>Dirección y Planeación. Malversación de Recursos</v>
      </c>
      <c r="C103" s="530" t="str">
        <f>IF(IDENTIFICACIÓN!B41="","",IDENTIFICACIÓN!B41)</f>
        <v>Omisión de procedimientos legales</v>
      </c>
      <c r="D103" s="552" t="str">
        <f>IF(IDENTIFICACIÓN!D41="","","NA")</f>
        <v>NA</v>
      </c>
      <c r="E103" s="532">
        <f>ANALISIS!D43</f>
        <v>3</v>
      </c>
      <c r="F103" s="533" t="str">
        <f>ANALISIS!E43</f>
        <v>POSIBLE</v>
      </c>
      <c r="G103" s="556" t="s">
        <v>353</v>
      </c>
      <c r="H103" s="557"/>
      <c r="I103" s="548" t="str">
        <f>ANALISIS!J43</f>
        <v>MODERADA</v>
      </c>
      <c r="J103" s="248">
        <f>VALORACIÓN!C104</f>
        <v>1</v>
      </c>
      <c r="K103" s="251" t="str">
        <f>IF(VALORACIÓN!F104=0,"",VALORACIÓN!F104)</f>
        <v>Consejos: Superior, Académico, Investigación, Extensión, Planeación, Facultad y Programas</v>
      </c>
      <c r="L103" s="543">
        <f>VALORACIÓN!AA104</f>
        <v>95</v>
      </c>
      <c r="M103" s="555" t="str">
        <f>VALORACIÓN!AG104</f>
        <v>MODERADA</v>
      </c>
      <c r="N103" s="530" t="str">
        <f>VALORACIÓN!AG105</f>
        <v>- Evitar Posibilidad de Ocurrencia- Reducir el Riesgo</v>
      </c>
      <c r="O103" s="545" t="str">
        <f>IF(B103="","",IF(VALORACIÓN!BA104="","Aceptar el Riesgo sin necesidad de tomar otras medidas de control diferentes a las que se poseen, considerando que estos son efectivos con ponderacion de 100, y la evaluación final del riesgos es Baja 1:1",VALORACIÓN!BA104))</f>
        <v>- Tomar Acciones Preventivas</v>
      </c>
      <c r="P103" s="395" t="s">
        <v>406</v>
      </c>
      <c r="Q103" s="395" t="s">
        <v>801</v>
      </c>
      <c r="R103" s="396" t="s">
        <v>97</v>
      </c>
    </row>
    <row r="104" spans="1:18" ht="39.75" customHeight="1" x14ac:dyDescent="0.2">
      <c r="A104" s="550"/>
      <c r="B104" s="496"/>
      <c r="C104" s="530"/>
      <c r="D104" s="553"/>
      <c r="E104" s="532"/>
      <c r="F104" s="534"/>
      <c r="G104" s="558"/>
      <c r="H104" s="559"/>
      <c r="I104" s="541"/>
      <c r="J104" s="248">
        <f>VALORACIÓN!C105</f>
        <v>2</v>
      </c>
      <c r="K104" s="251" t="str">
        <f>IF(VALORACIÓN!F105=0,"",VALORACIÓN!F105)</f>
        <v/>
      </c>
      <c r="L104" s="543"/>
      <c r="M104" s="527"/>
      <c r="N104" s="530"/>
      <c r="O104" s="546"/>
      <c r="P104" s="395"/>
      <c r="Q104" s="395"/>
      <c r="R104" s="396"/>
    </row>
    <row r="105" spans="1:18" ht="39.75" customHeight="1" thickBot="1" x14ac:dyDescent="0.25">
      <c r="A105" s="551"/>
      <c r="B105" s="496"/>
      <c r="C105" s="530"/>
      <c r="D105" s="554"/>
      <c r="E105" s="532"/>
      <c r="F105" s="535"/>
      <c r="G105" s="560"/>
      <c r="H105" s="561"/>
      <c r="I105" s="542"/>
      <c r="J105" s="248">
        <f>VALORACIÓN!C106</f>
        <v>3</v>
      </c>
      <c r="K105" s="251" t="str">
        <f>IF(VALORACIÓN!F106=0,"",VALORACIÓN!F106)</f>
        <v/>
      </c>
      <c r="L105" s="543"/>
      <c r="M105" s="528"/>
      <c r="N105" s="530"/>
      <c r="O105" s="547"/>
      <c r="P105" s="395"/>
      <c r="Q105" s="395"/>
      <c r="R105" s="396"/>
    </row>
    <row r="106" spans="1:18" ht="39.75" customHeight="1" thickTop="1" x14ac:dyDescent="0.2">
      <c r="A106" s="549" t="str">
        <f>VALORACIÓN!A107</f>
        <v>5C</v>
      </c>
      <c r="B106" s="496" t="str">
        <f>VALORACIÓN!B107</f>
        <v>Acreditación. Deficiencias en el manejo documental y de archivo</v>
      </c>
      <c r="C106" s="530" t="str">
        <f>IF(IDENTIFICACIÓN!B42="","",IDENTIFICACIÓN!B42)</f>
        <v>Deficiente o débil organización en el acervo documental</v>
      </c>
      <c r="D106" s="552" t="str">
        <f>IF(IDENTIFICACIÓN!D42="","","NA")</f>
        <v>NA</v>
      </c>
      <c r="E106" s="532">
        <f>ANALISIS!D44</f>
        <v>3</v>
      </c>
      <c r="F106" s="533" t="str">
        <f>ANALISIS!E44</f>
        <v>POSIBLE</v>
      </c>
      <c r="G106" s="556" t="s">
        <v>353</v>
      </c>
      <c r="H106" s="557"/>
      <c r="I106" s="548" t="str">
        <f>ANALISIS!J44</f>
        <v>MODERADA</v>
      </c>
      <c r="J106" s="248">
        <f>VALORACIÓN!C107</f>
        <v>1</v>
      </c>
      <c r="K106" s="251" t="str">
        <f>IF(VALORACIÓN!F107=0,"",VALORACIÓN!F107)</f>
        <v>Se han implementado, procedimientos y formatos</v>
      </c>
      <c r="L106" s="543">
        <f>VALORACIÓN!AA107</f>
        <v>95</v>
      </c>
      <c r="M106" s="555" t="str">
        <f>VALORACIÓN!AG107</f>
        <v>MODERADA</v>
      </c>
      <c r="N106" s="530" t="str">
        <f>VALORACIÓN!AG108</f>
        <v>- Evitar Posibilidad de Ocurrencia- Reducir el Riesgo</v>
      </c>
      <c r="O106" s="545" t="str">
        <f>IF(B106="","",IF(VALORACIÓN!BA107="","Aceptar el Riesgo sin necesidad de tomar otras medidas de control diferentes a las que se poseen, considerando que estos son efectivos con ponderacion de 100, y la evaluación final del riesgos es Baja 1:1",VALORACIÓN!BA107))</f>
        <v>- Tomar Acciones Preventivas</v>
      </c>
      <c r="P106" s="395" t="s">
        <v>404</v>
      </c>
      <c r="Q106" s="395" t="s">
        <v>810</v>
      </c>
      <c r="R106" s="396" t="s">
        <v>69</v>
      </c>
    </row>
    <row r="107" spans="1:18" ht="39.75" customHeight="1" x14ac:dyDescent="0.2">
      <c r="A107" s="550"/>
      <c r="B107" s="496"/>
      <c r="C107" s="530"/>
      <c r="D107" s="553"/>
      <c r="E107" s="532"/>
      <c r="F107" s="534"/>
      <c r="G107" s="558"/>
      <c r="H107" s="559"/>
      <c r="I107" s="541"/>
      <c r="J107" s="248">
        <f>VALORACIÓN!C108</f>
        <v>2</v>
      </c>
      <c r="K107" s="251" t="str">
        <f>IF(VALORACIÓN!F108=0,"",VALORACIÓN!F108)</f>
        <v>Contratación de personal</v>
      </c>
      <c r="L107" s="543"/>
      <c r="M107" s="527"/>
      <c r="N107" s="530"/>
      <c r="O107" s="546"/>
      <c r="P107" s="395"/>
      <c r="Q107" s="395"/>
      <c r="R107" s="396"/>
    </row>
    <row r="108" spans="1:18" ht="39.75" customHeight="1" thickBot="1" x14ac:dyDescent="0.25">
      <c r="A108" s="551"/>
      <c r="B108" s="496"/>
      <c r="C108" s="530"/>
      <c r="D108" s="554"/>
      <c r="E108" s="532"/>
      <c r="F108" s="535"/>
      <c r="G108" s="560"/>
      <c r="H108" s="561"/>
      <c r="I108" s="542"/>
      <c r="J108" s="248">
        <f>VALORACIÓN!C109</f>
        <v>3</v>
      </c>
      <c r="K108" s="251" t="str">
        <f>IF(VALORACIÓN!F109=0,"",VALORACIÓN!F109)</f>
        <v/>
      </c>
      <c r="L108" s="543"/>
      <c r="M108" s="528"/>
      <c r="N108" s="530"/>
      <c r="O108" s="547"/>
      <c r="P108" s="395"/>
      <c r="Q108" s="395"/>
      <c r="R108" s="396"/>
    </row>
    <row r="109" spans="1:18" ht="30.75" thickTop="1" x14ac:dyDescent="0.2">
      <c r="A109" s="549" t="str">
        <f>VALORACIÓN!A110</f>
        <v>6C</v>
      </c>
      <c r="B109" s="496" t="str">
        <f>VALORACIÓN!B110</f>
        <v>Acreditación. Concentración de información de determinadas actividades o procesos en una persona</v>
      </c>
      <c r="C109" s="530" t="str">
        <f>IF(IDENTIFICACIÓN!B43="","",IDENTIFICACIÓN!B43)</f>
        <v>Bajo numero de personal adscrito a la Oficina</v>
      </c>
      <c r="D109" s="552" t="str">
        <f>IF(IDENTIFICACIÓN!D43="","","NA")</f>
        <v>NA</v>
      </c>
      <c r="E109" s="532">
        <f>ANALISIS!D45</f>
        <v>3</v>
      </c>
      <c r="F109" s="533" t="str">
        <f>ANALISIS!E45</f>
        <v>POSIBLE</v>
      </c>
      <c r="G109" s="556" t="s">
        <v>353</v>
      </c>
      <c r="H109" s="557"/>
      <c r="I109" s="548" t="str">
        <f>ANALISIS!J45</f>
        <v>MODERADA</v>
      </c>
      <c r="J109" s="357">
        <f>VALORACIÓN!C110</f>
        <v>1</v>
      </c>
      <c r="K109" s="358" t="str">
        <f>IF(VALORACIÓN!F110=0,"",VALORACIÓN!F110)</f>
        <v>Se han implementado, procedimientos y formatos</v>
      </c>
      <c r="L109" s="543">
        <f>VALORACIÓN!AA110</f>
        <v>95</v>
      </c>
      <c r="M109" s="555" t="str">
        <f>VALORACIÓN!AG110</f>
        <v>MODERADA</v>
      </c>
      <c r="N109" s="530" t="str">
        <f>VALORACIÓN!AG111</f>
        <v>- Evitar Posibilidad de Ocurrencia- Reducir el Riesgo</v>
      </c>
      <c r="O109" s="545" t="str">
        <f>IF(B109="","",IF(VALORACIÓN!BA110="","Aceptar el Riesgo sin necesidad de tomar otras medidas de control diferentes a las que se poseen, considerando que estos son efectivos con ponderacion de 100, y la evaluación final del riesgos es Baja 1:1",VALORACIÓN!BA110))</f>
        <v>- Tomar Acciones Preventivas</v>
      </c>
      <c r="P109" s="395" t="s">
        <v>404</v>
      </c>
      <c r="Q109" s="395" t="s">
        <v>810</v>
      </c>
      <c r="R109" s="396" t="s">
        <v>69</v>
      </c>
    </row>
    <row r="110" spans="1:18" x14ac:dyDescent="0.2">
      <c r="A110" s="550"/>
      <c r="B110" s="496"/>
      <c r="C110" s="530"/>
      <c r="D110" s="553"/>
      <c r="E110" s="532"/>
      <c r="F110" s="534"/>
      <c r="G110" s="558"/>
      <c r="H110" s="559"/>
      <c r="I110" s="541"/>
      <c r="J110" s="357">
        <f>VALORACIÓN!C111</f>
        <v>2</v>
      </c>
      <c r="K110" s="358" t="str">
        <f>IF(VALORACIÓN!F111=0,"",VALORACIÓN!F111)</f>
        <v>Contratación de personal</v>
      </c>
      <c r="L110" s="543"/>
      <c r="M110" s="527"/>
      <c r="N110" s="530"/>
      <c r="O110" s="546"/>
      <c r="P110" s="395"/>
      <c r="Q110" s="395"/>
      <c r="R110" s="396"/>
    </row>
    <row r="111" spans="1:18" ht="16.5" thickBot="1" x14ac:dyDescent="0.25">
      <c r="A111" s="551"/>
      <c r="B111" s="496"/>
      <c r="C111" s="530"/>
      <c r="D111" s="554"/>
      <c r="E111" s="532"/>
      <c r="F111" s="535"/>
      <c r="G111" s="560"/>
      <c r="H111" s="561"/>
      <c r="I111" s="542"/>
      <c r="J111" s="357">
        <f>VALORACIÓN!C112</f>
        <v>3</v>
      </c>
      <c r="K111" s="358" t="str">
        <f>IF(VALORACIÓN!F112=0,"",VALORACIÓN!F112)</f>
        <v/>
      </c>
      <c r="L111" s="543"/>
      <c r="M111" s="528"/>
      <c r="N111" s="530"/>
      <c r="O111" s="547"/>
      <c r="P111" s="395"/>
      <c r="Q111" s="395"/>
      <c r="R111" s="396"/>
    </row>
    <row r="112" spans="1:18" ht="45.75" thickTop="1" x14ac:dyDescent="0.2">
      <c r="A112" s="549" t="str">
        <f>VALORACIÓN!A113</f>
        <v>7C</v>
      </c>
      <c r="B112" s="496" t="str">
        <f>VALORACIÓN!B113</f>
        <v>Gestión de la Calidad. Concentración de información de determinadas actividades o procesos en una persona</v>
      </c>
      <c r="C112" s="530" t="str">
        <f>IF(IDENTIFICACIÓN!B44="","",IDENTIFICACIÓN!B44)</f>
        <v xml:space="preserve">Falta de cualificación del personal
Alta rotación de personal
Concentración de conocimiento
</v>
      </c>
      <c r="D112" s="552" t="str">
        <f>IF(IDENTIFICACIÓN!D44="","","NA")</f>
        <v>NA</v>
      </c>
      <c r="E112" s="532">
        <f>ANALISIS!D46</f>
        <v>3</v>
      </c>
      <c r="F112" s="533" t="str">
        <f>ANALISIS!E46</f>
        <v>POSIBLE</v>
      </c>
      <c r="G112" s="556" t="s">
        <v>353</v>
      </c>
      <c r="H112" s="557"/>
      <c r="I112" s="548" t="str">
        <f>ANALISIS!J46</f>
        <v>MODERADA</v>
      </c>
      <c r="J112" s="357">
        <f>VALORACIÓN!C113</f>
        <v>1</v>
      </c>
      <c r="K112" s="358" t="str">
        <f>IF(VALORACIÓN!F113=0,"",VALORACIÓN!F113)</f>
        <v>MC-G01 Guia para la elaboración de documentos.</v>
      </c>
      <c r="L112" s="543">
        <f>VALORACIÓN!AA113</f>
        <v>95</v>
      </c>
      <c r="M112" s="555" t="str">
        <f>VALORACIÓN!AG113</f>
        <v>MODERADA</v>
      </c>
      <c r="N112" s="530" t="str">
        <f>VALORACIÓN!AG114</f>
        <v>- Evitar Posibilidad de Ocurrencia- Reducir el Riesgo</v>
      </c>
      <c r="O112" s="545" t="str">
        <f>IF(B112="","",IF(VALORACIÓN!BA113="","Aceptar el Riesgo sin necesidad de tomar otras medidas de control diferentes a las que se poseen, considerando que estos son efectivos con ponderacion de 100, y la evaluación final del riesgos es Baja 1:1",VALORACIÓN!BA113))</f>
        <v>- Tomar Acciones Preventivas</v>
      </c>
      <c r="P112" s="395" t="s">
        <v>406</v>
      </c>
      <c r="Q112" s="395" t="s">
        <v>801</v>
      </c>
      <c r="R112" s="396" t="s">
        <v>97</v>
      </c>
    </row>
    <row r="113" spans="1:18" x14ac:dyDescent="0.2">
      <c r="A113" s="550"/>
      <c r="B113" s="496"/>
      <c r="C113" s="530"/>
      <c r="D113" s="553"/>
      <c r="E113" s="532"/>
      <c r="F113" s="534"/>
      <c r="G113" s="558"/>
      <c r="H113" s="559"/>
      <c r="I113" s="541"/>
      <c r="J113" s="357">
        <f>VALORACIÓN!C114</f>
        <v>2</v>
      </c>
      <c r="K113" s="358" t="str">
        <f>IF(VALORACIÓN!F114=0,"",VALORACIÓN!F114)</f>
        <v/>
      </c>
      <c r="L113" s="543"/>
      <c r="M113" s="527"/>
      <c r="N113" s="530"/>
      <c r="O113" s="546"/>
      <c r="P113" s="395"/>
      <c r="Q113" s="395"/>
      <c r="R113" s="396"/>
    </row>
    <row r="114" spans="1:18" ht="16.5" thickBot="1" x14ac:dyDescent="0.25">
      <c r="A114" s="551"/>
      <c r="B114" s="496"/>
      <c r="C114" s="530"/>
      <c r="D114" s="554"/>
      <c r="E114" s="532"/>
      <c r="F114" s="535"/>
      <c r="G114" s="560"/>
      <c r="H114" s="561"/>
      <c r="I114" s="542"/>
      <c r="J114" s="357">
        <f>VALORACIÓN!C115</f>
        <v>3</v>
      </c>
      <c r="K114" s="358" t="str">
        <f>IF(VALORACIÓN!F115=0,"",VALORACIÓN!F115)</f>
        <v/>
      </c>
      <c r="L114" s="543"/>
      <c r="M114" s="528"/>
      <c r="N114" s="530"/>
      <c r="O114" s="547"/>
      <c r="P114" s="395"/>
      <c r="Q114" s="395"/>
      <c r="R114" s="396"/>
    </row>
    <row r="115" spans="1:18" ht="45.75" thickTop="1" x14ac:dyDescent="0.2">
      <c r="A115" s="549" t="str">
        <f>VALORACIÓN!A116</f>
        <v>8C</v>
      </c>
      <c r="B115" s="496" t="str">
        <f>VALORACIÓN!B116</f>
        <v>Gestión de la Calidad. Deficiencias en el  manejo documental y de archivo</v>
      </c>
      <c r="C115" s="530" t="str">
        <f>IF(IDENTIFICACIÓN!B45="","",IDENTIFICACIÓN!B45)</f>
        <v>Gestión documental deficiente</v>
      </c>
      <c r="D115" s="552" t="str">
        <f>IF(IDENTIFICACIÓN!D45="","","NA")</f>
        <v>NA</v>
      </c>
      <c r="E115" s="532">
        <f>ANALISIS!D47</f>
        <v>3</v>
      </c>
      <c r="F115" s="533" t="str">
        <f>ANALISIS!E47</f>
        <v>POSIBLE</v>
      </c>
      <c r="G115" s="556" t="s">
        <v>353</v>
      </c>
      <c r="H115" s="557"/>
      <c r="I115" s="548" t="str">
        <f>ANALISIS!J47</f>
        <v>MODERADA</v>
      </c>
      <c r="J115" s="357">
        <f>VALORACIÓN!C116</f>
        <v>1</v>
      </c>
      <c r="K115" s="358" t="str">
        <f>IF(VALORACIÓN!F116=0,"",VALORACIÓN!F116)</f>
        <v xml:space="preserve">MC-P01 Procedimiento para el control de documentos </v>
      </c>
      <c r="L115" s="543">
        <f>VALORACIÓN!AA116</f>
        <v>95</v>
      </c>
      <c r="M115" s="555" t="str">
        <f>VALORACIÓN!AG116</f>
        <v>MODERADA</v>
      </c>
      <c r="N115" s="530" t="str">
        <f>VALORACIÓN!AG117</f>
        <v>- Evitar Posibilidad de Ocurrencia- Reducir el Riesgo</v>
      </c>
      <c r="O115" s="545" t="str">
        <f>IF(B115="","",IF(VALORACIÓN!BA116="","Aceptar el Riesgo sin necesidad de tomar otras medidas de control diferentes a las que se poseen, considerando que estos son efectivos con ponderacion de 100, y la evaluación final del riesgos es Baja 1:1",VALORACIÓN!BA116))</f>
        <v>- Tomar Acciones Preventivas</v>
      </c>
      <c r="P115" s="395" t="s">
        <v>406</v>
      </c>
      <c r="Q115" s="395" t="s">
        <v>801</v>
      </c>
      <c r="R115" s="396" t="s">
        <v>97</v>
      </c>
    </row>
    <row r="116" spans="1:18" ht="38.25" x14ac:dyDescent="0.2">
      <c r="A116" s="550"/>
      <c r="B116" s="496"/>
      <c r="C116" s="530"/>
      <c r="D116" s="553"/>
      <c r="E116" s="532"/>
      <c r="F116" s="534"/>
      <c r="G116" s="558"/>
      <c r="H116" s="559"/>
      <c r="I116" s="541"/>
      <c r="J116" s="357">
        <f>VALORACIÓN!C117</f>
        <v>2</v>
      </c>
      <c r="K116" s="358" t="str">
        <f>IF(VALORACIÓN!F117=0,"",VALORACIÓN!F117)</f>
        <v>MC-P02 Procedimiento para el Control de Registros</v>
      </c>
      <c r="L116" s="543"/>
      <c r="M116" s="527"/>
      <c r="N116" s="530"/>
      <c r="O116" s="546"/>
      <c r="P116" s="395"/>
      <c r="Q116" s="395"/>
      <c r="R116" s="396"/>
    </row>
    <row r="117" spans="1:18" ht="16.5" thickBot="1" x14ac:dyDescent="0.25">
      <c r="A117" s="551"/>
      <c r="B117" s="496"/>
      <c r="C117" s="530"/>
      <c r="D117" s="554"/>
      <c r="E117" s="532"/>
      <c r="F117" s="535"/>
      <c r="G117" s="560"/>
      <c r="H117" s="561"/>
      <c r="I117" s="542"/>
      <c r="J117" s="357">
        <f>VALORACIÓN!C118</f>
        <v>3</v>
      </c>
      <c r="K117" s="358" t="str">
        <f>IF(VALORACIÓN!F118=0,"",VALORACIÓN!F118)</f>
        <v/>
      </c>
      <c r="L117" s="543"/>
      <c r="M117" s="528"/>
      <c r="N117" s="530"/>
      <c r="O117" s="547"/>
      <c r="P117" s="395"/>
      <c r="Q117" s="395"/>
      <c r="R117" s="396"/>
    </row>
    <row r="118" spans="1:18" ht="45.75" thickTop="1" x14ac:dyDescent="0.2">
      <c r="A118" s="549" t="str">
        <f>VALORACIÓN!A119</f>
        <v>9C</v>
      </c>
      <c r="B118" s="496" t="str">
        <f>VALORACIÓN!B119</f>
        <v>Comunicaciones Concentración de información de determinadas actividades o procesos en una persona</v>
      </c>
      <c r="C118" s="530" t="str">
        <f>IF(IDENTIFICACIÓN!B46="","",IDENTIFICACIÓN!B46)</f>
        <v xml:space="preserve">Concentración de conocimiento
</v>
      </c>
      <c r="D118" s="552" t="str">
        <f>IF(IDENTIFICACIÓN!D46="","","NA")</f>
        <v>NA</v>
      </c>
      <c r="E118" s="532">
        <f>ANALISIS!D48</f>
        <v>3</v>
      </c>
      <c r="F118" s="533" t="str">
        <f>ANALISIS!E48</f>
        <v>POSIBLE</v>
      </c>
      <c r="G118" s="556" t="s">
        <v>353</v>
      </c>
      <c r="H118" s="557"/>
      <c r="I118" s="548" t="str">
        <f>ANALISIS!J48</f>
        <v>MODERADA</v>
      </c>
      <c r="J118" s="357">
        <f>VALORACIÓN!C119</f>
        <v>1</v>
      </c>
      <c r="K118" s="358" t="str">
        <f>IF(VALORACIÓN!F119=0,"",VALORACIÓN!F119)</f>
        <v>MC-G01 Guia para la elaboración de documentos.</v>
      </c>
      <c r="L118" s="543">
        <f>VALORACIÓN!AA119</f>
        <v>95</v>
      </c>
      <c r="M118" s="555" t="str">
        <f>VALORACIÓN!AG119</f>
        <v>MODERADA</v>
      </c>
      <c r="N118" s="530" t="str">
        <f>VALORACIÓN!AG120</f>
        <v>- Evitar Posibilidad de Ocurrencia- Reducir el Riesgo</v>
      </c>
      <c r="O118" s="545" t="str">
        <f>IF(B118="","",IF(VALORACIÓN!BA119="","Aceptar el Riesgo sin necesidad de tomar otras medidas de control diferentes a las que se poseen, considerando que estos son efectivos con ponderacion de 100, y la evaluación final del riesgos es Baja 1:1",VALORACIÓN!BA119))</f>
        <v>- Tomar Acciones Preventivas</v>
      </c>
      <c r="P118" s="395" t="s">
        <v>406</v>
      </c>
      <c r="Q118" s="395" t="s">
        <v>801</v>
      </c>
      <c r="R118" s="396" t="s">
        <v>97</v>
      </c>
    </row>
    <row r="119" spans="1:18" x14ac:dyDescent="0.2">
      <c r="A119" s="550"/>
      <c r="B119" s="496"/>
      <c r="C119" s="530"/>
      <c r="D119" s="553"/>
      <c r="E119" s="532"/>
      <c r="F119" s="534"/>
      <c r="G119" s="558"/>
      <c r="H119" s="559"/>
      <c r="I119" s="541"/>
      <c r="J119" s="357">
        <f>VALORACIÓN!C120</f>
        <v>2</v>
      </c>
      <c r="K119" s="358" t="str">
        <f>IF(VALORACIÓN!F120=0,"",VALORACIÓN!F120)</f>
        <v/>
      </c>
      <c r="L119" s="543"/>
      <c r="M119" s="527"/>
      <c r="N119" s="530"/>
      <c r="O119" s="546"/>
      <c r="P119" s="395"/>
      <c r="Q119" s="395"/>
      <c r="R119" s="396"/>
    </row>
    <row r="120" spans="1:18" ht="16.5" thickBot="1" x14ac:dyDescent="0.25">
      <c r="A120" s="551"/>
      <c r="B120" s="496"/>
      <c r="C120" s="530"/>
      <c r="D120" s="554"/>
      <c r="E120" s="532"/>
      <c r="F120" s="535"/>
      <c r="G120" s="560"/>
      <c r="H120" s="561"/>
      <c r="I120" s="542"/>
      <c r="J120" s="357">
        <f>VALORACIÓN!C121</f>
        <v>3</v>
      </c>
      <c r="K120" s="358" t="str">
        <f>IF(VALORACIÓN!F121=0,"",VALORACIÓN!F121)</f>
        <v/>
      </c>
      <c r="L120" s="543"/>
      <c r="M120" s="528"/>
      <c r="N120" s="530"/>
      <c r="O120" s="547"/>
      <c r="P120" s="395"/>
      <c r="Q120" s="395"/>
      <c r="R120" s="396"/>
    </row>
    <row r="121" spans="1:18" ht="60.75" thickTop="1" x14ac:dyDescent="0.2">
      <c r="A121" s="549" t="str">
        <f>VALORACIÓN!A122</f>
        <v>10C</v>
      </c>
      <c r="B121" s="496" t="str">
        <f>VALORACIÓN!B122</f>
        <v xml:space="preserve">Gestión Academica. Ausencia de canales de comunicación
</v>
      </c>
      <c r="C121" s="530" t="str">
        <f>IF(IDENTIFICACIÓN!B47="","",IDENTIFICACIÓN!B47)</f>
        <v>1. Cambios en la alta dirección</v>
      </c>
      <c r="D121" s="552" t="str">
        <f>IF(IDENTIFICACIÓN!D47="","","NA")</f>
        <v>NA</v>
      </c>
      <c r="E121" s="532">
        <f>ANALISIS!D49</f>
        <v>3</v>
      </c>
      <c r="F121" s="533" t="str">
        <f>ANALISIS!E49</f>
        <v>POSIBLE</v>
      </c>
      <c r="G121" s="556" t="s">
        <v>353</v>
      </c>
      <c r="H121" s="557"/>
      <c r="I121" s="548" t="str">
        <f>ANALISIS!J49</f>
        <v>MODERADA</v>
      </c>
      <c r="J121" s="357">
        <f>VALORACIÓN!C122</f>
        <v>1</v>
      </c>
      <c r="K121" s="358" t="str">
        <f>IF(VALORACIÓN!F122=0,"",VALORACIÓN!F122)</f>
        <v>Inducciones, Capacitaciones</v>
      </c>
      <c r="L121" s="543">
        <f>VALORACIÓN!AA122</f>
        <v>25</v>
      </c>
      <c r="M121" s="555" t="str">
        <f>VALORACIÓN!AG122</f>
        <v>MODERADA</v>
      </c>
      <c r="N121" s="530" t="str">
        <f>VALORACIÓN!AG123</f>
        <v>- Evitar Posibilidad de Ocurrencia- Reducir el Riesgo</v>
      </c>
      <c r="O121" s="545" t="str">
        <f>IF(B121="","",IF(VALORACIÓN!BA122="","Aceptar el Riesgo sin necesidad de tomar otras medidas de control diferentes a las que se poseen, considerando que estos son efectivos con ponderacion de 100, y la evaluación final del riesgos es Baja 1:1",VALORACIÓN!BA122))</f>
        <v>- Replantear control(es) NO efectivo(s) - Tomar Acciones Preventivas</v>
      </c>
      <c r="P121" s="395" t="s">
        <v>404</v>
      </c>
      <c r="Q121" s="395" t="s">
        <v>811</v>
      </c>
      <c r="R121" s="396" t="s">
        <v>69</v>
      </c>
    </row>
    <row r="122" spans="1:18" x14ac:dyDescent="0.2">
      <c r="A122" s="550"/>
      <c r="B122" s="496"/>
      <c r="C122" s="530"/>
      <c r="D122" s="553"/>
      <c r="E122" s="532"/>
      <c r="F122" s="534"/>
      <c r="G122" s="558"/>
      <c r="H122" s="559"/>
      <c r="I122" s="541"/>
      <c r="J122" s="357">
        <f>VALORACIÓN!C123</f>
        <v>2</v>
      </c>
      <c r="K122" s="358" t="str">
        <f>IF(VALORACIÓN!F123=0,"",VALORACIÓN!F123)</f>
        <v/>
      </c>
      <c r="L122" s="543"/>
      <c r="M122" s="527"/>
      <c r="N122" s="530"/>
      <c r="O122" s="546"/>
      <c r="P122" s="395"/>
      <c r="Q122" s="395"/>
      <c r="R122" s="396"/>
    </row>
    <row r="123" spans="1:18" ht="16.5" thickBot="1" x14ac:dyDescent="0.25">
      <c r="A123" s="551"/>
      <c r="B123" s="496"/>
      <c r="C123" s="530"/>
      <c r="D123" s="554"/>
      <c r="E123" s="532"/>
      <c r="F123" s="535"/>
      <c r="G123" s="560"/>
      <c r="H123" s="561"/>
      <c r="I123" s="542"/>
      <c r="J123" s="357">
        <f>VALORACIÓN!C124</f>
        <v>3</v>
      </c>
      <c r="K123" s="358" t="str">
        <f>IF(VALORACIÓN!F124=0,"",VALORACIÓN!F124)</f>
        <v/>
      </c>
      <c r="L123" s="543"/>
      <c r="M123" s="528"/>
      <c r="N123" s="530"/>
      <c r="O123" s="547"/>
      <c r="P123" s="395"/>
      <c r="Q123" s="395"/>
      <c r="R123" s="396"/>
    </row>
    <row r="124" spans="1:18" ht="45.75" thickTop="1" x14ac:dyDescent="0.2">
      <c r="A124" s="549" t="str">
        <f>VALORACIÓN!A125</f>
        <v>11C</v>
      </c>
      <c r="B124" s="496" t="str">
        <f>VALORACIÓN!B125</f>
        <v>Gestión Academica. Concentración de información de determinadas actividades o procesos en una persona</v>
      </c>
      <c r="C124" s="530" t="str">
        <f>IF(IDENTIFICACIÓN!B48="","",IDENTIFICACIÓN!B48)</f>
        <v>1. No distribución de acuerdo a competencias</v>
      </c>
      <c r="D124" s="552" t="str">
        <f>IF(IDENTIFICACIÓN!D48="","","NA")</f>
        <v>NA</v>
      </c>
      <c r="E124" s="532">
        <f>ANALISIS!D50</f>
        <v>3</v>
      </c>
      <c r="F124" s="533" t="str">
        <f>ANALISIS!E50</f>
        <v>POSIBLE</v>
      </c>
      <c r="G124" s="556" t="s">
        <v>353</v>
      </c>
      <c r="H124" s="557"/>
      <c r="I124" s="548" t="str">
        <f>ANALISIS!J50</f>
        <v>MODERADA</v>
      </c>
      <c r="J124" s="357">
        <f>VALORACIÓN!C125</f>
        <v>1</v>
      </c>
      <c r="K124" s="358" t="str">
        <f>IF(VALORACIÓN!F125=0,"",VALORACIÓN!F125)</f>
        <v/>
      </c>
      <c r="L124" s="543" t="str">
        <f>VALORACIÓN!AA125</f>
        <v/>
      </c>
      <c r="M124" s="555" t="str">
        <f>VALORACIÓN!AG125</f>
        <v>MODERADA</v>
      </c>
      <c r="N124" s="530" t="str">
        <f>VALORACIÓN!AG126</f>
        <v>- Evitar Posibilidad de Ocurrencia- Reducir el Riesgo</v>
      </c>
      <c r="O124" s="545" t="str">
        <f>IF(B124="","",IF(VALORACIÓN!BA125="","Aceptar el Riesgo sin necesidad de tomar otras medidas de control diferentes a las que se poseen, considerando que estos son efectivos con ponderacion de 100, y la evaluación final del riesgos es Baja 1:1",VALORACIÓN!BA125))</f>
        <v>- Tomar Acciones Preventivas</v>
      </c>
      <c r="P124" s="395" t="s">
        <v>404</v>
      </c>
      <c r="Q124" s="395" t="s">
        <v>812</v>
      </c>
      <c r="R124" s="396" t="s">
        <v>69</v>
      </c>
    </row>
    <row r="125" spans="1:18" x14ac:dyDescent="0.2">
      <c r="A125" s="550"/>
      <c r="B125" s="496"/>
      <c r="C125" s="530"/>
      <c r="D125" s="553"/>
      <c r="E125" s="532"/>
      <c r="F125" s="534"/>
      <c r="G125" s="558"/>
      <c r="H125" s="559"/>
      <c r="I125" s="541"/>
      <c r="J125" s="357">
        <f>VALORACIÓN!C126</f>
        <v>2</v>
      </c>
      <c r="K125" s="358" t="str">
        <f>IF(VALORACIÓN!F126=0,"",VALORACIÓN!F126)</f>
        <v/>
      </c>
      <c r="L125" s="543"/>
      <c r="M125" s="527"/>
      <c r="N125" s="530"/>
      <c r="O125" s="546"/>
      <c r="P125" s="395"/>
      <c r="Q125" s="395"/>
      <c r="R125" s="396"/>
    </row>
    <row r="126" spans="1:18" ht="16.5" thickBot="1" x14ac:dyDescent="0.25">
      <c r="A126" s="551"/>
      <c r="B126" s="496"/>
      <c r="C126" s="530"/>
      <c r="D126" s="554"/>
      <c r="E126" s="532"/>
      <c r="F126" s="535"/>
      <c r="G126" s="560"/>
      <c r="H126" s="561"/>
      <c r="I126" s="542"/>
      <c r="J126" s="357">
        <f>VALORACIÓN!C127</f>
        <v>3</v>
      </c>
      <c r="K126" s="358" t="str">
        <f>IF(VALORACIÓN!F127=0,"",VALORACIÓN!F127)</f>
        <v/>
      </c>
      <c r="L126" s="543"/>
      <c r="M126" s="528"/>
      <c r="N126" s="530"/>
      <c r="O126" s="547"/>
      <c r="P126" s="395"/>
      <c r="Q126" s="395"/>
      <c r="R126" s="396"/>
    </row>
    <row r="127" spans="1:18" ht="30.75" thickTop="1" x14ac:dyDescent="0.2">
      <c r="A127" s="549" t="str">
        <f>VALORACIÓN!A128</f>
        <v>12C</v>
      </c>
      <c r="B127" s="496" t="str">
        <f>VALORACIÓN!B128</f>
        <v>Gestión Academica. Deficiencias en el manejo documental y de archivo</v>
      </c>
      <c r="C127" s="530" t="str">
        <f>IF(IDENTIFICACIÓN!B49="","",IDENTIFICACIÓN!B49)</f>
        <v>1. Gestión Documental deficiente</v>
      </c>
      <c r="D127" s="552" t="str">
        <f>IF(IDENTIFICACIÓN!D49="","","NA")</f>
        <v>NA</v>
      </c>
      <c r="E127" s="532">
        <f>ANALISIS!D51</f>
        <v>3</v>
      </c>
      <c r="F127" s="533" t="str">
        <f>ANALISIS!E51</f>
        <v>POSIBLE</v>
      </c>
      <c r="G127" s="556" t="s">
        <v>353</v>
      </c>
      <c r="H127" s="557"/>
      <c r="I127" s="548" t="str">
        <f>ANALISIS!J51</f>
        <v>MODERADA</v>
      </c>
      <c r="J127" s="357">
        <f>VALORACIÓN!C128</f>
        <v>1</v>
      </c>
      <c r="K127" s="358" t="str">
        <f>IF(VALORACIÓN!F128=0,"",VALORACIÓN!F128)</f>
        <v/>
      </c>
      <c r="L127" s="543" t="str">
        <f>VALORACIÓN!AA128</f>
        <v/>
      </c>
      <c r="M127" s="555" t="str">
        <f>VALORACIÓN!AG128</f>
        <v>MODERADA</v>
      </c>
      <c r="N127" s="530" t="str">
        <f>VALORACIÓN!AG129</f>
        <v>- Evitar Posibilidad de Ocurrencia- Reducir el Riesgo</v>
      </c>
      <c r="O127" s="545" t="str">
        <f>IF(B127="","",IF(VALORACIÓN!BA128="","Aceptar el Riesgo sin necesidad de tomar otras medidas de control diferentes a las que se poseen, considerando que estos son efectivos con ponderacion de 100, y la evaluación final del riesgos es Baja 1:1",VALORACIÓN!BA128))</f>
        <v>- Tomar Acciones Preventivas</v>
      </c>
      <c r="P127" s="395" t="s">
        <v>404</v>
      </c>
      <c r="Q127" s="395" t="s">
        <v>813</v>
      </c>
      <c r="R127" s="396" t="s">
        <v>69</v>
      </c>
    </row>
    <row r="128" spans="1:18" x14ac:dyDescent="0.2">
      <c r="A128" s="550"/>
      <c r="B128" s="496"/>
      <c r="C128" s="530"/>
      <c r="D128" s="553"/>
      <c r="E128" s="532"/>
      <c r="F128" s="534"/>
      <c r="G128" s="558"/>
      <c r="H128" s="559"/>
      <c r="I128" s="541"/>
      <c r="J128" s="357">
        <f>VALORACIÓN!C129</f>
        <v>2</v>
      </c>
      <c r="K128" s="358" t="str">
        <f>IF(VALORACIÓN!F129=0,"",VALORACIÓN!F129)</f>
        <v/>
      </c>
      <c r="L128" s="543"/>
      <c r="M128" s="527"/>
      <c r="N128" s="530"/>
      <c r="O128" s="546"/>
      <c r="P128" s="395"/>
      <c r="Q128" s="395"/>
      <c r="R128" s="396"/>
    </row>
    <row r="129" spans="1:18" ht="16.5" thickBot="1" x14ac:dyDescent="0.25">
      <c r="A129" s="551"/>
      <c r="B129" s="496"/>
      <c r="C129" s="530"/>
      <c r="D129" s="554"/>
      <c r="E129" s="532"/>
      <c r="F129" s="535"/>
      <c r="G129" s="560"/>
      <c r="H129" s="561"/>
      <c r="I129" s="542"/>
      <c r="J129" s="357">
        <f>VALORACIÓN!C130</f>
        <v>3</v>
      </c>
      <c r="K129" s="358" t="str">
        <f>IF(VALORACIÓN!F130=0,"",VALORACIÓN!F130)</f>
        <v/>
      </c>
      <c r="L129" s="543"/>
      <c r="M129" s="528"/>
      <c r="N129" s="530"/>
      <c r="O129" s="547"/>
      <c r="P129" s="395"/>
      <c r="Q129" s="395"/>
      <c r="R129" s="396"/>
    </row>
    <row r="130" spans="1:18" ht="45.75" thickTop="1" x14ac:dyDescent="0.2">
      <c r="A130" s="549" t="str">
        <f>VALORACIÓN!A131</f>
        <v>13C</v>
      </c>
      <c r="B130" s="496" t="str">
        <f>VALORACIÓN!B131</f>
        <v>Gestión de Investigación. Vulnerabilidad en el manejo de la información de la actividad investigativa</v>
      </c>
      <c r="C130" s="530" t="str">
        <f>IF(IDENTIFICACIÓN!B50="","",IDENTIFICACIÓN!B50)</f>
        <v xml:space="preserve">Se carece de un sistema de información que permita tener información unificada, actualizada y facilite el seguimiento y control de la actividad investigativa.
</v>
      </c>
      <c r="D130" s="552" t="str">
        <f>IF(IDENTIFICACIÓN!D50="","","NA")</f>
        <v>NA</v>
      </c>
      <c r="E130" s="532">
        <f>ANALISIS!D52</f>
        <v>5</v>
      </c>
      <c r="F130" s="533" t="str">
        <f>ANALISIS!E52</f>
        <v>CASI CERTEZA</v>
      </c>
      <c r="G130" s="556" t="s">
        <v>353</v>
      </c>
      <c r="H130" s="557"/>
      <c r="I130" s="548" t="str">
        <f>ANALISIS!J52</f>
        <v>EXTREMA</v>
      </c>
      <c r="J130" s="357">
        <f>VALORACIÓN!C131</f>
        <v>1</v>
      </c>
      <c r="K130" s="358" t="str">
        <f>IF(VALORACIÓN!F131=0,"",VALORACIÓN!F131)</f>
        <v>Sistema de Información SIVI</v>
      </c>
      <c r="L130" s="543">
        <f>VALORACIÓN!AA131</f>
        <v>100</v>
      </c>
      <c r="M130" s="555" t="str">
        <f>VALORACIÓN!AG131</f>
        <v>EXTREMA</v>
      </c>
      <c r="N130" s="530" t="str">
        <f>VALORACIÓN!AG132</f>
        <v>- Evitar Posibilidad de Ocurrencia- Reducir el Riesgo</v>
      </c>
      <c r="O130" s="545" t="str">
        <f>IF(B130="","",IF(VALORACIÓN!BA131="","Aceptar el Riesgo sin necesidad de tomar otras medidas de control diferentes a las que se poseen, considerando que estos son efectivos con ponderacion de 100, y la evaluación final del riesgos es Baja 1:1",VALORACIÓN!BA131))</f>
        <v>- Tomar Acciones Preventivas</v>
      </c>
      <c r="P130" s="395" t="s">
        <v>404</v>
      </c>
      <c r="Q130" s="395" t="s">
        <v>814</v>
      </c>
      <c r="R130" s="396" t="s">
        <v>70</v>
      </c>
    </row>
    <row r="131" spans="1:18" x14ac:dyDescent="0.2">
      <c r="A131" s="550"/>
      <c r="B131" s="496"/>
      <c r="C131" s="530"/>
      <c r="D131" s="553"/>
      <c r="E131" s="532"/>
      <c r="F131" s="534"/>
      <c r="G131" s="558"/>
      <c r="H131" s="559"/>
      <c r="I131" s="541"/>
      <c r="J131" s="357">
        <f>VALORACIÓN!C132</f>
        <v>2</v>
      </c>
      <c r="K131" s="358" t="str">
        <f>IF(VALORACIÓN!F132=0,"",VALORACIÓN!F132)</f>
        <v/>
      </c>
      <c r="L131" s="543"/>
      <c r="M131" s="527"/>
      <c r="N131" s="530"/>
      <c r="O131" s="546"/>
      <c r="P131" s="395"/>
      <c r="Q131" s="395"/>
      <c r="R131" s="396"/>
    </row>
    <row r="132" spans="1:18" ht="16.5" thickBot="1" x14ac:dyDescent="0.25">
      <c r="A132" s="551"/>
      <c r="B132" s="496"/>
      <c r="C132" s="530"/>
      <c r="D132" s="554"/>
      <c r="E132" s="532"/>
      <c r="F132" s="535"/>
      <c r="G132" s="560"/>
      <c r="H132" s="561"/>
      <c r="I132" s="542"/>
      <c r="J132" s="357">
        <f>VALORACIÓN!C133</f>
        <v>3</v>
      </c>
      <c r="K132" s="358" t="str">
        <f>IF(VALORACIÓN!F133=0,"",VALORACIÓN!F133)</f>
        <v/>
      </c>
      <c r="L132" s="543"/>
      <c r="M132" s="528"/>
      <c r="N132" s="530"/>
      <c r="O132" s="547"/>
      <c r="P132" s="395"/>
      <c r="Q132" s="395"/>
      <c r="R132" s="396"/>
    </row>
    <row r="133" spans="1:18" ht="30.75" thickTop="1" x14ac:dyDescent="0.2">
      <c r="A133" s="549" t="str">
        <f>VALORACIÓN!A134</f>
        <v>14C</v>
      </c>
      <c r="B133" s="496" t="str">
        <f>VALORACIÓN!B134</f>
        <v>Gestión de Investigación. Violación de la propiedad Intelectual.</v>
      </c>
      <c r="C133" s="530" t="str">
        <f>IF(IDENTIFICACIÓN!B51="","",IDENTIFICACIÓN!B51)</f>
        <v>Desconocimiento de la normatividad de Propiedad Intelectual.</v>
      </c>
      <c r="D133" s="552" t="str">
        <f>IF(IDENTIFICACIÓN!D51="","","NA")</f>
        <v>NA</v>
      </c>
      <c r="E133" s="532">
        <f>ANALISIS!D53</f>
        <v>5</v>
      </c>
      <c r="F133" s="533" t="str">
        <f>ANALISIS!E53</f>
        <v>CASI CERTEZA</v>
      </c>
      <c r="G133" s="556" t="s">
        <v>353</v>
      </c>
      <c r="H133" s="557"/>
      <c r="I133" s="548" t="str">
        <f>ANALISIS!J53</f>
        <v>EXTREMA</v>
      </c>
      <c r="J133" s="357">
        <f>VALORACIÓN!C134</f>
        <v>1</v>
      </c>
      <c r="K133" s="358" t="str">
        <f>IF(VALORACIÓN!F134=0,"",VALORACIÓN!F134)</f>
        <v>Capacitaciones</v>
      </c>
      <c r="L133" s="543">
        <f>VALORACIÓN!AA134</f>
        <v>95</v>
      </c>
      <c r="M133" s="555" t="str">
        <f>VALORACIÓN!AG134</f>
        <v>MODERADA</v>
      </c>
      <c r="N133" s="530" t="str">
        <f>VALORACIÓN!AG135</f>
        <v>- Evitar Posibilidad de Ocurrencia- Reducir el Riesgo</v>
      </c>
      <c r="O133" s="545" t="str">
        <f>IF(B133="","",IF(VALORACIÓN!BA134="","Aceptar el Riesgo sin necesidad de tomar otras medidas de control diferentes a las que se poseen, considerando que estos son efectivos con ponderacion de 100, y la evaluación final del riesgos es Baja 1:1",VALORACIÓN!BA134))</f>
        <v>- Tomar Acciones Preventivas</v>
      </c>
      <c r="P133" s="395" t="s">
        <v>404</v>
      </c>
      <c r="Q133" s="395" t="s">
        <v>815</v>
      </c>
      <c r="R133" s="396" t="s">
        <v>70</v>
      </c>
    </row>
    <row r="134" spans="1:18" ht="30" x14ac:dyDescent="0.2">
      <c r="A134" s="550"/>
      <c r="B134" s="496"/>
      <c r="C134" s="530"/>
      <c r="D134" s="553"/>
      <c r="E134" s="532"/>
      <c r="F134" s="534"/>
      <c r="G134" s="558"/>
      <c r="H134" s="559"/>
      <c r="I134" s="541"/>
      <c r="J134" s="357">
        <f>VALORACIÓN!C135</f>
        <v>2</v>
      </c>
      <c r="K134" s="358" t="str">
        <f>IF(VALORACIÓN!F135=0,"",VALORACIÓN!F135)</f>
        <v>Normatividad legal</v>
      </c>
      <c r="L134" s="543"/>
      <c r="M134" s="527"/>
      <c r="N134" s="530"/>
      <c r="O134" s="546"/>
      <c r="P134" s="395" t="s">
        <v>404</v>
      </c>
      <c r="Q134" s="395" t="s">
        <v>816</v>
      </c>
      <c r="R134" s="396" t="s">
        <v>69</v>
      </c>
    </row>
    <row r="135" spans="1:18" ht="16.5" thickBot="1" x14ac:dyDescent="0.25">
      <c r="A135" s="551"/>
      <c r="B135" s="496"/>
      <c r="C135" s="530"/>
      <c r="D135" s="554"/>
      <c r="E135" s="532"/>
      <c r="F135" s="535"/>
      <c r="G135" s="560"/>
      <c r="H135" s="561"/>
      <c r="I135" s="542"/>
      <c r="J135" s="357">
        <f>VALORACIÓN!C136</f>
        <v>3</v>
      </c>
      <c r="K135" s="358" t="str">
        <f>IF(VALORACIÓN!F136=0,"",VALORACIÓN!F136)</f>
        <v/>
      </c>
      <c r="L135" s="543"/>
      <c r="M135" s="528"/>
      <c r="N135" s="530"/>
      <c r="O135" s="547"/>
      <c r="P135" s="395"/>
      <c r="Q135" s="395"/>
      <c r="R135" s="396"/>
    </row>
    <row r="136" spans="1:18" ht="51.75" thickTop="1" x14ac:dyDescent="0.2">
      <c r="A136" s="549" t="str">
        <f>VALORACIÓN!A137</f>
        <v>15C</v>
      </c>
      <c r="B136" s="496" t="str">
        <f>VALORACIÓN!B137</f>
        <v>Gestión de Extensión y Proyección Social. Desviación o uso indebido de recursos, que impidan la ejecución de los proyectos y actividades misionales de la vicerrectoria de extensión y proyección social</v>
      </c>
      <c r="C136" s="530" t="str">
        <f>IF(IDENTIFICACIÓN!B52="","",IDENTIFICACIÓN!B52)</f>
        <v>Falta de cultura y aplicación de valores éticos.
Designación de personal con bajas competencias.</v>
      </c>
      <c r="D136" s="552" t="str">
        <f>IF(IDENTIFICACIÓN!D52="","","NA")</f>
        <v>NA</v>
      </c>
      <c r="E136" s="532">
        <f>ANALISIS!D54</f>
        <v>3</v>
      </c>
      <c r="F136" s="533" t="str">
        <f>ANALISIS!E54</f>
        <v>POSIBLE</v>
      </c>
      <c r="G136" s="556" t="s">
        <v>353</v>
      </c>
      <c r="H136" s="557"/>
      <c r="I136" s="548" t="str">
        <f>ANALISIS!J54</f>
        <v>MODERADA</v>
      </c>
      <c r="J136" s="357">
        <f>VALORACIÓN!C137</f>
        <v>1</v>
      </c>
      <c r="K136" s="358" t="str">
        <f>IF(VALORACIÓN!F137=0,"",VALORACIÓN!F137)</f>
        <v>EX-F14 Procedimiento de Plan de Calidad aplicado a proyectos de la Vicerrectoría de Extensión</v>
      </c>
      <c r="L136" s="543">
        <f>VALORACIÓN!AA137</f>
        <v>95</v>
      </c>
      <c r="M136" s="555" t="str">
        <f>VALORACIÓN!AG137</f>
        <v>MODERADA</v>
      </c>
      <c r="N136" s="530" t="str">
        <f>VALORACIÓN!AG138</f>
        <v>- Evitar Posibilidad de Ocurrencia- Reducir el Riesgo</v>
      </c>
      <c r="O136" s="545" t="str">
        <f>IF(B136="","",IF(VALORACIÓN!BA137="","Aceptar el Riesgo sin necesidad de tomar otras medidas de control diferentes a las que se poseen, considerando que estos son efectivos con ponderacion de 100, y la evaluación final del riesgos es Baja 1:1",VALORACIÓN!BA137))</f>
        <v>- Tomar Acciones Preventivas</v>
      </c>
      <c r="P136" s="395" t="s">
        <v>404</v>
      </c>
      <c r="Q136" s="395" t="s">
        <v>817</v>
      </c>
      <c r="R136" s="396" t="s">
        <v>69</v>
      </c>
    </row>
    <row r="137" spans="1:18" ht="25.5" x14ac:dyDescent="0.2">
      <c r="A137" s="550"/>
      <c r="B137" s="496"/>
      <c r="C137" s="530"/>
      <c r="D137" s="553"/>
      <c r="E137" s="532"/>
      <c r="F137" s="534"/>
      <c r="G137" s="558"/>
      <c r="H137" s="559"/>
      <c r="I137" s="541"/>
      <c r="J137" s="357">
        <f>VALORACIÓN!C138</f>
        <v>2</v>
      </c>
      <c r="K137" s="358" t="str">
        <f>IF(VALORACIÓN!F138=0,"",VALORACIÓN!F138)</f>
        <v>Encuestas de satisfacción del usuario.</v>
      </c>
      <c r="L137" s="543"/>
      <c r="M137" s="527"/>
      <c r="N137" s="530"/>
      <c r="O137" s="546"/>
      <c r="P137" s="395"/>
      <c r="Q137" s="395"/>
      <c r="R137" s="396"/>
    </row>
    <row r="138" spans="1:18" ht="77.25" thickBot="1" x14ac:dyDescent="0.25">
      <c r="A138" s="551"/>
      <c r="B138" s="496"/>
      <c r="C138" s="530"/>
      <c r="D138" s="554"/>
      <c r="E138" s="532"/>
      <c r="F138" s="535"/>
      <c r="G138" s="560"/>
      <c r="H138" s="561"/>
      <c r="I138" s="542"/>
      <c r="J138" s="357">
        <f>VALORACIÓN!C139</f>
        <v>3</v>
      </c>
      <c r="K138" s="358" t="str">
        <f>IF(VALORACIÓN!F139=0,"",VALORACIÓN!F139)</f>
        <v>CO-F25 Est. de conveniencia y oportunidad para contratar serv. Profesionales y de apoyo a la gestión</v>
      </c>
      <c r="L138" s="543"/>
      <c r="M138" s="528"/>
      <c r="N138" s="530"/>
      <c r="O138" s="547"/>
      <c r="P138" s="395"/>
      <c r="Q138" s="395"/>
      <c r="R138" s="396"/>
    </row>
    <row r="139" spans="1:18" ht="45.75" thickTop="1" x14ac:dyDescent="0.2">
      <c r="A139" s="549" t="str">
        <f>VALORACIÓN!A140</f>
        <v>16C</v>
      </c>
      <c r="B139" s="496" t="str">
        <f>VALORACIÓN!B140</f>
        <v xml:space="preserve">Gestión de Extensión y Proyección Social. Concentración de la información en una persona. </v>
      </c>
      <c r="C139" s="530" t="str">
        <f>IF(IDENTIFICACIÓN!B53="","",IDENTIFICACIÓN!B53)</f>
        <v>No cumplimiento de las funciones establecidas según el cargo.
Mal manejo de los procesos.</v>
      </c>
      <c r="D139" s="552" t="str">
        <f>IF(IDENTIFICACIÓN!D53="","","NA")</f>
        <v>NA</v>
      </c>
      <c r="E139" s="532">
        <f>ANALISIS!D55</f>
        <v>3</v>
      </c>
      <c r="F139" s="533" t="str">
        <f>ANALISIS!E55</f>
        <v>POSIBLE</v>
      </c>
      <c r="G139" s="556" t="s">
        <v>353</v>
      </c>
      <c r="H139" s="557"/>
      <c r="I139" s="548" t="str">
        <f>ANALISIS!J55</f>
        <v>MODERADA</v>
      </c>
      <c r="J139" s="357">
        <f>VALORACIÓN!C140</f>
        <v>1</v>
      </c>
      <c r="K139" s="358" t="str">
        <f>IF(VALORACIÓN!F140=0,"",VALORACIÓN!F140)</f>
        <v>Acuerdo Superior 013 de Septiembre 2 de 2011</v>
      </c>
      <c r="L139" s="543">
        <f>VALORACIÓN!AA140</f>
        <v>95</v>
      </c>
      <c r="M139" s="555" t="str">
        <f>VALORACIÓN!AG140</f>
        <v>MODERADA</v>
      </c>
      <c r="N139" s="530" t="str">
        <f>VALORACIÓN!AG141</f>
        <v>- Evitar Posibilidad de Ocurrencia- Reducir el Riesgo</v>
      </c>
      <c r="O139" s="545" t="str">
        <f>IF(B139="","",IF(VALORACIÓN!BA140="","Aceptar el Riesgo sin necesidad de tomar otras medidas de control diferentes a las que se poseen, considerando que estos son efectivos con ponderacion de 100, y la evaluación final del riesgos es Baja 1:1",VALORACIÓN!BA140))</f>
        <v>- Tomar Acciones Preventivas</v>
      </c>
      <c r="P139" s="395" t="s">
        <v>403</v>
      </c>
      <c r="Q139" s="395" t="s">
        <v>818</v>
      </c>
      <c r="R139" s="396" t="s">
        <v>69</v>
      </c>
    </row>
    <row r="140" spans="1:18" ht="25.5" x14ac:dyDescent="0.2">
      <c r="A140" s="550"/>
      <c r="B140" s="496"/>
      <c r="C140" s="530"/>
      <c r="D140" s="553"/>
      <c r="E140" s="532"/>
      <c r="F140" s="534"/>
      <c r="G140" s="558"/>
      <c r="H140" s="559"/>
      <c r="I140" s="541"/>
      <c r="J140" s="357">
        <f>VALORACIÓN!C141</f>
        <v>2</v>
      </c>
      <c r="K140" s="358" t="str">
        <f>IF(VALORACIÓN!F141=0,"",VALORACIÓN!F141)</f>
        <v>Resolución Rectoral 143 de Marzo 1 de 2012</v>
      </c>
      <c r="L140" s="543"/>
      <c r="M140" s="527"/>
      <c r="N140" s="530"/>
      <c r="O140" s="546"/>
      <c r="P140" s="395"/>
      <c r="Q140" s="395"/>
      <c r="R140" s="396"/>
    </row>
    <row r="141" spans="1:18" ht="16.5" thickBot="1" x14ac:dyDescent="0.25">
      <c r="A141" s="551"/>
      <c r="B141" s="496"/>
      <c r="C141" s="530"/>
      <c r="D141" s="554"/>
      <c r="E141" s="532"/>
      <c r="F141" s="535"/>
      <c r="G141" s="560"/>
      <c r="H141" s="561"/>
      <c r="I141" s="542"/>
      <c r="J141" s="357">
        <f>VALORACIÓN!C142</f>
        <v>3</v>
      </c>
      <c r="K141" s="358" t="str">
        <f>IF(VALORACIÓN!F142=0,"",VALORACIÓN!F142)</f>
        <v/>
      </c>
      <c r="L141" s="543"/>
      <c r="M141" s="528"/>
      <c r="N141" s="530"/>
      <c r="O141" s="547"/>
      <c r="P141" s="395"/>
      <c r="Q141" s="395"/>
      <c r="R141" s="396"/>
    </row>
    <row r="142" spans="1:18" ht="51.75" thickTop="1" x14ac:dyDescent="0.2">
      <c r="A142" s="549" t="str">
        <f>VALORACIÓN!A143</f>
        <v>17C</v>
      </c>
      <c r="B142" s="496" t="str">
        <f>VALORACIÓN!B143</f>
        <v xml:space="preserve">Gestión de Extensión y Proyección Social. Inadecuada ejecución de los recursos asignados </v>
      </c>
      <c r="C142" s="530" t="str">
        <f>IF(IDENTIFICACIÓN!B54="","",IDENTIFICACIÓN!B54)</f>
        <v xml:space="preserve">*Falta de herramientas técnicas y tecnológicas en gestión de la información.
*Incertidumbre en el uso preciso de los recursos.
*Desconocimiento en el impacto logrado por los proyectos.
</v>
      </c>
      <c r="D142" s="552" t="str">
        <f>IF(IDENTIFICACIÓN!D54="","","NA")</f>
        <v>NA</v>
      </c>
      <c r="E142" s="532">
        <f>ANALISIS!D56</f>
        <v>3</v>
      </c>
      <c r="F142" s="533" t="str">
        <f>ANALISIS!E56</f>
        <v>POSIBLE</v>
      </c>
      <c r="G142" s="556" t="s">
        <v>353</v>
      </c>
      <c r="H142" s="557"/>
      <c r="I142" s="548" t="str">
        <f>ANALISIS!J56</f>
        <v>MODERADA</v>
      </c>
      <c r="J142" s="357">
        <f>VALORACIÓN!C143</f>
        <v>1</v>
      </c>
      <c r="K142" s="358" t="str">
        <f>IF(VALORACIÓN!F143=0,"",VALORACIÓN!F143)</f>
        <v>EX-F14 Procedimiento de Plan de Calidad aplicado a proyectos de la Vicerrectoría de Extensión</v>
      </c>
      <c r="L142" s="543">
        <f>VALORACIÓN!AA143</f>
        <v>95</v>
      </c>
      <c r="M142" s="555" t="str">
        <f>VALORACIÓN!AG143</f>
        <v>MODERADA</v>
      </c>
      <c r="N142" s="530" t="str">
        <f>VALORACIÓN!AG144</f>
        <v>- Evitar Posibilidad de Ocurrencia- Reducir el Riesgo</v>
      </c>
      <c r="O142" s="545" t="str">
        <f>IF(B142="","",IF(VALORACIÓN!BA143="","Aceptar el Riesgo sin necesidad de tomar otras medidas de control diferentes a las que se poseen, considerando que estos son efectivos con ponderacion de 100, y la evaluación final del riesgos es Baja 1:1",VALORACIÓN!BA143))</f>
        <v>- Tomar Acciones Preventivas</v>
      </c>
      <c r="P142" s="395" t="s">
        <v>403</v>
      </c>
      <c r="Q142" s="395" t="s">
        <v>819</v>
      </c>
      <c r="R142" s="396" t="s">
        <v>70</v>
      </c>
    </row>
    <row r="143" spans="1:18" ht="25.5" x14ac:dyDescent="0.2">
      <c r="A143" s="550"/>
      <c r="B143" s="496"/>
      <c r="C143" s="530"/>
      <c r="D143" s="553"/>
      <c r="E143" s="532"/>
      <c r="F143" s="534"/>
      <c r="G143" s="558"/>
      <c r="H143" s="559"/>
      <c r="I143" s="541"/>
      <c r="J143" s="357">
        <f>VALORACIÓN!C144</f>
        <v>2</v>
      </c>
      <c r="K143" s="358" t="str">
        <f>IF(VALORACIÓN!F144=0,"",VALORACIÓN!F144)</f>
        <v>Encuestas de satisfacción del usuario.</v>
      </c>
      <c r="L143" s="543"/>
      <c r="M143" s="527"/>
      <c r="N143" s="530"/>
      <c r="O143" s="546"/>
      <c r="P143" s="395"/>
      <c r="Q143" s="395"/>
      <c r="R143" s="396"/>
    </row>
    <row r="144" spans="1:18" ht="16.5" thickBot="1" x14ac:dyDescent="0.25">
      <c r="A144" s="551"/>
      <c r="B144" s="496"/>
      <c r="C144" s="530"/>
      <c r="D144" s="554"/>
      <c r="E144" s="532"/>
      <c r="F144" s="535"/>
      <c r="G144" s="560"/>
      <c r="H144" s="561"/>
      <c r="I144" s="542"/>
      <c r="J144" s="357">
        <f>VALORACIÓN!C145</f>
        <v>3</v>
      </c>
      <c r="K144" s="358" t="str">
        <f>IF(VALORACIÓN!F145=0,"",VALORACIÓN!F145)</f>
        <v/>
      </c>
      <c r="L144" s="543"/>
      <c r="M144" s="528"/>
      <c r="N144" s="530"/>
      <c r="O144" s="547"/>
      <c r="P144" s="395"/>
      <c r="Q144" s="395"/>
      <c r="R144" s="396"/>
    </row>
    <row r="145" spans="1:18" ht="51.75" thickTop="1" x14ac:dyDescent="0.2">
      <c r="A145" s="549" t="str">
        <f>VALORACIÓN!A146</f>
        <v>18C</v>
      </c>
      <c r="B145" s="496" t="str">
        <f>VALORACIÓN!B146</f>
        <v>Gestión de Extensión y Proyección Social. Extralimitación de funciones.</v>
      </c>
      <c r="C145" s="530" t="str">
        <f>IF(IDENTIFICACIÓN!B55="","",IDENTIFICACIÓN!B55)</f>
        <v>*Falta de información para la planificación del desarrollo de los proyectos.
*Escasos recursos asignados para el desarrollo de las actividades programadas en el proceso misional de vicerrectoria de extensión y proyección social.</v>
      </c>
      <c r="D145" s="552" t="str">
        <f>IF(IDENTIFICACIÓN!D55="","","NA")</f>
        <v>NA</v>
      </c>
      <c r="E145" s="532">
        <f>ANALISIS!D57</f>
        <v>3</v>
      </c>
      <c r="F145" s="533" t="str">
        <f>ANALISIS!E57</f>
        <v>POSIBLE</v>
      </c>
      <c r="G145" s="556" t="s">
        <v>353</v>
      </c>
      <c r="H145" s="557"/>
      <c r="I145" s="548" t="str">
        <f>ANALISIS!J57</f>
        <v>MODERADA</v>
      </c>
      <c r="J145" s="357">
        <f>VALORACIÓN!C146</f>
        <v>1</v>
      </c>
      <c r="K145" s="358" t="str">
        <f>IF(VALORACIÓN!F146=0,"",VALORACIÓN!F146)</f>
        <v>EX-F14 Procedimiento de Plan de Calidad aplicado a proyectos de la Vicerrectoría de Extensión</v>
      </c>
      <c r="L145" s="543">
        <f>VALORACIÓN!AA146</f>
        <v>95</v>
      </c>
      <c r="M145" s="555" t="str">
        <f>VALORACIÓN!AG146</f>
        <v>MODERADA</v>
      </c>
      <c r="N145" s="530" t="str">
        <f>VALORACIÓN!AG147</f>
        <v>- Evitar Posibilidad de Ocurrencia- Reducir el Riesgo</v>
      </c>
      <c r="O145" s="545" t="str">
        <f>IF(B145="","",IF(VALORACIÓN!BA146="","Aceptar el Riesgo sin necesidad de tomar otras medidas de control diferentes a las que se poseen, considerando que estos son efectivos con ponderacion de 100, y la evaluación final del riesgos es Baja 1:1",VALORACIÓN!BA146))</f>
        <v>- Tomar Acciones Preventivas</v>
      </c>
      <c r="P145" s="395" t="s">
        <v>403</v>
      </c>
      <c r="Q145" s="395" t="s">
        <v>820</v>
      </c>
      <c r="R145" s="396" t="s">
        <v>70</v>
      </c>
    </row>
    <row r="146" spans="1:18" ht="25.5" x14ac:dyDescent="0.2">
      <c r="A146" s="550"/>
      <c r="B146" s="496"/>
      <c r="C146" s="530"/>
      <c r="D146" s="553"/>
      <c r="E146" s="532"/>
      <c r="F146" s="534"/>
      <c r="G146" s="558"/>
      <c r="H146" s="559"/>
      <c r="I146" s="541"/>
      <c r="J146" s="357">
        <f>VALORACIÓN!C147</f>
        <v>2</v>
      </c>
      <c r="K146" s="358" t="str">
        <f>IF(VALORACIÓN!F147=0,"",VALORACIÓN!F147)</f>
        <v>Encuestas de satisfacción del usuario.</v>
      </c>
      <c r="L146" s="543"/>
      <c r="M146" s="527"/>
      <c r="N146" s="530"/>
      <c r="O146" s="546"/>
      <c r="P146" s="395"/>
      <c r="Q146" s="395"/>
      <c r="R146" s="396"/>
    </row>
    <row r="147" spans="1:18" ht="16.5" thickBot="1" x14ac:dyDescent="0.25">
      <c r="A147" s="551"/>
      <c r="B147" s="496"/>
      <c r="C147" s="530"/>
      <c r="D147" s="554"/>
      <c r="E147" s="532"/>
      <c r="F147" s="535"/>
      <c r="G147" s="560"/>
      <c r="H147" s="561"/>
      <c r="I147" s="542"/>
      <c r="J147" s="357">
        <f>VALORACIÓN!C148</f>
        <v>3</v>
      </c>
      <c r="K147" s="358" t="str">
        <f>IF(VALORACIÓN!F148=0,"",VALORACIÓN!F148)</f>
        <v/>
      </c>
      <c r="L147" s="543"/>
      <c r="M147" s="528"/>
      <c r="N147" s="530"/>
      <c r="O147" s="547"/>
      <c r="P147" s="395"/>
      <c r="Q147" s="395"/>
      <c r="R147" s="396"/>
    </row>
    <row r="148" spans="1:18" ht="64.5" thickTop="1" x14ac:dyDescent="0.2">
      <c r="A148" s="549" t="str">
        <f>VALORACIÓN!A149</f>
        <v>19C</v>
      </c>
      <c r="B148" s="496" t="str">
        <f>VALORACIÓN!B149</f>
        <v>Gestión de Extensión y Proyección Social. Omisión de la ley para beneficio propio.</v>
      </c>
      <c r="C148" s="530" t="str">
        <f>IF(IDENTIFICACIÓN!B56="","",IDENTIFICACIÓN!B56)</f>
        <v>Dificultad en la identificación y acceso a los cambios en la normativa y regulaciones.</v>
      </c>
      <c r="D148" s="552" t="str">
        <f>IF(IDENTIFICACIÓN!D56="","","NA")</f>
        <v>NA</v>
      </c>
      <c r="E148" s="532">
        <f>ANALISIS!D58</f>
        <v>3</v>
      </c>
      <c r="F148" s="533" t="str">
        <f>ANALISIS!E58</f>
        <v>POSIBLE</v>
      </c>
      <c r="G148" s="556" t="s">
        <v>353</v>
      </c>
      <c r="H148" s="557"/>
      <c r="I148" s="548" t="str">
        <f>ANALISIS!J58</f>
        <v>MODERADA</v>
      </c>
      <c r="J148" s="357">
        <f>VALORACIÓN!C149</f>
        <v>1</v>
      </c>
      <c r="K148" s="358" t="str">
        <f>IF(VALORACIÓN!F149=0,"",VALORACIÓN!F149)</f>
        <v>GD-P11 Procedimiento para el control de comunicaciones oficiales recibidas y externas a enviar.</v>
      </c>
      <c r="L148" s="543">
        <f>VALORACIÓN!AA149</f>
        <v>95</v>
      </c>
      <c r="M148" s="555" t="str">
        <f>VALORACIÓN!AG149</f>
        <v>MODERADA</v>
      </c>
      <c r="N148" s="530" t="str">
        <f>VALORACIÓN!AG150</f>
        <v>- Evitar Posibilidad de Ocurrencia- Reducir el Riesgo</v>
      </c>
      <c r="O148" s="545" t="str">
        <f>IF(B148="","",IF(VALORACIÓN!BA149="","Aceptar el Riesgo sin necesidad de tomar otras medidas de control diferentes a las que se poseen, considerando que estos son efectivos con ponderacion de 100, y la evaluación final del riesgos es Baja 1:1",VALORACIÓN!BA149))</f>
        <v>- Tomar Acciones Preventivas</v>
      </c>
      <c r="P148" s="395" t="s">
        <v>403</v>
      </c>
      <c r="Q148" s="395" t="s">
        <v>821</v>
      </c>
      <c r="R148" s="396" t="s">
        <v>70</v>
      </c>
    </row>
    <row r="149" spans="1:18" ht="51" x14ac:dyDescent="0.2">
      <c r="A149" s="550"/>
      <c r="B149" s="496"/>
      <c r="C149" s="530"/>
      <c r="D149" s="553"/>
      <c r="E149" s="532"/>
      <c r="F149" s="534"/>
      <c r="G149" s="558"/>
      <c r="H149" s="559"/>
      <c r="I149" s="541"/>
      <c r="J149" s="357">
        <f>VALORACIÓN!C150</f>
        <v>2</v>
      </c>
      <c r="K149" s="358" t="str">
        <f>IF(VALORACIÓN!F150=0,"",VALORACIÓN!F150)</f>
        <v>GD-P08 Procedimiento para la actualización de información y grupos de interés.</v>
      </c>
      <c r="L149" s="543"/>
      <c r="M149" s="527"/>
      <c r="N149" s="530"/>
      <c r="O149" s="546"/>
      <c r="P149" s="395"/>
      <c r="Q149" s="395"/>
      <c r="R149" s="396"/>
    </row>
    <row r="150" spans="1:18" ht="16.5" thickBot="1" x14ac:dyDescent="0.25">
      <c r="A150" s="551"/>
      <c r="B150" s="496"/>
      <c r="C150" s="530"/>
      <c r="D150" s="554"/>
      <c r="E150" s="532"/>
      <c r="F150" s="535"/>
      <c r="G150" s="560"/>
      <c r="H150" s="561"/>
      <c r="I150" s="542"/>
      <c r="J150" s="357">
        <f>VALORACIÓN!C151</f>
        <v>3</v>
      </c>
      <c r="K150" s="358" t="str">
        <f>IF(VALORACIÓN!F151=0,"",VALORACIÓN!F151)</f>
        <v/>
      </c>
      <c r="L150" s="543"/>
      <c r="M150" s="528"/>
      <c r="N150" s="530"/>
      <c r="O150" s="547"/>
      <c r="P150" s="395"/>
      <c r="Q150" s="395"/>
      <c r="R150" s="396"/>
    </row>
    <row r="151" spans="1:18" ht="45.75" thickTop="1" x14ac:dyDescent="0.2">
      <c r="A151" s="549" t="str">
        <f>VALORACIÓN!A152</f>
        <v>20C</v>
      </c>
      <c r="B151" s="496" t="str">
        <f>VALORACIÓN!B152</f>
        <v>Gestión de Contratación. Pliegos de condiciones hechos a la medida de una firma en particular.</v>
      </c>
      <c r="C151" s="530" t="str">
        <f>IF(IDENTIFICACIÓN!B57="","",IDENTIFICACIÓN!B57)</f>
        <v xml:space="preserve">Presiones por parte de personas, gremios o entidades externas
</v>
      </c>
      <c r="D151" s="552" t="str">
        <f>IF(IDENTIFICACIÓN!D57="","","NA")</f>
        <v>NA</v>
      </c>
      <c r="E151" s="532">
        <f>ANALISIS!D59</f>
        <v>3</v>
      </c>
      <c r="F151" s="533" t="str">
        <f>ANALISIS!E59</f>
        <v>POSIBLE</v>
      </c>
      <c r="G151" s="556" t="s">
        <v>353</v>
      </c>
      <c r="H151" s="557"/>
      <c r="I151" s="548" t="str">
        <f>ANALISIS!J59</f>
        <v>MODERADA</v>
      </c>
      <c r="J151" s="357">
        <f>VALORACIÓN!C152</f>
        <v>1</v>
      </c>
      <c r="K151" s="358" t="str">
        <f>IF(VALORACIÓN!F152=0,"",VALORACIÓN!F152)</f>
        <v>Aprobación de los pliegos de condiciones por parte del ordenador del gasto</v>
      </c>
      <c r="L151" s="543">
        <f>VALORACIÓN!AA152</f>
        <v>95</v>
      </c>
      <c r="M151" s="555" t="str">
        <f>VALORACIÓN!AG152</f>
        <v>MODERADA</v>
      </c>
      <c r="N151" s="530" t="str">
        <f>VALORACIÓN!AG153</f>
        <v>- Evitar Posibilidad de Ocurrencia- Reducir el Riesgo</v>
      </c>
      <c r="O151" s="545" t="str">
        <f>IF(B151="","",IF(VALORACIÓN!BA152="","Aceptar el Riesgo sin necesidad de tomar otras medidas de control diferentes a las que se poseen, considerando que estos son efectivos con ponderacion de 100, y la evaluación final del riesgos es Baja 1:1",VALORACIÓN!BA152))</f>
        <v>- Tomar Acciones Preventivas</v>
      </c>
      <c r="P151" s="395" t="s">
        <v>406</v>
      </c>
      <c r="Q151" s="395" t="s">
        <v>801</v>
      </c>
      <c r="R151" s="396" t="s">
        <v>97</v>
      </c>
    </row>
    <row r="152" spans="1:18" x14ac:dyDescent="0.2">
      <c r="A152" s="550"/>
      <c r="B152" s="496"/>
      <c r="C152" s="530"/>
      <c r="D152" s="553"/>
      <c r="E152" s="532"/>
      <c r="F152" s="534"/>
      <c r="G152" s="558"/>
      <c r="H152" s="559"/>
      <c r="I152" s="541"/>
      <c r="J152" s="357">
        <f>VALORACIÓN!C153</f>
        <v>2</v>
      </c>
      <c r="K152" s="358" t="str">
        <f>IF(VALORACIÓN!F153=0,"",VALORACIÓN!F153)</f>
        <v/>
      </c>
      <c r="L152" s="543"/>
      <c r="M152" s="527"/>
      <c r="N152" s="530"/>
      <c r="O152" s="546"/>
      <c r="P152" s="395"/>
      <c r="Q152" s="395"/>
      <c r="R152" s="396"/>
    </row>
    <row r="153" spans="1:18" ht="16.5" thickBot="1" x14ac:dyDescent="0.25">
      <c r="A153" s="551"/>
      <c r="B153" s="496"/>
      <c r="C153" s="530"/>
      <c r="D153" s="554"/>
      <c r="E153" s="532"/>
      <c r="F153" s="535"/>
      <c r="G153" s="560"/>
      <c r="H153" s="561"/>
      <c r="I153" s="542"/>
      <c r="J153" s="357">
        <f>VALORACIÓN!C154</f>
        <v>3</v>
      </c>
      <c r="K153" s="358" t="str">
        <f>IF(VALORACIÓN!F154=0,"",VALORACIÓN!F154)</f>
        <v/>
      </c>
      <c r="L153" s="543"/>
      <c r="M153" s="528"/>
      <c r="N153" s="530"/>
      <c r="O153" s="547"/>
      <c r="P153" s="395"/>
      <c r="Q153" s="395"/>
      <c r="R153" s="396"/>
    </row>
    <row r="154" spans="1:18" ht="64.5" thickTop="1" x14ac:dyDescent="0.2">
      <c r="A154" s="549" t="str">
        <f>VALORACIÓN!A155</f>
        <v>21C</v>
      </c>
      <c r="B154" s="496" t="str">
        <f>VALORACIÓN!B155</f>
        <v xml:space="preserve">Gestión Financiera. Pago de obligaciones sin el lleno de requisitos. </v>
      </c>
      <c r="C154" s="530" t="str">
        <f>IF(IDENTIFICACIÓN!B58="","",IDENTIFICACIÓN!B58)</f>
        <v>Desconocimiento de la Normatividad aplicada a los procesos de pago.</v>
      </c>
      <c r="D154" s="552" t="str">
        <f>IF(IDENTIFICACIÓN!D58="","","NA")</f>
        <v>NA</v>
      </c>
      <c r="E154" s="532">
        <f>ANALISIS!D60</f>
        <v>3</v>
      </c>
      <c r="F154" s="533" t="str">
        <f>ANALISIS!E60</f>
        <v>POSIBLE</v>
      </c>
      <c r="G154" s="556" t="s">
        <v>353</v>
      </c>
      <c r="H154" s="557"/>
      <c r="I154" s="548" t="str">
        <f>ANALISIS!J60</f>
        <v>MODERADA</v>
      </c>
      <c r="J154" s="357">
        <f>VALORACIÓN!C155</f>
        <v>1</v>
      </c>
      <c r="K154" s="358" t="str">
        <f>IF(VALORACIÓN!F155=0,"",VALORACIÓN!F155)</f>
        <v>Definición  y  claridad en los requisitos legales a cumplir en los documentos recibidos para trámite de pagos</v>
      </c>
      <c r="L154" s="543">
        <f>VALORACIÓN!AA155</f>
        <v>95</v>
      </c>
      <c r="M154" s="555" t="str">
        <f>VALORACIÓN!AG155</f>
        <v>MODERADA</v>
      </c>
      <c r="N154" s="530" t="str">
        <f>VALORACIÓN!AG156</f>
        <v>- Evitar Posibilidad de Ocurrencia- Reducir el Riesgo</v>
      </c>
      <c r="O154" s="545" t="str">
        <f>IF(B154="","",IF(VALORACIÓN!BA155="","Aceptar el Riesgo sin necesidad de tomar otras medidas de control diferentes a las que se poseen, considerando que estos son efectivos con ponderacion de 100, y la evaluación final del riesgos es Baja 1:1",VALORACIÓN!BA155))</f>
        <v>- Tomar Acciones Preventivas</v>
      </c>
      <c r="P154" s="395" t="s">
        <v>404</v>
      </c>
      <c r="Q154" s="395" t="s">
        <v>822</v>
      </c>
      <c r="R154" s="396" t="s">
        <v>70</v>
      </c>
    </row>
    <row r="155" spans="1:18" ht="63.75" x14ac:dyDescent="0.2">
      <c r="A155" s="550"/>
      <c r="B155" s="496"/>
      <c r="C155" s="530"/>
      <c r="D155" s="553"/>
      <c r="E155" s="532"/>
      <c r="F155" s="534"/>
      <c r="G155" s="558"/>
      <c r="H155" s="559"/>
      <c r="I155" s="541"/>
      <c r="J155" s="357">
        <f>VALORACIÓN!C156</f>
        <v>2</v>
      </c>
      <c r="K155" s="358" t="str">
        <f>IF(VALORACIÓN!F156=0,"",VALORACIÓN!F156)</f>
        <v>Verificación del cumplimiento de los requisitos: legales, contables, tributarios y administrativos.</v>
      </c>
      <c r="L155" s="543"/>
      <c r="M155" s="527"/>
      <c r="N155" s="530"/>
      <c r="O155" s="546"/>
      <c r="P155" s="395"/>
      <c r="Q155" s="395"/>
      <c r="R155" s="396"/>
    </row>
    <row r="156" spans="1:18" ht="16.5" thickBot="1" x14ac:dyDescent="0.25">
      <c r="A156" s="551"/>
      <c r="B156" s="496"/>
      <c r="C156" s="530"/>
      <c r="D156" s="554"/>
      <c r="E156" s="532"/>
      <c r="F156" s="535"/>
      <c r="G156" s="560"/>
      <c r="H156" s="561"/>
      <c r="I156" s="542"/>
      <c r="J156" s="357">
        <f>VALORACIÓN!C157</f>
        <v>3</v>
      </c>
      <c r="K156" s="358" t="str">
        <f>IF(VALORACIÓN!F157=0,"",VALORACIÓN!F157)</f>
        <v/>
      </c>
      <c r="L156" s="543"/>
      <c r="M156" s="528"/>
      <c r="N156" s="530"/>
      <c r="O156" s="547"/>
      <c r="P156" s="395"/>
      <c r="Q156" s="395"/>
      <c r="R156" s="396"/>
    </row>
    <row r="157" spans="1:18" ht="30.75" thickTop="1" x14ac:dyDescent="0.2">
      <c r="A157" s="549" t="str">
        <f>VALORACIÓN!A158</f>
        <v>22C</v>
      </c>
      <c r="B157" s="496" t="str">
        <f>VALORACIÓN!B158</f>
        <v>Gestión Financiera. Perdida de titulos valores</v>
      </c>
      <c r="C157" s="530" t="str">
        <f>IF(IDENTIFICACIÓN!B59="","",IDENTIFICACIÓN!B59)</f>
        <v xml:space="preserve">Error humano, deficiencia en la custodia, protección y entrega de titulos valores </v>
      </c>
      <c r="D157" s="552" t="str">
        <f>IF(IDENTIFICACIÓN!D59="","","NA")</f>
        <v>NA</v>
      </c>
      <c r="E157" s="532">
        <f>ANALISIS!D61</f>
        <v>3</v>
      </c>
      <c r="F157" s="533" t="str">
        <f>ANALISIS!E61</f>
        <v>POSIBLE</v>
      </c>
      <c r="G157" s="556" t="s">
        <v>353</v>
      </c>
      <c r="H157" s="557"/>
      <c r="I157" s="548" t="str">
        <f>ANALISIS!J61</f>
        <v>MODERADA</v>
      </c>
      <c r="J157" s="357">
        <f>VALORACIÓN!C158</f>
        <v>1</v>
      </c>
      <c r="K157" s="358" t="str">
        <f>IF(VALORACIÓN!F158=0,"",VALORACIÓN!F158)</f>
        <v>Conciliaciones Bancarias</v>
      </c>
      <c r="L157" s="543">
        <f>VALORACIÓN!AA158</f>
        <v>95</v>
      </c>
      <c r="M157" s="555" t="str">
        <f>VALORACIÓN!AG158</f>
        <v>MODERADA</v>
      </c>
      <c r="N157" s="530" t="str">
        <f>VALORACIÓN!AG159</f>
        <v>- Evitar Posibilidad de Ocurrencia- Reducir el Riesgo</v>
      </c>
      <c r="O157" s="545" t="str">
        <f>IF(B157="","",IF(VALORACIÓN!BA158="","Aceptar el Riesgo sin necesidad de tomar otras medidas de control diferentes a las que se poseen, considerando que estos son efectivos con ponderacion de 100, y la evaluación final del riesgos es Baja 1:1",VALORACIÓN!BA158))</f>
        <v>- Tomar Acciones Preventivas</v>
      </c>
      <c r="P157" s="395" t="s">
        <v>403</v>
      </c>
      <c r="Q157" s="395" t="s">
        <v>823</v>
      </c>
      <c r="R157" s="396" t="s">
        <v>70</v>
      </c>
    </row>
    <row r="158" spans="1:18" ht="63.75" x14ac:dyDescent="0.2">
      <c r="A158" s="550"/>
      <c r="B158" s="496"/>
      <c r="C158" s="530"/>
      <c r="D158" s="553"/>
      <c r="E158" s="532"/>
      <c r="F158" s="534"/>
      <c r="G158" s="558"/>
      <c r="H158" s="559"/>
      <c r="I158" s="541"/>
      <c r="J158" s="357">
        <f>VALORACIÓN!C159</f>
        <v>2</v>
      </c>
      <c r="K158" s="358" t="str">
        <f>IF(VALORACIÓN!F159=0,"",VALORACIÓN!F159)</f>
        <v>Custodia en Caja Fuerte de los títulos valores (chequeras, cheques, sellos humedos y protectógrafo)</v>
      </c>
      <c r="L158" s="543"/>
      <c r="M158" s="527"/>
      <c r="N158" s="530"/>
      <c r="O158" s="546"/>
      <c r="P158" s="395"/>
      <c r="Q158" s="395"/>
      <c r="R158" s="396"/>
    </row>
    <row r="159" spans="1:18" ht="16.5" thickBot="1" x14ac:dyDescent="0.25">
      <c r="A159" s="551"/>
      <c r="B159" s="496"/>
      <c r="C159" s="530"/>
      <c r="D159" s="554"/>
      <c r="E159" s="532"/>
      <c r="F159" s="535"/>
      <c r="G159" s="560"/>
      <c r="H159" s="561"/>
      <c r="I159" s="542"/>
      <c r="J159" s="357">
        <f>VALORACIÓN!C160</f>
        <v>3</v>
      </c>
      <c r="K159" s="358" t="str">
        <f>IF(VALORACIÓN!F160=0,"",VALORACIÓN!F160)</f>
        <v/>
      </c>
      <c r="L159" s="543"/>
      <c r="M159" s="528"/>
      <c r="N159" s="530"/>
      <c r="O159" s="547"/>
      <c r="P159" s="395"/>
      <c r="Q159" s="395"/>
      <c r="R159" s="396"/>
    </row>
    <row r="160" spans="1:18" ht="45.75" thickTop="1" x14ac:dyDescent="0.2">
      <c r="A160" s="549" t="str">
        <f>VALORACIÓN!A161</f>
        <v>23C</v>
      </c>
      <c r="B160" s="496" t="str">
        <f>VALORACIÓN!B161</f>
        <v>Gestión Financiera. Omisión en la aplicación  de la normatividad vigente en los procesos de la Gestión Financiera</v>
      </c>
      <c r="C160" s="530" t="str">
        <f>IF(IDENTIFICACIÓN!B60="","",IDENTIFICACIÓN!B60)</f>
        <v xml:space="preserve">Desconocimiento ó desactualización de la normatividad externa aplicable a los procesos. </v>
      </c>
      <c r="D160" s="552" t="str">
        <f>IF(IDENTIFICACIÓN!D60="","","NA")</f>
        <v>NA</v>
      </c>
      <c r="E160" s="532">
        <f>ANALISIS!D62</f>
        <v>3</v>
      </c>
      <c r="F160" s="533" t="str">
        <f>ANALISIS!E62</f>
        <v>POSIBLE</v>
      </c>
      <c r="G160" s="556" t="s">
        <v>353</v>
      </c>
      <c r="H160" s="557"/>
      <c r="I160" s="548" t="str">
        <f>ANALISIS!J62</f>
        <v>MODERADA</v>
      </c>
      <c r="J160" s="357">
        <f>VALORACIÓN!C161</f>
        <v>1</v>
      </c>
      <c r="K160" s="358" t="str">
        <f>IF(VALORACIÓN!F161=0,"",VALORACIÓN!F161)</f>
        <v>Reuniones de Calidad</v>
      </c>
      <c r="L160" s="543">
        <f>VALORACIÓN!AA161</f>
        <v>95</v>
      </c>
      <c r="M160" s="555" t="str">
        <f>VALORACIÓN!AG161</f>
        <v>MODERADA</v>
      </c>
      <c r="N160" s="530" t="str">
        <f>VALORACIÓN!AG162</f>
        <v>- Evitar Posibilidad de Ocurrencia- Reducir el Riesgo</v>
      </c>
      <c r="O160" s="545" t="str">
        <f>IF(B160="","",IF(VALORACIÓN!BA161="","Aceptar el Riesgo sin necesidad de tomar otras medidas de control diferentes a las que se poseen, considerando que estos son efectivos con ponderacion de 100, y la evaluación final del riesgos es Baja 1:1",VALORACIÓN!BA161))</f>
        <v>- Tomar Acciones Preventivas</v>
      </c>
      <c r="P160" s="395" t="s">
        <v>404</v>
      </c>
      <c r="Q160" s="395" t="s">
        <v>824</v>
      </c>
      <c r="R160" s="396" t="s">
        <v>70</v>
      </c>
    </row>
    <row r="161" spans="1:18" ht="25.5" x14ac:dyDescent="0.2">
      <c r="A161" s="550"/>
      <c r="B161" s="496"/>
      <c r="C161" s="530"/>
      <c r="D161" s="553"/>
      <c r="E161" s="532"/>
      <c r="F161" s="534"/>
      <c r="G161" s="558"/>
      <c r="H161" s="559"/>
      <c r="I161" s="541"/>
      <c r="J161" s="357">
        <f>VALORACIÓN!C162</f>
        <v>2</v>
      </c>
      <c r="K161" s="358" t="str">
        <f>IF(VALORACIÓN!F162=0,"",VALORACIÓN!F162)</f>
        <v>Reuniones equipo Financiero</v>
      </c>
      <c r="L161" s="543"/>
      <c r="M161" s="527"/>
      <c r="N161" s="530"/>
      <c r="O161" s="546"/>
      <c r="P161" s="395"/>
      <c r="Q161" s="395"/>
      <c r="R161" s="396"/>
    </row>
    <row r="162" spans="1:18" ht="64.5" thickBot="1" x14ac:dyDescent="0.25">
      <c r="A162" s="551"/>
      <c r="B162" s="496"/>
      <c r="C162" s="530"/>
      <c r="D162" s="554"/>
      <c r="E162" s="532"/>
      <c r="F162" s="535"/>
      <c r="G162" s="560"/>
      <c r="H162" s="561"/>
      <c r="I162" s="542"/>
      <c r="J162" s="357">
        <f>VALORACIÓN!C163</f>
        <v>3</v>
      </c>
      <c r="K162" s="358" t="str">
        <f>IF(VALORACIÓN!F163=0,"",VALORACIÓN!F163)</f>
        <v>Planes de Mejoramiento y notificaciones y actualizaciones de la normatividad aplicable al proceso.</v>
      </c>
      <c r="L162" s="543"/>
      <c r="M162" s="528"/>
      <c r="N162" s="530"/>
      <c r="O162" s="547"/>
      <c r="P162" s="395"/>
      <c r="Q162" s="395"/>
      <c r="R162" s="396"/>
    </row>
    <row r="163" spans="1:18" ht="45.75" thickTop="1" x14ac:dyDescent="0.2">
      <c r="A163" s="549" t="str">
        <f>VALORACIÓN!A164</f>
        <v>24C</v>
      </c>
      <c r="B163" s="496" t="str">
        <f>VALORACIÓN!B164</f>
        <v xml:space="preserve">Apoyo Tecnológico TIC. Vulnerabilidad de la Información </v>
      </c>
      <c r="C163" s="530" t="str">
        <f>IF(IDENTIFICACIÓN!B61="","",IDENTIFICACIÓN!B61)</f>
        <v>Ausenca de controles para la implementacion, administracion y soportes de SI</v>
      </c>
      <c r="D163" s="552" t="str">
        <f>IF(IDENTIFICACIÓN!D61="","","NA")</f>
        <v>NA</v>
      </c>
      <c r="E163" s="532">
        <f>ANALISIS!D63</f>
        <v>3</v>
      </c>
      <c r="F163" s="533" t="str">
        <f>ANALISIS!E63</f>
        <v>POSIBLE</v>
      </c>
      <c r="G163" s="556" t="s">
        <v>353</v>
      </c>
      <c r="H163" s="557"/>
      <c r="I163" s="548" t="str">
        <f>ANALISIS!J63</f>
        <v>MODERADA</v>
      </c>
      <c r="J163" s="357">
        <f>VALORACIÓN!C164</f>
        <v>1</v>
      </c>
      <c r="K163" s="358" t="str">
        <f>IF(VALORACIÓN!F164=0,"",VALORACIÓN!F164)</f>
        <v>Roles para el acceso a la información</v>
      </c>
      <c r="L163" s="543">
        <f>VALORACIÓN!AA164</f>
        <v>78</v>
      </c>
      <c r="M163" s="555" t="str">
        <f>VALORACIÓN!AG164</f>
        <v>MODERADA</v>
      </c>
      <c r="N163" s="530" t="str">
        <f>VALORACIÓN!AG165</f>
        <v>- Evitar Posibilidad de Ocurrencia- Reducir el Riesgo</v>
      </c>
      <c r="O163" s="545" t="str">
        <f>IF(B163="","",IF(VALORACIÓN!BA164="","Aceptar el Riesgo sin necesidad de tomar otras medidas de control diferentes a las que se poseen, considerando que estos son efectivos con ponderacion de 100, y la evaluación final del riesgos es Baja 1:1",VALORACIÓN!BA164))</f>
        <v>- Documentar, Guardar Evidencias (de) el(los) control(es) Efectivo(s) - Tomar Acciones Preventivas</v>
      </c>
      <c r="P163" s="395" t="s">
        <v>404</v>
      </c>
      <c r="Q163" s="395" t="s">
        <v>825</v>
      </c>
      <c r="R163" s="396" t="s">
        <v>70</v>
      </c>
    </row>
    <row r="164" spans="1:18" ht="38.25" x14ac:dyDescent="0.2">
      <c r="A164" s="550"/>
      <c r="B164" s="496"/>
      <c r="C164" s="530"/>
      <c r="D164" s="553"/>
      <c r="E164" s="532"/>
      <c r="F164" s="534"/>
      <c r="G164" s="558"/>
      <c r="H164" s="559"/>
      <c r="I164" s="541"/>
      <c r="J164" s="357">
        <f>VALORACIÓN!C165</f>
        <v>2</v>
      </c>
      <c r="K164" s="358" t="str">
        <f>IF(VALORACIÓN!F165=0,"",VALORACIÓN!F165)</f>
        <v>Firewall para el control de ingreso a red y sistemas de información</v>
      </c>
      <c r="L164" s="543"/>
      <c r="M164" s="527"/>
      <c r="N164" s="530"/>
      <c r="O164" s="546"/>
      <c r="P164" s="395" t="s">
        <v>404</v>
      </c>
      <c r="Q164" s="395" t="s">
        <v>826</v>
      </c>
      <c r="R164" s="396" t="s">
        <v>69</v>
      </c>
    </row>
    <row r="165" spans="1:18" ht="45.75" thickBot="1" x14ac:dyDescent="0.25">
      <c r="A165" s="551"/>
      <c r="B165" s="496"/>
      <c r="C165" s="530"/>
      <c r="D165" s="554"/>
      <c r="E165" s="532"/>
      <c r="F165" s="535"/>
      <c r="G165" s="560"/>
      <c r="H165" s="561"/>
      <c r="I165" s="542"/>
      <c r="J165" s="357">
        <f>VALORACIÓN!C166</f>
        <v>3</v>
      </c>
      <c r="K165" s="358" t="str">
        <f>IF(VALORACIÓN!F166=0,"",VALORACIÓN!F166)</f>
        <v/>
      </c>
      <c r="L165" s="543"/>
      <c r="M165" s="528"/>
      <c r="N165" s="530"/>
      <c r="O165" s="547"/>
      <c r="P165" s="395" t="s">
        <v>404</v>
      </c>
      <c r="Q165" s="395" t="s">
        <v>827</v>
      </c>
      <c r="R165" s="396" t="s">
        <v>69</v>
      </c>
    </row>
    <row r="166" spans="1:18" ht="45.75" thickTop="1" x14ac:dyDescent="0.2">
      <c r="A166" s="549" t="str">
        <f>VALORACIÓN!A167</f>
        <v>25C</v>
      </c>
      <c r="B166" s="496" t="str">
        <f>VALORACIÓN!B167</f>
        <v xml:space="preserve">Gestión Documental. Entregar un título o certificado sin los requisitos para ello </v>
      </c>
      <c r="C166" s="530" t="str">
        <f>IF(IDENTIFICACIÓN!B62="","",IDENTIFICACIÓN!B62)</f>
        <v>Omisión de procedimientos legal 
Falta de cualificación del personal
Ausencia de cultura ética y buen gobierno</v>
      </c>
      <c r="D166" s="552" t="str">
        <f>IF(IDENTIFICACIÓN!D62="","","NA")</f>
        <v>NA</v>
      </c>
      <c r="E166" s="532">
        <f>ANALISIS!D64</f>
        <v>3</v>
      </c>
      <c r="F166" s="533" t="str">
        <f>ANALISIS!E64</f>
        <v>POSIBLE</v>
      </c>
      <c r="G166" s="556" t="s">
        <v>353</v>
      </c>
      <c r="H166" s="557"/>
      <c r="I166" s="548" t="str">
        <f>ANALISIS!J64</f>
        <v>MODERADA</v>
      </c>
      <c r="J166" s="357">
        <f>VALORACIÓN!C167</f>
        <v>1</v>
      </c>
      <c r="K166" s="358" t="str">
        <f>IF(VALORACIÓN!F167=0,"",VALORACIÓN!F167)</f>
        <v>Recibir y verificar los requisitos de grados</v>
      </c>
      <c r="L166" s="543">
        <f>VALORACIÓN!AA167</f>
        <v>90</v>
      </c>
      <c r="M166" s="555" t="str">
        <f>VALORACIÓN!AG167</f>
        <v>MODERADA</v>
      </c>
      <c r="N166" s="530" t="str">
        <f>VALORACIÓN!AG168</f>
        <v>- Evitar Posibilidad de Ocurrencia- Reducir el Riesgo</v>
      </c>
      <c r="O166" s="545" t="str">
        <f>IF(B166="","",IF(VALORACIÓN!BA167="","Aceptar el Riesgo sin necesidad de tomar otras medidas de control diferentes a las que se poseen, considerando que estos son efectivos con ponderacion de 100, y la evaluación final del riesgos es Baja 1:1",VALORACIÓN!BA167))</f>
        <v>- Documentar (de) el(los) control(es) Efectivo(s) - Tomar Acciones Preventivas</v>
      </c>
      <c r="P166" s="395" t="s">
        <v>406</v>
      </c>
      <c r="Q166" s="395" t="s">
        <v>828</v>
      </c>
      <c r="R166" s="396" t="s">
        <v>97</v>
      </c>
    </row>
    <row r="167" spans="1:18" ht="38.25" x14ac:dyDescent="0.2">
      <c r="A167" s="550"/>
      <c r="B167" s="496"/>
      <c r="C167" s="530"/>
      <c r="D167" s="553"/>
      <c r="E167" s="532"/>
      <c r="F167" s="534"/>
      <c r="G167" s="558"/>
      <c r="H167" s="559"/>
      <c r="I167" s="541"/>
      <c r="J167" s="357">
        <f>VALORACIÓN!C168</f>
        <v>2</v>
      </c>
      <c r="K167" s="358" t="str">
        <f>IF(VALORACIÓN!F168=0,"",VALORACIÓN!F168)</f>
        <v>Consolidación de la información y envío de la misma al sistema de AyRE</v>
      </c>
      <c r="L167" s="543"/>
      <c r="M167" s="527"/>
      <c r="N167" s="530"/>
      <c r="O167" s="546"/>
      <c r="P167" s="395"/>
      <c r="Q167" s="395"/>
      <c r="R167" s="396"/>
    </row>
    <row r="168" spans="1:18" ht="39" thickBot="1" x14ac:dyDescent="0.25">
      <c r="A168" s="551"/>
      <c r="B168" s="496"/>
      <c r="C168" s="530"/>
      <c r="D168" s="554"/>
      <c r="E168" s="532"/>
      <c r="F168" s="535"/>
      <c r="G168" s="560"/>
      <c r="H168" s="561"/>
      <c r="I168" s="542"/>
      <c r="J168" s="357">
        <f>VALORACIÓN!C169</f>
        <v>3</v>
      </c>
      <c r="K168" s="358" t="str">
        <f>IF(VALORACIÓN!F169=0,"",VALORACIÓN!F169)</f>
        <v xml:space="preserve">Utilización de papel de seguridad para la elaboración de diplomas </v>
      </c>
      <c r="L168" s="543"/>
      <c r="M168" s="528"/>
      <c r="N168" s="530"/>
      <c r="O168" s="547"/>
      <c r="P168" s="395"/>
      <c r="Q168" s="395"/>
      <c r="R168" s="396"/>
    </row>
    <row r="169" spans="1:18" ht="45.75" thickTop="1" x14ac:dyDescent="0.2">
      <c r="A169" s="549" t="str">
        <f>VALORACIÓN!A170</f>
        <v>26C</v>
      </c>
      <c r="B169" s="496" t="str">
        <f>VALORACIÓN!B170</f>
        <v>Gestión Documental. Expedición de un certificado de título falso</v>
      </c>
      <c r="C169" s="530" t="str">
        <f>IF(IDENTIFICACIÓN!B63="","",IDENTIFICACIÓN!B63)</f>
        <v>Omisión de procedimientos legal 
Falta de cualificación del personal
Ausencia de cultura ética y buen gobierno</v>
      </c>
      <c r="D169" s="552" t="str">
        <f>IF(IDENTIFICACIÓN!D63="","","NA")</f>
        <v>NA</v>
      </c>
      <c r="E169" s="532">
        <f>ANALISIS!D65</f>
        <v>3</v>
      </c>
      <c r="F169" s="533" t="str">
        <f>ANALISIS!E65</f>
        <v>POSIBLE</v>
      </c>
      <c r="G169" s="556" t="s">
        <v>353</v>
      </c>
      <c r="H169" s="557"/>
      <c r="I169" s="548" t="str">
        <f>ANALISIS!J65</f>
        <v>MODERADA</v>
      </c>
      <c r="J169" s="357">
        <f>VALORACIÓN!C170</f>
        <v>1</v>
      </c>
      <c r="K169" s="358" t="str">
        <f>IF(VALORACIÓN!F170=0,"",VALORACIÓN!F170)</f>
        <v>Revisión de la información en el Archivo de la Secretaría General</v>
      </c>
      <c r="L169" s="543">
        <f>VALORACIÓN!AA170</f>
        <v>85</v>
      </c>
      <c r="M169" s="555" t="str">
        <f>VALORACIÓN!AG170</f>
        <v>MODERADA</v>
      </c>
      <c r="N169" s="530" t="str">
        <f>VALORACIÓN!AG171</f>
        <v>- Evitar Posibilidad de Ocurrencia- Reducir el Riesgo</v>
      </c>
      <c r="O169" s="545" t="str">
        <f>IF(B169="","",IF(VALORACIÓN!BA170="","Aceptar el Riesgo sin necesidad de tomar otras medidas de control diferentes a las que se poseen, considerando que estos son efectivos con ponderacion de 100, y la evaluación final del riesgos es Baja 1:1",VALORACIÓN!BA170))</f>
        <v>- Guardar Evidencias (de) el(los) control(es) Efectivo(s) - Tomar Acciones Preventivas</v>
      </c>
      <c r="P169" s="395" t="s">
        <v>406</v>
      </c>
      <c r="Q169" s="395" t="s">
        <v>828</v>
      </c>
      <c r="R169" s="396" t="s">
        <v>97</v>
      </c>
    </row>
    <row r="170" spans="1:18" ht="38.25" x14ac:dyDescent="0.2">
      <c r="A170" s="550"/>
      <c r="B170" s="496"/>
      <c r="C170" s="530"/>
      <c r="D170" s="553"/>
      <c r="E170" s="532"/>
      <c r="F170" s="534"/>
      <c r="G170" s="558"/>
      <c r="H170" s="559"/>
      <c r="I170" s="541"/>
      <c r="J170" s="357">
        <f>VALORACIÓN!C171</f>
        <v>2</v>
      </c>
      <c r="K170" s="358" t="str">
        <f>IF(VALORACIÓN!F171=0,"",VALORACIÓN!F171)</f>
        <v>Validación de la información en el sistema AyRE</v>
      </c>
      <c r="L170" s="543"/>
      <c r="M170" s="527"/>
      <c r="N170" s="530"/>
      <c r="O170" s="546"/>
      <c r="P170" s="395"/>
      <c r="Q170" s="395"/>
      <c r="R170" s="396"/>
    </row>
    <row r="171" spans="1:18" ht="16.5" thickBot="1" x14ac:dyDescent="0.25">
      <c r="A171" s="551"/>
      <c r="B171" s="496"/>
      <c r="C171" s="530"/>
      <c r="D171" s="554"/>
      <c r="E171" s="532"/>
      <c r="F171" s="535"/>
      <c r="G171" s="560"/>
      <c r="H171" s="561"/>
      <c r="I171" s="542"/>
      <c r="J171" s="357">
        <f>VALORACIÓN!C172</f>
        <v>3</v>
      </c>
      <c r="K171" s="358" t="str">
        <f>IF(VALORACIÓN!F172=0,"",VALORACIÓN!F172)</f>
        <v/>
      </c>
      <c r="L171" s="543"/>
      <c r="M171" s="528"/>
      <c r="N171" s="530"/>
      <c r="O171" s="547"/>
      <c r="P171" s="395"/>
      <c r="Q171" s="395"/>
      <c r="R171" s="396"/>
    </row>
    <row r="172" spans="1:18" ht="39" customHeight="1" thickTop="1" x14ac:dyDescent="0.2">
      <c r="A172" s="549" t="str">
        <f>VALORACIÓN!A173</f>
        <v>27C</v>
      </c>
      <c r="B172" s="496" t="str">
        <f>VALORACIÓN!B173</f>
        <v>Gestión del Talento Humano. Concentración de información de determinadas actividades o procesos en una persona.</v>
      </c>
      <c r="C172" s="530" t="str">
        <f>IF(IDENTIFICACIÓN!B64="","",IDENTIFICACIÓN!B64)</f>
        <v>1. Inadecuada distribución de personal, de acuerdo a competencias.
2. Falta de definición de puntos de control
3. Bajo nivel de automatización en el seguimiento de los procesos.</v>
      </c>
      <c r="D172" s="552" t="str">
        <f>IF(IDENTIFICACIÓN!D64="","","NA")</f>
        <v>NA</v>
      </c>
      <c r="E172" s="532">
        <f>ANALISIS!D66</f>
        <v>3</v>
      </c>
      <c r="F172" s="533" t="str">
        <f>ANALISIS!E66</f>
        <v>POSIBLE</v>
      </c>
      <c r="G172" s="556" t="s">
        <v>353</v>
      </c>
      <c r="H172" s="557"/>
      <c r="I172" s="548" t="str">
        <f>ANALISIS!J66</f>
        <v>MODERADA</v>
      </c>
      <c r="J172" s="386">
        <f>VALORACIÓN!C173</f>
        <v>1</v>
      </c>
      <c r="K172" s="387" t="str">
        <f>IF(VALORACIÓN!F173=0,"",VALORACIÓN!F173)</f>
        <v>Procedimientos documentados en COGUI</v>
      </c>
      <c r="L172" s="543">
        <f>VALORACIÓN!AA173</f>
        <v>80</v>
      </c>
      <c r="M172" s="555" t="str">
        <f>VALORACIÓN!AG173</f>
        <v>MODERADA</v>
      </c>
      <c r="N172" s="530" t="str">
        <f>VALORACIÓN!AG174</f>
        <v>- Evitar Posibilidad de Ocurrencia- Reducir el Riesgo</v>
      </c>
      <c r="O172" s="545" t="str">
        <f>IF(B172="","",IF(VALORACIÓN!BA173="","Aceptar el Riesgo sin necesidad de tomar otras medidas de control diferentes a las que se poseen, considerando que estos son efectivos con ponderacion de 100, y la evaluación final del riesgos es Baja 1:1",VALORACIÓN!BA173))</f>
        <v>- Establecer periodos de seguimiento adecuados (de) el(los) control(es) Efectivo(s) - Tomar Acciones Preventivas</v>
      </c>
      <c r="P172" s="395" t="s">
        <v>404</v>
      </c>
      <c r="Q172" s="395" t="s">
        <v>829</v>
      </c>
      <c r="R172" s="396" t="s">
        <v>70</v>
      </c>
    </row>
    <row r="173" spans="1:18" x14ac:dyDescent="0.2">
      <c r="A173" s="550"/>
      <c r="B173" s="496"/>
      <c r="C173" s="530"/>
      <c r="D173" s="553"/>
      <c r="E173" s="532"/>
      <c r="F173" s="534"/>
      <c r="G173" s="558"/>
      <c r="H173" s="559"/>
      <c r="I173" s="541"/>
      <c r="J173" s="386">
        <f>VALORACIÓN!C174</f>
        <v>2</v>
      </c>
      <c r="K173" s="387" t="str">
        <f>IF(VALORACIÓN!F174=0,"",VALORACIÓN!F174)</f>
        <v/>
      </c>
      <c r="L173" s="543"/>
      <c r="M173" s="527"/>
      <c r="N173" s="530"/>
      <c r="O173" s="546"/>
      <c r="P173" s="395"/>
      <c r="Q173" s="395"/>
      <c r="R173" s="396"/>
    </row>
    <row r="174" spans="1:18" ht="16.5" thickBot="1" x14ac:dyDescent="0.25">
      <c r="A174" s="551"/>
      <c r="B174" s="496"/>
      <c r="C174" s="530"/>
      <c r="D174" s="554"/>
      <c r="E174" s="532"/>
      <c r="F174" s="535"/>
      <c r="G174" s="560"/>
      <c r="H174" s="561"/>
      <c r="I174" s="542"/>
      <c r="J174" s="386">
        <f>VALORACIÓN!C175</f>
        <v>3</v>
      </c>
      <c r="K174" s="387" t="str">
        <f>IF(VALORACIÓN!F175=0,"",VALORACIÓN!F175)</f>
        <v/>
      </c>
      <c r="L174" s="543"/>
      <c r="M174" s="528"/>
      <c r="N174" s="530"/>
      <c r="O174" s="547"/>
      <c r="P174" s="395"/>
      <c r="Q174" s="395"/>
      <c r="R174" s="396"/>
    </row>
    <row r="175" spans="1:18" ht="60.75" thickTop="1" x14ac:dyDescent="0.2">
      <c r="A175" s="549" t="str">
        <f>VALORACIÓN!A176</f>
        <v>28C</v>
      </c>
      <c r="B175" s="496" t="str">
        <f>VALORACIÓN!B176</f>
        <v>Gestión del Talento Humano. Decisiones no ajustadas a la normatividad legal.</v>
      </c>
      <c r="C175" s="530" t="str">
        <f>IF(IDENTIFICACIÓN!B65="","",IDENTIFICACIÓN!B65)</f>
        <v>1. Omisión de procedimientos legales
2. Falta de definición de puntos de control
3. Bajo nivel de automatización en el seguimiento de los procesos.</v>
      </c>
      <c r="D175" s="552" t="str">
        <f>IF(IDENTIFICACIÓN!D65="","","NA")</f>
        <v>NA</v>
      </c>
      <c r="E175" s="532">
        <f>ANALISIS!D67</f>
        <v>3</v>
      </c>
      <c r="F175" s="533" t="str">
        <f>ANALISIS!E67</f>
        <v>POSIBLE</v>
      </c>
      <c r="G175" s="556" t="s">
        <v>353</v>
      </c>
      <c r="H175" s="557"/>
      <c r="I175" s="548" t="str">
        <f>ANALISIS!J67</f>
        <v>MODERADA</v>
      </c>
      <c r="J175" s="386">
        <f>VALORACIÓN!C176</f>
        <v>1</v>
      </c>
      <c r="K175" s="387" t="str">
        <f>IF(VALORACIÓN!F176=0,"",VALORACIÓN!F176)</f>
        <v>Normograma / Procedimientos documentados en COGUI</v>
      </c>
      <c r="L175" s="543">
        <f>VALORACIÓN!AA176</f>
        <v>80</v>
      </c>
      <c r="M175" s="555" t="str">
        <f>VALORACIÓN!AG176</f>
        <v>MODERADA</v>
      </c>
      <c r="N175" s="530" t="str">
        <f>VALORACIÓN!AG177</f>
        <v>- Evitar Posibilidad de Ocurrencia- Reducir el Riesgo</v>
      </c>
      <c r="O175" s="545" t="str">
        <f>IF(B175="","",IF(VALORACIÓN!BA176="","Aceptar el Riesgo sin necesidad de tomar otras medidas de control diferentes a las que se poseen, considerando que estos son efectivos con ponderacion de 100, y la evaluación final del riesgos es Baja 1:1",VALORACIÓN!BA176))</f>
        <v>- Establecer periodos de seguimiento adecuados (de) el(los) control(es) Efectivo(s) - Tomar Acciones Preventivas</v>
      </c>
      <c r="P175" s="395" t="s">
        <v>404</v>
      </c>
      <c r="Q175" s="395" t="s">
        <v>830</v>
      </c>
      <c r="R175" s="396" t="s">
        <v>70</v>
      </c>
    </row>
    <row r="176" spans="1:18" x14ac:dyDescent="0.2">
      <c r="A176" s="550"/>
      <c r="B176" s="496"/>
      <c r="C176" s="530"/>
      <c r="D176" s="553"/>
      <c r="E176" s="532"/>
      <c r="F176" s="534"/>
      <c r="G176" s="558"/>
      <c r="H176" s="559"/>
      <c r="I176" s="541"/>
      <c r="J176" s="386">
        <f>VALORACIÓN!C177</f>
        <v>2</v>
      </c>
      <c r="K176" s="387" t="str">
        <f>IF(VALORACIÓN!F177=0,"",VALORACIÓN!F177)</f>
        <v/>
      </c>
      <c r="L176" s="543"/>
      <c r="M176" s="527"/>
      <c r="N176" s="530"/>
      <c r="O176" s="546"/>
      <c r="P176" s="395"/>
      <c r="Q176" s="395"/>
      <c r="R176" s="396"/>
    </row>
    <row r="177" spans="1:18" ht="16.5" thickBot="1" x14ac:dyDescent="0.25">
      <c r="A177" s="551"/>
      <c r="B177" s="496"/>
      <c r="C177" s="530"/>
      <c r="D177" s="554"/>
      <c r="E177" s="532"/>
      <c r="F177" s="535"/>
      <c r="G177" s="560"/>
      <c r="H177" s="561"/>
      <c r="I177" s="542"/>
      <c r="J177" s="386">
        <f>VALORACIÓN!C178</f>
        <v>3</v>
      </c>
      <c r="K177" s="387" t="str">
        <f>IF(VALORACIÓN!F178=0,"",VALORACIÓN!F178)</f>
        <v/>
      </c>
      <c r="L177" s="543"/>
      <c r="M177" s="528"/>
      <c r="N177" s="530"/>
      <c r="O177" s="547"/>
      <c r="P177" s="395"/>
      <c r="Q177" s="395"/>
      <c r="R177" s="396"/>
    </row>
    <row r="178" spans="1:18" ht="51.75" thickTop="1" x14ac:dyDescent="0.2">
      <c r="A178" s="549" t="str">
        <f>VALORACIÓN!A179</f>
        <v>29C</v>
      </c>
      <c r="B178" s="496" t="str">
        <f>VALORACIÓN!B179</f>
        <v>Gestión de Admisiones y Registro. Manipulación de resultados del examen  de admisión.</v>
      </c>
      <c r="C178" s="530" t="str">
        <f>IF(IDENTIFICACIÓN!B66="","",IDENTIFICACIÓN!B66)</f>
        <v>Ausencia Cultura de Buen Gobierno, Falta de control al poder, Baja visibilidad de las acciones, Asimetrías de la información, bajo nivel de automatización en el seguimiento de los procesos.</v>
      </c>
      <c r="D178" s="552" t="str">
        <f>IF(IDENTIFICACIÓN!D66="","","NA")</f>
        <v>NA</v>
      </c>
      <c r="E178" s="532">
        <f>ANALISIS!D68</f>
        <v>3</v>
      </c>
      <c r="F178" s="533" t="str">
        <f>ANALISIS!E68</f>
        <v>POSIBLE</v>
      </c>
      <c r="G178" s="556" t="s">
        <v>353</v>
      </c>
      <c r="H178" s="557"/>
      <c r="I178" s="548" t="str">
        <f>ANALISIS!J68</f>
        <v>MODERADA</v>
      </c>
      <c r="J178" s="386">
        <f>VALORACIÓN!C179</f>
        <v>1</v>
      </c>
      <c r="K178" s="387" t="str">
        <f>IF(VALORACIÓN!F179=0,"",VALORACIÓN!F179)</f>
        <v>Entrega en custodia de los resultados del la prueba de admisión a la Oficina de control interno.</v>
      </c>
      <c r="L178" s="543">
        <f>VALORACIÓN!AA179</f>
        <v>88</v>
      </c>
      <c r="M178" s="555" t="str">
        <f>VALORACIÓN!AG179</f>
        <v>MODERADA</v>
      </c>
      <c r="N178" s="530" t="str">
        <f>VALORACIÓN!AG180</f>
        <v>- Evitar Posibilidad de Ocurrencia- Reducir el Riesgo</v>
      </c>
      <c r="O178" s="545" t="str">
        <f>IF(B178="","",IF(VALORACIÓN!BA179="","Aceptar el Riesgo sin necesidad de tomar otras medidas de control diferentes a las que se poseen, considerando que estos son efectivos con ponderacion de 100, y la evaluación final del riesgos es Baja 1:1",VALORACIÓN!BA179))</f>
        <v>- Documentar (de) el(los) control(es) Efectivo(s) - Tomar Acciones Preventivas</v>
      </c>
      <c r="P178" s="395" t="s">
        <v>406</v>
      </c>
      <c r="Q178" s="395" t="s">
        <v>800</v>
      </c>
      <c r="R178" s="396" t="s">
        <v>97</v>
      </c>
    </row>
    <row r="179" spans="1:18" ht="63.75" x14ac:dyDescent="0.2">
      <c r="A179" s="550"/>
      <c r="B179" s="496"/>
      <c r="C179" s="530"/>
      <c r="D179" s="553"/>
      <c r="E179" s="532"/>
      <c r="F179" s="534"/>
      <c r="G179" s="558"/>
      <c r="H179" s="559"/>
      <c r="I179" s="541"/>
      <c r="J179" s="386">
        <f>VALORACIÓN!C180</f>
        <v>2</v>
      </c>
      <c r="K179" s="387" t="str">
        <f>IF(VALORACIÓN!F180=0,"",VALORACIÓN!F180)</f>
        <v>Verificación y aprobación del listado de preseleccionados por parte del Comité de Admisiones.</v>
      </c>
      <c r="L179" s="543"/>
      <c r="M179" s="527"/>
      <c r="N179" s="530"/>
      <c r="O179" s="546"/>
      <c r="P179" s="395"/>
      <c r="Q179" s="395"/>
      <c r="R179" s="396"/>
    </row>
    <row r="180" spans="1:18" ht="16.5" thickBot="1" x14ac:dyDescent="0.25">
      <c r="A180" s="551"/>
      <c r="B180" s="496"/>
      <c r="C180" s="530"/>
      <c r="D180" s="554"/>
      <c r="E180" s="532"/>
      <c r="F180" s="535"/>
      <c r="G180" s="560"/>
      <c r="H180" s="561"/>
      <c r="I180" s="542"/>
      <c r="J180" s="386">
        <f>VALORACIÓN!C181</f>
        <v>3</v>
      </c>
      <c r="K180" s="387" t="str">
        <f>IF(VALORACIÓN!F181=0,"",VALORACIÓN!F181)</f>
        <v/>
      </c>
      <c r="L180" s="543"/>
      <c r="M180" s="528"/>
      <c r="N180" s="530"/>
      <c r="O180" s="547"/>
      <c r="P180" s="395"/>
      <c r="Q180" s="395"/>
      <c r="R180" s="396"/>
    </row>
    <row r="181" spans="1:18" ht="45.75" thickTop="1" x14ac:dyDescent="0.2">
      <c r="A181" s="549" t="str">
        <f>VALORACIÓN!A182</f>
        <v>30C</v>
      </c>
      <c r="B181" s="496" t="str">
        <f>VALORACIÓN!B182</f>
        <v>Gestión de Admisiones y Registro. Alteración de notas de estudiantes.</v>
      </c>
      <c r="C181" s="530" t="str">
        <f>IF(IDENTIFICACIÓN!B67="","",IDENTIFICACIÓN!B67)</f>
        <v>Ausencia Cultura de Buen Gobierno, Falta de control al poder, Baja visibilidad de las acciones, Asimetrías de la información, Discrecionalidad. Falta de Planeación y de coherencia en la ejecución de los planes que realiza la entidad, bajo nivel de automatización en el seguimiento de los procesos.</v>
      </c>
      <c r="D181" s="552" t="str">
        <f>IF(IDENTIFICACIÓN!D67="","","NA")</f>
        <v>NA</v>
      </c>
      <c r="E181" s="532">
        <f>ANALISIS!D69</f>
        <v>3</v>
      </c>
      <c r="F181" s="533" t="str">
        <f>ANALISIS!E69</f>
        <v>POSIBLE</v>
      </c>
      <c r="G181" s="556" t="s">
        <v>353</v>
      </c>
      <c r="H181" s="557"/>
      <c r="I181" s="548" t="str">
        <f>ANALISIS!J69</f>
        <v>MODERADA</v>
      </c>
      <c r="J181" s="386">
        <f>VALORACIÓN!C182</f>
        <v>1</v>
      </c>
      <c r="K181" s="387" t="str">
        <f>IF(VALORACIÓN!F182=0,"",VALORACIÓN!F182)</f>
        <v>Uso de codigos de verificación para el registro de notas</v>
      </c>
      <c r="L181" s="543">
        <f>VALORACIÓN!AA182</f>
        <v>85</v>
      </c>
      <c r="M181" s="555" t="str">
        <f>VALORACIÓN!AG182</f>
        <v>MODERADA</v>
      </c>
      <c r="N181" s="530" t="str">
        <f>VALORACIÓN!AG183</f>
        <v>- Evitar Posibilidad de Ocurrencia- Reducir el Riesgo</v>
      </c>
      <c r="O181" s="545" t="str">
        <f>IF(B181="","",IF(VALORACIÓN!BA182="","Aceptar el Riesgo sin necesidad de tomar otras medidas de control diferentes a las que se poseen, considerando que estos son efectivos con ponderacion de 100, y la evaluación final del riesgos es Baja 1:1",VALORACIÓN!BA182))</f>
        <v>- Documentar (de) el(los) control(es) Efectivo(s) - Tomar Acciones Preventivas</v>
      </c>
      <c r="P181" s="395" t="s">
        <v>406</v>
      </c>
      <c r="Q181" s="395" t="s">
        <v>800</v>
      </c>
      <c r="R181" s="396" t="s">
        <v>97</v>
      </c>
    </row>
    <row r="182" spans="1:18" ht="25.5" x14ac:dyDescent="0.2">
      <c r="A182" s="550"/>
      <c r="B182" s="496"/>
      <c r="C182" s="530"/>
      <c r="D182" s="553"/>
      <c r="E182" s="532"/>
      <c r="F182" s="534"/>
      <c r="G182" s="558"/>
      <c r="H182" s="559"/>
      <c r="I182" s="541"/>
      <c r="J182" s="386">
        <f>VALORACIÓN!C183</f>
        <v>2</v>
      </c>
      <c r="K182" s="387" t="str">
        <f>IF(VALORACIÓN!F183=0,"",VALORACIÓN!F183)</f>
        <v>Auditorias al registro de notas</v>
      </c>
      <c r="L182" s="543"/>
      <c r="M182" s="527"/>
      <c r="N182" s="530"/>
      <c r="O182" s="546"/>
      <c r="P182" s="395"/>
      <c r="Q182" s="395"/>
      <c r="R182" s="396"/>
    </row>
    <row r="183" spans="1:18" ht="51.75" thickBot="1" x14ac:dyDescent="0.25">
      <c r="A183" s="551"/>
      <c r="B183" s="496"/>
      <c r="C183" s="530"/>
      <c r="D183" s="554"/>
      <c r="E183" s="532"/>
      <c r="F183" s="535"/>
      <c r="G183" s="560"/>
      <c r="H183" s="561"/>
      <c r="I183" s="542"/>
      <c r="J183" s="386">
        <f>VALORACIÓN!C184</f>
        <v>3</v>
      </c>
      <c r="K183" s="387" t="str">
        <f>IF(VALORACIÓN!F184=0,"",VALORACIÓN!F184)</f>
        <v>Envió de correos al docente titular y al programa  una vez se haya  modificado una nota</v>
      </c>
      <c r="L183" s="543"/>
      <c r="M183" s="528"/>
      <c r="N183" s="530"/>
      <c r="O183" s="547"/>
      <c r="P183" s="395"/>
      <c r="Q183" s="395"/>
      <c r="R183" s="396"/>
    </row>
    <row r="184" spans="1:18" ht="45.75" thickTop="1" x14ac:dyDescent="0.2">
      <c r="A184" s="549" t="str">
        <f>VALORACIÓN!A185</f>
        <v>31C</v>
      </c>
      <c r="B184" s="496" t="str">
        <f>VALORACIÓN!B185</f>
        <v>Gestión y Rendición de Cuentas. Rendición de cuentas a la ciudadanía inadecuada, incompleta e inoportuna</v>
      </c>
      <c r="C184" s="530" t="str">
        <f>IF(IDENTIFICACIÓN!B68="","",IDENTIFICACIÓN!B68)</f>
        <v>* Desconocimiento de las funciones.
* Baja integridad de la información.
* Falta de cualificación del personal.</v>
      </c>
      <c r="D184" s="552" t="str">
        <f>IF(IDENTIFICACIÓN!D68="","","NA")</f>
        <v>NA</v>
      </c>
      <c r="E184" s="532">
        <f>ANALISIS!D70</f>
        <v>3</v>
      </c>
      <c r="F184" s="533" t="str">
        <f>ANALISIS!E70</f>
        <v>POSIBLE</v>
      </c>
      <c r="G184" s="556" t="s">
        <v>353</v>
      </c>
      <c r="H184" s="557"/>
      <c r="I184" s="548" t="str">
        <f>ANALISIS!J70</f>
        <v>MODERADA</v>
      </c>
      <c r="J184" s="386">
        <f>VALORACIÓN!C185</f>
        <v>1</v>
      </c>
      <c r="K184" s="387" t="str">
        <f>IF(VALORACIÓN!F185=0,"",VALORACIÓN!F185)</f>
        <v>Guía de rendición de cuentas basada en los lineamientos del DAFP</v>
      </c>
      <c r="L184" s="543">
        <f>VALORACIÓN!AA185</f>
        <v>95</v>
      </c>
      <c r="M184" s="555" t="str">
        <f>VALORACIÓN!AG185</f>
        <v>MODERADA</v>
      </c>
      <c r="N184" s="530" t="str">
        <f>VALORACIÓN!AG186</f>
        <v>- Evitar Posibilidad de Ocurrencia- Reducir el Riesgo</v>
      </c>
      <c r="O184" s="545" t="str">
        <f>IF(B184="","",IF(VALORACIÓN!BA185="","Aceptar el Riesgo sin necesidad de tomar otras medidas de control diferentes a las que se poseen, considerando que estos son efectivos con ponderacion de 100, y la evaluación final del riesgos es Baja 1:1",VALORACIÓN!BA185))</f>
        <v>- Tomar Acciones Preventivas</v>
      </c>
      <c r="P184" s="395" t="s">
        <v>404</v>
      </c>
      <c r="Q184" s="395" t="s">
        <v>831</v>
      </c>
      <c r="R184" s="396" t="s">
        <v>69</v>
      </c>
    </row>
    <row r="185" spans="1:18" ht="60" x14ac:dyDescent="0.2">
      <c r="A185" s="550"/>
      <c r="B185" s="496"/>
      <c r="C185" s="530"/>
      <c r="D185" s="553"/>
      <c r="E185" s="532"/>
      <c r="F185" s="534"/>
      <c r="G185" s="558"/>
      <c r="H185" s="559"/>
      <c r="I185" s="541"/>
      <c r="J185" s="386">
        <f>VALORACIÓN!C186</f>
        <v>2</v>
      </c>
      <c r="K185" s="387" t="str">
        <f>IF(VALORACIÓN!F186=0,"",VALORACIÓN!F186)</f>
        <v/>
      </c>
      <c r="L185" s="543"/>
      <c r="M185" s="527"/>
      <c r="N185" s="530"/>
      <c r="O185" s="546"/>
      <c r="P185" s="395" t="s">
        <v>404</v>
      </c>
      <c r="Q185" s="395" t="s">
        <v>832</v>
      </c>
      <c r="R185" s="396" t="s">
        <v>70</v>
      </c>
    </row>
    <row r="186" spans="1:18" ht="16.5" thickBot="1" x14ac:dyDescent="0.25">
      <c r="A186" s="551"/>
      <c r="B186" s="496"/>
      <c r="C186" s="530"/>
      <c r="D186" s="554"/>
      <c r="E186" s="532"/>
      <c r="F186" s="535"/>
      <c r="G186" s="560"/>
      <c r="H186" s="561"/>
      <c r="I186" s="542"/>
      <c r="J186" s="386">
        <f>VALORACIÓN!C187</f>
        <v>3</v>
      </c>
      <c r="K186" s="387" t="str">
        <f>IF(VALORACIÓN!F187=0,"",VALORACIÓN!F187)</f>
        <v/>
      </c>
      <c r="L186" s="543"/>
      <c r="M186" s="528"/>
      <c r="N186" s="530"/>
      <c r="O186" s="547"/>
      <c r="P186" s="395"/>
      <c r="Q186" s="395"/>
      <c r="R186" s="396"/>
    </row>
    <row r="187" spans="1:18" ht="39" thickTop="1" x14ac:dyDescent="0.2">
      <c r="A187" s="549" t="str">
        <f>VALORACIÓN!A188</f>
        <v>32C</v>
      </c>
      <c r="B187" s="496" t="str">
        <f>VALORACIÓN!B188</f>
        <v>Gestión y Rendición de Cuentas. Alteración de la información</v>
      </c>
      <c r="C187" s="530" t="str">
        <f>IF(IDENTIFICACIÓN!B69="","",IDENTIFICACIÓN!B69)</f>
        <v>* Falta de controles en el manejo de la información.
* Inadecuada infraestructura tecnológica.
* Presiones internas o externas.
* Ausencia de cultura de ética.</v>
      </c>
      <c r="D187" s="552" t="str">
        <f>IF(IDENTIFICACIÓN!D69="","","NA")</f>
        <v>NA</v>
      </c>
      <c r="E187" s="532">
        <f>ANALISIS!D71</f>
        <v>3</v>
      </c>
      <c r="F187" s="533" t="str">
        <f>ANALISIS!E71</f>
        <v>POSIBLE</v>
      </c>
      <c r="G187" s="556" t="s">
        <v>353</v>
      </c>
      <c r="H187" s="557"/>
      <c r="I187" s="548" t="str">
        <f>ANALISIS!J71</f>
        <v>MODERADA</v>
      </c>
      <c r="J187" s="386">
        <f>VALORACIÓN!C188</f>
        <v>1</v>
      </c>
      <c r="K187" s="387" t="str">
        <f>IF(VALORACIÓN!F188=0,"",VALORACIÓN!F188)</f>
        <v>Revisión de la información antes de ser reportada o publicada</v>
      </c>
      <c r="L187" s="543">
        <f>VALORACIÓN!AA188</f>
        <v>82</v>
      </c>
      <c r="M187" s="555" t="str">
        <f>VALORACIÓN!AG188</f>
        <v>MODERADA</v>
      </c>
      <c r="N187" s="530" t="str">
        <f>VALORACIÓN!AG189</f>
        <v>- Evitar Posibilidad de Ocurrencia- Reducir el Riesgo</v>
      </c>
      <c r="O187" s="545" t="str">
        <f>IF(B187="","",IF(VALORACIÓN!BA188="","Aceptar el Riesgo sin necesidad de tomar otras medidas de control diferentes a las que se poseen, considerando que estos son efectivos con ponderacion de 100, y la evaluación final del riesgos es Baja 1:1",VALORACIÓN!BA188))</f>
        <v>- Documentar, Establecer periodos de seguimiento adecuados, Guardar Evidencias (de) el(los) control(es) Efectivo(s) - Tomar Acciones Preventivas</v>
      </c>
      <c r="P187" s="395" t="s">
        <v>403</v>
      </c>
      <c r="Q187" s="395" t="s">
        <v>833</v>
      </c>
      <c r="R187" s="396" t="s">
        <v>69</v>
      </c>
    </row>
    <row r="188" spans="1:18" ht="51" x14ac:dyDescent="0.2">
      <c r="A188" s="550"/>
      <c r="B188" s="496"/>
      <c r="C188" s="530"/>
      <c r="D188" s="553"/>
      <c r="E188" s="532"/>
      <c r="F188" s="534"/>
      <c r="G188" s="558"/>
      <c r="H188" s="559"/>
      <c r="I188" s="541"/>
      <c r="J188" s="386">
        <f>VALORACIÓN!C189</f>
        <v>2</v>
      </c>
      <c r="K188" s="387" t="str">
        <f>IF(VALORACIÓN!F189=0,"",VALORACIÓN!F189)</f>
        <v>Auditorías del Ministerio de Educación Nacional a la información reportada al SNIES</v>
      </c>
      <c r="L188" s="543"/>
      <c r="M188" s="527"/>
      <c r="N188" s="530"/>
      <c r="O188" s="546"/>
      <c r="P188" s="395" t="s">
        <v>404</v>
      </c>
      <c r="Q188" s="395" t="s">
        <v>834</v>
      </c>
      <c r="R188" s="396" t="s">
        <v>69</v>
      </c>
    </row>
    <row r="189" spans="1:18" ht="60.75" thickBot="1" x14ac:dyDescent="0.25">
      <c r="A189" s="551"/>
      <c r="B189" s="496"/>
      <c r="C189" s="530"/>
      <c r="D189" s="554"/>
      <c r="E189" s="532"/>
      <c r="F189" s="535"/>
      <c r="G189" s="560"/>
      <c r="H189" s="561"/>
      <c r="I189" s="542"/>
      <c r="J189" s="386">
        <f>VALORACIÓN!C190</f>
        <v>3</v>
      </c>
      <c r="K189" s="387" t="str">
        <f>IF(VALORACIÓN!F190=0,"",VALORACIÓN!F190)</f>
        <v>Sitio Web de Transparencia y Acceso a la Información Pública</v>
      </c>
      <c r="L189" s="543"/>
      <c r="M189" s="528"/>
      <c r="N189" s="530"/>
      <c r="O189" s="547"/>
      <c r="P189" s="395" t="s">
        <v>404</v>
      </c>
      <c r="Q189" s="395" t="s">
        <v>835</v>
      </c>
      <c r="R189" s="396" t="s">
        <v>69</v>
      </c>
    </row>
    <row r="190" spans="1:18" ht="45.75" thickTop="1" x14ac:dyDescent="0.2">
      <c r="A190" s="549" t="str">
        <f>VALORACIÓN!A191</f>
        <v>33C</v>
      </c>
      <c r="B190" s="496" t="str">
        <f>VALORACIÓN!B191</f>
        <v>Evaluación Independiente. Falta de Objetividad e Independencia en el proceso auditor, de evaluación y seguimiento</v>
      </c>
      <c r="C190" s="530" t="str">
        <f>IF(IDENTIFICACIÓN!B70="","",IDENTIFICACIÓN!B70)</f>
        <v>Inobservancia de Principios Eticos
No distribución de funciones o actividades de acuerdo a competencias
Deficientes puntos de control</v>
      </c>
      <c r="D190" s="552" t="str">
        <f>IF(IDENTIFICACIÓN!D70="","","NA")</f>
        <v>NA</v>
      </c>
      <c r="E190" s="532">
        <f>ANALISIS!D72</f>
        <v>3</v>
      </c>
      <c r="F190" s="533" t="str">
        <f>ANALISIS!E72</f>
        <v>POSIBLE</v>
      </c>
      <c r="G190" s="556" t="s">
        <v>353</v>
      </c>
      <c r="H190" s="557"/>
      <c r="I190" s="548" t="str">
        <f>ANALISIS!J72</f>
        <v>MODERADA</v>
      </c>
      <c r="J190" s="386">
        <f>VALORACIÓN!C191</f>
        <v>1</v>
      </c>
      <c r="K190" s="387" t="str">
        <f>IF(VALORACIÓN!F191=0,"",VALORACIÓN!F191)</f>
        <v>Procedimientos del proceso evaluacion independiente</v>
      </c>
      <c r="L190" s="543">
        <f>VALORACIÓN!AA191</f>
        <v>95</v>
      </c>
      <c r="M190" s="555" t="str">
        <f>VALORACIÓN!AG191</f>
        <v>MODERADA</v>
      </c>
      <c r="N190" s="530" t="str">
        <f>VALORACIÓN!AG192</f>
        <v>- Evitar Posibilidad de Ocurrencia- Reducir el Riesgo</v>
      </c>
      <c r="O190" s="545" t="str">
        <f>IF(B190="","",IF(VALORACIÓN!BA191="","Aceptar el Riesgo sin necesidad de tomar otras medidas de control diferentes a las que se poseen, considerando que estos son efectivos con ponderacion de 100, y la evaluación final del riesgos es Baja 1:1",VALORACIÓN!BA191))</f>
        <v>- Tomar Acciones Preventivas</v>
      </c>
      <c r="P190" s="395" t="s">
        <v>406</v>
      </c>
      <c r="Q190" s="395" t="s">
        <v>801</v>
      </c>
      <c r="R190" s="396" t="s">
        <v>97</v>
      </c>
    </row>
    <row r="191" spans="1:18" x14ac:dyDescent="0.2">
      <c r="A191" s="550"/>
      <c r="B191" s="496"/>
      <c r="C191" s="530"/>
      <c r="D191" s="553"/>
      <c r="E191" s="532"/>
      <c r="F191" s="534"/>
      <c r="G191" s="558"/>
      <c r="H191" s="559"/>
      <c r="I191" s="541"/>
      <c r="J191" s="386">
        <f>VALORACIÓN!C192</f>
        <v>2</v>
      </c>
      <c r="K191" s="387" t="str">
        <f>IF(VALORACIÓN!F192=0,"",VALORACIÓN!F192)</f>
        <v/>
      </c>
      <c r="L191" s="543"/>
      <c r="M191" s="527"/>
      <c r="N191" s="530"/>
      <c r="O191" s="546"/>
      <c r="P191" s="395"/>
      <c r="Q191" s="395"/>
      <c r="R191" s="396"/>
    </row>
    <row r="192" spans="1:18" ht="16.5" thickBot="1" x14ac:dyDescent="0.25">
      <c r="A192" s="551"/>
      <c r="B192" s="496"/>
      <c r="C192" s="530"/>
      <c r="D192" s="554"/>
      <c r="E192" s="532"/>
      <c r="F192" s="535"/>
      <c r="G192" s="560"/>
      <c r="H192" s="561"/>
      <c r="I192" s="542"/>
      <c r="J192" s="386">
        <f>VALORACIÓN!C193</f>
        <v>3</v>
      </c>
      <c r="K192" s="387" t="str">
        <f>IF(VALORACIÓN!F193=0,"",VALORACIÓN!F193)</f>
        <v/>
      </c>
      <c r="L192" s="543"/>
      <c r="M192" s="528"/>
      <c r="N192" s="530"/>
      <c r="O192" s="547"/>
      <c r="P192" s="395"/>
      <c r="Q192" s="395"/>
      <c r="R192" s="396"/>
    </row>
    <row r="193" spans="1:18" ht="45.75" thickTop="1" x14ac:dyDescent="0.2">
      <c r="A193" s="549" t="str">
        <f>VALORACIÓN!A194</f>
        <v>34C</v>
      </c>
      <c r="B193" s="496" t="str">
        <f>VALORACIÓN!B194</f>
        <v>Evaluación Independiente. No reportar posibles actos de corrupción e irregularidades</v>
      </c>
      <c r="C193" s="530" t="str">
        <f>IF(IDENTIFICACIÓN!B71="","",IDENTIFICACIÓN!B71)</f>
        <v xml:space="preserve">Inobservancia de Principios Eticos
Desconocimiento u omisión de las funciones o normativa
</v>
      </c>
      <c r="D193" s="552" t="str">
        <f>IF(IDENTIFICACIÓN!D71="","","NA")</f>
        <v>NA</v>
      </c>
      <c r="E193" s="532">
        <f>ANALISIS!D73</f>
        <v>3</v>
      </c>
      <c r="F193" s="533" t="str">
        <f>ANALISIS!E73</f>
        <v>POSIBLE</v>
      </c>
      <c r="G193" s="556" t="s">
        <v>353</v>
      </c>
      <c r="H193" s="557"/>
      <c r="I193" s="548" t="str">
        <f>ANALISIS!J73</f>
        <v>MODERADA</v>
      </c>
      <c r="J193" s="386">
        <f>VALORACIÓN!C194</f>
        <v>1</v>
      </c>
      <c r="K193" s="387" t="str">
        <f>IF(VALORACIÓN!F194=0,"",VALORACIÓN!F194)</f>
        <v>Procedimientos del proceso evaluacion independiente</v>
      </c>
      <c r="L193" s="543">
        <f>VALORACIÓN!AA194</f>
        <v>95</v>
      </c>
      <c r="M193" s="555" t="str">
        <f>VALORACIÓN!AG194</f>
        <v>MODERADA</v>
      </c>
      <c r="N193" s="530" t="str">
        <f>VALORACIÓN!AG195</f>
        <v>- Evitar Posibilidad de Ocurrencia- Reducir el Riesgo</v>
      </c>
      <c r="O193" s="545" t="str">
        <f>IF(B193="","",IF(VALORACIÓN!BA194="","Aceptar el Riesgo sin necesidad de tomar otras medidas de control diferentes a las que se poseen, considerando que estos son efectivos con ponderacion de 100, y la evaluación final del riesgos es Baja 1:1",VALORACIÓN!BA194))</f>
        <v>- Tomar Acciones Preventivas</v>
      </c>
      <c r="P193" s="395" t="s">
        <v>406</v>
      </c>
      <c r="Q193" s="395" t="s">
        <v>801</v>
      </c>
      <c r="R193" s="396" t="s">
        <v>97</v>
      </c>
    </row>
    <row r="194" spans="1:18" x14ac:dyDescent="0.2">
      <c r="A194" s="550"/>
      <c r="B194" s="496"/>
      <c r="C194" s="530"/>
      <c r="D194" s="553"/>
      <c r="E194" s="532"/>
      <c r="F194" s="534"/>
      <c r="G194" s="558"/>
      <c r="H194" s="559"/>
      <c r="I194" s="541"/>
      <c r="J194" s="386">
        <f>VALORACIÓN!C195</f>
        <v>2</v>
      </c>
      <c r="K194" s="387" t="str">
        <f>IF(VALORACIÓN!F195=0,"",VALORACIÓN!F195)</f>
        <v/>
      </c>
      <c r="L194" s="543"/>
      <c r="M194" s="527"/>
      <c r="N194" s="530"/>
      <c r="O194" s="546"/>
      <c r="P194" s="395"/>
      <c r="Q194" s="395"/>
      <c r="R194" s="396"/>
    </row>
    <row r="195" spans="1:18" ht="16.5" thickBot="1" x14ac:dyDescent="0.25">
      <c r="A195" s="551"/>
      <c r="B195" s="496"/>
      <c r="C195" s="530"/>
      <c r="D195" s="554"/>
      <c r="E195" s="532"/>
      <c r="F195" s="535"/>
      <c r="G195" s="560"/>
      <c r="H195" s="561"/>
      <c r="I195" s="542"/>
      <c r="J195" s="386">
        <f>VALORACIÓN!C196</f>
        <v>3</v>
      </c>
      <c r="K195" s="387" t="str">
        <f>IF(VALORACIÓN!F196=0,"",VALORACIÓN!F196)</f>
        <v/>
      </c>
      <c r="L195" s="543"/>
      <c r="M195" s="528"/>
      <c r="N195" s="530"/>
      <c r="O195" s="547"/>
      <c r="P195" s="395"/>
      <c r="Q195" s="395"/>
      <c r="R195" s="396"/>
    </row>
    <row r="196" spans="1:18" ht="16.5" thickTop="1" x14ac:dyDescent="0.2"/>
  </sheetData>
  <sheetProtection algorithmName="SHA-512" hashValue="y/fmoZBdBRMR405HKDtHhZ4uyLfL1FUYFJflIbNMRIs1FWIZLcBfdAEbtixMnc/vXPFsgPWrUtZT6QrDDnu58A==" saltValue="mUtaPpj3i/iq5rmaxn7EVQ==" spinCount="100000" sheet="1" objects="1" scenarios="1" formatCells="0" formatRows="0" insertRows="0" selectLockedCells="1"/>
  <mergeCells count="790">
    <mergeCell ref="M190:M192"/>
    <mergeCell ref="N190:N192"/>
    <mergeCell ref="O190:O192"/>
    <mergeCell ref="A193:A195"/>
    <mergeCell ref="B193:B195"/>
    <mergeCell ref="C193:C195"/>
    <mergeCell ref="D193:D195"/>
    <mergeCell ref="E193:E195"/>
    <mergeCell ref="F193:F195"/>
    <mergeCell ref="G193:H195"/>
    <mergeCell ref="I193:I195"/>
    <mergeCell ref="L193:L195"/>
    <mergeCell ref="M193:M195"/>
    <mergeCell ref="N193:N195"/>
    <mergeCell ref="O193:O195"/>
    <mergeCell ref="A190:A192"/>
    <mergeCell ref="B190:B192"/>
    <mergeCell ref="C190:C192"/>
    <mergeCell ref="D190:D192"/>
    <mergeCell ref="E190:E192"/>
    <mergeCell ref="F190:F192"/>
    <mergeCell ref="G190:H192"/>
    <mergeCell ref="I190:I192"/>
    <mergeCell ref="L190:L192"/>
    <mergeCell ref="M184:M186"/>
    <mergeCell ref="N184:N186"/>
    <mergeCell ref="O184:O186"/>
    <mergeCell ref="A187:A189"/>
    <mergeCell ref="B187:B189"/>
    <mergeCell ref="C187:C189"/>
    <mergeCell ref="D187:D189"/>
    <mergeCell ref="E187:E189"/>
    <mergeCell ref="F187:F189"/>
    <mergeCell ref="G187:H189"/>
    <mergeCell ref="I187:I189"/>
    <mergeCell ref="L187:L189"/>
    <mergeCell ref="M187:M189"/>
    <mergeCell ref="N187:N189"/>
    <mergeCell ref="O187:O189"/>
    <mergeCell ref="A184:A186"/>
    <mergeCell ref="B184:B186"/>
    <mergeCell ref="C184:C186"/>
    <mergeCell ref="D184:D186"/>
    <mergeCell ref="E184:E186"/>
    <mergeCell ref="F184:F186"/>
    <mergeCell ref="G184:H186"/>
    <mergeCell ref="I184:I186"/>
    <mergeCell ref="L184:L186"/>
    <mergeCell ref="M178:M180"/>
    <mergeCell ref="N178:N180"/>
    <mergeCell ref="O178:O180"/>
    <mergeCell ref="A181:A183"/>
    <mergeCell ref="B181:B183"/>
    <mergeCell ref="C181:C183"/>
    <mergeCell ref="D181:D183"/>
    <mergeCell ref="E181:E183"/>
    <mergeCell ref="F181:F183"/>
    <mergeCell ref="G181:H183"/>
    <mergeCell ref="I181:I183"/>
    <mergeCell ref="L181:L183"/>
    <mergeCell ref="M181:M183"/>
    <mergeCell ref="N181:N183"/>
    <mergeCell ref="O181:O183"/>
    <mergeCell ref="A178:A180"/>
    <mergeCell ref="B178:B180"/>
    <mergeCell ref="C178:C180"/>
    <mergeCell ref="D178:D180"/>
    <mergeCell ref="E178:E180"/>
    <mergeCell ref="F178:F180"/>
    <mergeCell ref="G178:H180"/>
    <mergeCell ref="I178:I180"/>
    <mergeCell ref="L178:L180"/>
    <mergeCell ref="M172:M174"/>
    <mergeCell ref="N172:N174"/>
    <mergeCell ref="O172:O174"/>
    <mergeCell ref="A175:A177"/>
    <mergeCell ref="B175:B177"/>
    <mergeCell ref="C175:C177"/>
    <mergeCell ref="D175:D177"/>
    <mergeCell ref="E175:E177"/>
    <mergeCell ref="F175:F177"/>
    <mergeCell ref="G175:H177"/>
    <mergeCell ref="I175:I177"/>
    <mergeCell ref="L175:L177"/>
    <mergeCell ref="M175:M177"/>
    <mergeCell ref="N175:N177"/>
    <mergeCell ref="O175:O177"/>
    <mergeCell ref="A172:A174"/>
    <mergeCell ref="B172:B174"/>
    <mergeCell ref="C172:C174"/>
    <mergeCell ref="D172:D174"/>
    <mergeCell ref="E172:E174"/>
    <mergeCell ref="F172:F174"/>
    <mergeCell ref="G172:H174"/>
    <mergeCell ref="I172:I174"/>
    <mergeCell ref="L172:L174"/>
    <mergeCell ref="M169:M171"/>
    <mergeCell ref="N169:N171"/>
    <mergeCell ref="O169:O171"/>
    <mergeCell ref="A169:A171"/>
    <mergeCell ref="B169:B171"/>
    <mergeCell ref="C169:C171"/>
    <mergeCell ref="D169:D171"/>
    <mergeCell ref="E169:E171"/>
    <mergeCell ref="F169:F171"/>
    <mergeCell ref="G169:H171"/>
    <mergeCell ref="I169:I171"/>
    <mergeCell ref="L169:L171"/>
    <mergeCell ref="M163:M165"/>
    <mergeCell ref="N163:N165"/>
    <mergeCell ref="O163:O165"/>
    <mergeCell ref="A166:A168"/>
    <mergeCell ref="B166:B168"/>
    <mergeCell ref="C166:C168"/>
    <mergeCell ref="D166:D168"/>
    <mergeCell ref="E166:E168"/>
    <mergeCell ref="F166:F168"/>
    <mergeCell ref="G166:H168"/>
    <mergeCell ref="I166:I168"/>
    <mergeCell ref="L166:L168"/>
    <mergeCell ref="M166:M168"/>
    <mergeCell ref="N166:N168"/>
    <mergeCell ref="O166:O168"/>
    <mergeCell ref="A163:A165"/>
    <mergeCell ref="B163:B165"/>
    <mergeCell ref="C163:C165"/>
    <mergeCell ref="D163:D165"/>
    <mergeCell ref="E163:E165"/>
    <mergeCell ref="F163:F165"/>
    <mergeCell ref="G163:H165"/>
    <mergeCell ref="I163:I165"/>
    <mergeCell ref="L163:L165"/>
    <mergeCell ref="M157:M159"/>
    <mergeCell ref="N157:N159"/>
    <mergeCell ref="O157:O159"/>
    <mergeCell ref="A160:A162"/>
    <mergeCell ref="B160:B162"/>
    <mergeCell ref="C160:C162"/>
    <mergeCell ref="D160:D162"/>
    <mergeCell ref="E160:E162"/>
    <mergeCell ref="F160:F162"/>
    <mergeCell ref="G160:H162"/>
    <mergeCell ref="I160:I162"/>
    <mergeCell ref="L160:L162"/>
    <mergeCell ref="M160:M162"/>
    <mergeCell ref="N160:N162"/>
    <mergeCell ref="O160:O162"/>
    <mergeCell ref="A157:A159"/>
    <mergeCell ref="B157:B159"/>
    <mergeCell ref="C157:C159"/>
    <mergeCell ref="D157:D159"/>
    <mergeCell ref="E157:E159"/>
    <mergeCell ref="F157:F159"/>
    <mergeCell ref="G157:H159"/>
    <mergeCell ref="I157:I159"/>
    <mergeCell ref="L157:L159"/>
    <mergeCell ref="M151:M153"/>
    <mergeCell ref="N151:N153"/>
    <mergeCell ref="O151:O153"/>
    <mergeCell ref="A154:A156"/>
    <mergeCell ref="B154:B156"/>
    <mergeCell ref="C154:C156"/>
    <mergeCell ref="D154:D156"/>
    <mergeCell ref="E154:E156"/>
    <mergeCell ref="F154:F156"/>
    <mergeCell ref="G154:H156"/>
    <mergeCell ref="I154:I156"/>
    <mergeCell ref="L154:L156"/>
    <mergeCell ref="M154:M156"/>
    <mergeCell ref="N154:N156"/>
    <mergeCell ref="O154:O156"/>
    <mergeCell ref="A151:A153"/>
    <mergeCell ref="B151:B153"/>
    <mergeCell ref="C151:C153"/>
    <mergeCell ref="D151:D153"/>
    <mergeCell ref="E151:E153"/>
    <mergeCell ref="F151:F153"/>
    <mergeCell ref="G151:H153"/>
    <mergeCell ref="I151:I153"/>
    <mergeCell ref="L151:L153"/>
    <mergeCell ref="M145:M147"/>
    <mergeCell ref="N145:N147"/>
    <mergeCell ref="O145:O147"/>
    <mergeCell ref="A148:A150"/>
    <mergeCell ref="B148:B150"/>
    <mergeCell ref="C148:C150"/>
    <mergeCell ref="D148:D150"/>
    <mergeCell ref="E148:E150"/>
    <mergeCell ref="F148:F150"/>
    <mergeCell ref="G148:H150"/>
    <mergeCell ref="I148:I150"/>
    <mergeCell ref="L148:L150"/>
    <mergeCell ref="M148:M150"/>
    <mergeCell ref="N148:N150"/>
    <mergeCell ref="O148:O150"/>
    <mergeCell ref="A145:A147"/>
    <mergeCell ref="B145:B147"/>
    <mergeCell ref="C145:C147"/>
    <mergeCell ref="D145:D147"/>
    <mergeCell ref="E145:E147"/>
    <mergeCell ref="F145:F147"/>
    <mergeCell ref="G145:H147"/>
    <mergeCell ref="I145:I147"/>
    <mergeCell ref="L145:L147"/>
    <mergeCell ref="M139:M141"/>
    <mergeCell ref="N139:N141"/>
    <mergeCell ref="O139:O141"/>
    <mergeCell ref="A142:A144"/>
    <mergeCell ref="B142:B144"/>
    <mergeCell ref="C142:C144"/>
    <mergeCell ref="D142:D144"/>
    <mergeCell ref="E142:E144"/>
    <mergeCell ref="F142:F144"/>
    <mergeCell ref="G142:H144"/>
    <mergeCell ref="I142:I144"/>
    <mergeCell ref="L142:L144"/>
    <mergeCell ref="M142:M144"/>
    <mergeCell ref="N142:N144"/>
    <mergeCell ref="O142:O144"/>
    <mergeCell ref="A139:A141"/>
    <mergeCell ref="B139:B141"/>
    <mergeCell ref="C139:C141"/>
    <mergeCell ref="D139:D141"/>
    <mergeCell ref="E139:E141"/>
    <mergeCell ref="F139:F141"/>
    <mergeCell ref="G139:H141"/>
    <mergeCell ref="I139:I141"/>
    <mergeCell ref="L139:L141"/>
    <mergeCell ref="M133:M135"/>
    <mergeCell ref="N133:N135"/>
    <mergeCell ref="O133:O135"/>
    <mergeCell ref="A136:A138"/>
    <mergeCell ref="B136:B138"/>
    <mergeCell ref="C136:C138"/>
    <mergeCell ref="D136:D138"/>
    <mergeCell ref="E136:E138"/>
    <mergeCell ref="F136:F138"/>
    <mergeCell ref="G136:H138"/>
    <mergeCell ref="I136:I138"/>
    <mergeCell ref="L136:L138"/>
    <mergeCell ref="M136:M138"/>
    <mergeCell ref="N136:N138"/>
    <mergeCell ref="O136:O138"/>
    <mergeCell ref="A133:A135"/>
    <mergeCell ref="B133:B135"/>
    <mergeCell ref="C133:C135"/>
    <mergeCell ref="D133:D135"/>
    <mergeCell ref="E133:E135"/>
    <mergeCell ref="F133:F135"/>
    <mergeCell ref="G133:H135"/>
    <mergeCell ref="I133:I135"/>
    <mergeCell ref="L133:L135"/>
    <mergeCell ref="M127:M129"/>
    <mergeCell ref="N127:N129"/>
    <mergeCell ref="O127:O129"/>
    <mergeCell ref="A130:A132"/>
    <mergeCell ref="B130:B132"/>
    <mergeCell ref="C130:C132"/>
    <mergeCell ref="D130:D132"/>
    <mergeCell ref="E130:E132"/>
    <mergeCell ref="F130:F132"/>
    <mergeCell ref="G130:H132"/>
    <mergeCell ref="I130:I132"/>
    <mergeCell ref="L130:L132"/>
    <mergeCell ref="M130:M132"/>
    <mergeCell ref="N130:N132"/>
    <mergeCell ref="O130:O132"/>
    <mergeCell ref="A127:A129"/>
    <mergeCell ref="B127:B129"/>
    <mergeCell ref="C127:C129"/>
    <mergeCell ref="D127:D129"/>
    <mergeCell ref="E127:E129"/>
    <mergeCell ref="F127:F129"/>
    <mergeCell ref="G127:H129"/>
    <mergeCell ref="I127:I129"/>
    <mergeCell ref="L127:L129"/>
    <mergeCell ref="M121:M123"/>
    <mergeCell ref="N121:N123"/>
    <mergeCell ref="O121:O123"/>
    <mergeCell ref="A124:A126"/>
    <mergeCell ref="B124:B126"/>
    <mergeCell ref="C124:C126"/>
    <mergeCell ref="D124:D126"/>
    <mergeCell ref="E124:E126"/>
    <mergeCell ref="F124:F126"/>
    <mergeCell ref="G124:H126"/>
    <mergeCell ref="I124:I126"/>
    <mergeCell ref="L124:L126"/>
    <mergeCell ref="M124:M126"/>
    <mergeCell ref="N124:N126"/>
    <mergeCell ref="O124:O126"/>
    <mergeCell ref="A121:A123"/>
    <mergeCell ref="B121:B123"/>
    <mergeCell ref="C121:C123"/>
    <mergeCell ref="D121:D123"/>
    <mergeCell ref="E121:E123"/>
    <mergeCell ref="F121:F123"/>
    <mergeCell ref="G121:H123"/>
    <mergeCell ref="I121:I123"/>
    <mergeCell ref="L121:L123"/>
    <mergeCell ref="M115:M117"/>
    <mergeCell ref="N115:N117"/>
    <mergeCell ref="O115:O117"/>
    <mergeCell ref="A118:A120"/>
    <mergeCell ref="B118:B120"/>
    <mergeCell ref="C118:C120"/>
    <mergeCell ref="D118:D120"/>
    <mergeCell ref="E118:E120"/>
    <mergeCell ref="F118:F120"/>
    <mergeCell ref="G118:H120"/>
    <mergeCell ref="I118:I120"/>
    <mergeCell ref="L118:L120"/>
    <mergeCell ref="M118:M120"/>
    <mergeCell ref="N118:N120"/>
    <mergeCell ref="O118:O120"/>
    <mergeCell ref="A115:A117"/>
    <mergeCell ref="B115:B117"/>
    <mergeCell ref="C115:C117"/>
    <mergeCell ref="D115:D117"/>
    <mergeCell ref="E115:E117"/>
    <mergeCell ref="F115:F117"/>
    <mergeCell ref="G115:H117"/>
    <mergeCell ref="I115:I117"/>
    <mergeCell ref="L115:L117"/>
    <mergeCell ref="M109:M111"/>
    <mergeCell ref="N109:N111"/>
    <mergeCell ref="O109:O111"/>
    <mergeCell ref="A112:A114"/>
    <mergeCell ref="B112:B114"/>
    <mergeCell ref="C112:C114"/>
    <mergeCell ref="D112:D114"/>
    <mergeCell ref="E112:E114"/>
    <mergeCell ref="F112:F114"/>
    <mergeCell ref="G112:H114"/>
    <mergeCell ref="I112:I114"/>
    <mergeCell ref="L112:L114"/>
    <mergeCell ref="M112:M114"/>
    <mergeCell ref="N112:N114"/>
    <mergeCell ref="O112:O114"/>
    <mergeCell ref="A109:A111"/>
    <mergeCell ref="B109:B111"/>
    <mergeCell ref="C109:C111"/>
    <mergeCell ref="D109:D111"/>
    <mergeCell ref="E109:E111"/>
    <mergeCell ref="F109:F111"/>
    <mergeCell ref="G109:H111"/>
    <mergeCell ref="I109:I111"/>
    <mergeCell ref="L109:L111"/>
    <mergeCell ref="L87:L89"/>
    <mergeCell ref="M87:M89"/>
    <mergeCell ref="N87:N89"/>
    <mergeCell ref="O87:O89"/>
    <mergeCell ref="A90:A92"/>
    <mergeCell ref="B90:B92"/>
    <mergeCell ref="C90:C92"/>
    <mergeCell ref="D90:D92"/>
    <mergeCell ref="E90:E92"/>
    <mergeCell ref="F90:F92"/>
    <mergeCell ref="G90:G92"/>
    <mergeCell ref="H90:H92"/>
    <mergeCell ref="I90:I92"/>
    <mergeCell ref="L90:L92"/>
    <mergeCell ref="M90:M92"/>
    <mergeCell ref="N90:N92"/>
    <mergeCell ref="O90:O92"/>
    <mergeCell ref="A87:A89"/>
    <mergeCell ref="B87:B89"/>
    <mergeCell ref="C87:C89"/>
    <mergeCell ref="D87:D89"/>
    <mergeCell ref="E87:E89"/>
    <mergeCell ref="F87:F89"/>
    <mergeCell ref="G87:G89"/>
    <mergeCell ref="H87:H89"/>
    <mergeCell ref="I87:I89"/>
    <mergeCell ref="L81:L83"/>
    <mergeCell ref="M81:M83"/>
    <mergeCell ref="N81:N83"/>
    <mergeCell ref="O81:O83"/>
    <mergeCell ref="A84:A86"/>
    <mergeCell ref="B84:B86"/>
    <mergeCell ref="C84:C86"/>
    <mergeCell ref="D84:D86"/>
    <mergeCell ref="E84:E86"/>
    <mergeCell ref="F84:F86"/>
    <mergeCell ref="G84:G86"/>
    <mergeCell ref="H84:H86"/>
    <mergeCell ref="I84:I86"/>
    <mergeCell ref="L84:L86"/>
    <mergeCell ref="M84:M86"/>
    <mergeCell ref="N84:N86"/>
    <mergeCell ref="O84:O86"/>
    <mergeCell ref="A81:A83"/>
    <mergeCell ref="B81:B83"/>
    <mergeCell ref="C81:C83"/>
    <mergeCell ref="D81:D83"/>
    <mergeCell ref="E81:E83"/>
    <mergeCell ref="F81:F83"/>
    <mergeCell ref="G81:G83"/>
    <mergeCell ref="H81:H83"/>
    <mergeCell ref="I81:I83"/>
    <mergeCell ref="L75:L77"/>
    <mergeCell ref="M75:M77"/>
    <mergeCell ref="N75:N77"/>
    <mergeCell ref="O75:O77"/>
    <mergeCell ref="A78:A80"/>
    <mergeCell ref="B78:B80"/>
    <mergeCell ref="C78:C80"/>
    <mergeCell ref="D78:D80"/>
    <mergeCell ref="E78:E80"/>
    <mergeCell ref="F78:F80"/>
    <mergeCell ref="G78:G80"/>
    <mergeCell ref="H78:H80"/>
    <mergeCell ref="I78:I80"/>
    <mergeCell ref="L78:L80"/>
    <mergeCell ref="M78:M80"/>
    <mergeCell ref="N78:N80"/>
    <mergeCell ref="O78:O80"/>
    <mergeCell ref="A75:A77"/>
    <mergeCell ref="B75:B77"/>
    <mergeCell ref="C75:C77"/>
    <mergeCell ref="D75:D77"/>
    <mergeCell ref="E75:E77"/>
    <mergeCell ref="F75:F77"/>
    <mergeCell ref="G75:G77"/>
    <mergeCell ref="H75:H77"/>
    <mergeCell ref="I75:I77"/>
    <mergeCell ref="L69:L71"/>
    <mergeCell ref="M69:M71"/>
    <mergeCell ref="N69:N71"/>
    <mergeCell ref="O69:O71"/>
    <mergeCell ref="A72:A74"/>
    <mergeCell ref="B72:B74"/>
    <mergeCell ref="C72:C74"/>
    <mergeCell ref="D72:D74"/>
    <mergeCell ref="E72:E74"/>
    <mergeCell ref="F72:F74"/>
    <mergeCell ref="G72:G74"/>
    <mergeCell ref="H72:H74"/>
    <mergeCell ref="I72:I74"/>
    <mergeCell ref="L72:L74"/>
    <mergeCell ref="M72:M74"/>
    <mergeCell ref="N72:N74"/>
    <mergeCell ref="O72:O74"/>
    <mergeCell ref="A69:A71"/>
    <mergeCell ref="B69:B71"/>
    <mergeCell ref="C69:C71"/>
    <mergeCell ref="D69:D71"/>
    <mergeCell ref="E69:E71"/>
    <mergeCell ref="F69:F71"/>
    <mergeCell ref="G69:G71"/>
    <mergeCell ref="H69:H71"/>
    <mergeCell ref="I69:I71"/>
    <mergeCell ref="L63:L65"/>
    <mergeCell ref="M63:M65"/>
    <mergeCell ref="N63:N65"/>
    <mergeCell ref="O63:O65"/>
    <mergeCell ref="A66:A68"/>
    <mergeCell ref="B66:B68"/>
    <mergeCell ref="C66:C68"/>
    <mergeCell ref="D66:D68"/>
    <mergeCell ref="E66:E68"/>
    <mergeCell ref="F66:F68"/>
    <mergeCell ref="G66:G68"/>
    <mergeCell ref="H66:H68"/>
    <mergeCell ref="I66:I68"/>
    <mergeCell ref="L66:L68"/>
    <mergeCell ref="M66:M68"/>
    <mergeCell ref="N66:N68"/>
    <mergeCell ref="O66:O68"/>
    <mergeCell ref="A63:A65"/>
    <mergeCell ref="B63:B65"/>
    <mergeCell ref="C63:C65"/>
    <mergeCell ref="D63:D65"/>
    <mergeCell ref="E63:E65"/>
    <mergeCell ref="F63:F65"/>
    <mergeCell ref="G63:G65"/>
    <mergeCell ref="H63:H65"/>
    <mergeCell ref="I63:I65"/>
    <mergeCell ref="L57:L59"/>
    <mergeCell ref="M57:M59"/>
    <mergeCell ref="N57:N59"/>
    <mergeCell ref="O57:O59"/>
    <mergeCell ref="A60:A62"/>
    <mergeCell ref="B60:B62"/>
    <mergeCell ref="C60:C62"/>
    <mergeCell ref="D60:D62"/>
    <mergeCell ref="E60:E62"/>
    <mergeCell ref="F60:F62"/>
    <mergeCell ref="G60:G62"/>
    <mergeCell ref="H60:H62"/>
    <mergeCell ref="I60:I62"/>
    <mergeCell ref="L60:L62"/>
    <mergeCell ref="M60:M62"/>
    <mergeCell ref="N60:N62"/>
    <mergeCell ref="O60:O62"/>
    <mergeCell ref="A57:A59"/>
    <mergeCell ref="B57:B59"/>
    <mergeCell ref="C57:C59"/>
    <mergeCell ref="D57:D59"/>
    <mergeCell ref="E57:E59"/>
    <mergeCell ref="F57:F59"/>
    <mergeCell ref="G57:G59"/>
    <mergeCell ref="H57:H59"/>
    <mergeCell ref="I57:I59"/>
    <mergeCell ref="L51:L53"/>
    <mergeCell ref="M51:M53"/>
    <mergeCell ref="N51:N53"/>
    <mergeCell ref="O51:O53"/>
    <mergeCell ref="A54:A56"/>
    <mergeCell ref="B54:B56"/>
    <mergeCell ref="C54:C56"/>
    <mergeCell ref="D54:D56"/>
    <mergeCell ref="E54:E56"/>
    <mergeCell ref="F54:F56"/>
    <mergeCell ref="G54:G56"/>
    <mergeCell ref="H54:H56"/>
    <mergeCell ref="I54:I56"/>
    <mergeCell ref="L54:L56"/>
    <mergeCell ref="M54:M56"/>
    <mergeCell ref="N54:N56"/>
    <mergeCell ref="O54:O56"/>
    <mergeCell ref="A51:A53"/>
    <mergeCell ref="B51:B53"/>
    <mergeCell ref="C51:C53"/>
    <mergeCell ref="D51:D53"/>
    <mergeCell ref="E51:E53"/>
    <mergeCell ref="F51:F53"/>
    <mergeCell ref="G51:G53"/>
    <mergeCell ref="H51:H53"/>
    <mergeCell ref="I51:I53"/>
    <mergeCell ref="L45:L47"/>
    <mergeCell ref="M45:M47"/>
    <mergeCell ref="N45:N47"/>
    <mergeCell ref="O45:O47"/>
    <mergeCell ref="A48:A50"/>
    <mergeCell ref="B48:B50"/>
    <mergeCell ref="C48:C50"/>
    <mergeCell ref="D48:D50"/>
    <mergeCell ref="E48:E50"/>
    <mergeCell ref="F48:F50"/>
    <mergeCell ref="G48:G50"/>
    <mergeCell ref="H48:H50"/>
    <mergeCell ref="I48:I50"/>
    <mergeCell ref="L48:L50"/>
    <mergeCell ref="M48:M50"/>
    <mergeCell ref="N48:N50"/>
    <mergeCell ref="O48:O50"/>
    <mergeCell ref="A45:A47"/>
    <mergeCell ref="B45:B47"/>
    <mergeCell ref="C45:C47"/>
    <mergeCell ref="D45:D47"/>
    <mergeCell ref="E45:E47"/>
    <mergeCell ref="F45:F47"/>
    <mergeCell ref="G45:G47"/>
    <mergeCell ref="H45:H47"/>
    <mergeCell ref="I45:I47"/>
    <mergeCell ref="L39:L41"/>
    <mergeCell ref="M39:M41"/>
    <mergeCell ref="N39:N41"/>
    <mergeCell ref="O39:O41"/>
    <mergeCell ref="A42:A44"/>
    <mergeCell ref="B42:B44"/>
    <mergeCell ref="C42:C44"/>
    <mergeCell ref="D42:D44"/>
    <mergeCell ref="E42:E44"/>
    <mergeCell ref="F42:F44"/>
    <mergeCell ref="G42:G44"/>
    <mergeCell ref="H42:H44"/>
    <mergeCell ref="I42:I44"/>
    <mergeCell ref="L42:L44"/>
    <mergeCell ref="M42:M44"/>
    <mergeCell ref="N42:N44"/>
    <mergeCell ref="O42:O44"/>
    <mergeCell ref="A39:A41"/>
    <mergeCell ref="B39:B41"/>
    <mergeCell ref="C39:C41"/>
    <mergeCell ref="D39:D41"/>
    <mergeCell ref="E39:E41"/>
    <mergeCell ref="F39:F41"/>
    <mergeCell ref="G39:G41"/>
    <mergeCell ref="H39:H41"/>
    <mergeCell ref="I39:I41"/>
    <mergeCell ref="M103:M105"/>
    <mergeCell ref="N103:N105"/>
    <mergeCell ref="O103:O105"/>
    <mergeCell ref="A106:A108"/>
    <mergeCell ref="B106:B108"/>
    <mergeCell ref="C106:C108"/>
    <mergeCell ref="D106:D108"/>
    <mergeCell ref="E106:E108"/>
    <mergeCell ref="F106:F108"/>
    <mergeCell ref="G106:H108"/>
    <mergeCell ref="I106:I108"/>
    <mergeCell ref="L106:L108"/>
    <mergeCell ref="M106:M108"/>
    <mergeCell ref="N106:N108"/>
    <mergeCell ref="O106:O108"/>
    <mergeCell ref="A103:A105"/>
    <mergeCell ref="B103:B105"/>
    <mergeCell ref="C103:C105"/>
    <mergeCell ref="D103:D105"/>
    <mergeCell ref="E103:E105"/>
    <mergeCell ref="F103:F105"/>
    <mergeCell ref="G103:H105"/>
    <mergeCell ref="I103:I105"/>
    <mergeCell ref="L103:L105"/>
    <mergeCell ref="M97:M99"/>
    <mergeCell ref="N97:N99"/>
    <mergeCell ref="O97:O99"/>
    <mergeCell ref="A100:A102"/>
    <mergeCell ref="B100:B102"/>
    <mergeCell ref="C100:C102"/>
    <mergeCell ref="D100:D102"/>
    <mergeCell ref="E100:E102"/>
    <mergeCell ref="F100:F102"/>
    <mergeCell ref="G100:H102"/>
    <mergeCell ref="I100:I102"/>
    <mergeCell ref="L100:L102"/>
    <mergeCell ref="M100:M102"/>
    <mergeCell ref="N100:N102"/>
    <mergeCell ref="O100:O102"/>
    <mergeCell ref="A97:A99"/>
    <mergeCell ref="B97:B99"/>
    <mergeCell ref="C97:C99"/>
    <mergeCell ref="D97:D99"/>
    <mergeCell ref="E97:E99"/>
    <mergeCell ref="F97:F99"/>
    <mergeCell ref="G97:H99"/>
    <mergeCell ref="I97:I99"/>
    <mergeCell ref="L97:L99"/>
    <mergeCell ref="A93:R93"/>
    <mergeCell ref="A94:A96"/>
    <mergeCell ref="B94:B96"/>
    <mergeCell ref="C94:C96"/>
    <mergeCell ref="D94:D96"/>
    <mergeCell ref="E94:E96"/>
    <mergeCell ref="F94:F96"/>
    <mergeCell ref="I94:I96"/>
    <mergeCell ref="L94:L96"/>
    <mergeCell ref="M94:M96"/>
    <mergeCell ref="N94:N96"/>
    <mergeCell ref="O94:O96"/>
    <mergeCell ref="G94:H96"/>
    <mergeCell ref="O36:O38"/>
    <mergeCell ref="O9:O11"/>
    <mergeCell ref="O12:O14"/>
    <mergeCell ref="O15:O17"/>
    <mergeCell ref="O18:O20"/>
    <mergeCell ref="O21:O23"/>
    <mergeCell ref="O24:O26"/>
    <mergeCell ref="O27:O29"/>
    <mergeCell ref="O30:O32"/>
    <mergeCell ref="O33:O35"/>
    <mergeCell ref="I36:I38"/>
    <mergeCell ref="L36:L38"/>
    <mergeCell ref="N36:N38"/>
    <mergeCell ref="M36:M38"/>
    <mergeCell ref="A36:A38"/>
    <mergeCell ref="B36:B38"/>
    <mergeCell ref="E36:E38"/>
    <mergeCell ref="F36:F38"/>
    <mergeCell ref="G36:G38"/>
    <mergeCell ref="H36:H38"/>
    <mergeCell ref="C36:C38"/>
    <mergeCell ref="D36:D38"/>
    <mergeCell ref="I33:I35"/>
    <mergeCell ref="L33:L35"/>
    <mergeCell ref="N33:N35"/>
    <mergeCell ref="M33:M35"/>
    <mergeCell ref="A33:A35"/>
    <mergeCell ref="B33:B35"/>
    <mergeCell ref="E33:E35"/>
    <mergeCell ref="F33:F35"/>
    <mergeCell ref="G33:G35"/>
    <mergeCell ref="H33:H35"/>
    <mergeCell ref="C33:C35"/>
    <mergeCell ref="D33:D35"/>
    <mergeCell ref="I30:I32"/>
    <mergeCell ref="L30:L32"/>
    <mergeCell ref="N30:N32"/>
    <mergeCell ref="M30:M32"/>
    <mergeCell ref="A30:A32"/>
    <mergeCell ref="B30:B32"/>
    <mergeCell ref="E30:E32"/>
    <mergeCell ref="F30:F32"/>
    <mergeCell ref="G30:G32"/>
    <mergeCell ref="H30:H32"/>
    <mergeCell ref="C30:C32"/>
    <mergeCell ref="D30:D32"/>
    <mergeCell ref="I27:I29"/>
    <mergeCell ref="L27:L29"/>
    <mergeCell ref="N27:N29"/>
    <mergeCell ref="A27:A29"/>
    <mergeCell ref="B27:B29"/>
    <mergeCell ref="E27:E29"/>
    <mergeCell ref="F27:F29"/>
    <mergeCell ref="G27:G29"/>
    <mergeCell ref="H27:H29"/>
    <mergeCell ref="M27:M29"/>
    <mergeCell ref="C27:C29"/>
    <mergeCell ref="D27:D29"/>
    <mergeCell ref="I24:I26"/>
    <mergeCell ref="L24:L26"/>
    <mergeCell ref="N24:N26"/>
    <mergeCell ref="A24:A26"/>
    <mergeCell ref="B24:B26"/>
    <mergeCell ref="E24:E26"/>
    <mergeCell ref="F24:F26"/>
    <mergeCell ref="G24:G26"/>
    <mergeCell ref="H24:H26"/>
    <mergeCell ref="M24:M26"/>
    <mergeCell ref="C24:C26"/>
    <mergeCell ref="D24:D26"/>
    <mergeCell ref="H21:H23"/>
    <mergeCell ref="M21:M23"/>
    <mergeCell ref="N18:N20"/>
    <mergeCell ref="A18:A20"/>
    <mergeCell ref="B18:B20"/>
    <mergeCell ref="E18:E20"/>
    <mergeCell ref="F18:F20"/>
    <mergeCell ref="G18:G20"/>
    <mergeCell ref="H18:H20"/>
    <mergeCell ref="M18:M20"/>
    <mergeCell ref="C18:C20"/>
    <mergeCell ref="D18:D20"/>
    <mergeCell ref="C21:C23"/>
    <mergeCell ref="D21:D23"/>
    <mergeCell ref="I21:I23"/>
    <mergeCell ref="L21:L23"/>
    <mergeCell ref="N21:N23"/>
    <mergeCell ref="A21:A23"/>
    <mergeCell ref="B21:B23"/>
    <mergeCell ref="E21:E23"/>
    <mergeCell ref="F21:F23"/>
    <mergeCell ref="G21:G23"/>
    <mergeCell ref="A12:A14"/>
    <mergeCell ref="B12:B14"/>
    <mergeCell ref="E12:E14"/>
    <mergeCell ref="F12:F14"/>
    <mergeCell ref="I18:I20"/>
    <mergeCell ref="L18:L20"/>
    <mergeCell ref="I15:I17"/>
    <mergeCell ref="L15:L17"/>
    <mergeCell ref="I12:I14"/>
    <mergeCell ref="C12:C14"/>
    <mergeCell ref="A15:A17"/>
    <mergeCell ref="B15:B17"/>
    <mergeCell ref="L12:L14"/>
    <mergeCell ref="E15:E17"/>
    <mergeCell ref="F15:F17"/>
    <mergeCell ref="G15:G17"/>
    <mergeCell ref="G12:G14"/>
    <mergeCell ref="H12:H14"/>
    <mergeCell ref="D12:D14"/>
    <mergeCell ref="G8:H8"/>
    <mergeCell ref="C7:M7"/>
    <mergeCell ref="N12:N14"/>
    <mergeCell ref="M15:M17"/>
    <mergeCell ref="M12:M14"/>
    <mergeCell ref="H15:H17"/>
    <mergeCell ref="N15:N17"/>
    <mergeCell ref="C15:C17"/>
    <mergeCell ref="D15:D17"/>
    <mergeCell ref="I9:I11"/>
    <mergeCell ref="L9:L11"/>
    <mergeCell ref="N7:O7"/>
    <mergeCell ref="P7:P8"/>
    <mergeCell ref="Q7:Q8"/>
    <mergeCell ref="R7:R8"/>
    <mergeCell ref="C1:P3"/>
    <mergeCell ref="Q1:R1"/>
    <mergeCell ref="Q2:R2"/>
    <mergeCell ref="Q3:R3"/>
    <mergeCell ref="M9:M11"/>
    <mergeCell ref="A5:R5"/>
    <mergeCell ref="A6:B6"/>
    <mergeCell ref="N9:N11"/>
    <mergeCell ref="E8:F8"/>
    <mergeCell ref="C9:C11"/>
    <mergeCell ref="D9:D11"/>
    <mergeCell ref="E9:E11"/>
    <mergeCell ref="F9:F11"/>
    <mergeCell ref="G9:G11"/>
    <mergeCell ref="A1:B3"/>
    <mergeCell ref="A9:A11"/>
    <mergeCell ref="C6:N6"/>
    <mergeCell ref="P6:Q6"/>
    <mergeCell ref="A7:B7"/>
    <mergeCell ref="H9:H11"/>
    <mergeCell ref="B9:B11"/>
  </mergeCells>
  <phoneticPr fontId="5" type="noConversion"/>
  <conditionalFormatting sqref="I9:I92 M9:M92">
    <cfRule type="cellIs" dxfId="358" priority="183" operator="equal">
      <formula>"EXTREMA 5:5"</formula>
    </cfRule>
    <cfRule type="cellIs" dxfId="357" priority="184" operator="equal">
      <formula>"EXTREMA 4:5"</formula>
    </cfRule>
    <cfRule type="cellIs" dxfId="356" priority="185" operator="equal">
      <formula>"EXTREMA 3:5"</formula>
    </cfRule>
    <cfRule type="cellIs" dxfId="355" priority="186" operator="equal">
      <formula>"EXTREMA 2:5"</formula>
    </cfRule>
    <cfRule type="cellIs" dxfId="354" priority="187" operator="equal">
      <formula>"EXTREMA 5:4"</formula>
    </cfRule>
    <cfRule type="cellIs" dxfId="353" priority="188" operator="equal">
      <formula>"EXTREMA 4:4"</formula>
    </cfRule>
    <cfRule type="cellIs" dxfId="352" priority="189" operator="equal">
      <formula>"EXTREMA 3:4"</formula>
    </cfRule>
    <cfRule type="cellIs" dxfId="351" priority="190" operator="equal">
      <formula>"EXTREMA 5:3"</formula>
    </cfRule>
    <cfRule type="cellIs" dxfId="350" priority="191" operator="equal">
      <formula>"ALTA 1:5"</formula>
    </cfRule>
    <cfRule type="cellIs" dxfId="349" priority="192" operator="equal">
      <formula>"ALTA 2:4"</formula>
    </cfRule>
    <cfRule type="cellIs" dxfId="348" priority="193" operator="equal">
      <formula>"ALTA 1:4"</formula>
    </cfRule>
    <cfRule type="cellIs" dxfId="347" priority="194" operator="equal">
      <formula>"ALTA 4:3"</formula>
    </cfRule>
    <cfRule type="cellIs" dxfId="346" priority="195" operator="equal">
      <formula>"ALTA 3:3"</formula>
    </cfRule>
    <cfRule type="cellIs" dxfId="345" priority="196" operator="equal">
      <formula>"ALTA 5:2"</formula>
    </cfRule>
    <cfRule type="cellIs" dxfId="344" priority="197" operator="equal">
      <formula>"ALTA 4:2"</formula>
    </cfRule>
    <cfRule type="cellIs" dxfId="343" priority="198" operator="equal">
      <formula>"ALTA 5:1"</formula>
    </cfRule>
    <cfRule type="cellIs" dxfId="342" priority="199" operator="equal">
      <formula>"MODERADA 2:3"</formula>
    </cfRule>
    <cfRule type="cellIs" dxfId="341" priority="200" operator="equal">
      <formula>"MODERADA 1:3"</formula>
    </cfRule>
    <cfRule type="cellIs" dxfId="340" priority="201" operator="equal">
      <formula>"MODERADA 3:2"</formula>
    </cfRule>
    <cfRule type="cellIs" dxfId="339" priority="202" operator="equal">
      <formula>"MODERADA 4:1"</formula>
    </cfRule>
    <cfRule type="cellIs" dxfId="338" priority="203" operator="equal">
      <formula>"BAJA 2:2"</formula>
    </cfRule>
    <cfRule type="cellIs" dxfId="337" priority="204" operator="equal">
      <formula>"BAJA 1:2"</formula>
    </cfRule>
    <cfRule type="cellIs" dxfId="336" priority="205" operator="equal">
      <formula>"BAJA 3:1"</formula>
    </cfRule>
    <cfRule type="cellIs" dxfId="335" priority="206" operator="equal">
      <formula>"BAJA 2:1"</formula>
    </cfRule>
    <cfRule type="cellIs" dxfId="334" priority="207" operator="equal">
      <formula>"BAJA 1:1"</formula>
    </cfRule>
  </conditionalFormatting>
  <conditionalFormatting sqref="F9:F92">
    <cfRule type="cellIs" dxfId="333" priority="128" operator="equal">
      <formula>"RARO"</formula>
    </cfRule>
    <cfRule type="cellIs" dxfId="332" priority="129" operator="equal">
      <formula>"IMPROBABLE"</formula>
    </cfRule>
    <cfRule type="cellIs" dxfId="331" priority="130" operator="equal">
      <formula>"POSIBLE"</formula>
    </cfRule>
    <cfRule type="cellIs" dxfId="330" priority="131" operator="equal">
      <formula>"PROBABLE"</formula>
    </cfRule>
    <cfRule type="cellIs" dxfId="329" priority="132" operator="equal">
      <formula>"CASI CERTEZA"</formula>
    </cfRule>
  </conditionalFormatting>
  <conditionalFormatting sqref="H9:H92">
    <cfRule type="containsText" dxfId="328" priority="120" stopIfTrue="1" operator="containsText" text="ALTA">
      <formula>NOT(ISERROR(SEARCH("ALTA",H9)))</formula>
    </cfRule>
    <cfRule type="containsText" dxfId="327" priority="121" stopIfTrue="1" operator="containsText" text="MEDIA">
      <formula>NOT(ISERROR(SEARCH("MEDIA",H9)))</formula>
    </cfRule>
    <cfRule type="containsText" dxfId="326" priority="122" stopIfTrue="1" operator="containsText" text="BAJA">
      <formula>NOT(ISERROR(SEARCH("BAJA",H9)))</formula>
    </cfRule>
  </conditionalFormatting>
  <conditionalFormatting sqref="H9:H92">
    <cfRule type="containsText" dxfId="325" priority="115" stopIfTrue="1" operator="containsText" text="ALTO">
      <formula>NOT(ISERROR(SEARCH("ALTO",H9)))</formula>
    </cfRule>
    <cfRule type="containsText" dxfId="324" priority="116" stopIfTrue="1" operator="containsText" text="ALTO">
      <formula>NOT(ISERROR(SEARCH("ALTO",H9)))</formula>
    </cfRule>
    <cfRule type="containsText" dxfId="323" priority="117" stopIfTrue="1" operator="containsText" text="MEDIO">
      <formula>NOT(ISERROR(SEARCH("MEDIO",H9)))</formula>
    </cfRule>
    <cfRule type="containsText" dxfId="322" priority="118" stopIfTrue="1" operator="containsText" text="MEDIO">
      <formula>NOT(ISERROR(SEARCH("MEDIO",H9)))</formula>
    </cfRule>
    <cfRule type="containsText" dxfId="321" priority="119" stopIfTrue="1" operator="containsText" text="BAJO">
      <formula>NOT(ISERROR(SEARCH("BAJO",H9)))</formula>
    </cfRule>
  </conditionalFormatting>
  <conditionalFormatting sqref="H9:H92">
    <cfRule type="cellIs" dxfId="320" priority="110" operator="equal">
      <formula>"INSIGNIFICANTE"</formula>
    </cfRule>
    <cfRule type="cellIs" dxfId="319" priority="111" operator="equal">
      <formula>"MENOR"</formula>
    </cfRule>
    <cfRule type="cellIs" dxfId="318" priority="112" operator="equal">
      <formula>"MODERADO"</formula>
    </cfRule>
    <cfRule type="cellIs" dxfId="317" priority="113" operator="equal">
      <formula>"MAYOR"</formula>
    </cfRule>
    <cfRule type="cellIs" dxfId="316" priority="114" operator="equal">
      <formula>"CATASTRÓFICO"</formula>
    </cfRule>
  </conditionalFormatting>
  <conditionalFormatting sqref="I94:I96">
    <cfRule type="containsText" dxfId="315" priority="4" operator="containsText" text="MODERADA">
      <formula>NOT(ISERROR(SEARCH("MODERADA",I94)))</formula>
    </cfRule>
    <cfRule type="cellIs" dxfId="314" priority="72" operator="equal">
      <formula>"EXTREMA"</formula>
    </cfRule>
  </conditionalFormatting>
  <conditionalFormatting sqref="F94:F96">
    <cfRule type="cellIs" dxfId="313" priority="67" operator="equal">
      <formula>"RARO"</formula>
    </cfRule>
    <cfRule type="cellIs" dxfId="312" priority="68" operator="equal">
      <formula>"IMPROBABLE"</formula>
    </cfRule>
    <cfRule type="cellIs" dxfId="311" priority="69" operator="equal">
      <formula>"POSIBLE"</formula>
    </cfRule>
    <cfRule type="cellIs" dxfId="310" priority="70" operator="equal">
      <formula>"PROBABLE"</formula>
    </cfRule>
    <cfRule type="cellIs" dxfId="309" priority="71" operator="equal">
      <formula>"CASI CERTEZA"</formula>
    </cfRule>
  </conditionalFormatting>
  <conditionalFormatting sqref="M94 M97 M100 M103 M106 M109 M112 M115 M118 M121 M124 M127 M130 M133 M136 M139 M142 M145 M148 M151 M154 M157 M160 M163 M166 M169 M172 M175 M178 M181 M184 M187 M190 M193">
    <cfRule type="containsText" dxfId="308" priority="52" operator="containsText" text="EXTREMA">
      <formula>NOT(ISERROR(SEARCH("EXTREMA",M94)))</formula>
    </cfRule>
  </conditionalFormatting>
  <conditionalFormatting sqref="G94">
    <cfRule type="cellIs" dxfId="307" priority="50" operator="notEqual">
      <formula>$D$10</formula>
    </cfRule>
    <cfRule type="cellIs" dxfId="306" priority="51" operator="equal">
      <formula>$D$10</formula>
    </cfRule>
  </conditionalFormatting>
  <conditionalFormatting sqref="I97:I99">
    <cfRule type="cellIs" dxfId="305" priority="48" operator="equal">
      <formula>"EXTREMA"</formula>
    </cfRule>
  </conditionalFormatting>
  <conditionalFormatting sqref="F97:F99">
    <cfRule type="cellIs" dxfId="304" priority="43" operator="equal">
      <formula>"RARO"</formula>
    </cfRule>
    <cfRule type="cellIs" dxfId="303" priority="44" operator="equal">
      <formula>"IMPROBABLE"</formula>
    </cfRule>
    <cfRule type="cellIs" dxfId="302" priority="45" operator="equal">
      <formula>"POSIBLE"</formula>
    </cfRule>
    <cfRule type="cellIs" dxfId="301" priority="46" operator="equal">
      <formula>"PROBABLE"</formula>
    </cfRule>
    <cfRule type="cellIs" dxfId="300" priority="47" operator="equal">
      <formula>"CASI CERTEZA"</formula>
    </cfRule>
  </conditionalFormatting>
  <conditionalFormatting sqref="G97">
    <cfRule type="cellIs" dxfId="299" priority="39" operator="notEqual">
      <formula>$D$10</formula>
    </cfRule>
    <cfRule type="cellIs" dxfId="298" priority="40" operator="equal">
      <formula>$D$10</formula>
    </cfRule>
  </conditionalFormatting>
  <conditionalFormatting sqref="I100:I102">
    <cfRule type="cellIs" dxfId="297" priority="37" operator="equal">
      <formula>"EXTREMA"</formula>
    </cfRule>
  </conditionalFormatting>
  <conditionalFormatting sqref="F100:F102">
    <cfRule type="cellIs" dxfId="296" priority="32" operator="equal">
      <formula>"RARO"</formula>
    </cfRule>
    <cfRule type="cellIs" dxfId="295" priority="33" operator="equal">
      <formula>"IMPROBABLE"</formula>
    </cfRule>
    <cfRule type="cellIs" dxfId="294" priority="34" operator="equal">
      <formula>"POSIBLE"</formula>
    </cfRule>
    <cfRule type="cellIs" dxfId="293" priority="35" operator="equal">
      <formula>"PROBABLE"</formula>
    </cfRule>
    <cfRule type="cellIs" dxfId="292" priority="36" operator="equal">
      <formula>"CASI CERTEZA"</formula>
    </cfRule>
  </conditionalFormatting>
  <conditionalFormatting sqref="G100">
    <cfRule type="cellIs" dxfId="291" priority="28" operator="notEqual">
      <formula>$D$10</formula>
    </cfRule>
    <cfRule type="cellIs" dxfId="290" priority="29" operator="equal">
      <formula>$D$10</formula>
    </cfRule>
  </conditionalFormatting>
  <conditionalFormatting sqref="I103:I105">
    <cfRule type="cellIs" dxfId="289" priority="26" operator="equal">
      <formula>"EXTREMA"</formula>
    </cfRule>
  </conditionalFormatting>
  <conditionalFormatting sqref="F103:F105">
    <cfRule type="cellIs" dxfId="288" priority="21" operator="equal">
      <formula>"RARO"</formula>
    </cfRule>
    <cfRule type="cellIs" dxfId="287" priority="22" operator="equal">
      <formula>"IMPROBABLE"</formula>
    </cfRule>
    <cfRule type="cellIs" dxfId="286" priority="23" operator="equal">
      <formula>"POSIBLE"</formula>
    </cfRule>
    <cfRule type="cellIs" dxfId="285" priority="24" operator="equal">
      <formula>"PROBABLE"</formula>
    </cfRule>
    <cfRule type="cellIs" dxfId="284" priority="25" operator="equal">
      <formula>"CASI CERTEZA"</formula>
    </cfRule>
  </conditionalFormatting>
  <conditionalFormatting sqref="G103">
    <cfRule type="cellIs" dxfId="283" priority="17" operator="notEqual">
      <formula>$D$10</formula>
    </cfRule>
    <cfRule type="cellIs" dxfId="282" priority="18" operator="equal">
      <formula>$D$10</formula>
    </cfRule>
  </conditionalFormatting>
  <conditionalFormatting sqref="I106:I195">
    <cfRule type="cellIs" dxfId="281" priority="15" operator="equal">
      <formula>"EXTREMA"</formula>
    </cfRule>
  </conditionalFormatting>
  <conditionalFormatting sqref="F106:F195">
    <cfRule type="cellIs" dxfId="280" priority="10" operator="equal">
      <formula>"RARO"</formula>
    </cfRule>
    <cfRule type="cellIs" dxfId="279" priority="11" operator="equal">
      <formula>"IMPROBABLE"</formula>
    </cfRule>
    <cfRule type="cellIs" dxfId="278" priority="12" operator="equal">
      <formula>"POSIBLE"</formula>
    </cfRule>
    <cfRule type="cellIs" dxfId="277" priority="13" operator="equal">
      <formula>"PROBABLE"</formula>
    </cfRule>
    <cfRule type="cellIs" dxfId="276" priority="14" operator="equal">
      <formula>"CASI CERTEZA"</formula>
    </cfRule>
  </conditionalFormatting>
  <conditionalFormatting sqref="G106 G109 G112 G115 G118 G121 G124 G127 G130 G133 G136 G139 G142 G145 G148 G151 G154 G157 G160 G163 G166 G169 G172 G175 G178 G181 G184 G187 G190 G193">
    <cfRule type="cellIs" dxfId="275" priority="6" operator="notEqual">
      <formula>$D$10</formula>
    </cfRule>
    <cfRule type="cellIs" dxfId="274" priority="7" operator="equal">
      <formula>$D$10</formula>
    </cfRule>
  </conditionalFormatting>
  <conditionalFormatting sqref="M94:M195">
    <cfRule type="containsText" dxfId="273" priority="5" operator="containsText" text="MODERADA">
      <formula>NOT(ISERROR(SEARCH("MODERADA",M94)))</formula>
    </cfRule>
  </conditionalFormatting>
  <conditionalFormatting sqref="I97:I195">
    <cfRule type="containsText" dxfId="272" priority="3" operator="containsText" text="MODERADA">
      <formula>NOT(ISERROR(SEARCH("MODERADA",I97)))</formula>
    </cfRule>
  </conditionalFormatting>
  <conditionalFormatting sqref="D94 D97 D100 D103 D106 D109 D112 D115 D118 D121 D124 D127 D130 D133 D136 D139 D142 D145 D148 D151 D154 D157 D160 D163 D166 D169 D172 D175 D178 D181 D184 D187 D190 D193">
    <cfRule type="cellIs" dxfId="271" priority="1" operator="notEqual">
      <formula>$D$10</formula>
    </cfRule>
    <cfRule type="cellIs" dxfId="270" priority="2" operator="equal">
      <formula>$D$10</formula>
    </cfRule>
  </conditionalFormatting>
  <dataValidations xWindow="1224" yWindow="483" count="4">
    <dataValidation type="list" allowBlank="1" showInputMessage="1" showErrorMessage="1" prompt="Si decide ASUMIR EL RIESGO, se recomienda colocar en Definición de Acciones: Seguir ejecutando y monitoreando los controles existentes " sqref="P18:P92">
      <formula1>opcmang</formula1>
    </dataValidation>
    <dataValidation type="list" allowBlank="1" showInputMessage="1" showErrorMessage="1" prompt="Si decidió ASUMIR EL RIESGO, se recomienda seleccionar NO APLICA" sqref="R18:R92">
      <formula1>IF(P18="Asumir",noapli,indicador)</formula1>
    </dataValidation>
    <dataValidation type="list" allowBlank="1" showInputMessage="1" showErrorMessage="1" prompt="Si decide NO ESTABLECER NUEVAS ACCIONES, se recomienda colocar en Definición de Acciones: Seguir ejecutando y monitoreando los controles existentes " sqref="P94:P195">
      <formula1>opcmanc</formula1>
    </dataValidation>
    <dataValidation type="list" allowBlank="1" showInputMessage="1" showErrorMessage="1" prompt="Si decidió No establecer nuevas acciones, se recomienda escoger para este indicador NO APLICA" sqref="R94:R195">
      <formula1>IF(P94="No Establecer",noapli,indicador)</formula1>
    </dataValidation>
  </dataValidations>
  <pageMargins left="3.25" right="0.75" top="1" bottom="1" header="0" footer="0"/>
  <pageSetup paperSize="5"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92D050"/>
  </sheetPr>
  <dimension ref="A1:J196"/>
  <sheetViews>
    <sheetView workbookViewId="0">
      <pane xSplit="5" ySplit="8" topLeftCell="F87" activePane="bottomRight" state="frozen"/>
      <selection activeCell="A9" sqref="A9:E9"/>
      <selection pane="topRight" activeCell="A9" sqref="A9:E9"/>
      <selection pane="bottomLeft" activeCell="A9" sqref="A9:E9"/>
      <selection pane="bottomRight" activeCell="H12" sqref="H12"/>
    </sheetView>
  </sheetViews>
  <sheetFormatPr baseColWidth="10" defaultRowHeight="15" x14ac:dyDescent="0.2"/>
  <cols>
    <col min="1" max="1" width="4" customWidth="1"/>
    <col min="2" max="2" width="18.33203125" customWidth="1"/>
    <col min="3" max="3" width="12.21875" customWidth="1"/>
    <col min="4" max="4" width="22.77734375" customWidth="1"/>
    <col min="5" max="5" width="12.109375" customWidth="1"/>
    <col min="6" max="6" width="22.33203125" customWidth="1"/>
    <col min="7" max="7" width="13" customWidth="1"/>
    <col min="8" max="9" width="14.44140625" style="96" customWidth="1"/>
    <col min="10" max="10" width="12" style="96" hidden="1" customWidth="1"/>
  </cols>
  <sheetData>
    <row r="1" spans="1:10" ht="24" customHeight="1" x14ac:dyDescent="0.2">
      <c r="A1" s="437" t="s">
        <v>145</v>
      </c>
      <c r="B1" s="437"/>
      <c r="C1" s="438" t="s">
        <v>152</v>
      </c>
      <c r="D1" s="438"/>
      <c r="E1" s="438"/>
      <c r="F1" s="438"/>
      <c r="G1" s="438"/>
      <c r="H1" s="438"/>
      <c r="I1" s="32" t="s">
        <v>71</v>
      </c>
      <c r="J1" s="32"/>
    </row>
    <row r="2" spans="1:10" ht="24" customHeight="1" x14ac:dyDescent="0.2">
      <c r="A2" s="437"/>
      <c r="B2" s="437"/>
      <c r="C2" s="438"/>
      <c r="D2" s="438"/>
      <c r="E2" s="438"/>
      <c r="F2" s="438"/>
      <c r="G2" s="438"/>
      <c r="H2" s="438"/>
      <c r="I2" s="32" t="s">
        <v>107</v>
      </c>
      <c r="J2" s="32"/>
    </row>
    <row r="3" spans="1:10" ht="15" customHeight="1" x14ac:dyDescent="0.2">
      <c r="A3" s="437"/>
      <c r="B3" s="437"/>
      <c r="C3" s="438"/>
      <c r="D3" s="438"/>
      <c r="E3" s="438"/>
      <c r="F3" s="438"/>
      <c r="G3" s="438"/>
      <c r="H3" s="438"/>
      <c r="I3" s="32" t="s">
        <v>408</v>
      </c>
      <c r="J3" s="32"/>
    </row>
    <row r="4" spans="1:10" ht="3.75" customHeight="1" x14ac:dyDescent="0.2">
      <c r="A4" s="33"/>
      <c r="B4" s="34"/>
      <c r="C4" s="49"/>
      <c r="D4" s="49"/>
      <c r="E4" s="3"/>
      <c r="F4" s="3"/>
      <c r="G4" s="3"/>
    </row>
    <row r="5" spans="1:10" ht="15.75" customHeight="1" x14ac:dyDescent="0.2">
      <c r="A5" s="565" t="s">
        <v>176</v>
      </c>
      <c r="B5" s="566"/>
      <c r="C5" s="566"/>
      <c r="D5" s="566"/>
      <c r="E5" s="566"/>
      <c r="F5" s="566"/>
      <c r="G5" s="566"/>
      <c r="H5" s="566"/>
      <c r="I5" s="566"/>
      <c r="J5" s="566"/>
    </row>
    <row r="6" spans="1:10" ht="15.75" customHeight="1" x14ac:dyDescent="0.2">
      <c r="A6" s="562" t="str">
        <f>'CONTEXTO ESTRATEGICO'!A7</f>
        <v>INSTITUCIONAL</v>
      </c>
      <c r="B6" s="562"/>
      <c r="C6" s="490" t="str">
        <f>'CONTEXTO ESTRATEGICO'!B7</f>
        <v>Mapa de Riesgo Institucional</v>
      </c>
      <c r="D6" s="491"/>
      <c r="E6" s="491"/>
      <c r="F6" s="491"/>
      <c r="G6" s="563" t="str">
        <f>'CONTEXTO ESTRATEGICO'!A6</f>
        <v>Fecha de Actualización (AAAA/MM/DD)</v>
      </c>
      <c r="H6" s="564"/>
      <c r="I6" s="102">
        <f>'CONTEXTO ESTRATEGICO'!B6</f>
        <v>42443</v>
      </c>
    </row>
    <row r="7" spans="1:10" ht="15.75" x14ac:dyDescent="0.2">
      <c r="A7" s="529" t="str">
        <f>'CONTEXTO ESTRATEGICO'!A8</f>
        <v>MISION</v>
      </c>
      <c r="B7" s="529"/>
      <c r="C7" s="490"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491"/>
      <c r="E7" s="491"/>
      <c r="F7" s="491"/>
      <c r="G7" s="491"/>
      <c r="H7" s="491"/>
      <c r="I7" s="492"/>
      <c r="J7" s="78"/>
    </row>
    <row r="8" spans="1:10" ht="37.5" customHeight="1" x14ac:dyDescent="0.2">
      <c r="A8" s="92" t="s">
        <v>26</v>
      </c>
      <c r="B8" s="11" t="s">
        <v>1</v>
      </c>
      <c r="C8" s="80" t="s">
        <v>18</v>
      </c>
      <c r="D8" s="80" t="s">
        <v>153</v>
      </c>
      <c r="E8" s="80" t="s">
        <v>143</v>
      </c>
      <c r="F8" s="75" t="s">
        <v>177</v>
      </c>
      <c r="G8" s="75" t="s">
        <v>178</v>
      </c>
      <c r="H8" s="75" t="s">
        <v>166</v>
      </c>
      <c r="I8" s="75" t="s">
        <v>167</v>
      </c>
      <c r="J8" s="99" t="s">
        <v>179</v>
      </c>
    </row>
    <row r="9" spans="1:10" ht="31.5" x14ac:dyDescent="0.25">
      <c r="A9" s="567" t="str">
        <f>'CONSOLIDACION DEL MAPA'!A9</f>
        <v>1G</v>
      </c>
      <c r="B9" s="568" t="str">
        <f>'CONSOLIDACION DEL MAPA'!B9</f>
        <v>Relaciones Interinstitucionales. Concentrar labores múltiples en poco personal</v>
      </c>
      <c r="C9" s="82" t="str">
        <f>IF('CONSOLIDACION DEL MAPA'!P9="","",'CONSOLIDACION DEL MAPA'!P9)</f>
        <v>Compartir</v>
      </c>
      <c r="D9" s="82" t="str">
        <f>IF('CONSOLIDACION DEL MAPA'!Q9="","",'CONSOLIDACION DEL MAPA'!Q9)</f>
        <v>Trabajo conjunto con Rectoría para contratación de personal</v>
      </c>
      <c r="E9" s="82" t="str">
        <f>IF('CONSOLIDACION DEL MAPA'!R9="","",'CONSOLIDACION DEL MAPA'!R9)</f>
        <v>En Ejecución</v>
      </c>
      <c r="F9" s="101" t="s">
        <v>836</v>
      </c>
      <c r="G9" s="101">
        <v>1</v>
      </c>
      <c r="H9" s="163">
        <v>42491</v>
      </c>
      <c r="I9" s="163">
        <v>42735</v>
      </c>
      <c r="J9" s="100">
        <f>(I9-H9)/7</f>
        <v>34.857142857142854</v>
      </c>
    </row>
    <row r="10" spans="1:10" ht="15.75" x14ac:dyDescent="0.25">
      <c r="A10" s="567"/>
      <c r="B10" s="568"/>
      <c r="C10" s="82" t="str">
        <f>IF('CONSOLIDACION DEL MAPA'!P10="","",'CONSOLIDACION DEL MAPA'!P10)</f>
        <v/>
      </c>
      <c r="D10" s="82" t="str">
        <f>IF('CONSOLIDACION DEL MAPA'!Q10="","",'CONSOLIDACION DEL MAPA'!Q10)</f>
        <v/>
      </c>
      <c r="E10" s="82" t="str">
        <f>IF('CONSOLIDACION DEL MAPA'!R10="","",'CONSOLIDACION DEL MAPA'!R10)</f>
        <v/>
      </c>
      <c r="F10" s="101"/>
      <c r="G10" s="101"/>
      <c r="H10" s="163"/>
      <c r="I10" s="163"/>
      <c r="J10" s="100">
        <f t="shared" ref="J10:J38" si="0">(I10-H10)/7</f>
        <v>0</v>
      </c>
    </row>
    <row r="11" spans="1:10" ht="15.75" x14ac:dyDescent="0.25">
      <c r="A11" s="567"/>
      <c r="B11" s="568"/>
      <c r="C11" s="82" t="str">
        <f>IF('CONSOLIDACION DEL MAPA'!P11="","",'CONSOLIDACION DEL MAPA'!P11)</f>
        <v/>
      </c>
      <c r="D11" s="82" t="str">
        <f>IF('CONSOLIDACION DEL MAPA'!Q11="","",'CONSOLIDACION DEL MAPA'!Q11)</f>
        <v/>
      </c>
      <c r="E11" s="82" t="str">
        <f>IF('CONSOLIDACION DEL MAPA'!R11="","",'CONSOLIDACION DEL MAPA'!R11)</f>
        <v/>
      </c>
      <c r="F11" s="101"/>
      <c r="G11" s="101"/>
      <c r="H11" s="163"/>
      <c r="I11" s="163"/>
      <c r="J11" s="100">
        <f t="shared" si="0"/>
        <v>0</v>
      </c>
    </row>
    <row r="12" spans="1:10" ht="25.5" x14ac:dyDescent="0.25">
      <c r="A12" s="567" t="str">
        <f>'CONSOLIDACION DEL MAPA'!A12</f>
        <v>2G</v>
      </c>
      <c r="B12" s="568" t="str">
        <f>'CONSOLIDACION DEL MAPA'!B12</f>
        <v xml:space="preserve">Relaciones Interinstitucionales. Escaso registro y control de la movilidad internacional entrante y saliente. </v>
      </c>
      <c r="C12" s="82" t="str">
        <f>IF('CONSOLIDACION DEL MAPA'!P12="","",'CONSOLIDACION DEL MAPA'!P12)</f>
        <v>Evitar</v>
      </c>
      <c r="D12" s="82" t="str">
        <f>IF('CONSOLIDACION DEL MAPA'!Q12="","",'CONSOLIDACION DEL MAPA'!Q12)</f>
        <v>Actualizacion constante. Difusion de la Guia.</v>
      </c>
      <c r="E12" s="82" t="str">
        <f>IF('CONSOLIDACION DEL MAPA'!R12="","",'CONSOLIDACION DEL MAPA'!R12)</f>
        <v>En Ejecución</v>
      </c>
      <c r="F12" s="101" t="s">
        <v>837</v>
      </c>
      <c r="G12" s="101">
        <v>1</v>
      </c>
      <c r="H12" s="163">
        <v>42401</v>
      </c>
      <c r="I12" s="163">
        <v>42405</v>
      </c>
      <c r="J12" s="100">
        <f t="shared" si="0"/>
        <v>0.5714285714285714</v>
      </c>
    </row>
    <row r="13" spans="1:10" ht="51" x14ac:dyDescent="0.25">
      <c r="A13" s="567"/>
      <c r="B13" s="568"/>
      <c r="C13" s="82" t="str">
        <f>IF('CONSOLIDACION DEL MAPA'!P13="","",'CONSOLIDACION DEL MAPA'!P13)</f>
        <v>Evitar</v>
      </c>
      <c r="D13" s="82" t="str">
        <f>IF('CONSOLIDACION DEL MAPA'!Q13="","",'CONSOLIDACION DEL MAPA'!Q13)</f>
        <v>Seguimiento periodico a los controles existentes en el procedimiento. Difusión del procedimiento.</v>
      </c>
      <c r="E13" s="82" t="str">
        <f>IF('CONSOLIDACION DEL MAPA'!R13="","",'CONSOLIDACION DEL MAPA'!R13)</f>
        <v>En Ejecución</v>
      </c>
      <c r="F13" s="101" t="s">
        <v>837</v>
      </c>
      <c r="G13" s="101">
        <v>1</v>
      </c>
      <c r="H13" s="163">
        <v>42401</v>
      </c>
      <c r="I13" s="163">
        <v>42405</v>
      </c>
      <c r="J13" s="100">
        <f t="shared" si="0"/>
        <v>0.5714285714285714</v>
      </c>
    </row>
    <row r="14" spans="1:10" ht="38.25" x14ac:dyDescent="0.25">
      <c r="A14" s="567"/>
      <c r="B14" s="568"/>
      <c r="C14" s="82" t="str">
        <f>IF('CONSOLIDACION DEL MAPA'!P14="","",'CONSOLIDACION DEL MAPA'!P14)</f>
        <v>Evitar</v>
      </c>
      <c r="D14" s="82" t="str">
        <f>IF('CONSOLIDACION DEL MAPA'!Q14="","",'CONSOLIDACION DEL MAPA'!Q14)</f>
        <v>Difusion adecuada de los formatos. Recopilacion de los soportes requeridos.</v>
      </c>
      <c r="E14" s="82" t="str">
        <f>IF('CONSOLIDACION DEL MAPA'!R14="","",'CONSOLIDACION DEL MAPA'!R14)</f>
        <v>En Ejecución</v>
      </c>
      <c r="F14" s="101" t="s">
        <v>837</v>
      </c>
      <c r="G14" s="101">
        <v>1</v>
      </c>
      <c r="H14" s="163">
        <v>42401</v>
      </c>
      <c r="I14" s="163">
        <v>42405</v>
      </c>
      <c r="J14" s="100">
        <f t="shared" si="0"/>
        <v>0.5714285714285714</v>
      </c>
    </row>
    <row r="15" spans="1:10" ht="38.25" x14ac:dyDescent="0.25">
      <c r="A15" s="567" t="str">
        <f>'CONSOLIDACION DEL MAPA'!A15</f>
        <v>3G</v>
      </c>
      <c r="B15" s="568" t="str">
        <f>'CONSOLIDACION DEL MAPA'!B15</f>
        <v>Relaciones Interinstitucionales. Gestionar la movilidad internacional sin requisitos legales</v>
      </c>
      <c r="C15" s="82" t="str">
        <f>IF('CONSOLIDACION DEL MAPA'!P15="","",'CONSOLIDACION DEL MAPA'!P15)</f>
        <v>Evitar</v>
      </c>
      <c r="D15" s="82" t="str">
        <f>IF('CONSOLIDACION DEL MAPA'!Q15="","",'CONSOLIDACION DEL MAPA'!Q15)</f>
        <v>Difusion adecuada de los formatos. Recopilacion de los soportes requeridos.</v>
      </c>
      <c r="E15" s="82" t="str">
        <f>IF('CONSOLIDACION DEL MAPA'!R15="","",'CONSOLIDACION DEL MAPA'!R15)</f>
        <v>En Ejecución</v>
      </c>
      <c r="F15" s="101" t="s">
        <v>838</v>
      </c>
      <c r="G15" s="101">
        <v>1</v>
      </c>
      <c r="H15" s="163">
        <v>42370</v>
      </c>
      <c r="I15" s="163">
        <v>42490</v>
      </c>
      <c r="J15" s="100">
        <f t="shared" si="0"/>
        <v>17.142857142857142</v>
      </c>
    </row>
    <row r="16" spans="1:10" ht="15.75" x14ac:dyDescent="0.25">
      <c r="A16" s="567"/>
      <c r="B16" s="568"/>
      <c r="C16" s="82" t="str">
        <f>IF('CONSOLIDACION DEL MAPA'!P16="","",'CONSOLIDACION DEL MAPA'!P16)</f>
        <v/>
      </c>
      <c r="D16" s="82" t="str">
        <f>IF('CONSOLIDACION DEL MAPA'!Q16="","",'CONSOLIDACION DEL MAPA'!Q16)</f>
        <v/>
      </c>
      <c r="E16" s="82" t="str">
        <f>IF('CONSOLIDACION DEL MAPA'!R16="","",'CONSOLIDACION DEL MAPA'!R16)</f>
        <v/>
      </c>
      <c r="F16" s="101"/>
      <c r="G16" s="101"/>
      <c r="H16" s="163"/>
      <c r="I16" s="163"/>
      <c r="J16" s="100">
        <f t="shared" si="0"/>
        <v>0</v>
      </c>
    </row>
    <row r="17" spans="1:10" ht="15.75" x14ac:dyDescent="0.25">
      <c r="A17" s="567"/>
      <c r="B17" s="568"/>
      <c r="C17" s="82" t="str">
        <f>IF('CONSOLIDACION DEL MAPA'!P17="","",'CONSOLIDACION DEL MAPA'!P17)</f>
        <v/>
      </c>
      <c r="D17" s="82" t="str">
        <f>IF('CONSOLIDACION DEL MAPA'!Q17="","",'CONSOLIDACION DEL MAPA'!Q17)</f>
        <v/>
      </c>
      <c r="E17" s="82" t="str">
        <f>IF('CONSOLIDACION DEL MAPA'!R17="","",'CONSOLIDACION DEL MAPA'!R17)</f>
        <v/>
      </c>
      <c r="F17" s="101"/>
      <c r="G17" s="101"/>
      <c r="H17" s="163"/>
      <c r="I17" s="163"/>
      <c r="J17" s="100">
        <f t="shared" si="0"/>
        <v>0</v>
      </c>
    </row>
    <row r="18" spans="1:10" ht="51" x14ac:dyDescent="0.25">
      <c r="A18" s="567" t="str">
        <f>'CONSOLIDACION DEL MAPA'!A18</f>
        <v>4G</v>
      </c>
      <c r="B18" s="568" t="str">
        <f>'CONSOLIDACION DEL MAPA'!B18</f>
        <v>Acreditación. Insuficiente Implementación de la Política Institucional de Autoevaluación, Acreditación y Aseguramiento de la calidad</v>
      </c>
      <c r="C18" s="82" t="str">
        <f>IF('CONSOLIDACION DEL MAPA'!P18="","",'CONSOLIDACION DEL MAPA'!P18)</f>
        <v>Reducir</v>
      </c>
      <c r="D18" s="82" t="str">
        <f>IF('CONSOLIDACION DEL MAPA'!Q18="","",'CONSOLIDACION DEL MAPA'!Q18)</f>
        <v>Cumplimiento de metas para  cualificación a la comunidad universitaria acordes con el plan de trabajo.</v>
      </c>
      <c r="E18" s="82" t="str">
        <f>IF('CONSOLIDACION DEL MAPA'!R18="","",'CONSOLIDACION DEL MAPA'!R18)</f>
        <v>En Ejecución</v>
      </c>
      <c r="F18" s="101" t="s">
        <v>117</v>
      </c>
      <c r="G18" s="101">
        <v>1</v>
      </c>
      <c r="H18" s="163">
        <v>42383</v>
      </c>
      <c r="I18" s="163">
        <v>42720</v>
      </c>
      <c r="J18" s="100">
        <f t="shared" si="0"/>
        <v>48.142857142857146</v>
      </c>
    </row>
    <row r="19" spans="1:10" ht="15.75" x14ac:dyDescent="0.25">
      <c r="A19" s="567"/>
      <c r="B19" s="568"/>
      <c r="C19" s="82" t="str">
        <f>IF('CONSOLIDACION DEL MAPA'!P19="","",'CONSOLIDACION DEL MAPA'!P19)</f>
        <v/>
      </c>
      <c r="D19" s="82" t="str">
        <f>IF('CONSOLIDACION DEL MAPA'!Q19="","",'CONSOLIDACION DEL MAPA'!Q19)</f>
        <v/>
      </c>
      <c r="E19" s="82" t="str">
        <f>IF('CONSOLIDACION DEL MAPA'!R19="","",'CONSOLIDACION DEL MAPA'!R19)</f>
        <v/>
      </c>
      <c r="F19" s="101"/>
      <c r="G19" s="101"/>
      <c r="H19" s="163"/>
      <c r="I19" s="163"/>
      <c r="J19" s="100">
        <f t="shared" si="0"/>
        <v>0</v>
      </c>
    </row>
    <row r="20" spans="1:10" ht="15.75" x14ac:dyDescent="0.25">
      <c r="A20" s="567"/>
      <c r="B20" s="568"/>
      <c r="C20" s="82" t="str">
        <f>IF('CONSOLIDACION DEL MAPA'!P20="","",'CONSOLIDACION DEL MAPA'!P20)</f>
        <v/>
      </c>
      <c r="D20" s="82" t="str">
        <f>IF('CONSOLIDACION DEL MAPA'!Q20="","",'CONSOLIDACION DEL MAPA'!Q20)</f>
        <v/>
      </c>
      <c r="E20" s="82" t="str">
        <f>IF('CONSOLIDACION DEL MAPA'!R20="","",'CONSOLIDACION DEL MAPA'!R20)</f>
        <v/>
      </c>
      <c r="F20" s="101"/>
      <c r="G20" s="101"/>
      <c r="H20" s="163"/>
      <c r="I20" s="163"/>
      <c r="J20" s="100">
        <f t="shared" si="0"/>
        <v>0</v>
      </c>
    </row>
    <row r="21" spans="1:10" ht="51" x14ac:dyDescent="0.25">
      <c r="A21" s="567" t="str">
        <f>'CONSOLIDACION DEL MAPA'!A21</f>
        <v>5G</v>
      </c>
      <c r="B21" s="568" t="str">
        <f>'CONSOLIDACION DEL MAPA'!B21</f>
        <v xml:space="preserve">Acreditación. Deficiencia en la calidad técnica de los informes </v>
      </c>
      <c r="C21" s="82" t="str">
        <f>IF('CONSOLIDACION DEL MAPA'!P21="","",'CONSOLIDACION DEL MAPA'!P21)</f>
        <v>Reducir</v>
      </c>
      <c r="D21" s="82" t="str">
        <f>IF('CONSOLIDACION DEL MAPA'!Q21="","",'CONSOLIDACION DEL MAPA'!Q21)</f>
        <v>Cumplimiento de metas para  cualificación a la comunidad universitaria acordes con el plan de trabajo.</v>
      </c>
      <c r="E21" s="82" t="str">
        <f>IF('CONSOLIDACION DEL MAPA'!R21="","",'CONSOLIDACION DEL MAPA'!R21)</f>
        <v>En Ejecución</v>
      </c>
      <c r="F21" s="101" t="s">
        <v>839</v>
      </c>
      <c r="G21" s="101">
        <v>1</v>
      </c>
      <c r="H21" s="163">
        <v>42383</v>
      </c>
      <c r="I21" s="163">
        <v>42720</v>
      </c>
      <c r="J21" s="100">
        <f t="shared" si="0"/>
        <v>48.142857142857146</v>
      </c>
    </row>
    <row r="22" spans="1:10" ht="15.75" x14ac:dyDescent="0.25">
      <c r="A22" s="567"/>
      <c r="B22" s="568"/>
      <c r="C22" s="82" t="str">
        <f>IF('CONSOLIDACION DEL MAPA'!P22="","",'CONSOLIDACION DEL MAPA'!P22)</f>
        <v/>
      </c>
      <c r="D22" s="82" t="str">
        <f>IF('CONSOLIDACION DEL MAPA'!Q22="","",'CONSOLIDACION DEL MAPA'!Q22)</f>
        <v/>
      </c>
      <c r="E22" s="82" t="str">
        <f>IF('CONSOLIDACION DEL MAPA'!R22="","",'CONSOLIDACION DEL MAPA'!R22)</f>
        <v/>
      </c>
      <c r="F22" s="101"/>
      <c r="G22" s="101"/>
      <c r="H22" s="163"/>
      <c r="I22" s="163"/>
      <c r="J22" s="100">
        <f t="shared" si="0"/>
        <v>0</v>
      </c>
    </row>
    <row r="23" spans="1:10" ht="15.75" x14ac:dyDescent="0.25">
      <c r="A23" s="567"/>
      <c r="B23" s="568"/>
      <c r="C23" s="82" t="str">
        <f>IF('CONSOLIDACION DEL MAPA'!P23="","",'CONSOLIDACION DEL MAPA'!P23)</f>
        <v/>
      </c>
      <c r="D23" s="82" t="str">
        <f>IF('CONSOLIDACION DEL MAPA'!Q23="","",'CONSOLIDACION DEL MAPA'!Q23)</f>
        <v/>
      </c>
      <c r="E23" s="82" t="str">
        <f>IF('CONSOLIDACION DEL MAPA'!R23="","",'CONSOLIDACION DEL MAPA'!R23)</f>
        <v/>
      </c>
      <c r="F23" s="101"/>
      <c r="G23" s="101"/>
      <c r="H23" s="163"/>
      <c r="I23" s="163"/>
      <c r="J23" s="100">
        <f t="shared" si="0"/>
        <v>0</v>
      </c>
    </row>
    <row r="24" spans="1:10" ht="38.25" x14ac:dyDescent="0.25">
      <c r="A24" s="567" t="str">
        <f>'CONSOLIDACION DEL MAPA'!A24</f>
        <v>6G</v>
      </c>
      <c r="B24" s="568" t="str">
        <f>'CONSOLIDACION DEL MAPA'!B24</f>
        <v>Acreditación. Negación de la acreditación o de la renovación de registro calificado</v>
      </c>
      <c r="C24" s="82" t="str">
        <f>IF('CONSOLIDACION DEL MAPA'!P24="","",'CONSOLIDACION DEL MAPA'!P24)</f>
        <v>Asumir</v>
      </c>
      <c r="D24" s="82" t="str">
        <f>IF('CONSOLIDACION DEL MAPA'!Q24="","",'CONSOLIDACION DEL MAPA'!Q24)</f>
        <v xml:space="preserve">Continuar con el seguimiento al cumplimiento de los controles existentes </v>
      </c>
      <c r="E24" s="82" t="str">
        <f>IF('CONSOLIDACION DEL MAPA'!R24="","",'CONSOLIDACION DEL MAPA'!R24)</f>
        <v>No Aplica</v>
      </c>
      <c r="F24" s="101"/>
      <c r="G24" s="101"/>
      <c r="H24" s="163"/>
      <c r="I24" s="163"/>
      <c r="J24" s="100">
        <f t="shared" si="0"/>
        <v>0</v>
      </c>
    </row>
    <row r="25" spans="1:10" ht="15.75" x14ac:dyDescent="0.25">
      <c r="A25" s="567"/>
      <c r="B25" s="568"/>
      <c r="C25" s="82" t="str">
        <f>IF('CONSOLIDACION DEL MAPA'!P25="","",'CONSOLIDACION DEL MAPA'!P25)</f>
        <v/>
      </c>
      <c r="D25" s="82" t="str">
        <f>IF('CONSOLIDACION DEL MAPA'!Q25="","",'CONSOLIDACION DEL MAPA'!Q25)</f>
        <v/>
      </c>
      <c r="E25" s="82" t="str">
        <f>IF('CONSOLIDACION DEL MAPA'!R25="","",'CONSOLIDACION DEL MAPA'!R25)</f>
        <v/>
      </c>
      <c r="F25" s="101"/>
      <c r="G25" s="101"/>
      <c r="H25" s="163"/>
      <c r="I25" s="163"/>
      <c r="J25" s="100">
        <f t="shared" si="0"/>
        <v>0</v>
      </c>
    </row>
    <row r="26" spans="1:10" ht="15.75" x14ac:dyDescent="0.25">
      <c r="A26" s="567"/>
      <c r="B26" s="568"/>
      <c r="C26" s="82" t="str">
        <f>IF('CONSOLIDACION DEL MAPA'!P26="","",'CONSOLIDACION DEL MAPA'!P26)</f>
        <v/>
      </c>
      <c r="D26" s="82" t="str">
        <f>IF('CONSOLIDACION DEL MAPA'!Q26="","",'CONSOLIDACION DEL MAPA'!Q26)</f>
        <v/>
      </c>
      <c r="E26" s="82" t="str">
        <f>IF('CONSOLIDACION DEL MAPA'!R26="","",'CONSOLIDACION DEL MAPA'!R26)</f>
        <v/>
      </c>
      <c r="F26" s="101"/>
      <c r="G26" s="101"/>
      <c r="H26" s="163"/>
      <c r="I26" s="163"/>
      <c r="J26" s="100">
        <f t="shared" si="0"/>
        <v>0</v>
      </c>
    </row>
    <row r="27" spans="1:10" ht="38.25" x14ac:dyDescent="0.25">
      <c r="A27" s="567" t="str">
        <f>'CONSOLIDACION DEL MAPA'!A27</f>
        <v>7G</v>
      </c>
      <c r="B27" s="568" t="str">
        <f>'CONSOLIDACION DEL MAPA'!B27</f>
        <v>Acreditación. Incumplimiento en algunas actividades establecidas en el plan de trabajo</v>
      </c>
      <c r="C27" s="82" t="str">
        <f>IF('CONSOLIDACION DEL MAPA'!P27="","",'CONSOLIDACION DEL MAPA'!P27)</f>
        <v>Asumir</v>
      </c>
      <c r="D27" s="82" t="str">
        <f>IF('CONSOLIDACION DEL MAPA'!Q27="","",'CONSOLIDACION DEL MAPA'!Q27)</f>
        <v xml:space="preserve">Continuar con el seguimiento al cumplimiento de los controles existentes </v>
      </c>
      <c r="E27" s="82" t="str">
        <f>IF('CONSOLIDACION DEL MAPA'!R27="","",'CONSOLIDACION DEL MAPA'!R27)</f>
        <v>No Aplica</v>
      </c>
      <c r="F27" s="101"/>
      <c r="G27" s="101"/>
      <c r="H27" s="163"/>
      <c r="I27" s="163"/>
      <c r="J27" s="100">
        <f t="shared" si="0"/>
        <v>0</v>
      </c>
    </row>
    <row r="28" spans="1:10" ht="15.75" x14ac:dyDescent="0.25">
      <c r="A28" s="567"/>
      <c r="B28" s="568"/>
      <c r="C28" s="82" t="str">
        <f>IF('CONSOLIDACION DEL MAPA'!P28="","",'CONSOLIDACION DEL MAPA'!P28)</f>
        <v/>
      </c>
      <c r="D28" s="82" t="str">
        <f>IF('CONSOLIDACION DEL MAPA'!Q28="","",'CONSOLIDACION DEL MAPA'!Q28)</f>
        <v/>
      </c>
      <c r="E28" s="82" t="str">
        <f>IF('CONSOLIDACION DEL MAPA'!R28="","",'CONSOLIDACION DEL MAPA'!R28)</f>
        <v/>
      </c>
      <c r="F28" s="101"/>
      <c r="G28" s="101"/>
      <c r="H28" s="163"/>
      <c r="I28" s="163"/>
      <c r="J28" s="100">
        <f t="shared" si="0"/>
        <v>0</v>
      </c>
    </row>
    <row r="29" spans="1:10" ht="15.75" x14ac:dyDescent="0.25">
      <c r="A29" s="567"/>
      <c r="B29" s="568"/>
      <c r="C29" s="82" t="str">
        <f>IF('CONSOLIDACION DEL MAPA'!P29="","",'CONSOLIDACION DEL MAPA'!P29)</f>
        <v/>
      </c>
      <c r="D29" s="82" t="str">
        <f>IF('CONSOLIDACION DEL MAPA'!Q29="","",'CONSOLIDACION DEL MAPA'!Q29)</f>
        <v/>
      </c>
      <c r="E29" s="82" t="str">
        <f>IF('CONSOLIDACION DEL MAPA'!R29="","",'CONSOLIDACION DEL MAPA'!R29)</f>
        <v/>
      </c>
      <c r="F29" s="101"/>
      <c r="G29" s="101"/>
      <c r="H29" s="163"/>
      <c r="I29" s="163"/>
      <c r="J29" s="100">
        <f t="shared" si="0"/>
        <v>0</v>
      </c>
    </row>
    <row r="30" spans="1:10" ht="38.25" x14ac:dyDescent="0.25">
      <c r="A30" s="567" t="str">
        <f>'CONSOLIDACION DEL MAPA'!A30</f>
        <v>8G</v>
      </c>
      <c r="B30" s="568" t="str">
        <f>'CONSOLIDACION DEL MAPA'!B30</f>
        <v>Acreditación. Retraso en el otorgamiento o renovacion del registro calificado</v>
      </c>
      <c r="C30" s="82" t="str">
        <f>IF('CONSOLIDACION DEL MAPA'!P30="","",'CONSOLIDACION DEL MAPA'!P30)</f>
        <v>Asumir</v>
      </c>
      <c r="D30" s="82" t="str">
        <f>IF('CONSOLIDACION DEL MAPA'!Q30="","",'CONSOLIDACION DEL MAPA'!Q30)</f>
        <v xml:space="preserve">Continuar con el seguimiento al cumplimiento de los controles existentes </v>
      </c>
      <c r="E30" s="82" t="str">
        <f>IF('CONSOLIDACION DEL MAPA'!R30="","",'CONSOLIDACION DEL MAPA'!R30)</f>
        <v>No Aplica</v>
      </c>
      <c r="F30" s="101"/>
      <c r="G30" s="101"/>
      <c r="H30" s="163"/>
      <c r="I30" s="163"/>
      <c r="J30" s="100">
        <f t="shared" si="0"/>
        <v>0</v>
      </c>
    </row>
    <row r="31" spans="1:10" ht="15.75" x14ac:dyDescent="0.25">
      <c r="A31" s="567"/>
      <c r="B31" s="568"/>
      <c r="C31" s="82" t="str">
        <f>IF('CONSOLIDACION DEL MAPA'!P31="","",'CONSOLIDACION DEL MAPA'!P31)</f>
        <v/>
      </c>
      <c r="D31" s="82" t="str">
        <f>IF('CONSOLIDACION DEL MAPA'!Q31="","",'CONSOLIDACION DEL MAPA'!Q31)</f>
        <v/>
      </c>
      <c r="E31" s="82" t="str">
        <f>IF('CONSOLIDACION DEL MAPA'!R31="","",'CONSOLIDACION DEL MAPA'!R31)</f>
        <v/>
      </c>
      <c r="F31" s="101"/>
      <c r="G31" s="101"/>
      <c r="H31" s="163"/>
      <c r="I31" s="163"/>
      <c r="J31" s="100">
        <f t="shared" si="0"/>
        <v>0</v>
      </c>
    </row>
    <row r="32" spans="1:10" ht="15.75" x14ac:dyDescent="0.25">
      <c r="A32" s="567"/>
      <c r="B32" s="568"/>
      <c r="C32" s="82" t="str">
        <f>IF('CONSOLIDACION DEL MAPA'!P32="","",'CONSOLIDACION DEL MAPA'!P32)</f>
        <v/>
      </c>
      <c r="D32" s="82" t="str">
        <f>IF('CONSOLIDACION DEL MAPA'!Q32="","",'CONSOLIDACION DEL MAPA'!Q32)</f>
        <v/>
      </c>
      <c r="E32" s="82" t="str">
        <f>IF('CONSOLIDACION DEL MAPA'!R32="","",'CONSOLIDACION DEL MAPA'!R32)</f>
        <v/>
      </c>
      <c r="F32" s="101"/>
      <c r="G32" s="101"/>
      <c r="H32" s="163"/>
      <c r="I32" s="163"/>
      <c r="J32" s="100">
        <f t="shared" si="0"/>
        <v>0</v>
      </c>
    </row>
    <row r="33" spans="1:10" ht="51" x14ac:dyDescent="0.25">
      <c r="A33" s="567" t="str">
        <f>'CONSOLIDACION DEL MAPA'!A33</f>
        <v>9G</v>
      </c>
      <c r="B33" s="568" t="str">
        <f>'CONSOLIDACION DEL MAPA'!B33</f>
        <v>Gestión de la Calidad. La alta dirección no asegura la disponibilidad de los recursos para el mantenimiento y mejora del sistema.</v>
      </c>
      <c r="C33" s="82" t="str">
        <f>IF('CONSOLIDACION DEL MAPA'!P33="","",'CONSOLIDACION DEL MAPA'!P33)</f>
        <v>Reducir</v>
      </c>
      <c r="D33" s="82" t="str">
        <f>IF('CONSOLIDACION DEL MAPA'!Q33="","",'CONSOLIDACION DEL MAPA'!Q33)</f>
        <v>Realizar la revisión por la dirección y divulgar los resultados del informe de revisión por la alta dirección</v>
      </c>
      <c r="E33" s="82" t="str">
        <f>IF('CONSOLIDACION DEL MAPA'!R33="","",'CONSOLIDACION DEL MAPA'!R33)</f>
        <v>En Ejecución</v>
      </c>
      <c r="F33" s="101" t="s">
        <v>840</v>
      </c>
      <c r="G33" s="101">
        <v>1</v>
      </c>
      <c r="H33" s="163">
        <v>42383</v>
      </c>
      <c r="I33" s="163">
        <v>42459</v>
      </c>
      <c r="J33" s="100">
        <f t="shared" si="0"/>
        <v>10.857142857142858</v>
      </c>
    </row>
    <row r="34" spans="1:10" ht="15.75" x14ac:dyDescent="0.25">
      <c r="A34" s="567"/>
      <c r="B34" s="568"/>
      <c r="C34" s="82" t="str">
        <f>IF('CONSOLIDACION DEL MAPA'!P34="","",'CONSOLIDACION DEL MAPA'!P34)</f>
        <v/>
      </c>
      <c r="D34" s="82" t="str">
        <f>IF('CONSOLIDACION DEL MAPA'!Q34="","",'CONSOLIDACION DEL MAPA'!Q34)</f>
        <v/>
      </c>
      <c r="E34" s="82" t="str">
        <f>IF('CONSOLIDACION DEL MAPA'!R34="","",'CONSOLIDACION DEL MAPA'!R34)</f>
        <v/>
      </c>
      <c r="F34" s="101"/>
      <c r="G34" s="101"/>
      <c r="H34" s="163"/>
      <c r="I34" s="163"/>
      <c r="J34" s="100">
        <f t="shared" si="0"/>
        <v>0</v>
      </c>
    </row>
    <row r="35" spans="1:10" ht="15.75" x14ac:dyDescent="0.25">
      <c r="A35" s="567"/>
      <c r="B35" s="568"/>
      <c r="C35" s="82" t="str">
        <f>IF('CONSOLIDACION DEL MAPA'!P35="","",'CONSOLIDACION DEL MAPA'!P35)</f>
        <v/>
      </c>
      <c r="D35" s="82" t="str">
        <f>IF('CONSOLIDACION DEL MAPA'!Q35="","",'CONSOLIDACION DEL MAPA'!Q35)</f>
        <v/>
      </c>
      <c r="E35" s="82" t="str">
        <f>IF('CONSOLIDACION DEL MAPA'!R35="","",'CONSOLIDACION DEL MAPA'!R35)</f>
        <v/>
      </c>
      <c r="F35" s="101"/>
      <c r="G35" s="101"/>
      <c r="H35" s="163"/>
      <c r="I35" s="163"/>
      <c r="J35" s="100">
        <f t="shared" si="0"/>
        <v>0</v>
      </c>
    </row>
    <row r="36" spans="1:10" ht="38.25" x14ac:dyDescent="0.25">
      <c r="A36" s="567" t="str">
        <f>'CONSOLIDACION DEL MAPA'!A36</f>
        <v>10G</v>
      </c>
      <c r="B36" s="568" t="str">
        <f>'CONSOLIDACION DEL MAPA'!B36</f>
        <v>Comunicaciones. Inoportuna e ineficaz divulgación de los productos comunicativos y publicitarios ante los usuarios internos y externos.</v>
      </c>
      <c r="C36" s="82" t="str">
        <f>IF('CONSOLIDACION DEL MAPA'!P36="","",'CONSOLIDACION DEL MAPA'!P36)</f>
        <v>Reducir</v>
      </c>
      <c r="D36" s="82" t="str">
        <f>IF('CONSOLIDACION DEL MAPA'!Q36="","",'CONSOLIDACION DEL MAPA'!Q36)</f>
        <v>Fomentar el autocontrol en los tiempos de entrega al equipo de comunicaciones</v>
      </c>
      <c r="E36" s="82" t="str">
        <f>IF('CONSOLIDACION DEL MAPA'!R36="","",'CONSOLIDACION DEL MAPA'!R36)</f>
        <v>En Ejecución</v>
      </c>
      <c r="F36" s="101" t="s">
        <v>841</v>
      </c>
      <c r="G36" s="101">
        <v>4</v>
      </c>
      <c r="H36" s="163">
        <v>42384</v>
      </c>
      <c r="I36" s="163">
        <v>42734</v>
      </c>
      <c r="J36" s="100">
        <f t="shared" si="0"/>
        <v>50</v>
      </c>
    </row>
    <row r="37" spans="1:10" ht="38.25" x14ac:dyDescent="0.25">
      <c r="A37" s="567"/>
      <c r="B37" s="568"/>
      <c r="C37" s="82" t="str">
        <f>IF('CONSOLIDACION DEL MAPA'!P37="","",'CONSOLIDACION DEL MAPA'!P37)</f>
        <v>Reducir</v>
      </c>
      <c r="D37" s="82" t="str">
        <f>IF('CONSOLIDACION DEL MAPA'!Q37="","",'CONSOLIDACION DEL MAPA'!Q37)</f>
        <v>Recordar la periocidad y la entrega  oportuna de cada producto comunicativo</v>
      </c>
      <c r="E37" s="82" t="str">
        <f>IF('CONSOLIDACION DEL MAPA'!R37="","",'CONSOLIDACION DEL MAPA'!R37)</f>
        <v>En Ejecución</v>
      </c>
      <c r="F37" s="101" t="s">
        <v>841</v>
      </c>
      <c r="G37" s="101">
        <v>4</v>
      </c>
      <c r="H37" s="163">
        <v>42384</v>
      </c>
      <c r="I37" s="163">
        <v>42734</v>
      </c>
      <c r="J37" s="100">
        <f t="shared" si="0"/>
        <v>50</v>
      </c>
    </row>
    <row r="38" spans="1:10" ht="15.75" x14ac:dyDescent="0.25">
      <c r="A38" s="567"/>
      <c r="B38" s="568"/>
      <c r="C38" s="82" t="str">
        <f>IF('CONSOLIDACION DEL MAPA'!P38="","",'CONSOLIDACION DEL MAPA'!P38)</f>
        <v/>
      </c>
      <c r="D38" s="82" t="str">
        <f>IF('CONSOLIDACION DEL MAPA'!Q38="","",'CONSOLIDACION DEL MAPA'!Q38)</f>
        <v/>
      </c>
      <c r="E38" s="82" t="str">
        <f>IF('CONSOLIDACION DEL MAPA'!R38="","",'CONSOLIDACION DEL MAPA'!R38)</f>
        <v/>
      </c>
      <c r="F38" s="101"/>
      <c r="G38" s="101"/>
      <c r="H38" s="163"/>
      <c r="I38" s="163"/>
      <c r="J38" s="100">
        <f t="shared" si="0"/>
        <v>0</v>
      </c>
    </row>
    <row r="39" spans="1:10" ht="31.5" x14ac:dyDescent="0.25">
      <c r="A39" s="567" t="str">
        <f>'CONSOLIDACION DEL MAPA'!A39</f>
        <v>11G</v>
      </c>
      <c r="B39" s="568" t="str">
        <f>'CONSOLIDACION DEL MAPA'!B39</f>
        <v>Gestión Academica. Pérdida de Registro Calificado de los Programas Académicos.</v>
      </c>
      <c r="C39" s="82" t="str">
        <f>IF('CONSOLIDACION DEL MAPA'!P39="","",'CONSOLIDACION DEL MAPA'!P39)</f>
        <v>Reducir</v>
      </c>
      <c r="D39" s="82" t="str">
        <f>IF('CONSOLIDACION DEL MAPA'!Q39="","",'CONSOLIDACION DEL MAPA'!Q39)</f>
        <v xml:space="preserve">1. Mejorar las estrategias de seguimiento del proceso. </v>
      </c>
      <c r="E39" s="82" t="str">
        <f>IF('CONSOLIDACION DEL MAPA'!R39="","",'CONSOLIDACION DEL MAPA'!R39)</f>
        <v>Sin Implementar</v>
      </c>
      <c r="F39" s="101" t="s">
        <v>842</v>
      </c>
      <c r="G39" s="101">
        <v>1</v>
      </c>
      <c r="H39" s="163">
        <v>42576</v>
      </c>
      <c r="I39" s="163">
        <v>42714</v>
      </c>
      <c r="J39" s="100">
        <f t="shared" ref="J39:J92" si="1">(I39-H39)/7</f>
        <v>19.714285714285715</v>
      </c>
    </row>
    <row r="40" spans="1:10" ht="31.5" x14ac:dyDescent="0.25">
      <c r="A40" s="567"/>
      <c r="B40" s="568"/>
      <c r="C40" s="82" t="str">
        <f>IF('CONSOLIDACION DEL MAPA'!P40="","",'CONSOLIDACION DEL MAPA'!P40)</f>
        <v>Evitar</v>
      </c>
      <c r="D40" s="82" t="str">
        <f>IF('CONSOLIDACION DEL MAPA'!Q40="","",'CONSOLIDACION DEL MAPA'!Q40)</f>
        <v>2. Automatizar tareas relacionadas con el proceso.</v>
      </c>
      <c r="E40" s="82" t="str">
        <f>IF('CONSOLIDACION DEL MAPA'!R40="","",'CONSOLIDACION DEL MAPA'!R40)</f>
        <v>Sin Implementar</v>
      </c>
      <c r="F40" s="101" t="s">
        <v>843</v>
      </c>
      <c r="G40" s="101">
        <v>1</v>
      </c>
      <c r="H40" s="163">
        <v>42576</v>
      </c>
      <c r="I40" s="163">
        <v>42714</v>
      </c>
      <c r="J40" s="100">
        <f t="shared" si="1"/>
        <v>19.714285714285715</v>
      </c>
    </row>
    <row r="41" spans="1:10" ht="15.75" x14ac:dyDescent="0.25">
      <c r="A41" s="567"/>
      <c r="B41" s="568"/>
      <c r="C41" s="82" t="str">
        <f>IF('CONSOLIDACION DEL MAPA'!P41="","",'CONSOLIDACION DEL MAPA'!P41)</f>
        <v/>
      </c>
      <c r="D41" s="82" t="str">
        <f>IF('CONSOLIDACION DEL MAPA'!Q41="","",'CONSOLIDACION DEL MAPA'!Q41)</f>
        <v/>
      </c>
      <c r="E41" s="82" t="str">
        <f>IF('CONSOLIDACION DEL MAPA'!R41="","",'CONSOLIDACION DEL MAPA'!R41)</f>
        <v/>
      </c>
      <c r="F41" s="101"/>
      <c r="G41" s="101"/>
      <c r="H41" s="163"/>
      <c r="I41" s="163"/>
      <c r="J41" s="100">
        <f t="shared" si="1"/>
        <v>0</v>
      </c>
    </row>
    <row r="42" spans="1:10" ht="51" x14ac:dyDescent="0.25">
      <c r="A42" s="567" t="str">
        <f>'CONSOLIDACION DEL MAPA'!A42</f>
        <v>12G</v>
      </c>
      <c r="B42" s="568" t="str">
        <f>'CONSOLIDACION DEL MAPA'!B42</f>
        <v>Gestión Academica. Formulación inadecuada de políticas.</v>
      </c>
      <c r="C42" s="82" t="str">
        <f>IF('CONSOLIDACION DEL MAPA'!P42="","",'CONSOLIDACION DEL MAPA'!P42)</f>
        <v>Evitar</v>
      </c>
      <c r="D42" s="82" t="str">
        <f>IF('CONSOLIDACION DEL MAPA'!Q42="","",'CONSOLIDACION DEL MAPA'!Q42)</f>
        <v>1. Desarrollar capacitaciones continuas y a todo el personal que ingrese, sobre la formulación de políticas</v>
      </c>
      <c r="E42" s="82" t="str">
        <f>IF('CONSOLIDACION DEL MAPA'!R42="","",'CONSOLIDACION DEL MAPA'!R42)</f>
        <v>Sin Implementar</v>
      </c>
      <c r="F42" s="101" t="s">
        <v>844</v>
      </c>
      <c r="G42" s="101">
        <v>5</v>
      </c>
      <c r="H42" s="163">
        <v>42506</v>
      </c>
      <c r="I42" s="163">
        <v>42714</v>
      </c>
      <c r="J42" s="100">
        <f t="shared" si="1"/>
        <v>29.714285714285715</v>
      </c>
    </row>
    <row r="43" spans="1:10" ht="15.75" x14ac:dyDescent="0.25">
      <c r="A43" s="567"/>
      <c r="B43" s="568"/>
      <c r="C43" s="82" t="str">
        <f>IF('CONSOLIDACION DEL MAPA'!P43="","",'CONSOLIDACION DEL MAPA'!P43)</f>
        <v/>
      </c>
      <c r="D43" s="82" t="str">
        <f>IF('CONSOLIDACION DEL MAPA'!Q43="","",'CONSOLIDACION DEL MAPA'!Q43)</f>
        <v/>
      </c>
      <c r="E43" s="82" t="str">
        <f>IF('CONSOLIDACION DEL MAPA'!R43="","",'CONSOLIDACION DEL MAPA'!R43)</f>
        <v/>
      </c>
      <c r="F43" s="101"/>
      <c r="G43" s="101"/>
      <c r="H43" s="163"/>
      <c r="I43" s="163"/>
      <c r="J43" s="100">
        <f t="shared" si="1"/>
        <v>0</v>
      </c>
    </row>
    <row r="44" spans="1:10" ht="15.75" x14ac:dyDescent="0.25">
      <c r="A44" s="567"/>
      <c r="B44" s="568"/>
      <c r="C44" s="82" t="str">
        <f>IF('CONSOLIDACION DEL MAPA'!P44="","",'CONSOLIDACION DEL MAPA'!P44)</f>
        <v/>
      </c>
      <c r="D44" s="82" t="str">
        <f>IF('CONSOLIDACION DEL MAPA'!Q44="","",'CONSOLIDACION DEL MAPA'!Q44)</f>
        <v/>
      </c>
      <c r="E44" s="82" t="str">
        <f>IF('CONSOLIDACION DEL MAPA'!R44="","",'CONSOLIDACION DEL MAPA'!R44)</f>
        <v/>
      </c>
      <c r="F44" s="101"/>
      <c r="G44" s="101"/>
      <c r="H44" s="163"/>
      <c r="I44" s="163"/>
      <c r="J44" s="100">
        <f t="shared" si="1"/>
        <v>0</v>
      </c>
    </row>
    <row r="45" spans="1:10" ht="51" x14ac:dyDescent="0.25">
      <c r="A45" s="567" t="str">
        <f>'CONSOLIDACION DEL MAPA'!A45</f>
        <v>13G</v>
      </c>
      <c r="B45" s="568" t="str">
        <f>'CONSOLIDACION DEL MAPA'!B45</f>
        <v>Gestión Academica. Aplicación inadecuada de la normatividad en el desarrollo de los diferentes procesos academicos de los programas.</v>
      </c>
      <c r="C45" s="82" t="str">
        <f>IF('CONSOLIDACION DEL MAPA'!P45="","",'CONSOLIDACION DEL MAPA'!P45)</f>
        <v>Reducir</v>
      </c>
      <c r="D45" s="82" t="str">
        <f>IF('CONSOLIDACION DEL MAPA'!Q45="","",'CONSOLIDACION DEL MAPA'!Q45)</f>
        <v>1. Desarrollar capacitaciones continuas y a todo el personal que ingrese, sobre la normativas internas y externas</v>
      </c>
      <c r="E45" s="82" t="str">
        <f>IF('CONSOLIDACION DEL MAPA'!R45="","",'CONSOLIDACION DEL MAPA'!R45)</f>
        <v>En Ejecución</v>
      </c>
      <c r="F45" s="101" t="s">
        <v>844</v>
      </c>
      <c r="G45" s="101">
        <v>5</v>
      </c>
      <c r="H45" s="163">
        <v>42506</v>
      </c>
      <c r="I45" s="163">
        <v>42714</v>
      </c>
      <c r="J45" s="100">
        <f t="shared" si="1"/>
        <v>29.714285714285715</v>
      </c>
    </row>
    <row r="46" spans="1:10" ht="15.75" x14ac:dyDescent="0.25">
      <c r="A46" s="567"/>
      <c r="B46" s="568"/>
      <c r="C46" s="82" t="str">
        <f>IF('CONSOLIDACION DEL MAPA'!P46="","",'CONSOLIDACION DEL MAPA'!P46)</f>
        <v/>
      </c>
      <c r="D46" s="82" t="str">
        <f>IF('CONSOLIDACION DEL MAPA'!Q46="","",'CONSOLIDACION DEL MAPA'!Q46)</f>
        <v/>
      </c>
      <c r="E46" s="82" t="str">
        <f>IF('CONSOLIDACION DEL MAPA'!R46="","",'CONSOLIDACION DEL MAPA'!R46)</f>
        <v/>
      </c>
      <c r="F46" s="101"/>
      <c r="G46" s="101"/>
      <c r="H46" s="163"/>
      <c r="I46" s="163"/>
      <c r="J46" s="100">
        <f t="shared" si="1"/>
        <v>0</v>
      </c>
    </row>
    <row r="47" spans="1:10" ht="15.75" x14ac:dyDescent="0.25">
      <c r="A47" s="567"/>
      <c r="B47" s="568"/>
      <c r="C47" s="82" t="str">
        <f>IF('CONSOLIDACION DEL MAPA'!P47="","",'CONSOLIDACION DEL MAPA'!P47)</f>
        <v/>
      </c>
      <c r="D47" s="82" t="str">
        <f>IF('CONSOLIDACION DEL MAPA'!Q47="","",'CONSOLIDACION DEL MAPA'!Q47)</f>
        <v/>
      </c>
      <c r="E47" s="82" t="str">
        <f>IF('CONSOLIDACION DEL MAPA'!R47="","",'CONSOLIDACION DEL MAPA'!R47)</f>
        <v/>
      </c>
      <c r="F47" s="101"/>
      <c r="G47" s="101"/>
      <c r="H47" s="163"/>
      <c r="I47" s="163"/>
      <c r="J47" s="100">
        <f t="shared" si="1"/>
        <v>0</v>
      </c>
    </row>
    <row r="48" spans="1:10" ht="51" x14ac:dyDescent="0.25">
      <c r="A48" s="567" t="str">
        <f>'CONSOLIDACION DEL MAPA'!A48</f>
        <v>14G</v>
      </c>
      <c r="B48" s="568" t="str">
        <f>'CONSOLIDACION DEL MAPA'!B48</f>
        <v>Gestión Academica. Deterioro en la calidad de los programas académicos por necesidades de recursos no cubiertas.</v>
      </c>
      <c r="C48" s="82" t="str">
        <f>IF('CONSOLIDACION DEL MAPA'!P48="","",'CONSOLIDACION DEL MAPA'!P48)</f>
        <v>Reducir</v>
      </c>
      <c r="D48" s="82" t="str">
        <f>IF('CONSOLIDACION DEL MAPA'!Q48="","",'CONSOLIDACION DEL MAPA'!Q48)</f>
        <v>Implementar herramientas automatizadas para el seguimiento a los planes de mejoramiento de los programas academicos</v>
      </c>
      <c r="E48" s="82" t="str">
        <f>IF('CONSOLIDACION DEL MAPA'!R48="","",'CONSOLIDACION DEL MAPA'!R48)</f>
        <v>Sin Implementar</v>
      </c>
      <c r="F48" s="101" t="s">
        <v>843</v>
      </c>
      <c r="G48" s="101">
        <v>1</v>
      </c>
      <c r="H48" s="163">
        <v>42576</v>
      </c>
      <c r="I48" s="163">
        <v>42941</v>
      </c>
      <c r="J48" s="100">
        <f t="shared" si="1"/>
        <v>52.142857142857146</v>
      </c>
    </row>
    <row r="49" spans="1:10" ht="15.75" x14ac:dyDescent="0.25">
      <c r="A49" s="567"/>
      <c r="B49" s="568"/>
      <c r="C49" s="82" t="str">
        <f>IF('CONSOLIDACION DEL MAPA'!P49="","",'CONSOLIDACION DEL MAPA'!P49)</f>
        <v/>
      </c>
      <c r="D49" s="82" t="str">
        <f>IF('CONSOLIDACION DEL MAPA'!Q49="","",'CONSOLIDACION DEL MAPA'!Q49)</f>
        <v/>
      </c>
      <c r="E49" s="82" t="str">
        <f>IF('CONSOLIDACION DEL MAPA'!R49="","",'CONSOLIDACION DEL MAPA'!R49)</f>
        <v/>
      </c>
      <c r="F49" s="101"/>
      <c r="G49" s="101"/>
      <c r="H49" s="163"/>
      <c r="I49" s="163"/>
      <c r="J49" s="100">
        <f t="shared" si="1"/>
        <v>0</v>
      </c>
    </row>
    <row r="50" spans="1:10" ht="15.75" x14ac:dyDescent="0.25">
      <c r="A50" s="567"/>
      <c r="B50" s="568"/>
      <c r="C50" s="82" t="str">
        <f>IF('CONSOLIDACION DEL MAPA'!P50="","",'CONSOLIDACION DEL MAPA'!P50)</f>
        <v/>
      </c>
      <c r="D50" s="82" t="str">
        <f>IF('CONSOLIDACION DEL MAPA'!Q50="","",'CONSOLIDACION DEL MAPA'!Q50)</f>
        <v/>
      </c>
      <c r="E50" s="82" t="str">
        <f>IF('CONSOLIDACION DEL MAPA'!R50="","",'CONSOLIDACION DEL MAPA'!R50)</f>
        <v/>
      </c>
      <c r="F50" s="101"/>
      <c r="G50" s="101"/>
      <c r="H50" s="163"/>
      <c r="I50" s="163"/>
      <c r="J50" s="100">
        <f t="shared" si="1"/>
        <v>0</v>
      </c>
    </row>
    <row r="51" spans="1:10" ht="63" x14ac:dyDescent="0.25">
      <c r="A51" s="567" t="str">
        <f>'CONSOLIDACION DEL MAPA'!A51</f>
        <v>15G</v>
      </c>
      <c r="B51" s="568" t="str">
        <f>'CONSOLIDACION DEL MAPA'!B51</f>
        <v xml:space="preserve">Gestión de Investigación. No fomentar la actividad investigativa en la Universidad.  </v>
      </c>
      <c r="C51" s="82" t="str">
        <f>IF('CONSOLIDACION DEL MAPA'!P51="","",'CONSOLIDACION DEL MAPA'!P51)</f>
        <v>Reducir</v>
      </c>
      <c r="D51" s="82" t="str">
        <f>IF('CONSOLIDACION DEL MAPA'!Q51="","",'CONSOLIDACION DEL MAPA'!Q51)</f>
        <v>Monitorear las necesidades de los grupos de investigación</v>
      </c>
      <c r="E51" s="82" t="str">
        <f>IF('CONSOLIDACION DEL MAPA'!R51="","",'CONSOLIDACION DEL MAPA'!R51)</f>
        <v>En Ejecución</v>
      </c>
      <c r="F51" s="101" t="s">
        <v>845</v>
      </c>
      <c r="G51" s="101">
        <v>35</v>
      </c>
      <c r="H51" s="163">
        <v>42388</v>
      </c>
      <c r="I51" s="163">
        <v>42723</v>
      </c>
      <c r="J51" s="100">
        <f t="shared" si="1"/>
        <v>47.857142857142854</v>
      </c>
    </row>
    <row r="52" spans="1:10" ht="47.25" x14ac:dyDescent="0.25">
      <c r="A52" s="567"/>
      <c r="B52" s="568"/>
      <c r="C52" s="82" t="str">
        <f>IF('CONSOLIDACION DEL MAPA'!P52="","",'CONSOLIDACION DEL MAPA'!P52)</f>
        <v>Reducir</v>
      </c>
      <c r="D52" s="82" t="str">
        <f>IF('CONSOLIDACION DEL MAPA'!Q52="","",'CONSOLIDACION DEL MAPA'!Q52)</f>
        <v>Realizar seguimiento a la ejecución de las actividades programadas para investigación</v>
      </c>
      <c r="E52" s="82" t="str">
        <f>IF('CONSOLIDACION DEL MAPA'!R52="","",'CONSOLIDACION DEL MAPA'!R52)</f>
        <v>En Ejecución</v>
      </c>
      <c r="F52" s="101" t="s">
        <v>846</v>
      </c>
      <c r="G52" s="101">
        <v>2</v>
      </c>
      <c r="H52" s="163">
        <v>42388</v>
      </c>
      <c r="I52" s="163">
        <v>42723</v>
      </c>
      <c r="J52" s="100">
        <f t="shared" si="1"/>
        <v>47.857142857142854</v>
      </c>
    </row>
    <row r="53" spans="1:10" ht="47.25" x14ac:dyDescent="0.25">
      <c r="A53" s="567"/>
      <c r="B53" s="568"/>
      <c r="C53" s="82" t="str">
        <f>IF('CONSOLIDACION DEL MAPA'!P53="","",'CONSOLIDACION DEL MAPA'!P53)</f>
        <v>Reducir</v>
      </c>
      <c r="D53" s="82" t="str">
        <f>IF('CONSOLIDACION DEL MAPA'!Q53="","",'CONSOLIDACION DEL MAPA'!Q53)</f>
        <v>Mejorar el sistema de información SIVI</v>
      </c>
      <c r="E53" s="82" t="str">
        <f>IF('CONSOLIDACION DEL MAPA'!R53="","",'CONSOLIDACION DEL MAPA'!R53)</f>
        <v>En Ejecución</v>
      </c>
      <c r="F53" s="101" t="s">
        <v>847</v>
      </c>
      <c r="G53" s="101">
        <v>1</v>
      </c>
      <c r="H53" s="163">
        <v>42388</v>
      </c>
      <c r="I53" s="163">
        <v>42723</v>
      </c>
      <c r="J53" s="100">
        <f t="shared" si="1"/>
        <v>47.857142857142854</v>
      </c>
    </row>
    <row r="54" spans="1:10" ht="47.25" x14ac:dyDescent="0.25">
      <c r="A54" s="567" t="str">
        <f>'CONSOLIDACION DEL MAPA'!A54</f>
        <v>16G</v>
      </c>
      <c r="B54" s="568" t="str">
        <f>'CONSOLIDACION DEL MAPA'!B54</f>
        <v>Gestión de Investigación. Deficiente cumplimiento del plan de acción de la Vicerrectoría de Investigación</v>
      </c>
      <c r="C54" s="82" t="str">
        <f>IF('CONSOLIDACION DEL MAPA'!P54="","",'CONSOLIDACION DEL MAPA'!P54)</f>
        <v>Reducir</v>
      </c>
      <c r="D54" s="82" t="str">
        <f>IF('CONSOLIDACION DEL MAPA'!Q54="","",'CONSOLIDACION DEL MAPA'!Q54)</f>
        <v>Realizar Seguimiento al plan de acción</v>
      </c>
      <c r="E54" s="82" t="str">
        <f>IF('CONSOLIDACION DEL MAPA'!R54="","",'CONSOLIDACION DEL MAPA'!R54)</f>
        <v>En Ejecución</v>
      </c>
      <c r="F54" s="101" t="s">
        <v>846</v>
      </c>
      <c r="G54" s="101">
        <v>2</v>
      </c>
      <c r="H54" s="163">
        <v>42388</v>
      </c>
      <c r="I54" s="163">
        <v>42723</v>
      </c>
      <c r="J54" s="100">
        <f t="shared" si="1"/>
        <v>47.857142857142854</v>
      </c>
    </row>
    <row r="55" spans="1:10" ht="47.25" x14ac:dyDescent="0.25">
      <c r="A55" s="567"/>
      <c r="B55" s="568"/>
      <c r="C55" s="82" t="str">
        <f>IF('CONSOLIDACION DEL MAPA'!P55="","",'CONSOLIDACION DEL MAPA'!P55)</f>
        <v>Reducir</v>
      </c>
      <c r="D55" s="82" t="str">
        <f>IF('CONSOLIDACION DEL MAPA'!Q55="","",'CONSOLIDACION DEL MAPA'!Q55)</f>
        <v>hacer seguimiento a las tareas y compromisos adquiridos</v>
      </c>
      <c r="E55" s="82" t="str">
        <f>IF('CONSOLIDACION DEL MAPA'!R55="","",'CONSOLIDACION DEL MAPA'!R55)</f>
        <v>En Ejecución</v>
      </c>
      <c r="F55" s="101" t="s">
        <v>846</v>
      </c>
      <c r="G55" s="101">
        <v>2</v>
      </c>
      <c r="H55" s="163">
        <v>42388</v>
      </c>
      <c r="I55" s="163">
        <v>42723</v>
      </c>
      <c r="J55" s="100">
        <f t="shared" si="1"/>
        <v>47.857142857142854</v>
      </c>
    </row>
    <row r="56" spans="1:10" ht="25.5" x14ac:dyDescent="0.25">
      <c r="A56" s="567"/>
      <c r="B56" s="568"/>
      <c r="C56" s="82" t="str">
        <f>IF('CONSOLIDACION DEL MAPA'!P56="","",'CONSOLIDACION DEL MAPA'!P56)</f>
        <v>Reducir</v>
      </c>
      <c r="D56" s="82" t="str">
        <f>IF('CONSOLIDACION DEL MAPA'!Q56="","",'CONSOLIDACION DEL MAPA'!Q56)</f>
        <v>Realizar seguimiento a la publicaciones de boletines</v>
      </c>
      <c r="E56" s="82" t="str">
        <f>IF('CONSOLIDACION DEL MAPA'!R56="","",'CONSOLIDACION DEL MAPA'!R56)</f>
        <v>En Ejecución</v>
      </c>
      <c r="F56" s="101" t="s">
        <v>848</v>
      </c>
      <c r="G56" s="101">
        <v>4</v>
      </c>
      <c r="H56" s="163">
        <v>42388</v>
      </c>
      <c r="I56" s="163">
        <v>42723</v>
      </c>
      <c r="J56" s="100">
        <f t="shared" si="1"/>
        <v>47.857142857142854</v>
      </c>
    </row>
    <row r="57" spans="1:10" ht="15.75" x14ac:dyDescent="0.25">
      <c r="A57" s="567" t="str">
        <f>'CONSOLIDACION DEL MAPA'!A57</f>
        <v>17G</v>
      </c>
      <c r="B57" s="568" t="str">
        <f>'CONSOLIDACION DEL MAPA'!B57</f>
        <v>Gestión de Extensión y Proyección Social. Incumplimiento en los compromisos establecidos en la formalización de los proyectos.</v>
      </c>
      <c r="C57" s="82" t="str">
        <f>IF('CONSOLIDACION DEL MAPA'!P57="","",'CONSOLIDACION DEL MAPA'!P57)</f>
        <v>Reducir</v>
      </c>
      <c r="D57" s="82" t="str">
        <f>IF('CONSOLIDACION DEL MAPA'!Q57="","",'CONSOLIDACION DEL MAPA'!Q57)</f>
        <v>Auto evaluación de los procesos.</v>
      </c>
      <c r="E57" s="82" t="str">
        <f>IF('CONSOLIDACION DEL MAPA'!R57="","",'CONSOLIDACION DEL MAPA'!R57)</f>
        <v>Sin Implementar</v>
      </c>
      <c r="F57" s="101" t="s">
        <v>849</v>
      </c>
      <c r="G57" s="101">
        <v>1</v>
      </c>
      <c r="H57" s="163">
        <v>42398</v>
      </c>
      <c r="I57" s="163">
        <v>42704</v>
      </c>
      <c r="J57" s="100">
        <f t="shared" si="1"/>
        <v>43.714285714285715</v>
      </c>
    </row>
    <row r="58" spans="1:10" ht="15.75" x14ac:dyDescent="0.25">
      <c r="A58" s="567"/>
      <c r="B58" s="568"/>
      <c r="C58" s="82" t="str">
        <f>IF('CONSOLIDACION DEL MAPA'!P58="","",'CONSOLIDACION DEL MAPA'!P58)</f>
        <v/>
      </c>
      <c r="D58" s="82" t="str">
        <f>IF('CONSOLIDACION DEL MAPA'!Q58="","",'CONSOLIDACION DEL MAPA'!Q58)</f>
        <v/>
      </c>
      <c r="E58" s="82" t="str">
        <f>IF('CONSOLIDACION DEL MAPA'!R58="","",'CONSOLIDACION DEL MAPA'!R58)</f>
        <v/>
      </c>
      <c r="F58" s="101"/>
      <c r="G58" s="101"/>
      <c r="H58" s="163"/>
      <c r="I58" s="163"/>
      <c r="J58" s="100">
        <f t="shared" si="1"/>
        <v>0</v>
      </c>
    </row>
    <row r="59" spans="1:10" ht="15.75" x14ac:dyDescent="0.25">
      <c r="A59" s="567"/>
      <c r="B59" s="568"/>
      <c r="C59" s="82" t="str">
        <f>IF('CONSOLIDACION DEL MAPA'!P59="","",'CONSOLIDACION DEL MAPA'!P59)</f>
        <v/>
      </c>
      <c r="D59" s="82" t="str">
        <f>IF('CONSOLIDACION DEL MAPA'!Q59="","",'CONSOLIDACION DEL MAPA'!Q59)</f>
        <v/>
      </c>
      <c r="E59" s="82" t="str">
        <f>IF('CONSOLIDACION DEL MAPA'!R59="","",'CONSOLIDACION DEL MAPA'!R59)</f>
        <v/>
      </c>
      <c r="F59" s="101"/>
      <c r="G59" s="101"/>
      <c r="H59" s="163"/>
      <c r="I59" s="163"/>
      <c r="J59" s="100">
        <f t="shared" si="1"/>
        <v>0</v>
      </c>
    </row>
    <row r="60" spans="1:10" ht="25.5" x14ac:dyDescent="0.25">
      <c r="A60" s="567" t="str">
        <f>'CONSOLIDACION DEL MAPA'!A60</f>
        <v>18G</v>
      </c>
      <c r="B60" s="568" t="str">
        <f>'CONSOLIDACION DEL MAPA'!B60</f>
        <v>Gestión de Extensión y Proyección Social. Limitada interacción e integración con las comunidades nacionales e internacionales en el fortalecimiento de la presencia de la Universidad en la vida social y cultural del país.</v>
      </c>
      <c r="C60" s="82" t="str">
        <f>IF('CONSOLIDACION DEL MAPA'!P60="","",'CONSOLIDACION DEL MAPA'!P60)</f>
        <v>Asumir</v>
      </c>
      <c r="D60" s="82" t="str">
        <f>IF('CONSOLIDACION DEL MAPA'!Q60="","",'CONSOLIDACION DEL MAPA'!Q60)</f>
        <v>Seguir ejecutando y monitoreando los controles existentes.</v>
      </c>
      <c r="E60" s="82" t="str">
        <f>IF('CONSOLIDACION DEL MAPA'!R60="","",'CONSOLIDACION DEL MAPA'!R60)</f>
        <v>No Aplica</v>
      </c>
      <c r="F60" s="101"/>
      <c r="G60" s="101"/>
      <c r="H60" s="163"/>
      <c r="I60" s="163"/>
      <c r="J60" s="100">
        <f t="shared" si="1"/>
        <v>0</v>
      </c>
    </row>
    <row r="61" spans="1:10" ht="15.75" x14ac:dyDescent="0.25">
      <c r="A61" s="567"/>
      <c r="B61" s="568"/>
      <c r="C61" s="82" t="str">
        <f>IF('CONSOLIDACION DEL MAPA'!P61="","",'CONSOLIDACION DEL MAPA'!P61)</f>
        <v/>
      </c>
      <c r="D61" s="82" t="str">
        <f>IF('CONSOLIDACION DEL MAPA'!Q61="","",'CONSOLIDACION DEL MAPA'!Q61)</f>
        <v/>
      </c>
      <c r="E61" s="82" t="str">
        <f>IF('CONSOLIDACION DEL MAPA'!R61="","",'CONSOLIDACION DEL MAPA'!R61)</f>
        <v/>
      </c>
      <c r="F61" s="101"/>
      <c r="G61" s="101"/>
      <c r="H61" s="163"/>
      <c r="I61" s="163"/>
      <c r="J61" s="100">
        <f t="shared" si="1"/>
        <v>0</v>
      </c>
    </row>
    <row r="62" spans="1:10" ht="15.75" x14ac:dyDescent="0.25">
      <c r="A62" s="567"/>
      <c r="B62" s="568"/>
      <c r="C62" s="82" t="str">
        <f>IF('CONSOLIDACION DEL MAPA'!P62="","",'CONSOLIDACION DEL MAPA'!P62)</f>
        <v/>
      </c>
      <c r="D62" s="82" t="str">
        <f>IF('CONSOLIDACION DEL MAPA'!Q62="","",'CONSOLIDACION DEL MAPA'!Q62)</f>
        <v/>
      </c>
      <c r="E62" s="82" t="str">
        <f>IF('CONSOLIDACION DEL MAPA'!R62="","",'CONSOLIDACION DEL MAPA'!R62)</f>
        <v/>
      </c>
      <c r="F62" s="101"/>
      <c r="G62" s="101"/>
      <c r="H62" s="163"/>
      <c r="I62" s="163"/>
      <c r="J62" s="100">
        <f t="shared" si="1"/>
        <v>0</v>
      </c>
    </row>
    <row r="63" spans="1:10" ht="25.5" x14ac:dyDescent="0.25">
      <c r="A63" s="567" t="str">
        <f>'CONSOLIDACION DEL MAPA'!A63</f>
        <v>19G</v>
      </c>
      <c r="B63" s="568" t="str">
        <f>'CONSOLIDACION DEL MAPA'!B63</f>
        <v>Gestión de Extensión y Proyección Social. Interrupción en las actividades e incumplimiento de los proyectos de extensión y proyección social, en las zonas de influencia.</v>
      </c>
      <c r="C63" s="82" t="str">
        <f>IF('CONSOLIDACION DEL MAPA'!P63="","",'CONSOLIDACION DEL MAPA'!P63)</f>
        <v>Asumir</v>
      </c>
      <c r="D63" s="82" t="str">
        <f>IF('CONSOLIDACION DEL MAPA'!Q63="","",'CONSOLIDACION DEL MAPA'!Q63)</f>
        <v>Seguir ejecutando y monitoreando los controles existentes.</v>
      </c>
      <c r="E63" s="82" t="str">
        <f>IF('CONSOLIDACION DEL MAPA'!R63="","",'CONSOLIDACION DEL MAPA'!R63)</f>
        <v>No Aplica</v>
      </c>
      <c r="F63" s="101"/>
      <c r="G63" s="101"/>
      <c r="H63" s="163"/>
      <c r="I63" s="163"/>
      <c r="J63" s="100">
        <f t="shared" si="1"/>
        <v>0</v>
      </c>
    </row>
    <row r="64" spans="1:10" ht="15.75" x14ac:dyDescent="0.25">
      <c r="A64" s="567"/>
      <c r="B64" s="568"/>
      <c r="C64" s="82" t="str">
        <f>IF('CONSOLIDACION DEL MAPA'!P64="","",'CONSOLIDACION DEL MAPA'!P64)</f>
        <v/>
      </c>
      <c r="D64" s="82" t="str">
        <f>IF('CONSOLIDACION DEL MAPA'!Q64="","",'CONSOLIDACION DEL MAPA'!Q64)</f>
        <v/>
      </c>
      <c r="E64" s="82" t="str">
        <f>IF('CONSOLIDACION DEL MAPA'!R64="","",'CONSOLIDACION DEL MAPA'!R64)</f>
        <v/>
      </c>
      <c r="F64" s="101"/>
      <c r="G64" s="101"/>
      <c r="H64" s="163"/>
      <c r="I64" s="163"/>
      <c r="J64" s="100">
        <f t="shared" si="1"/>
        <v>0</v>
      </c>
    </row>
    <row r="65" spans="1:10" ht="15.75" x14ac:dyDescent="0.25">
      <c r="A65" s="567"/>
      <c r="B65" s="568"/>
      <c r="C65" s="82" t="str">
        <f>IF('CONSOLIDACION DEL MAPA'!P65="","",'CONSOLIDACION DEL MAPA'!P65)</f>
        <v/>
      </c>
      <c r="D65" s="82" t="str">
        <f>IF('CONSOLIDACION DEL MAPA'!Q65="","",'CONSOLIDACION DEL MAPA'!Q65)</f>
        <v/>
      </c>
      <c r="E65" s="82" t="str">
        <f>IF('CONSOLIDACION DEL MAPA'!R65="","",'CONSOLIDACION DEL MAPA'!R65)</f>
        <v/>
      </c>
      <c r="F65" s="101"/>
      <c r="G65" s="101"/>
      <c r="H65" s="163"/>
      <c r="I65" s="163"/>
      <c r="J65" s="100">
        <f t="shared" si="1"/>
        <v>0</v>
      </c>
    </row>
    <row r="66" spans="1:10" ht="25.5" x14ac:dyDescent="0.25">
      <c r="A66" s="567" t="str">
        <f>'CONSOLIDACION DEL MAPA'!A66</f>
        <v>20G</v>
      </c>
      <c r="B66" s="568" t="str">
        <f>'CONSOLIDACION DEL MAPA'!B66</f>
        <v>Gestión de Contratación. Celebración de contratos sin el cumplimiento de los requisitos internos y externos de carácter contractual</v>
      </c>
      <c r="C66" s="82" t="str">
        <f>IF('CONSOLIDACION DEL MAPA'!P66="","",'CONSOLIDACION DEL MAPA'!P66)</f>
        <v>Asumir</v>
      </c>
      <c r="D66" s="82" t="str">
        <f>IF('CONSOLIDACION DEL MAPA'!Q66="","",'CONSOLIDACION DEL MAPA'!Q66)</f>
        <v>Seguir ejecutando y monitoreando los controles existentes</v>
      </c>
      <c r="E66" s="82" t="str">
        <f>IF('CONSOLIDACION DEL MAPA'!R66="","",'CONSOLIDACION DEL MAPA'!R66)</f>
        <v>No Aplica</v>
      </c>
      <c r="F66" s="101"/>
      <c r="G66" s="101"/>
      <c r="H66" s="163"/>
      <c r="I66" s="163"/>
      <c r="J66" s="100">
        <f t="shared" si="1"/>
        <v>0</v>
      </c>
    </row>
    <row r="67" spans="1:10" ht="15.75" x14ac:dyDescent="0.25">
      <c r="A67" s="567"/>
      <c r="B67" s="568"/>
      <c r="C67" s="82" t="str">
        <f>IF('CONSOLIDACION DEL MAPA'!P67="","",'CONSOLIDACION DEL MAPA'!P67)</f>
        <v/>
      </c>
      <c r="D67" s="82" t="str">
        <f>IF('CONSOLIDACION DEL MAPA'!Q67="","",'CONSOLIDACION DEL MAPA'!Q67)</f>
        <v/>
      </c>
      <c r="E67" s="82" t="str">
        <f>IF('CONSOLIDACION DEL MAPA'!R67="","",'CONSOLIDACION DEL MAPA'!R67)</f>
        <v/>
      </c>
      <c r="F67" s="101"/>
      <c r="G67" s="101"/>
      <c r="H67" s="163"/>
      <c r="I67" s="163"/>
      <c r="J67" s="100">
        <f t="shared" si="1"/>
        <v>0</v>
      </c>
    </row>
    <row r="68" spans="1:10" ht="15.75" x14ac:dyDescent="0.25">
      <c r="A68" s="567"/>
      <c r="B68" s="568"/>
      <c r="C68" s="82" t="str">
        <f>IF('CONSOLIDACION DEL MAPA'!P68="","",'CONSOLIDACION DEL MAPA'!P68)</f>
        <v/>
      </c>
      <c r="D68" s="82" t="str">
        <f>IF('CONSOLIDACION DEL MAPA'!Q68="","",'CONSOLIDACION DEL MAPA'!Q68)</f>
        <v/>
      </c>
      <c r="E68" s="82" t="str">
        <f>IF('CONSOLIDACION DEL MAPA'!R68="","",'CONSOLIDACION DEL MAPA'!R68)</f>
        <v/>
      </c>
      <c r="F68" s="101"/>
      <c r="G68" s="101"/>
      <c r="H68" s="163"/>
      <c r="I68" s="163"/>
      <c r="J68" s="100">
        <f t="shared" si="1"/>
        <v>0</v>
      </c>
    </row>
    <row r="69" spans="1:10" ht="25.5" x14ac:dyDescent="0.25">
      <c r="A69" s="567" t="str">
        <f>'CONSOLIDACION DEL MAPA'!A69</f>
        <v>21G</v>
      </c>
      <c r="B69" s="568" t="str">
        <f>'CONSOLIDACION DEL MAPA'!B69</f>
        <v>Gestión de Contratación. Documentación incompleta en la carpeta contractual</v>
      </c>
      <c r="C69" s="82" t="str">
        <f>IF('CONSOLIDACION DEL MAPA'!P69="","",'CONSOLIDACION DEL MAPA'!P69)</f>
        <v>Asumir</v>
      </c>
      <c r="D69" s="82" t="str">
        <f>IF('CONSOLIDACION DEL MAPA'!Q69="","",'CONSOLIDACION DEL MAPA'!Q69)</f>
        <v>Seguir ejecutando y monitoreando los controles existentes</v>
      </c>
      <c r="E69" s="82" t="str">
        <f>IF('CONSOLIDACION DEL MAPA'!R69="","",'CONSOLIDACION DEL MAPA'!R69)</f>
        <v>No Aplica</v>
      </c>
      <c r="F69" s="101"/>
      <c r="G69" s="101"/>
      <c r="H69" s="163"/>
      <c r="I69" s="163"/>
      <c r="J69" s="100">
        <f t="shared" si="1"/>
        <v>0</v>
      </c>
    </row>
    <row r="70" spans="1:10" ht="15.75" x14ac:dyDescent="0.25">
      <c r="A70" s="567"/>
      <c r="B70" s="568"/>
      <c r="C70" s="82" t="str">
        <f>IF('CONSOLIDACION DEL MAPA'!P70="","",'CONSOLIDACION DEL MAPA'!P70)</f>
        <v/>
      </c>
      <c r="D70" s="82" t="str">
        <f>IF('CONSOLIDACION DEL MAPA'!Q70="","",'CONSOLIDACION DEL MAPA'!Q70)</f>
        <v/>
      </c>
      <c r="E70" s="82" t="str">
        <f>IF('CONSOLIDACION DEL MAPA'!R70="","",'CONSOLIDACION DEL MAPA'!R70)</f>
        <v/>
      </c>
      <c r="F70" s="101"/>
      <c r="G70" s="101"/>
      <c r="H70" s="163"/>
      <c r="I70" s="163"/>
      <c r="J70" s="100">
        <f t="shared" si="1"/>
        <v>0</v>
      </c>
    </row>
    <row r="71" spans="1:10" ht="15.75" x14ac:dyDescent="0.25">
      <c r="A71" s="567"/>
      <c r="B71" s="568"/>
      <c r="C71" s="82" t="str">
        <f>IF('CONSOLIDACION DEL MAPA'!P71="","",'CONSOLIDACION DEL MAPA'!P71)</f>
        <v/>
      </c>
      <c r="D71" s="82" t="str">
        <f>IF('CONSOLIDACION DEL MAPA'!Q71="","",'CONSOLIDACION DEL MAPA'!Q71)</f>
        <v/>
      </c>
      <c r="E71" s="82" t="str">
        <f>IF('CONSOLIDACION DEL MAPA'!R71="","",'CONSOLIDACION DEL MAPA'!R71)</f>
        <v/>
      </c>
      <c r="F71" s="101"/>
      <c r="G71" s="101"/>
      <c r="H71" s="163"/>
      <c r="I71" s="163"/>
      <c r="J71" s="100">
        <f t="shared" si="1"/>
        <v>0</v>
      </c>
    </row>
    <row r="72" spans="1:10" ht="25.5" x14ac:dyDescent="0.25">
      <c r="A72" s="567" t="str">
        <f>'CONSOLIDACION DEL MAPA'!A72</f>
        <v>22G</v>
      </c>
      <c r="B72" s="568" t="str">
        <f>'CONSOLIDACION DEL MAPA'!B72</f>
        <v>Gestión Administrativa. Inseguridad en el campus</v>
      </c>
      <c r="C72" s="82" t="str">
        <f>IF('CONSOLIDACION DEL MAPA'!P72="","",'CONSOLIDACION DEL MAPA'!P72)</f>
        <v>Reducir</v>
      </c>
      <c r="D72" s="82" t="str">
        <f>IF('CONSOLIDACION DEL MAPA'!Q72="","",'CONSOLIDACION DEL MAPA'!Q72)</f>
        <v>Documento analisis de estado de la seguridad y falencias existentes.</v>
      </c>
      <c r="E72" s="82" t="str">
        <f>IF('CONSOLIDACION DEL MAPA'!R72="","",'CONSOLIDACION DEL MAPA'!R72)</f>
        <v>Sin Implementar</v>
      </c>
      <c r="F72" s="101" t="s">
        <v>850</v>
      </c>
      <c r="G72" s="101">
        <v>1</v>
      </c>
      <c r="H72" s="163">
        <v>42371</v>
      </c>
      <c r="I72" s="163">
        <v>42735</v>
      </c>
      <c r="J72" s="100">
        <f t="shared" si="1"/>
        <v>52</v>
      </c>
    </row>
    <row r="73" spans="1:10" ht="51" x14ac:dyDescent="0.25">
      <c r="A73" s="567"/>
      <c r="B73" s="568"/>
      <c r="C73" s="82" t="str">
        <f>IF('CONSOLIDACION DEL MAPA'!P73="","",'CONSOLIDACION DEL MAPA'!P73)</f>
        <v>Reducir</v>
      </c>
      <c r="D73" s="82" t="str">
        <f>IF('CONSOLIDACION DEL MAPA'!Q73="","",'CONSOLIDACION DEL MAPA'!Q73)</f>
        <v>Gestionar compra de PDA, construccion de la sala de monitoreo y contratacion de responsable de monitoreo.</v>
      </c>
      <c r="E73" s="82" t="str">
        <f>IF('CONSOLIDACION DEL MAPA'!R73="","",'CONSOLIDACION DEL MAPA'!R73)</f>
        <v>Sin Implementar</v>
      </c>
      <c r="F73" s="101" t="s">
        <v>851</v>
      </c>
      <c r="G73" s="101">
        <v>3</v>
      </c>
      <c r="H73" s="163">
        <v>42371</v>
      </c>
      <c r="I73" s="163">
        <v>42735</v>
      </c>
      <c r="J73" s="100">
        <f t="shared" si="1"/>
        <v>52</v>
      </c>
    </row>
    <row r="74" spans="1:10" ht="15.75" x14ac:dyDescent="0.25">
      <c r="A74" s="567"/>
      <c r="B74" s="568"/>
      <c r="C74" s="82" t="str">
        <f>IF('CONSOLIDACION DEL MAPA'!P74="","",'CONSOLIDACION DEL MAPA'!P74)</f>
        <v/>
      </c>
      <c r="D74" s="82" t="str">
        <f>IF('CONSOLIDACION DEL MAPA'!Q74="","",'CONSOLIDACION DEL MAPA'!Q74)</f>
        <v/>
      </c>
      <c r="E74" s="82" t="str">
        <f>IF('CONSOLIDACION DEL MAPA'!R74="","",'CONSOLIDACION DEL MAPA'!R74)</f>
        <v/>
      </c>
      <c r="F74" s="101"/>
      <c r="G74" s="101"/>
      <c r="H74" s="163"/>
      <c r="I74" s="163"/>
      <c r="J74" s="100">
        <f t="shared" si="1"/>
        <v>0</v>
      </c>
    </row>
    <row r="75" spans="1:10" ht="15.75" x14ac:dyDescent="0.25">
      <c r="A75" s="567" t="str">
        <f>'CONSOLIDACION DEL MAPA'!A75</f>
        <v>23G</v>
      </c>
      <c r="B75" s="568" t="str">
        <f>'CONSOLIDACION DEL MAPA'!B75</f>
        <v>Gestión Administrativa. Inadecuado gestión de los residuos</v>
      </c>
      <c r="C75" s="82" t="str">
        <f>IF('CONSOLIDACION DEL MAPA'!P75="","",'CONSOLIDACION DEL MAPA'!P75)</f>
        <v>Reducir</v>
      </c>
      <c r="D75" s="82" t="str">
        <f>IF('CONSOLIDACION DEL MAPA'!Q75="","",'CONSOLIDACION DEL MAPA'!Q75)</f>
        <v>Seguimiento de PGIR</v>
      </c>
      <c r="E75" s="82" t="str">
        <f>IF('CONSOLIDACION DEL MAPA'!R75="","",'CONSOLIDACION DEL MAPA'!R75)</f>
        <v>En Ejecución</v>
      </c>
      <c r="F75" s="101" t="s">
        <v>852</v>
      </c>
      <c r="G75" s="101">
        <v>1</v>
      </c>
      <c r="H75" s="163">
        <v>42371</v>
      </c>
      <c r="I75" s="163">
        <v>42735</v>
      </c>
      <c r="J75" s="100">
        <f t="shared" si="1"/>
        <v>52</v>
      </c>
    </row>
    <row r="76" spans="1:10" ht="15.75" x14ac:dyDescent="0.25">
      <c r="A76" s="567"/>
      <c r="B76" s="568"/>
      <c r="C76" s="82" t="str">
        <f>IF('CONSOLIDACION DEL MAPA'!P76="","",'CONSOLIDACION DEL MAPA'!P76)</f>
        <v/>
      </c>
      <c r="D76" s="82" t="str">
        <f>IF('CONSOLIDACION DEL MAPA'!Q76="","",'CONSOLIDACION DEL MAPA'!Q76)</f>
        <v/>
      </c>
      <c r="E76" s="82" t="str">
        <f>IF('CONSOLIDACION DEL MAPA'!R76="","",'CONSOLIDACION DEL MAPA'!R76)</f>
        <v/>
      </c>
      <c r="F76" s="101"/>
      <c r="G76" s="101"/>
      <c r="H76" s="163"/>
      <c r="I76" s="163"/>
      <c r="J76" s="100">
        <f t="shared" si="1"/>
        <v>0</v>
      </c>
    </row>
    <row r="77" spans="1:10" ht="15.75" x14ac:dyDescent="0.25">
      <c r="A77" s="567"/>
      <c r="B77" s="568"/>
      <c r="C77" s="82" t="str">
        <f>IF('CONSOLIDACION DEL MAPA'!P77="","",'CONSOLIDACION DEL MAPA'!P77)</f>
        <v/>
      </c>
      <c r="D77" s="82" t="str">
        <f>IF('CONSOLIDACION DEL MAPA'!Q77="","",'CONSOLIDACION DEL MAPA'!Q77)</f>
        <v/>
      </c>
      <c r="E77" s="82" t="str">
        <f>IF('CONSOLIDACION DEL MAPA'!R77="","",'CONSOLIDACION DEL MAPA'!R77)</f>
        <v/>
      </c>
      <c r="F77" s="101"/>
      <c r="G77" s="101"/>
      <c r="H77" s="163"/>
      <c r="I77" s="163"/>
      <c r="J77" s="100">
        <f t="shared" si="1"/>
        <v>0</v>
      </c>
    </row>
    <row r="78" spans="1:10" ht="63" x14ac:dyDescent="0.25">
      <c r="A78" s="567" t="str">
        <f>'CONSOLIDACION DEL MAPA'!A78</f>
        <v>24G</v>
      </c>
      <c r="B78" s="568" t="str">
        <f>'CONSOLIDACION DEL MAPA'!B78</f>
        <v>Gestión del Talento Humano. Deficiente desempeño laboral de los funcionarios de la Universidad.</v>
      </c>
      <c r="C78" s="82" t="str">
        <f>IF('CONSOLIDACION DEL MAPA'!P78="","",'CONSOLIDACION DEL MAPA'!P78)</f>
        <v>Reducir</v>
      </c>
      <c r="D78" s="82" t="str">
        <f>IF('CONSOLIDACION DEL MAPA'!Q78="","",'CONSOLIDACION DEL MAPA'!Q78)</f>
        <v>Adquirir y aplicar herramientas para evaluar las competencias laborales de los servidores públicos.</v>
      </c>
      <c r="E78" s="82" t="str">
        <f>IF('CONSOLIDACION DEL MAPA'!R78="","",'CONSOLIDACION DEL MAPA'!R78)</f>
        <v>Sin Implementar</v>
      </c>
      <c r="F78" s="101" t="s">
        <v>853</v>
      </c>
      <c r="G78" s="101">
        <v>2</v>
      </c>
      <c r="H78" s="163">
        <v>42401</v>
      </c>
      <c r="I78" s="163">
        <v>42735</v>
      </c>
      <c r="J78" s="100">
        <f t="shared" si="1"/>
        <v>47.714285714285715</v>
      </c>
    </row>
    <row r="79" spans="1:10" ht="51" x14ac:dyDescent="0.25">
      <c r="A79" s="567"/>
      <c r="B79" s="568"/>
      <c r="C79" s="82" t="str">
        <f>IF('CONSOLIDACION DEL MAPA'!P79="","",'CONSOLIDACION DEL MAPA'!P79)</f>
        <v>Reducir</v>
      </c>
      <c r="D79" s="82" t="str">
        <f>IF('CONSOLIDACION DEL MAPA'!Q79="","",'CONSOLIDACION DEL MAPA'!Q79)</f>
        <v>Elaboración y ejecución de un programa detallado de Inducción y/o 
Reinduccion.</v>
      </c>
      <c r="E79" s="82" t="str">
        <f>IF('CONSOLIDACION DEL MAPA'!R79="","",'CONSOLIDACION DEL MAPA'!R79)</f>
        <v>En Ejecución</v>
      </c>
      <c r="F79" s="101" t="s">
        <v>854</v>
      </c>
      <c r="G79" s="101">
        <v>1</v>
      </c>
      <c r="H79" s="163">
        <v>42401</v>
      </c>
      <c r="I79" s="163">
        <v>42735</v>
      </c>
      <c r="J79" s="100">
        <f t="shared" si="1"/>
        <v>47.714285714285715</v>
      </c>
    </row>
    <row r="80" spans="1:10" ht="15.75" x14ac:dyDescent="0.25">
      <c r="A80" s="567"/>
      <c r="B80" s="568"/>
      <c r="C80" s="82" t="str">
        <f>IF('CONSOLIDACION DEL MAPA'!P80="","",'CONSOLIDACION DEL MAPA'!P80)</f>
        <v/>
      </c>
      <c r="D80" s="82" t="str">
        <f>IF('CONSOLIDACION DEL MAPA'!Q80="","",'CONSOLIDACION DEL MAPA'!Q80)</f>
        <v/>
      </c>
      <c r="E80" s="82" t="str">
        <f>IF('CONSOLIDACION DEL MAPA'!R80="","",'CONSOLIDACION DEL MAPA'!R80)</f>
        <v/>
      </c>
      <c r="F80" s="101"/>
      <c r="G80" s="101"/>
      <c r="H80" s="163"/>
      <c r="I80" s="163"/>
      <c r="J80" s="100">
        <f t="shared" si="1"/>
        <v>0</v>
      </c>
    </row>
    <row r="81" spans="1:10" ht="47.25" x14ac:dyDescent="0.25">
      <c r="A81" s="567" t="str">
        <f>'CONSOLIDACION DEL MAPA'!A81</f>
        <v>25G</v>
      </c>
      <c r="B81" s="568" t="str">
        <f>'CONSOLIDACION DEL MAPA'!B81</f>
        <v>Gestión del Talento Humano. Falta de plan de incentivos y/o estímulos.</v>
      </c>
      <c r="C81" s="82" t="str">
        <f>IF('CONSOLIDACION DEL MAPA'!P81="","",'CONSOLIDACION DEL MAPA'!P81)</f>
        <v>Reducir</v>
      </c>
      <c r="D81" s="82" t="str">
        <f>IF('CONSOLIDACION DEL MAPA'!Q81="","",'CONSOLIDACION DEL MAPA'!Q81)</f>
        <v>Elaborar y presentar propuesta del programas de incentivos y bienestar laboral</v>
      </c>
      <c r="E81" s="82" t="str">
        <f>IF('CONSOLIDACION DEL MAPA'!R81="","",'CONSOLIDACION DEL MAPA'!R81)</f>
        <v>En Ejecución</v>
      </c>
      <c r="F81" s="101" t="s">
        <v>855</v>
      </c>
      <c r="G81" s="101">
        <v>1</v>
      </c>
      <c r="H81" s="163">
        <v>42401</v>
      </c>
      <c r="I81" s="163">
        <v>42612</v>
      </c>
      <c r="J81" s="100">
        <f t="shared" si="1"/>
        <v>30.142857142857142</v>
      </c>
    </row>
    <row r="82" spans="1:10" ht="15.75" x14ac:dyDescent="0.25">
      <c r="A82" s="567"/>
      <c r="B82" s="568"/>
      <c r="C82" s="82" t="str">
        <f>IF('CONSOLIDACION DEL MAPA'!P82="","",'CONSOLIDACION DEL MAPA'!P82)</f>
        <v/>
      </c>
      <c r="D82" s="82" t="str">
        <f>IF('CONSOLIDACION DEL MAPA'!Q82="","",'CONSOLIDACION DEL MAPA'!Q82)</f>
        <v/>
      </c>
      <c r="E82" s="82" t="str">
        <f>IF('CONSOLIDACION DEL MAPA'!R82="","",'CONSOLIDACION DEL MAPA'!R82)</f>
        <v/>
      </c>
      <c r="F82" s="101"/>
      <c r="G82" s="101"/>
      <c r="H82" s="163"/>
      <c r="I82" s="163"/>
      <c r="J82" s="100">
        <f t="shared" si="1"/>
        <v>0</v>
      </c>
    </row>
    <row r="83" spans="1:10" ht="15.75" x14ac:dyDescent="0.25">
      <c r="A83" s="567"/>
      <c r="B83" s="568"/>
      <c r="C83" s="82" t="str">
        <f>IF('CONSOLIDACION DEL MAPA'!P83="","",'CONSOLIDACION DEL MAPA'!P83)</f>
        <v/>
      </c>
      <c r="D83" s="82" t="str">
        <f>IF('CONSOLIDACION DEL MAPA'!Q83="","",'CONSOLIDACION DEL MAPA'!Q83)</f>
        <v/>
      </c>
      <c r="E83" s="82" t="str">
        <f>IF('CONSOLIDACION DEL MAPA'!R83="","",'CONSOLIDACION DEL MAPA'!R83)</f>
        <v/>
      </c>
      <c r="F83" s="101"/>
      <c r="G83" s="101"/>
      <c r="H83" s="163"/>
      <c r="I83" s="163"/>
      <c r="J83" s="100">
        <f t="shared" si="1"/>
        <v>0</v>
      </c>
    </row>
    <row r="84" spans="1:10" ht="47.25" x14ac:dyDescent="0.25">
      <c r="A84" s="567" t="str">
        <f>'CONSOLIDACION DEL MAPA'!A84</f>
        <v>26G</v>
      </c>
      <c r="B84" s="568" t="str">
        <f>'CONSOLIDACION DEL MAPA'!B84</f>
        <v>Gestión del Talento Humano. Demoras en la afilicación de catedráticos y ocasionales al Sistema de Seguridad Social Integral, y de los contratistas y estudiantes de Práctica a la Administradora de Riesgos Laborales.</v>
      </c>
      <c r="C84" s="82" t="str">
        <f>IF('CONSOLIDACION DEL MAPA'!P84="","",'CONSOLIDACION DEL MAPA'!P84)</f>
        <v>Reducir</v>
      </c>
      <c r="D84" s="82" t="str">
        <f>IF('CONSOLIDACION DEL MAPA'!Q84="","",'CONSOLIDACION DEL MAPA'!Q84)</f>
        <v>Elaboración y aprobación del procedimiento de Seguridad Social</v>
      </c>
      <c r="E84" s="82" t="str">
        <f>IF('CONSOLIDACION DEL MAPA'!R84="","",'CONSOLIDACION DEL MAPA'!R84)</f>
        <v>Sin Implementar</v>
      </c>
      <c r="F84" s="101" t="s">
        <v>856</v>
      </c>
      <c r="G84" s="101">
        <v>1</v>
      </c>
      <c r="H84" s="163">
        <v>42430</v>
      </c>
      <c r="I84" s="163">
        <v>42735</v>
      </c>
      <c r="J84" s="100">
        <f t="shared" si="1"/>
        <v>43.571428571428569</v>
      </c>
    </row>
    <row r="85" spans="1:10" ht="15.75" x14ac:dyDescent="0.25">
      <c r="A85" s="567"/>
      <c r="B85" s="568"/>
      <c r="C85" s="82" t="str">
        <f>IF('CONSOLIDACION DEL MAPA'!P85="","",'CONSOLIDACION DEL MAPA'!P85)</f>
        <v/>
      </c>
      <c r="D85" s="82" t="str">
        <f>IF('CONSOLIDACION DEL MAPA'!Q85="","",'CONSOLIDACION DEL MAPA'!Q85)</f>
        <v/>
      </c>
      <c r="E85" s="82" t="str">
        <f>IF('CONSOLIDACION DEL MAPA'!R85="","",'CONSOLIDACION DEL MAPA'!R85)</f>
        <v/>
      </c>
      <c r="F85" s="101"/>
      <c r="G85" s="101"/>
      <c r="H85" s="163"/>
      <c r="I85" s="163"/>
      <c r="J85" s="100">
        <f t="shared" si="1"/>
        <v>0</v>
      </c>
    </row>
    <row r="86" spans="1:10" ht="15.75" x14ac:dyDescent="0.25">
      <c r="A86" s="567"/>
      <c r="B86" s="568"/>
      <c r="C86" s="82" t="str">
        <f>IF('CONSOLIDACION DEL MAPA'!P86="","",'CONSOLIDACION DEL MAPA'!P86)</f>
        <v/>
      </c>
      <c r="D86" s="82" t="str">
        <f>IF('CONSOLIDACION DEL MAPA'!Q86="","",'CONSOLIDACION DEL MAPA'!Q86)</f>
        <v/>
      </c>
      <c r="E86" s="82" t="str">
        <f>IF('CONSOLIDACION DEL MAPA'!R86="","",'CONSOLIDACION DEL MAPA'!R86)</f>
        <v/>
      </c>
      <c r="F86" s="101"/>
      <c r="G86" s="101"/>
      <c r="H86" s="163"/>
      <c r="I86" s="163"/>
      <c r="J86" s="100">
        <f t="shared" si="1"/>
        <v>0</v>
      </c>
    </row>
    <row r="87" spans="1:10" ht="25.5" x14ac:dyDescent="0.25">
      <c r="A87" s="567" t="str">
        <f>'CONSOLIDACION DEL MAPA'!A87</f>
        <v>27G</v>
      </c>
      <c r="B87" s="568" t="str">
        <f>'CONSOLIDACION DEL MAPA'!B87</f>
        <v>Evaluación Independiente. Deficiente evaluación y verificacion de la existencia, nivel de desarrollo y grado de efectividad del Sistema de Control Interno</v>
      </c>
      <c r="C87" s="82" t="str">
        <f>IF('CONSOLIDACION DEL MAPA'!P87="","",'CONSOLIDACION DEL MAPA'!P87)</f>
        <v>Asumir</v>
      </c>
      <c r="D87" s="82" t="str">
        <f>IF('CONSOLIDACION DEL MAPA'!Q87="","",'CONSOLIDACION DEL MAPA'!Q87)</f>
        <v>Seguir ejecutando y monitoreando los controles existentes</v>
      </c>
      <c r="E87" s="82" t="str">
        <f>IF('CONSOLIDACION DEL MAPA'!R87="","",'CONSOLIDACION DEL MAPA'!R87)</f>
        <v>No Aplica</v>
      </c>
      <c r="F87" s="101"/>
      <c r="G87" s="101"/>
      <c r="H87" s="163"/>
      <c r="I87" s="163"/>
      <c r="J87" s="100">
        <f t="shared" si="1"/>
        <v>0</v>
      </c>
    </row>
    <row r="88" spans="1:10" ht="15.75" x14ac:dyDescent="0.25">
      <c r="A88" s="567"/>
      <c r="B88" s="568"/>
      <c r="C88" s="82" t="str">
        <f>IF('CONSOLIDACION DEL MAPA'!P88="","",'CONSOLIDACION DEL MAPA'!P88)</f>
        <v/>
      </c>
      <c r="D88" s="82" t="str">
        <f>IF('CONSOLIDACION DEL MAPA'!Q88="","",'CONSOLIDACION DEL MAPA'!Q88)</f>
        <v/>
      </c>
      <c r="E88" s="82" t="str">
        <f>IF('CONSOLIDACION DEL MAPA'!R88="","",'CONSOLIDACION DEL MAPA'!R88)</f>
        <v/>
      </c>
      <c r="F88" s="101"/>
      <c r="G88" s="101"/>
      <c r="H88" s="163"/>
      <c r="I88" s="163"/>
      <c r="J88" s="100">
        <f t="shared" si="1"/>
        <v>0</v>
      </c>
    </row>
    <row r="89" spans="1:10" ht="15.75" x14ac:dyDescent="0.25">
      <c r="A89" s="567"/>
      <c r="B89" s="568"/>
      <c r="C89" s="82" t="str">
        <f>IF('CONSOLIDACION DEL MAPA'!P89="","",'CONSOLIDACION DEL MAPA'!P89)</f>
        <v/>
      </c>
      <c r="D89" s="82" t="str">
        <f>IF('CONSOLIDACION DEL MAPA'!Q89="","",'CONSOLIDACION DEL MAPA'!Q89)</f>
        <v/>
      </c>
      <c r="E89" s="82" t="str">
        <f>IF('CONSOLIDACION DEL MAPA'!R89="","",'CONSOLIDACION DEL MAPA'!R89)</f>
        <v/>
      </c>
      <c r="F89" s="101"/>
      <c r="G89" s="101"/>
      <c r="H89" s="163"/>
      <c r="I89" s="163"/>
      <c r="J89" s="100">
        <f t="shared" si="1"/>
        <v>0</v>
      </c>
    </row>
    <row r="90" spans="1:10" ht="25.5" x14ac:dyDescent="0.25">
      <c r="A90" s="567" t="str">
        <f>'CONSOLIDACION DEL MAPA'!A90</f>
        <v>28G</v>
      </c>
      <c r="B90" s="568" t="str">
        <f>'CONSOLIDACION DEL MAPA'!B90</f>
        <v>Evaluación Independiente. Deficiente evaluación del nivel de avance de las acciones pactadas en los planes de mejoramiento</v>
      </c>
      <c r="C90" s="82" t="str">
        <f>IF('CONSOLIDACION DEL MAPA'!P90="","",'CONSOLIDACION DEL MAPA'!P90)</f>
        <v>Asumir</v>
      </c>
      <c r="D90" s="82" t="str">
        <f>IF('CONSOLIDACION DEL MAPA'!Q90="","",'CONSOLIDACION DEL MAPA'!Q90)</f>
        <v>Seguir ejecutando y monitoreando los controles existentes</v>
      </c>
      <c r="E90" s="82" t="str">
        <f>IF('CONSOLIDACION DEL MAPA'!R90="","",'CONSOLIDACION DEL MAPA'!R90)</f>
        <v>No Aplica</v>
      </c>
      <c r="F90" s="101"/>
      <c r="G90" s="101"/>
      <c r="H90" s="163"/>
      <c r="I90" s="163"/>
      <c r="J90" s="100">
        <f t="shared" si="1"/>
        <v>0</v>
      </c>
    </row>
    <row r="91" spans="1:10" ht="15.75" x14ac:dyDescent="0.25">
      <c r="A91" s="567"/>
      <c r="B91" s="568"/>
      <c r="C91" s="82" t="str">
        <f>IF('CONSOLIDACION DEL MAPA'!P91="","",'CONSOLIDACION DEL MAPA'!P91)</f>
        <v/>
      </c>
      <c r="D91" s="82" t="str">
        <f>IF('CONSOLIDACION DEL MAPA'!Q91="","",'CONSOLIDACION DEL MAPA'!Q91)</f>
        <v/>
      </c>
      <c r="E91" s="82" t="str">
        <f>IF('CONSOLIDACION DEL MAPA'!R91="","",'CONSOLIDACION DEL MAPA'!R91)</f>
        <v/>
      </c>
      <c r="F91" s="101"/>
      <c r="G91" s="101"/>
      <c r="H91" s="163"/>
      <c r="I91" s="163"/>
      <c r="J91" s="100">
        <f t="shared" si="1"/>
        <v>0</v>
      </c>
    </row>
    <row r="92" spans="1:10" ht="16.5" thickBot="1" x14ac:dyDescent="0.3">
      <c r="A92" s="567"/>
      <c r="B92" s="568"/>
      <c r="C92" s="82" t="str">
        <f>IF('CONSOLIDACION DEL MAPA'!P92="","",'CONSOLIDACION DEL MAPA'!P92)</f>
        <v/>
      </c>
      <c r="D92" s="82" t="str">
        <f>IF('CONSOLIDACION DEL MAPA'!Q92="","",'CONSOLIDACION DEL MAPA'!Q92)</f>
        <v/>
      </c>
      <c r="E92" s="82" t="str">
        <f>IF('CONSOLIDACION DEL MAPA'!R92="","",'CONSOLIDACION DEL MAPA'!R92)</f>
        <v/>
      </c>
      <c r="F92" s="101"/>
      <c r="G92" s="101"/>
      <c r="H92" s="163"/>
      <c r="I92" s="163"/>
      <c r="J92" s="100">
        <f t="shared" si="1"/>
        <v>0</v>
      </c>
    </row>
    <row r="93" spans="1:10" ht="16.5" customHeight="1" thickTop="1" thickBot="1" x14ac:dyDescent="0.25">
      <c r="A93" s="460" t="str">
        <f>IDENTIFICACIÓN!A37</f>
        <v>RIESGOS DE CORRUPCIÓN</v>
      </c>
      <c r="B93" s="461"/>
      <c r="C93" s="461"/>
      <c r="D93" s="461"/>
      <c r="E93" s="461"/>
      <c r="F93" s="461"/>
      <c r="G93" s="461"/>
      <c r="H93" s="461"/>
      <c r="I93" s="462"/>
      <c r="J93" s="253"/>
    </row>
    <row r="94" spans="1:10" ht="51.75" thickTop="1" x14ac:dyDescent="0.25">
      <c r="A94" s="569" t="str">
        <f>'CONSOLIDACION DEL MAPA'!A94</f>
        <v>1C</v>
      </c>
      <c r="B94" s="568" t="str">
        <f>'CONSOLIDACION DEL MAPA'!B94</f>
        <v>Relaciones Interinstitucionales. Tráfico de Influencias</v>
      </c>
      <c r="C94" s="82" t="str">
        <f>IF('CONSOLIDACION DEL MAPA'!P94="","",'CONSOLIDACION DEL MAPA'!P94)</f>
        <v>Evitar</v>
      </c>
      <c r="D94" s="82" t="str">
        <f>IF('CONSOLIDACION DEL MAPA'!Q94="","",'CONSOLIDACION DEL MAPA'!Q94)</f>
        <v xml:space="preserve">Asistencia a capacitaciones (transparencia, buen gobierno, etc) organizadas por Rectoría, Talento Humano y/o contratación. </v>
      </c>
      <c r="E94" s="82" t="str">
        <f>IF('CONSOLIDACION DEL MAPA'!R94="","",'CONSOLIDACION DEL MAPA'!R94)</f>
        <v>En Ejecución</v>
      </c>
      <c r="F94" s="101" t="s">
        <v>857</v>
      </c>
      <c r="G94" s="101">
        <v>1</v>
      </c>
      <c r="H94" s="163">
        <v>42370</v>
      </c>
      <c r="I94" s="163">
        <v>42490</v>
      </c>
      <c r="J94" s="100">
        <f t="shared" ref="J94:J108" si="2">(I94-H94)/7</f>
        <v>17.142857142857142</v>
      </c>
    </row>
    <row r="95" spans="1:10" ht="15.75" x14ac:dyDescent="0.25">
      <c r="A95" s="570"/>
      <c r="B95" s="568"/>
      <c r="C95" s="82" t="str">
        <f>IF('CONSOLIDACION DEL MAPA'!P95="","",'CONSOLIDACION DEL MAPA'!P95)</f>
        <v/>
      </c>
      <c r="D95" s="82" t="str">
        <f>IF('CONSOLIDACION DEL MAPA'!Q95="","",'CONSOLIDACION DEL MAPA'!Q95)</f>
        <v/>
      </c>
      <c r="E95" s="82" t="str">
        <f>IF('CONSOLIDACION DEL MAPA'!R95="","",'CONSOLIDACION DEL MAPA'!R95)</f>
        <v/>
      </c>
      <c r="F95" s="101"/>
      <c r="G95" s="101"/>
      <c r="H95" s="163"/>
      <c r="I95" s="163"/>
      <c r="J95" s="100">
        <f t="shared" si="2"/>
        <v>0</v>
      </c>
    </row>
    <row r="96" spans="1:10" ht="16.5" thickBot="1" x14ac:dyDescent="0.3">
      <c r="A96" s="571"/>
      <c r="B96" s="568"/>
      <c r="C96" s="82" t="str">
        <f>IF('CONSOLIDACION DEL MAPA'!P96="","",'CONSOLIDACION DEL MAPA'!P96)</f>
        <v/>
      </c>
      <c r="D96" s="82" t="str">
        <f>IF('CONSOLIDACION DEL MAPA'!Q96="","",'CONSOLIDACION DEL MAPA'!Q96)</f>
        <v/>
      </c>
      <c r="E96" s="82" t="str">
        <f>IF('CONSOLIDACION DEL MAPA'!R96="","",'CONSOLIDACION DEL MAPA'!R96)</f>
        <v/>
      </c>
      <c r="F96" s="101"/>
      <c r="G96" s="101"/>
      <c r="H96" s="163"/>
      <c r="I96" s="163"/>
      <c r="J96" s="100">
        <f t="shared" si="2"/>
        <v>0</v>
      </c>
    </row>
    <row r="97" spans="1:10" ht="26.25" thickTop="1" x14ac:dyDescent="0.25">
      <c r="A97" s="569" t="str">
        <f>'CONSOLIDACION DEL MAPA'!A97</f>
        <v>2C</v>
      </c>
      <c r="B97" s="568" t="str">
        <f>'CONSOLIDACION DEL MAPA'!B97</f>
        <v>Dirección y Planeación. Ausencia o debilidad de procesos y procedimientos para la gestión administrativa y misional</v>
      </c>
      <c r="C97" s="82" t="str">
        <f>IF('CONSOLIDACION DEL MAPA'!P97="","",'CONSOLIDACION DEL MAPA'!P97)</f>
        <v>No Establecer</v>
      </c>
      <c r="D97" s="82" t="str">
        <f>IF('CONSOLIDACION DEL MAPA'!Q97="","",'CONSOLIDACION DEL MAPA'!Q97)</f>
        <v>Seguir ejecutando y monitoreando los controles existentes</v>
      </c>
      <c r="E97" s="82" t="str">
        <f>IF('CONSOLIDACION DEL MAPA'!R97="","",'CONSOLIDACION DEL MAPA'!R97)</f>
        <v>No Aplica</v>
      </c>
      <c r="F97" s="101"/>
      <c r="G97" s="101"/>
      <c r="H97" s="163"/>
      <c r="I97" s="163"/>
      <c r="J97" s="100">
        <f t="shared" si="2"/>
        <v>0</v>
      </c>
    </row>
    <row r="98" spans="1:10" ht="15.75" x14ac:dyDescent="0.25">
      <c r="A98" s="570"/>
      <c r="B98" s="568"/>
      <c r="C98" s="82" t="str">
        <f>IF('CONSOLIDACION DEL MAPA'!P98="","",'CONSOLIDACION DEL MAPA'!P98)</f>
        <v/>
      </c>
      <c r="D98" s="82" t="str">
        <f>IF('CONSOLIDACION DEL MAPA'!Q98="","",'CONSOLIDACION DEL MAPA'!Q98)</f>
        <v/>
      </c>
      <c r="E98" s="82" t="str">
        <f>IF('CONSOLIDACION DEL MAPA'!R98="","",'CONSOLIDACION DEL MAPA'!R98)</f>
        <v/>
      </c>
      <c r="F98" s="101"/>
      <c r="G98" s="101"/>
      <c r="H98" s="163"/>
      <c r="I98" s="163"/>
      <c r="J98" s="100">
        <f t="shared" si="2"/>
        <v>0</v>
      </c>
    </row>
    <row r="99" spans="1:10" ht="16.5" thickBot="1" x14ac:dyDescent="0.3">
      <c r="A99" s="571"/>
      <c r="B99" s="568"/>
      <c r="C99" s="82" t="str">
        <f>IF('CONSOLIDACION DEL MAPA'!P99="","",'CONSOLIDACION DEL MAPA'!P99)</f>
        <v/>
      </c>
      <c r="D99" s="82" t="str">
        <f>IF('CONSOLIDACION DEL MAPA'!Q99="","",'CONSOLIDACION DEL MAPA'!Q99)</f>
        <v/>
      </c>
      <c r="E99" s="82" t="str">
        <f>IF('CONSOLIDACION DEL MAPA'!R99="","",'CONSOLIDACION DEL MAPA'!R99)</f>
        <v/>
      </c>
      <c r="F99" s="101"/>
      <c r="G99" s="101"/>
      <c r="H99" s="163"/>
      <c r="I99" s="163"/>
      <c r="J99" s="100">
        <f t="shared" si="2"/>
        <v>0</v>
      </c>
    </row>
    <row r="100" spans="1:10" ht="26.25" thickTop="1" x14ac:dyDescent="0.25">
      <c r="A100" s="569" t="str">
        <f>'CONSOLIDACION DEL MAPA'!A100</f>
        <v>3C</v>
      </c>
      <c r="B100" s="568" t="str">
        <f>'CONSOLIDACION DEL MAPA'!B100</f>
        <v>Dirección y Planeación. Prevaricato</v>
      </c>
      <c r="C100" s="82" t="str">
        <f>IF('CONSOLIDACION DEL MAPA'!P100="","",'CONSOLIDACION DEL MAPA'!P100)</f>
        <v>No Establecer</v>
      </c>
      <c r="D100" s="82" t="str">
        <f>IF('CONSOLIDACION DEL MAPA'!Q100="","",'CONSOLIDACION DEL MAPA'!Q100)</f>
        <v>Seguir ejecutando y monitoreando los controles existentes</v>
      </c>
      <c r="E100" s="82" t="str">
        <f>IF('CONSOLIDACION DEL MAPA'!R100="","",'CONSOLIDACION DEL MAPA'!R100)</f>
        <v>No Aplica</v>
      </c>
      <c r="F100" s="101"/>
      <c r="G100" s="101"/>
      <c r="H100" s="163"/>
      <c r="I100" s="163"/>
      <c r="J100" s="100">
        <f t="shared" si="2"/>
        <v>0</v>
      </c>
    </row>
    <row r="101" spans="1:10" ht="15.75" x14ac:dyDescent="0.25">
      <c r="A101" s="570"/>
      <c r="B101" s="568"/>
      <c r="C101" s="82" t="str">
        <f>IF('CONSOLIDACION DEL MAPA'!P101="","",'CONSOLIDACION DEL MAPA'!P101)</f>
        <v/>
      </c>
      <c r="D101" s="82" t="str">
        <f>IF('CONSOLIDACION DEL MAPA'!Q101="","",'CONSOLIDACION DEL MAPA'!Q101)</f>
        <v/>
      </c>
      <c r="E101" s="82" t="str">
        <f>IF('CONSOLIDACION DEL MAPA'!R101="","",'CONSOLIDACION DEL MAPA'!R101)</f>
        <v/>
      </c>
      <c r="F101" s="101"/>
      <c r="G101" s="101"/>
      <c r="H101" s="163"/>
      <c r="I101" s="163"/>
      <c r="J101" s="100">
        <f t="shared" si="2"/>
        <v>0</v>
      </c>
    </row>
    <row r="102" spans="1:10" ht="16.5" thickBot="1" x14ac:dyDescent="0.3">
      <c r="A102" s="571"/>
      <c r="B102" s="568"/>
      <c r="C102" s="82" t="str">
        <f>IF('CONSOLIDACION DEL MAPA'!P102="","",'CONSOLIDACION DEL MAPA'!P102)</f>
        <v/>
      </c>
      <c r="D102" s="82" t="str">
        <f>IF('CONSOLIDACION DEL MAPA'!Q102="","",'CONSOLIDACION DEL MAPA'!Q102)</f>
        <v/>
      </c>
      <c r="E102" s="82" t="str">
        <f>IF('CONSOLIDACION DEL MAPA'!R102="","",'CONSOLIDACION DEL MAPA'!R102)</f>
        <v/>
      </c>
      <c r="F102" s="101"/>
      <c r="G102" s="101"/>
      <c r="H102" s="163"/>
      <c r="I102" s="163"/>
      <c r="J102" s="100">
        <f t="shared" si="2"/>
        <v>0</v>
      </c>
    </row>
    <row r="103" spans="1:10" ht="26.25" thickTop="1" x14ac:dyDescent="0.25">
      <c r="A103" s="569" t="str">
        <f>'CONSOLIDACION DEL MAPA'!A103</f>
        <v>4C</v>
      </c>
      <c r="B103" s="568" t="str">
        <f>'CONSOLIDACION DEL MAPA'!B103</f>
        <v>Dirección y Planeación. Malversación de Recursos</v>
      </c>
      <c r="C103" s="82" t="str">
        <f>IF('CONSOLIDACION DEL MAPA'!P103="","",'CONSOLIDACION DEL MAPA'!P103)</f>
        <v>No Establecer</v>
      </c>
      <c r="D103" s="82" t="str">
        <f>IF('CONSOLIDACION DEL MAPA'!Q103="","",'CONSOLIDACION DEL MAPA'!Q103)</f>
        <v>Seguir ejecutando y monitoreando los controles existentes</v>
      </c>
      <c r="E103" s="82" t="str">
        <f>IF('CONSOLIDACION DEL MAPA'!R103="","",'CONSOLIDACION DEL MAPA'!R103)</f>
        <v>No Aplica</v>
      </c>
      <c r="F103" s="101"/>
      <c r="G103" s="101"/>
      <c r="H103" s="163"/>
      <c r="I103" s="163"/>
      <c r="J103" s="100">
        <f t="shared" si="2"/>
        <v>0</v>
      </c>
    </row>
    <row r="104" spans="1:10" ht="15.75" x14ac:dyDescent="0.25">
      <c r="A104" s="570"/>
      <c r="B104" s="568"/>
      <c r="C104" s="82" t="str">
        <f>IF('CONSOLIDACION DEL MAPA'!P104="","",'CONSOLIDACION DEL MAPA'!P104)</f>
        <v/>
      </c>
      <c r="D104" s="82" t="str">
        <f>IF('CONSOLIDACION DEL MAPA'!Q104="","",'CONSOLIDACION DEL MAPA'!Q104)</f>
        <v/>
      </c>
      <c r="E104" s="82" t="str">
        <f>IF('CONSOLIDACION DEL MAPA'!R104="","",'CONSOLIDACION DEL MAPA'!R104)</f>
        <v/>
      </c>
      <c r="F104" s="101"/>
      <c r="G104" s="101"/>
      <c r="H104" s="163"/>
      <c r="I104" s="163"/>
      <c r="J104" s="100">
        <f t="shared" si="2"/>
        <v>0</v>
      </c>
    </row>
    <row r="105" spans="1:10" ht="16.5" thickBot="1" x14ac:dyDescent="0.3">
      <c r="A105" s="571"/>
      <c r="B105" s="568"/>
      <c r="C105" s="82" t="str">
        <f>IF('CONSOLIDACION DEL MAPA'!P105="","",'CONSOLIDACION DEL MAPA'!P105)</f>
        <v/>
      </c>
      <c r="D105" s="82" t="str">
        <f>IF('CONSOLIDACION DEL MAPA'!Q105="","",'CONSOLIDACION DEL MAPA'!Q105)</f>
        <v/>
      </c>
      <c r="E105" s="82" t="str">
        <f>IF('CONSOLIDACION DEL MAPA'!R105="","",'CONSOLIDACION DEL MAPA'!R105)</f>
        <v/>
      </c>
      <c r="F105" s="101"/>
      <c r="G105" s="101"/>
      <c r="H105" s="163"/>
      <c r="I105" s="163"/>
      <c r="J105" s="100">
        <f t="shared" si="2"/>
        <v>0</v>
      </c>
    </row>
    <row r="106" spans="1:10" ht="26.25" thickTop="1" x14ac:dyDescent="0.25">
      <c r="A106" s="569" t="str">
        <f>'CONSOLIDACION DEL MAPA'!A106</f>
        <v>5C</v>
      </c>
      <c r="B106" s="568" t="str">
        <f>'CONSOLIDACION DEL MAPA'!B106</f>
        <v>Acreditación. Deficiencias en el manejo documental y de archivo</v>
      </c>
      <c r="C106" s="82" t="str">
        <f>IF('CONSOLIDACION DEL MAPA'!P106="","",'CONSOLIDACION DEL MAPA'!P106)</f>
        <v>Reducir</v>
      </c>
      <c r="D106" s="82" t="str">
        <f>IF('CONSOLIDACION DEL MAPA'!Q106="","",'CONSOLIDACION DEL MAPA'!Q106)</f>
        <v>Cumplimiento de metas acordes con el plan de trabajo.</v>
      </c>
      <c r="E106" s="82" t="str">
        <f>IF('CONSOLIDACION DEL MAPA'!R106="","",'CONSOLIDACION DEL MAPA'!R106)</f>
        <v>Sin Implementar</v>
      </c>
      <c r="F106" s="101" t="s">
        <v>117</v>
      </c>
      <c r="G106" s="101">
        <v>1</v>
      </c>
      <c r="H106" s="163">
        <v>42383</v>
      </c>
      <c r="I106" s="163">
        <v>42720</v>
      </c>
      <c r="J106" s="100">
        <f t="shared" si="2"/>
        <v>48.142857142857146</v>
      </c>
    </row>
    <row r="107" spans="1:10" ht="15.75" x14ac:dyDescent="0.25">
      <c r="A107" s="570"/>
      <c r="B107" s="568"/>
      <c r="C107" s="82" t="str">
        <f>IF('CONSOLIDACION DEL MAPA'!P107="","",'CONSOLIDACION DEL MAPA'!P107)</f>
        <v/>
      </c>
      <c r="D107" s="82" t="str">
        <f>IF('CONSOLIDACION DEL MAPA'!Q107="","",'CONSOLIDACION DEL MAPA'!Q107)</f>
        <v/>
      </c>
      <c r="E107" s="82" t="str">
        <f>IF('CONSOLIDACION DEL MAPA'!R107="","",'CONSOLIDACION DEL MAPA'!R107)</f>
        <v/>
      </c>
      <c r="F107" s="101"/>
      <c r="G107" s="101"/>
      <c r="H107" s="163"/>
      <c r="I107" s="163"/>
      <c r="J107" s="100">
        <f t="shared" si="2"/>
        <v>0</v>
      </c>
    </row>
    <row r="108" spans="1:10" ht="16.5" thickBot="1" x14ac:dyDescent="0.3">
      <c r="A108" s="571"/>
      <c r="B108" s="568"/>
      <c r="C108" s="82" t="str">
        <f>IF('CONSOLIDACION DEL MAPA'!P108="","",'CONSOLIDACION DEL MAPA'!P108)</f>
        <v/>
      </c>
      <c r="D108" s="82" t="str">
        <f>IF('CONSOLIDACION DEL MAPA'!Q108="","",'CONSOLIDACION DEL MAPA'!Q108)</f>
        <v/>
      </c>
      <c r="E108" s="82" t="str">
        <f>IF('CONSOLIDACION DEL MAPA'!R108="","",'CONSOLIDACION DEL MAPA'!R108)</f>
        <v/>
      </c>
      <c r="F108" s="101"/>
      <c r="G108" s="101"/>
      <c r="H108" s="163"/>
      <c r="I108" s="163"/>
      <c r="J108" s="100">
        <f t="shared" si="2"/>
        <v>0</v>
      </c>
    </row>
    <row r="109" spans="1:10" ht="26.25" thickTop="1" x14ac:dyDescent="0.25">
      <c r="A109" s="569" t="str">
        <f>'CONSOLIDACION DEL MAPA'!A109</f>
        <v>6C</v>
      </c>
      <c r="B109" s="568" t="str">
        <f>'CONSOLIDACION DEL MAPA'!B109</f>
        <v>Acreditación. Concentración de información de determinadas actividades o procesos en una persona</v>
      </c>
      <c r="C109" s="82" t="str">
        <f>IF('CONSOLIDACION DEL MAPA'!P109="","",'CONSOLIDACION DEL MAPA'!P109)</f>
        <v>Reducir</v>
      </c>
      <c r="D109" s="82" t="str">
        <f>IF('CONSOLIDACION DEL MAPA'!Q109="","",'CONSOLIDACION DEL MAPA'!Q109)</f>
        <v>Cumplimiento de metas acordes con el plan de trabajo.</v>
      </c>
      <c r="E109" s="82" t="str">
        <f>IF('CONSOLIDACION DEL MAPA'!R109="","",'CONSOLIDACION DEL MAPA'!R109)</f>
        <v>Sin Implementar</v>
      </c>
      <c r="F109" s="101" t="s">
        <v>117</v>
      </c>
      <c r="G109" s="101">
        <v>1</v>
      </c>
      <c r="H109" s="163">
        <v>42383</v>
      </c>
      <c r="I109" s="163">
        <v>42720</v>
      </c>
      <c r="J109" s="100">
        <f t="shared" ref="J109:J129" si="3">(I109-H109)/7</f>
        <v>48.142857142857146</v>
      </c>
    </row>
    <row r="110" spans="1:10" ht="15.75" x14ac:dyDescent="0.25">
      <c r="A110" s="570"/>
      <c r="B110" s="568"/>
      <c r="C110" s="82" t="str">
        <f>IF('CONSOLIDACION DEL MAPA'!P110="","",'CONSOLIDACION DEL MAPA'!P110)</f>
        <v/>
      </c>
      <c r="D110" s="82" t="str">
        <f>IF('CONSOLIDACION DEL MAPA'!Q110="","",'CONSOLIDACION DEL MAPA'!Q110)</f>
        <v/>
      </c>
      <c r="E110" s="82" t="str">
        <f>IF('CONSOLIDACION DEL MAPA'!R110="","",'CONSOLIDACION DEL MAPA'!R110)</f>
        <v/>
      </c>
      <c r="F110" s="101"/>
      <c r="G110" s="101"/>
      <c r="H110" s="163"/>
      <c r="I110" s="163"/>
      <c r="J110" s="100">
        <f t="shared" si="3"/>
        <v>0</v>
      </c>
    </row>
    <row r="111" spans="1:10" ht="16.5" thickBot="1" x14ac:dyDescent="0.3">
      <c r="A111" s="571"/>
      <c r="B111" s="568"/>
      <c r="C111" s="82" t="str">
        <f>IF('CONSOLIDACION DEL MAPA'!P111="","",'CONSOLIDACION DEL MAPA'!P111)</f>
        <v/>
      </c>
      <c r="D111" s="82" t="str">
        <f>IF('CONSOLIDACION DEL MAPA'!Q111="","",'CONSOLIDACION DEL MAPA'!Q111)</f>
        <v/>
      </c>
      <c r="E111" s="82" t="str">
        <f>IF('CONSOLIDACION DEL MAPA'!R111="","",'CONSOLIDACION DEL MAPA'!R111)</f>
        <v/>
      </c>
      <c r="F111" s="101"/>
      <c r="G111" s="101"/>
      <c r="H111" s="163"/>
      <c r="I111" s="163"/>
      <c r="J111" s="100">
        <f t="shared" si="3"/>
        <v>0</v>
      </c>
    </row>
    <row r="112" spans="1:10" ht="26.25" thickTop="1" x14ac:dyDescent="0.25">
      <c r="A112" s="569" t="str">
        <f>'CONSOLIDACION DEL MAPA'!A112</f>
        <v>7C</v>
      </c>
      <c r="B112" s="568" t="str">
        <f>'CONSOLIDACION DEL MAPA'!B112</f>
        <v>Gestión de la Calidad. Concentración de información de determinadas actividades o procesos en una persona</v>
      </c>
      <c r="C112" s="82" t="str">
        <f>IF('CONSOLIDACION DEL MAPA'!P112="","",'CONSOLIDACION DEL MAPA'!P112)</f>
        <v>No Establecer</v>
      </c>
      <c r="D112" s="82" t="str">
        <f>IF('CONSOLIDACION DEL MAPA'!Q112="","",'CONSOLIDACION DEL MAPA'!Q112)</f>
        <v>Seguir ejecutando y monitoreando los controles existentes</v>
      </c>
      <c r="E112" s="82" t="str">
        <f>IF('CONSOLIDACION DEL MAPA'!R112="","",'CONSOLIDACION DEL MAPA'!R112)</f>
        <v>No Aplica</v>
      </c>
      <c r="F112" s="101"/>
      <c r="G112" s="101"/>
      <c r="H112" s="163"/>
      <c r="I112" s="163"/>
      <c r="J112" s="100">
        <f t="shared" si="3"/>
        <v>0</v>
      </c>
    </row>
    <row r="113" spans="1:10" ht="15.75" x14ac:dyDescent="0.25">
      <c r="A113" s="570"/>
      <c r="B113" s="568"/>
      <c r="C113" s="82" t="str">
        <f>IF('CONSOLIDACION DEL MAPA'!P113="","",'CONSOLIDACION DEL MAPA'!P113)</f>
        <v/>
      </c>
      <c r="D113" s="82" t="str">
        <f>IF('CONSOLIDACION DEL MAPA'!Q113="","",'CONSOLIDACION DEL MAPA'!Q113)</f>
        <v/>
      </c>
      <c r="E113" s="82" t="str">
        <f>IF('CONSOLIDACION DEL MAPA'!R113="","",'CONSOLIDACION DEL MAPA'!R113)</f>
        <v/>
      </c>
      <c r="F113" s="101"/>
      <c r="G113" s="101"/>
      <c r="H113" s="163"/>
      <c r="I113" s="163"/>
      <c r="J113" s="100">
        <f t="shared" si="3"/>
        <v>0</v>
      </c>
    </row>
    <row r="114" spans="1:10" ht="16.5" thickBot="1" x14ac:dyDescent="0.3">
      <c r="A114" s="571"/>
      <c r="B114" s="568"/>
      <c r="C114" s="82" t="str">
        <f>IF('CONSOLIDACION DEL MAPA'!P114="","",'CONSOLIDACION DEL MAPA'!P114)</f>
        <v/>
      </c>
      <c r="D114" s="82" t="str">
        <f>IF('CONSOLIDACION DEL MAPA'!Q114="","",'CONSOLIDACION DEL MAPA'!Q114)</f>
        <v/>
      </c>
      <c r="E114" s="82" t="str">
        <f>IF('CONSOLIDACION DEL MAPA'!R114="","",'CONSOLIDACION DEL MAPA'!R114)</f>
        <v/>
      </c>
      <c r="F114" s="101"/>
      <c r="G114" s="101"/>
      <c r="H114" s="163"/>
      <c r="I114" s="163"/>
      <c r="J114" s="100">
        <f t="shared" si="3"/>
        <v>0</v>
      </c>
    </row>
    <row r="115" spans="1:10" ht="26.25" thickTop="1" x14ac:dyDescent="0.25">
      <c r="A115" s="569" t="str">
        <f>'CONSOLIDACION DEL MAPA'!A115</f>
        <v>8C</v>
      </c>
      <c r="B115" s="568" t="str">
        <f>'CONSOLIDACION DEL MAPA'!B115</f>
        <v>Gestión de la Calidad. Deficiencias en el  manejo documental y de archivo</v>
      </c>
      <c r="C115" s="82" t="str">
        <f>IF('CONSOLIDACION DEL MAPA'!P115="","",'CONSOLIDACION DEL MAPA'!P115)</f>
        <v>No Establecer</v>
      </c>
      <c r="D115" s="82" t="str">
        <f>IF('CONSOLIDACION DEL MAPA'!Q115="","",'CONSOLIDACION DEL MAPA'!Q115)</f>
        <v>Seguir ejecutando y monitoreando los controles existentes</v>
      </c>
      <c r="E115" s="82" t="str">
        <f>IF('CONSOLIDACION DEL MAPA'!R115="","",'CONSOLIDACION DEL MAPA'!R115)</f>
        <v>No Aplica</v>
      </c>
      <c r="F115" s="101"/>
      <c r="G115" s="101"/>
      <c r="H115" s="163"/>
      <c r="I115" s="163"/>
      <c r="J115" s="100">
        <f t="shared" si="3"/>
        <v>0</v>
      </c>
    </row>
    <row r="116" spans="1:10" ht="15.75" x14ac:dyDescent="0.25">
      <c r="A116" s="570"/>
      <c r="B116" s="568"/>
      <c r="C116" s="82" t="str">
        <f>IF('CONSOLIDACION DEL MAPA'!P116="","",'CONSOLIDACION DEL MAPA'!P116)</f>
        <v/>
      </c>
      <c r="D116" s="82" t="str">
        <f>IF('CONSOLIDACION DEL MAPA'!Q116="","",'CONSOLIDACION DEL MAPA'!Q116)</f>
        <v/>
      </c>
      <c r="E116" s="82" t="str">
        <f>IF('CONSOLIDACION DEL MAPA'!R116="","",'CONSOLIDACION DEL MAPA'!R116)</f>
        <v/>
      </c>
      <c r="F116" s="101"/>
      <c r="G116" s="101"/>
      <c r="H116" s="163"/>
      <c r="I116" s="163"/>
      <c r="J116" s="100">
        <f t="shared" si="3"/>
        <v>0</v>
      </c>
    </row>
    <row r="117" spans="1:10" ht="16.5" thickBot="1" x14ac:dyDescent="0.3">
      <c r="A117" s="571"/>
      <c r="B117" s="568"/>
      <c r="C117" s="82" t="str">
        <f>IF('CONSOLIDACION DEL MAPA'!P117="","",'CONSOLIDACION DEL MAPA'!P117)</f>
        <v/>
      </c>
      <c r="D117" s="82" t="str">
        <f>IF('CONSOLIDACION DEL MAPA'!Q117="","",'CONSOLIDACION DEL MAPA'!Q117)</f>
        <v/>
      </c>
      <c r="E117" s="82" t="str">
        <f>IF('CONSOLIDACION DEL MAPA'!R117="","",'CONSOLIDACION DEL MAPA'!R117)</f>
        <v/>
      </c>
      <c r="F117" s="101"/>
      <c r="G117" s="101"/>
      <c r="H117" s="163"/>
      <c r="I117" s="163"/>
      <c r="J117" s="100">
        <f t="shared" si="3"/>
        <v>0</v>
      </c>
    </row>
    <row r="118" spans="1:10" ht="26.25" thickTop="1" x14ac:dyDescent="0.25">
      <c r="A118" s="569" t="str">
        <f>'CONSOLIDACION DEL MAPA'!A118</f>
        <v>9C</v>
      </c>
      <c r="B118" s="568" t="str">
        <f>'CONSOLIDACION DEL MAPA'!B118</f>
        <v>Comunicaciones Concentración de información de determinadas actividades o procesos en una persona</v>
      </c>
      <c r="C118" s="82" t="str">
        <f>IF('CONSOLIDACION DEL MAPA'!P118="","",'CONSOLIDACION DEL MAPA'!P118)</f>
        <v>No Establecer</v>
      </c>
      <c r="D118" s="82" t="str">
        <f>IF('CONSOLIDACION DEL MAPA'!Q118="","",'CONSOLIDACION DEL MAPA'!Q118)</f>
        <v>Seguir ejecutando y monitoreando los controles existentes</v>
      </c>
      <c r="E118" s="82" t="str">
        <f>IF('CONSOLIDACION DEL MAPA'!R118="","",'CONSOLIDACION DEL MAPA'!R118)</f>
        <v>No Aplica</v>
      </c>
      <c r="F118" s="101"/>
      <c r="G118" s="101"/>
      <c r="H118" s="163"/>
      <c r="I118" s="163"/>
      <c r="J118" s="100">
        <f t="shared" si="3"/>
        <v>0</v>
      </c>
    </row>
    <row r="119" spans="1:10" ht="15.75" x14ac:dyDescent="0.25">
      <c r="A119" s="570"/>
      <c r="B119" s="568"/>
      <c r="C119" s="82" t="str">
        <f>IF('CONSOLIDACION DEL MAPA'!P119="","",'CONSOLIDACION DEL MAPA'!P119)</f>
        <v/>
      </c>
      <c r="D119" s="82" t="str">
        <f>IF('CONSOLIDACION DEL MAPA'!Q119="","",'CONSOLIDACION DEL MAPA'!Q119)</f>
        <v/>
      </c>
      <c r="E119" s="82" t="str">
        <f>IF('CONSOLIDACION DEL MAPA'!R119="","",'CONSOLIDACION DEL MAPA'!R119)</f>
        <v/>
      </c>
      <c r="F119" s="101"/>
      <c r="G119" s="101"/>
      <c r="H119" s="163"/>
      <c r="I119" s="163"/>
      <c r="J119" s="100">
        <f t="shared" si="3"/>
        <v>0</v>
      </c>
    </row>
    <row r="120" spans="1:10" ht="16.5" thickBot="1" x14ac:dyDescent="0.3">
      <c r="A120" s="571"/>
      <c r="B120" s="568"/>
      <c r="C120" s="82" t="str">
        <f>IF('CONSOLIDACION DEL MAPA'!P120="","",'CONSOLIDACION DEL MAPA'!P120)</f>
        <v/>
      </c>
      <c r="D120" s="82" t="str">
        <f>IF('CONSOLIDACION DEL MAPA'!Q120="","",'CONSOLIDACION DEL MAPA'!Q120)</f>
        <v/>
      </c>
      <c r="E120" s="82" t="str">
        <f>IF('CONSOLIDACION DEL MAPA'!R120="","",'CONSOLIDACION DEL MAPA'!R120)</f>
        <v/>
      </c>
      <c r="F120" s="101"/>
      <c r="G120" s="101"/>
      <c r="H120" s="163"/>
      <c r="I120" s="163"/>
      <c r="J120" s="100">
        <f t="shared" si="3"/>
        <v>0</v>
      </c>
    </row>
    <row r="121" spans="1:10" ht="39" thickTop="1" x14ac:dyDescent="0.25">
      <c r="A121" s="569" t="str">
        <f>'CONSOLIDACION DEL MAPA'!A121</f>
        <v>10C</v>
      </c>
      <c r="B121" s="568" t="str">
        <f>'CONSOLIDACION DEL MAPA'!B121</f>
        <v xml:space="preserve">Gestión Academica. Ausencia de canales de comunicación
</v>
      </c>
      <c r="C121" s="82" t="str">
        <f>IF('CONSOLIDACION DEL MAPA'!P121="","",'CONSOLIDACION DEL MAPA'!P121)</f>
        <v>Reducir</v>
      </c>
      <c r="D121" s="82" t="str">
        <f>IF('CONSOLIDACION DEL MAPA'!Q121="","",'CONSOLIDACION DEL MAPA'!Q121)</f>
        <v>Mejorar la selección del personal para que su permanencia sea mayor en el desarrollo de su cargo.</v>
      </c>
      <c r="E121" s="82" t="str">
        <f>IF('CONSOLIDACION DEL MAPA'!R121="","",'CONSOLIDACION DEL MAPA'!R121)</f>
        <v>Sin Implementar</v>
      </c>
      <c r="F121" s="101" t="s">
        <v>858</v>
      </c>
      <c r="G121" s="101">
        <v>1</v>
      </c>
      <c r="H121" s="163">
        <v>42576</v>
      </c>
      <c r="I121" s="163">
        <v>42941</v>
      </c>
      <c r="J121" s="100">
        <f t="shared" si="3"/>
        <v>52.142857142857146</v>
      </c>
    </row>
    <row r="122" spans="1:10" ht="15.75" x14ac:dyDescent="0.25">
      <c r="A122" s="570"/>
      <c r="B122" s="568"/>
      <c r="C122" s="82" t="str">
        <f>IF('CONSOLIDACION DEL MAPA'!P122="","",'CONSOLIDACION DEL MAPA'!P122)</f>
        <v/>
      </c>
      <c r="D122" s="82" t="str">
        <f>IF('CONSOLIDACION DEL MAPA'!Q122="","",'CONSOLIDACION DEL MAPA'!Q122)</f>
        <v/>
      </c>
      <c r="E122" s="82" t="str">
        <f>IF('CONSOLIDACION DEL MAPA'!R122="","",'CONSOLIDACION DEL MAPA'!R122)</f>
        <v/>
      </c>
      <c r="F122" s="101"/>
      <c r="G122" s="101"/>
      <c r="H122" s="163"/>
      <c r="I122" s="163"/>
      <c r="J122" s="100">
        <f t="shared" si="3"/>
        <v>0</v>
      </c>
    </row>
    <row r="123" spans="1:10" ht="16.5" thickBot="1" x14ac:dyDescent="0.3">
      <c r="A123" s="571"/>
      <c r="B123" s="568"/>
      <c r="C123" s="82" t="str">
        <f>IF('CONSOLIDACION DEL MAPA'!P123="","",'CONSOLIDACION DEL MAPA'!P123)</f>
        <v/>
      </c>
      <c r="D123" s="82" t="str">
        <f>IF('CONSOLIDACION DEL MAPA'!Q123="","",'CONSOLIDACION DEL MAPA'!Q123)</f>
        <v/>
      </c>
      <c r="E123" s="82" t="str">
        <f>IF('CONSOLIDACION DEL MAPA'!R123="","",'CONSOLIDACION DEL MAPA'!R123)</f>
        <v/>
      </c>
      <c r="F123" s="101"/>
      <c r="G123" s="101"/>
      <c r="H123" s="163"/>
      <c r="I123" s="163"/>
      <c r="J123" s="100">
        <f t="shared" si="3"/>
        <v>0</v>
      </c>
    </row>
    <row r="124" spans="1:10" ht="32.25" thickTop="1" x14ac:dyDescent="0.25">
      <c r="A124" s="569" t="str">
        <f>'CONSOLIDACION DEL MAPA'!A124</f>
        <v>11C</v>
      </c>
      <c r="B124" s="568" t="str">
        <f>'CONSOLIDACION DEL MAPA'!B124</f>
        <v>Gestión Academica. Concentración de información de determinadas actividades o procesos en una persona</v>
      </c>
      <c r="C124" s="82" t="str">
        <f>IF('CONSOLIDACION DEL MAPA'!P124="","",'CONSOLIDACION DEL MAPA'!P124)</f>
        <v>Reducir</v>
      </c>
      <c r="D124" s="82" t="str">
        <f>IF('CONSOLIDACION DEL MAPA'!Q124="","",'CONSOLIDACION DEL MAPA'!Q124)</f>
        <v>Desarrollar talleres de trabajo en equipo y gestión del conocimiento</v>
      </c>
      <c r="E124" s="82" t="str">
        <f>IF('CONSOLIDACION DEL MAPA'!R124="","",'CONSOLIDACION DEL MAPA'!R124)</f>
        <v>Sin Implementar</v>
      </c>
      <c r="F124" s="101" t="s">
        <v>859</v>
      </c>
      <c r="G124" s="101">
        <v>3</v>
      </c>
      <c r="H124" s="163">
        <v>42576</v>
      </c>
      <c r="I124" s="163">
        <v>42941</v>
      </c>
      <c r="J124" s="100">
        <f t="shared" si="3"/>
        <v>52.142857142857146</v>
      </c>
    </row>
    <row r="125" spans="1:10" ht="15.75" x14ac:dyDescent="0.25">
      <c r="A125" s="570"/>
      <c r="B125" s="568"/>
      <c r="C125" s="82" t="str">
        <f>IF('CONSOLIDACION DEL MAPA'!P125="","",'CONSOLIDACION DEL MAPA'!P125)</f>
        <v/>
      </c>
      <c r="D125" s="82" t="str">
        <f>IF('CONSOLIDACION DEL MAPA'!Q125="","",'CONSOLIDACION DEL MAPA'!Q125)</f>
        <v/>
      </c>
      <c r="E125" s="82" t="str">
        <f>IF('CONSOLIDACION DEL MAPA'!R125="","",'CONSOLIDACION DEL MAPA'!R125)</f>
        <v/>
      </c>
      <c r="F125" s="101"/>
      <c r="G125" s="101"/>
      <c r="H125" s="163"/>
      <c r="I125" s="163"/>
      <c r="J125" s="100">
        <f t="shared" si="3"/>
        <v>0</v>
      </c>
    </row>
    <row r="126" spans="1:10" ht="16.5" thickBot="1" x14ac:dyDescent="0.3">
      <c r="A126" s="571"/>
      <c r="B126" s="568"/>
      <c r="C126" s="82" t="str">
        <f>IF('CONSOLIDACION DEL MAPA'!P126="","",'CONSOLIDACION DEL MAPA'!P126)</f>
        <v/>
      </c>
      <c r="D126" s="82" t="str">
        <f>IF('CONSOLIDACION DEL MAPA'!Q126="","",'CONSOLIDACION DEL MAPA'!Q126)</f>
        <v/>
      </c>
      <c r="E126" s="82" t="str">
        <f>IF('CONSOLIDACION DEL MAPA'!R126="","",'CONSOLIDACION DEL MAPA'!R126)</f>
        <v/>
      </c>
      <c r="F126" s="101"/>
      <c r="G126" s="101"/>
      <c r="H126" s="163"/>
      <c r="I126" s="163"/>
      <c r="J126" s="100">
        <f t="shared" si="3"/>
        <v>0</v>
      </c>
    </row>
    <row r="127" spans="1:10" ht="32.25" thickTop="1" x14ac:dyDescent="0.25">
      <c r="A127" s="569" t="str">
        <f>'CONSOLIDACION DEL MAPA'!A127</f>
        <v>12C</v>
      </c>
      <c r="B127" s="568" t="str">
        <f>'CONSOLIDACION DEL MAPA'!B127</f>
        <v>Gestión Academica. Deficiencias en el manejo documental y de archivo</v>
      </c>
      <c r="C127" s="82" t="str">
        <f>IF('CONSOLIDACION DEL MAPA'!P127="","",'CONSOLIDACION DEL MAPA'!P127)</f>
        <v>Reducir</v>
      </c>
      <c r="D127" s="82" t="str">
        <f>IF('CONSOLIDACION DEL MAPA'!Q127="","",'CONSOLIDACION DEL MAPA'!Q127)</f>
        <v>Desarrollar talleres gestión documental</v>
      </c>
      <c r="E127" s="82" t="str">
        <f>IF('CONSOLIDACION DEL MAPA'!R127="","",'CONSOLIDACION DEL MAPA'!R127)</f>
        <v>Sin Implementar</v>
      </c>
      <c r="F127" s="101" t="s">
        <v>859</v>
      </c>
      <c r="G127" s="101">
        <v>2</v>
      </c>
      <c r="H127" s="163">
        <v>42576</v>
      </c>
      <c r="I127" s="163">
        <v>42941</v>
      </c>
      <c r="J127" s="100">
        <f t="shared" si="3"/>
        <v>52.142857142857146</v>
      </c>
    </row>
    <row r="128" spans="1:10" ht="15.75" x14ac:dyDescent="0.25">
      <c r="A128" s="570"/>
      <c r="B128" s="568"/>
      <c r="C128" s="82" t="str">
        <f>IF('CONSOLIDACION DEL MAPA'!P128="","",'CONSOLIDACION DEL MAPA'!P128)</f>
        <v/>
      </c>
      <c r="D128" s="82" t="str">
        <f>IF('CONSOLIDACION DEL MAPA'!Q128="","",'CONSOLIDACION DEL MAPA'!Q128)</f>
        <v/>
      </c>
      <c r="E128" s="82" t="str">
        <f>IF('CONSOLIDACION DEL MAPA'!R128="","",'CONSOLIDACION DEL MAPA'!R128)</f>
        <v/>
      </c>
      <c r="F128" s="101"/>
      <c r="G128" s="101"/>
      <c r="H128" s="163"/>
      <c r="I128" s="163"/>
      <c r="J128" s="100">
        <f t="shared" si="3"/>
        <v>0</v>
      </c>
    </row>
    <row r="129" spans="1:10" ht="16.5" thickBot="1" x14ac:dyDescent="0.3">
      <c r="A129" s="571"/>
      <c r="B129" s="568"/>
      <c r="C129" s="82" t="str">
        <f>IF('CONSOLIDACION DEL MAPA'!P129="","",'CONSOLIDACION DEL MAPA'!P129)</f>
        <v/>
      </c>
      <c r="D129" s="82" t="str">
        <f>IF('CONSOLIDACION DEL MAPA'!Q129="","",'CONSOLIDACION DEL MAPA'!Q129)</f>
        <v/>
      </c>
      <c r="E129" s="82" t="str">
        <f>IF('CONSOLIDACION DEL MAPA'!R129="","",'CONSOLIDACION DEL MAPA'!R129)</f>
        <v/>
      </c>
      <c r="F129" s="101"/>
      <c r="G129" s="101"/>
      <c r="H129" s="163"/>
      <c r="I129" s="163"/>
      <c r="J129" s="100">
        <f t="shared" si="3"/>
        <v>0</v>
      </c>
    </row>
    <row r="130" spans="1:10" ht="39" thickTop="1" x14ac:dyDescent="0.25">
      <c r="A130" s="569" t="str">
        <f>'CONSOLIDACION DEL MAPA'!A130</f>
        <v>13C</v>
      </c>
      <c r="B130" s="568" t="str">
        <f>'CONSOLIDACION DEL MAPA'!B130</f>
        <v>Gestión de Investigación. Vulnerabilidad en el manejo de la información de la actividad investigativa</v>
      </c>
      <c r="C130" s="82" t="str">
        <f>IF('CONSOLIDACION DEL MAPA'!P130="","",'CONSOLIDACION DEL MAPA'!P130)</f>
        <v>Reducir</v>
      </c>
      <c r="D130" s="82" t="str">
        <f>IF('CONSOLIDACION DEL MAPA'!Q130="","",'CONSOLIDACION DEL MAPA'!Q130)</f>
        <v>Desarrollo e Implementación del Sistema de Información de la Vicerrectoría de investigación</v>
      </c>
      <c r="E130" s="82" t="str">
        <f>IF('CONSOLIDACION DEL MAPA'!R130="","",'CONSOLIDACION DEL MAPA'!R130)</f>
        <v>En Ejecución</v>
      </c>
      <c r="F130" s="101" t="s">
        <v>860</v>
      </c>
      <c r="G130" s="101">
        <v>1</v>
      </c>
      <c r="H130" s="163">
        <v>42388</v>
      </c>
      <c r="I130" s="163">
        <v>42723</v>
      </c>
      <c r="J130" s="100">
        <f t="shared" ref="J130:J165" si="4">(I130-H130)/7</f>
        <v>47.857142857142854</v>
      </c>
    </row>
    <row r="131" spans="1:10" ht="15.75" x14ac:dyDescent="0.25">
      <c r="A131" s="570"/>
      <c r="B131" s="568"/>
      <c r="C131" s="82" t="str">
        <f>IF('CONSOLIDACION DEL MAPA'!P131="","",'CONSOLIDACION DEL MAPA'!P131)</f>
        <v/>
      </c>
      <c r="D131" s="82" t="str">
        <f>IF('CONSOLIDACION DEL MAPA'!Q131="","",'CONSOLIDACION DEL MAPA'!Q131)</f>
        <v/>
      </c>
      <c r="E131" s="82" t="str">
        <f>IF('CONSOLIDACION DEL MAPA'!R131="","",'CONSOLIDACION DEL MAPA'!R131)</f>
        <v/>
      </c>
      <c r="F131" s="101"/>
      <c r="G131" s="101"/>
      <c r="H131" s="163"/>
      <c r="I131" s="163"/>
      <c r="J131" s="100">
        <f t="shared" si="4"/>
        <v>0</v>
      </c>
    </row>
    <row r="132" spans="1:10" ht="16.5" thickBot="1" x14ac:dyDescent="0.3">
      <c r="A132" s="571"/>
      <c r="B132" s="568"/>
      <c r="C132" s="82" t="str">
        <f>IF('CONSOLIDACION DEL MAPA'!P132="","",'CONSOLIDACION DEL MAPA'!P132)</f>
        <v/>
      </c>
      <c r="D132" s="82" t="str">
        <f>IF('CONSOLIDACION DEL MAPA'!Q132="","",'CONSOLIDACION DEL MAPA'!Q132)</f>
        <v/>
      </c>
      <c r="E132" s="82" t="str">
        <f>IF('CONSOLIDACION DEL MAPA'!R132="","",'CONSOLIDACION DEL MAPA'!R132)</f>
        <v/>
      </c>
      <c r="F132" s="101"/>
      <c r="G132" s="101"/>
      <c r="H132" s="163"/>
      <c r="I132" s="163"/>
      <c r="J132" s="100">
        <f t="shared" si="4"/>
        <v>0</v>
      </c>
    </row>
    <row r="133" spans="1:10" ht="32.25" thickTop="1" x14ac:dyDescent="0.25">
      <c r="A133" s="569" t="str">
        <f>'CONSOLIDACION DEL MAPA'!A133</f>
        <v>14C</v>
      </c>
      <c r="B133" s="568" t="str">
        <f>'CONSOLIDACION DEL MAPA'!B133</f>
        <v>Gestión de Investigación. Violación de la propiedad Intelectual.</v>
      </c>
      <c r="C133" s="82" t="str">
        <f>IF('CONSOLIDACION DEL MAPA'!P133="","",'CONSOLIDACION DEL MAPA'!P133)</f>
        <v>Reducir</v>
      </c>
      <c r="D133" s="82" t="str">
        <f>IF('CONSOLIDACION DEL MAPA'!Q133="","",'CONSOLIDACION DEL MAPA'!Q133)</f>
        <v>Programa de capacitación en Propiedad Intelectual</v>
      </c>
      <c r="E133" s="82" t="str">
        <f>IF('CONSOLIDACION DEL MAPA'!R133="","",'CONSOLIDACION DEL MAPA'!R133)</f>
        <v>En Ejecución</v>
      </c>
      <c r="F133" s="101" t="s">
        <v>861</v>
      </c>
      <c r="G133" s="101">
        <v>4</v>
      </c>
      <c r="H133" s="163">
        <v>42388</v>
      </c>
      <c r="I133" s="163">
        <v>42723</v>
      </c>
      <c r="J133" s="100">
        <f t="shared" si="4"/>
        <v>47.857142857142854</v>
      </c>
    </row>
    <row r="134" spans="1:10" ht="31.5" x14ac:dyDescent="0.25">
      <c r="A134" s="570"/>
      <c r="B134" s="568"/>
      <c r="C134" s="82" t="str">
        <f>IF('CONSOLIDACION DEL MAPA'!P134="","",'CONSOLIDACION DEL MAPA'!P134)</f>
        <v>Reducir</v>
      </c>
      <c r="D134" s="82" t="str">
        <f>IF('CONSOLIDACION DEL MAPA'!Q134="","",'CONSOLIDACION DEL MAPA'!Q134)</f>
        <v>Aprobación del Reglamento de PI</v>
      </c>
      <c r="E134" s="82" t="str">
        <f>IF('CONSOLIDACION DEL MAPA'!R134="","",'CONSOLIDACION DEL MAPA'!R134)</f>
        <v>Sin Implementar</v>
      </c>
      <c r="F134" s="101" t="s">
        <v>862</v>
      </c>
      <c r="G134" s="101">
        <v>1</v>
      </c>
      <c r="H134" s="163">
        <v>42388</v>
      </c>
      <c r="I134" s="163">
        <v>42723</v>
      </c>
      <c r="J134" s="100">
        <f t="shared" si="4"/>
        <v>47.857142857142854</v>
      </c>
    </row>
    <row r="135" spans="1:10" ht="16.5" thickBot="1" x14ac:dyDescent="0.3">
      <c r="A135" s="571"/>
      <c r="B135" s="568"/>
      <c r="C135" s="82" t="str">
        <f>IF('CONSOLIDACION DEL MAPA'!P135="","",'CONSOLIDACION DEL MAPA'!P135)</f>
        <v/>
      </c>
      <c r="D135" s="82" t="str">
        <f>IF('CONSOLIDACION DEL MAPA'!Q135="","",'CONSOLIDACION DEL MAPA'!Q135)</f>
        <v/>
      </c>
      <c r="E135" s="82" t="str">
        <f>IF('CONSOLIDACION DEL MAPA'!R135="","",'CONSOLIDACION DEL MAPA'!R135)</f>
        <v/>
      </c>
      <c r="F135" s="101"/>
      <c r="G135" s="101"/>
      <c r="H135" s="163"/>
      <c r="I135" s="163"/>
      <c r="J135" s="100">
        <f t="shared" si="4"/>
        <v>0</v>
      </c>
    </row>
    <row r="136" spans="1:10" ht="26.25" thickTop="1" x14ac:dyDescent="0.25">
      <c r="A136" s="569" t="str">
        <f>'CONSOLIDACION DEL MAPA'!A136</f>
        <v>15C</v>
      </c>
      <c r="B136" s="568" t="str">
        <f>'CONSOLIDACION DEL MAPA'!B136</f>
        <v>Gestión de Extensión y Proyección Social. Desviación o uso indebido de recursos, que impidan la ejecución de los proyectos y actividades misionales de la vicerrectoria de extensión y proyección social</v>
      </c>
      <c r="C136" s="82" t="str">
        <f>IF('CONSOLIDACION DEL MAPA'!P136="","",'CONSOLIDACION DEL MAPA'!P136)</f>
        <v>Reducir</v>
      </c>
      <c r="D136" s="82" t="str">
        <f>IF('CONSOLIDACION DEL MAPA'!Q136="","",'CONSOLIDACION DEL MAPA'!Q136)</f>
        <v>Implementación de sistema de información</v>
      </c>
      <c r="E136" s="82" t="str">
        <f>IF('CONSOLIDACION DEL MAPA'!R136="","",'CONSOLIDACION DEL MAPA'!R136)</f>
        <v>Sin Implementar</v>
      </c>
      <c r="F136" s="101" t="s">
        <v>849</v>
      </c>
      <c r="G136" s="101">
        <v>1</v>
      </c>
      <c r="H136" s="163">
        <v>42430</v>
      </c>
      <c r="I136" s="163">
        <v>42531</v>
      </c>
      <c r="J136" s="100">
        <f t="shared" si="4"/>
        <v>14.428571428571429</v>
      </c>
    </row>
    <row r="137" spans="1:10" ht="15.75" x14ac:dyDescent="0.25">
      <c r="A137" s="570"/>
      <c r="B137" s="568"/>
      <c r="C137" s="82" t="str">
        <f>IF('CONSOLIDACION DEL MAPA'!P137="","",'CONSOLIDACION DEL MAPA'!P137)</f>
        <v/>
      </c>
      <c r="D137" s="82" t="str">
        <f>IF('CONSOLIDACION DEL MAPA'!Q137="","",'CONSOLIDACION DEL MAPA'!Q137)</f>
        <v/>
      </c>
      <c r="E137" s="82" t="str">
        <f>IF('CONSOLIDACION DEL MAPA'!R137="","",'CONSOLIDACION DEL MAPA'!R137)</f>
        <v/>
      </c>
      <c r="F137" s="101"/>
      <c r="G137" s="101"/>
      <c r="H137" s="163"/>
      <c r="I137" s="163"/>
      <c r="J137" s="100">
        <f t="shared" si="4"/>
        <v>0</v>
      </c>
    </row>
    <row r="138" spans="1:10" ht="16.5" thickBot="1" x14ac:dyDescent="0.3">
      <c r="A138" s="571"/>
      <c r="B138" s="568"/>
      <c r="C138" s="82" t="str">
        <f>IF('CONSOLIDACION DEL MAPA'!P138="","",'CONSOLIDACION DEL MAPA'!P138)</f>
        <v/>
      </c>
      <c r="D138" s="82" t="str">
        <f>IF('CONSOLIDACION DEL MAPA'!Q138="","",'CONSOLIDACION DEL MAPA'!Q138)</f>
        <v/>
      </c>
      <c r="E138" s="82" t="str">
        <f>IF('CONSOLIDACION DEL MAPA'!R138="","",'CONSOLIDACION DEL MAPA'!R138)</f>
        <v/>
      </c>
      <c r="F138" s="101"/>
      <c r="G138" s="101"/>
      <c r="H138" s="163"/>
      <c r="I138" s="163"/>
      <c r="J138" s="100">
        <f t="shared" si="4"/>
        <v>0</v>
      </c>
    </row>
    <row r="139" spans="1:10" ht="39" thickTop="1" x14ac:dyDescent="0.25">
      <c r="A139" s="569" t="str">
        <f>'CONSOLIDACION DEL MAPA'!A139</f>
        <v>16C</v>
      </c>
      <c r="B139" s="568" t="str">
        <f>'CONSOLIDACION DEL MAPA'!B139</f>
        <v xml:space="preserve">Gestión de Extensión y Proyección Social. Concentración de la información en una persona. </v>
      </c>
      <c r="C139" s="82" t="str">
        <f>IF('CONSOLIDACION DEL MAPA'!P139="","",'CONSOLIDACION DEL MAPA'!P139)</f>
        <v>Evitar</v>
      </c>
      <c r="D139" s="82" t="str">
        <f>IF('CONSOLIDACION DEL MAPA'!Q139="","",'CONSOLIDACION DEL MAPA'!Q139)</f>
        <v>Socialización de los resultados de las actividades realizadas y por realizar.</v>
      </c>
      <c r="E139" s="82" t="str">
        <f>IF('CONSOLIDACION DEL MAPA'!R139="","",'CONSOLIDACION DEL MAPA'!R139)</f>
        <v>Sin Implementar</v>
      </c>
      <c r="F139" s="101" t="s">
        <v>863</v>
      </c>
      <c r="G139" s="101">
        <v>1</v>
      </c>
      <c r="H139" s="163">
        <v>42398</v>
      </c>
      <c r="I139" s="163">
        <v>42704</v>
      </c>
      <c r="J139" s="100">
        <f t="shared" si="4"/>
        <v>43.714285714285715</v>
      </c>
    </row>
    <row r="140" spans="1:10" ht="15.75" x14ac:dyDescent="0.25">
      <c r="A140" s="570"/>
      <c r="B140" s="568"/>
      <c r="C140" s="82" t="str">
        <f>IF('CONSOLIDACION DEL MAPA'!P140="","",'CONSOLIDACION DEL MAPA'!P140)</f>
        <v/>
      </c>
      <c r="D140" s="82" t="str">
        <f>IF('CONSOLIDACION DEL MAPA'!Q140="","",'CONSOLIDACION DEL MAPA'!Q140)</f>
        <v/>
      </c>
      <c r="E140" s="82" t="str">
        <f>IF('CONSOLIDACION DEL MAPA'!R140="","",'CONSOLIDACION DEL MAPA'!R140)</f>
        <v/>
      </c>
      <c r="F140" s="101"/>
      <c r="G140" s="101"/>
      <c r="H140" s="163"/>
      <c r="I140" s="163"/>
      <c r="J140" s="100">
        <f t="shared" si="4"/>
        <v>0</v>
      </c>
    </row>
    <row r="141" spans="1:10" ht="16.5" thickBot="1" x14ac:dyDescent="0.3">
      <c r="A141" s="571"/>
      <c r="B141" s="568"/>
      <c r="C141" s="82" t="str">
        <f>IF('CONSOLIDACION DEL MAPA'!P141="","",'CONSOLIDACION DEL MAPA'!P141)</f>
        <v/>
      </c>
      <c r="D141" s="82" t="str">
        <f>IF('CONSOLIDACION DEL MAPA'!Q141="","",'CONSOLIDACION DEL MAPA'!Q141)</f>
        <v/>
      </c>
      <c r="E141" s="82" t="str">
        <f>IF('CONSOLIDACION DEL MAPA'!R141="","",'CONSOLIDACION DEL MAPA'!R141)</f>
        <v/>
      </c>
      <c r="F141" s="101"/>
      <c r="G141" s="101"/>
      <c r="H141" s="163"/>
      <c r="I141" s="163"/>
      <c r="J141" s="100">
        <f t="shared" si="4"/>
        <v>0</v>
      </c>
    </row>
    <row r="142" spans="1:10" ht="48" thickTop="1" x14ac:dyDescent="0.25">
      <c r="A142" s="569" t="str">
        <f>'CONSOLIDACION DEL MAPA'!A142</f>
        <v>17C</v>
      </c>
      <c r="B142" s="568" t="str">
        <f>'CONSOLIDACION DEL MAPA'!B142</f>
        <v xml:space="preserve">Gestión de Extensión y Proyección Social. Inadecuada ejecución de los recursos asignados </v>
      </c>
      <c r="C142" s="82" t="str">
        <f>IF('CONSOLIDACION DEL MAPA'!P142="","",'CONSOLIDACION DEL MAPA'!P142)</f>
        <v>Evitar</v>
      </c>
      <c r="D142" s="82" t="str">
        <f>IF('CONSOLIDACION DEL MAPA'!Q142="","",'CONSOLIDACION DEL MAPA'!Q142)</f>
        <v>Divulgación de los resultados de los proyectos</v>
      </c>
      <c r="E142" s="82" t="str">
        <f>IF('CONSOLIDACION DEL MAPA'!R142="","",'CONSOLIDACION DEL MAPA'!R142)</f>
        <v>En Ejecución</v>
      </c>
      <c r="F142" s="101" t="s">
        <v>864</v>
      </c>
      <c r="G142" s="101">
        <v>1</v>
      </c>
      <c r="H142" s="163">
        <v>42398</v>
      </c>
      <c r="I142" s="163">
        <v>42704</v>
      </c>
      <c r="J142" s="100">
        <f t="shared" si="4"/>
        <v>43.714285714285715</v>
      </c>
    </row>
    <row r="143" spans="1:10" ht="15.75" x14ac:dyDescent="0.25">
      <c r="A143" s="570"/>
      <c r="B143" s="568"/>
      <c r="C143" s="82" t="str">
        <f>IF('CONSOLIDACION DEL MAPA'!P143="","",'CONSOLIDACION DEL MAPA'!P143)</f>
        <v/>
      </c>
      <c r="D143" s="82" t="str">
        <f>IF('CONSOLIDACION DEL MAPA'!Q143="","",'CONSOLIDACION DEL MAPA'!Q143)</f>
        <v/>
      </c>
      <c r="E143" s="82" t="str">
        <f>IF('CONSOLIDACION DEL MAPA'!R143="","",'CONSOLIDACION DEL MAPA'!R143)</f>
        <v/>
      </c>
      <c r="F143" s="101"/>
      <c r="G143" s="101"/>
      <c r="H143" s="163"/>
      <c r="I143" s="163"/>
      <c r="J143" s="100">
        <f t="shared" si="4"/>
        <v>0</v>
      </c>
    </row>
    <row r="144" spans="1:10" ht="16.5" thickBot="1" x14ac:dyDescent="0.3">
      <c r="A144" s="571"/>
      <c r="B144" s="568"/>
      <c r="C144" s="82" t="str">
        <f>IF('CONSOLIDACION DEL MAPA'!P144="","",'CONSOLIDACION DEL MAPA'!P144)</f>
        <v/>
      </c>
      <c r="D144" s="82" t="str">
        <f>IF('CONSOLIDACION DEL MAPA'!Q144="","",'CONSOLIDACION DEL MAPA'!Q144)</f>
        <v/>
      </c>
      <c r="E144" s="82" t="str">
        <f>IF('CONSOLIDACION DEL MAPA'!R144="","",'CONSOLIDACION DEL MAPA'!R144)</f>
        <v/>
      </c>
      <c r="F144" s="101"/>
      <c r="G144" s="101"/>
      <c r="H144" s="163"/>
      <c r="I144" s="163"/>
      <c r="J144" s="100">
        <f t="shared" si="4"/>
        <v>0</v>
      </c>
    </row>
    <row r="145" spans="1:10" ht="26.25" thickTop="1" x14ac:dyDescent="0.25">
      <c r="A145" s="569" t="str">
        <f>'CONSOLIDACION DEL MAPA'!A145</f>
        <v>18C</v>
      </c>
      <c r="B145" s="568" t="str">
        <f>'CONSOLIDACION DEL MAPA'!B145</f>
        <v>Gestión de Extensión y Proyección Social. Extralimitación de funciones.</v>
      </c>
      <c r="C145" s="82" t="str">
        <f>IF('CONSOLIDACION DEL MAPA'!P145="","",'CONSOLIDACION DEL MAPA'!P145)</f>
        <v>Evitar</v>
      </c>
      <c r="D145" s="82" t="str">
        <f>IF('CONSOLIDACION DEL MAPA'!Q145="","",'CONSOLIDACION DEL MAPA'!Q145)</f>
        <v>Establecer mecanismos eficientes de control.</v>
      </c>
      <c r="E145" s="82" t="str">
        <f>IF('CONSOLIDACION DEL MAPA'!R145="","",'CONSOLIDACION DEL MAPA'!R145)</f>
        <v>En Ejecución</v>
      </c>
      <c r="F145" s="101" t="s">
        <v>849</v>
      </c>
      <c r="G145" s="101">
        <v>1</v>
      </c>
      <c r="H145" s="163">
        <v>42398</v>
      </c>
      <c r="I145" s="163">
        <v>42704</v>
      </c>
      <c r="J145" s="100">
        <f t="shared" si="4"/>
        <v>43.714285714285715</v>
      </c>
    </row>
    <row r="146" spans="1:10" ht="15.75" x14ac:dyDescent="0.25">
      <c r="A146" s="570"/>
      <c r="B146" s="568"/>
      <c r="C146" s="82" t="str">
        <f>IF('CONSOLIDACION DEL MAPA'!P146="","",'CONSOLIDACION DEL MAPA'!P146)</f>
        <v/>
      </c>
      <c r="D146" s="82" t="str">
        <f>IF('CONSOLIDACION DEL MAPA'!Q146="","",'CONSOLIDACION DEL MAPA'!Q146)</f>
        <v/>
      </c>
      <c r="E146" s="82" t="str">
        <f>IF('CONSOLIDACION DEL MAPA'!R146="","",'CONSOLIDACION DEL MAPA'!R146)</f>
        <v/>
      </c>
      <c r="F146" s="101"/>
      <c r="G146" s="101"/>
      <c r="H146" s="163"/>
      <c r="I146" s="163"/>
      <c r="J146" s="100">
        <f t="shared" si="4"/>
        <v>0</v>
      </c>
    </row>
    <row r="147" spans="1:10" ht="16.5" thickBot="1" x14ac:dyDescent="0.3">
      <c r="A147" s="571"/>
      <c r="B147" s="568"/>
      <c r="C147" s="82" t="str">
        <f>IF('CONSOLIDACION DEL MAPA'!P147="","",'CONSOLIDACION DEL MAPA'!P147)</f>
        <v/>
      </c>
      <c r="D147" s="82" t="str">
        <f>IF('CONSOLIDACION DEL MAPA'!Q147="","",'CONSOLIDACION DEL MAPA'!Q147)</f>
        <v/>
      </c>
      <c r="E147" s="82" t="str">
        <f>IF('CONSOLIDACION DEL MAPA'!R147="","",'CONSOLIDACION DEL MAPA'!R147)</f>
        <v/>
      </c>
      <c r="F147" s="101"/>
      <c r="G147" s="101"/>
      <c r="H147" s="163"/>
      <c r="I147" s="163"/>
      <c r="J147" s="100">
        <f t="shared" si="4"/>
        <v>0</v>
      </c>
    </row>
    <row r="148" spans="1:10" ht="26.25" thickTop="1" x14ac:dyDescent="0.25">
      <c r="A148" s="569" t="str">
        <f>'CONSOLIDACION DEL MAPA'!A148</f>
        <v>19C</v>
      </c>
      <c r="B148" s="568" t="str">
        <f>'CONSOLIDACION DEL MAPA'!B148</f>
        <v>Gestión de Extensión y Proyección Social. Omisión de la ley para beneficio propio.</v>
      </c>
      <c r="C148" s="82" t="str">
        <f>IF('CONSOLIDACION DEL MAPA'!P148="","",'CONSOLIDACION DEL MAPA'!P148)</f>
        <v>Evitar</v>
      </c>
      <c r="D148" s="82" t="str">
        <f>IF('CONSOLIDACION DEL MAPA'!Q148="","",'CONSOLIDACION DEL MAPA'!Q148)</f>
        <v>Solicitud de asesoría legal suficiente.</v>
      </c>
      <c r="E148" s="82" t="str">
        <f>IF('CONSOLIDACION DEL MAPA'!R148="","",'CONSOLIDACION DEL MAPA'!R148)</f>
        <v>En Ejecución</v>
      </c>
      <c r="F148" s="101" t="s">
        <v>863</v>
      </c>
      <c r="G148" s="101">
        <v>1</v>
      </c>
      <c r="H148" s="163">
        <v>42398</v>
      </c>
      <c r="I148" s="163">
        <v>42704</v>
      </c>
      <c r="J148" s="100">
        <f t="shared" si="4"/>
        <v>43.714285714285715</v>
      </c>
    </row>
    <row r="149" spans="1:10" ht="15.75" x14ac:dyDescent="0.25">
      <c r="A149" s="570"/>
      <c r="B149" s="568"/>
      <c r="C149" s="82" t="str">
        <f>IF('CONSOLIDACION DEL MAPA'!P149="","",'CONSOLIDACION DEL MAPA'!P149)</f>
        <v/>
      </c>
      <c r="D149" s="82" t="str">
        <f>IF('CONSOLIDACION DEL MAPA'!Q149="","",'CONSOLIDACION DEL MAPA'!Q149)</f>
        <v/>
      </c>
      <c r="E149" s="82" t="str">
        <f>IF('CONSOLIDACION DEL MAPA'!R149="","",'CONSOLIDACION DEL MAPA'!R149)</f>
        <v/>
      </c>
      <c r="F149" s="101"/>
      <c r="G149" s="101"/>
      <c r="H149" s="163"/>
      <c r="I149" s="163"/>
      <c r="J149" s="100">
        <f t="shared" si="4"/>
        <v>0</v>
      </c>
    </row>
    <row r="150" spans="1:10" ht="16.5" thickBot="1" x14ac:dyDescent="0.3">
      <c r="A150" s="571"/>
      <c r="B150" s="568"/>
      <c r="C150" s="82" t="str">
        <f>IF('CONSOLIDACION DEL MAPA'!P150="","",'CONSOLIDACION DEL MAPA'!P150)</f>
        <v/>
      </c>
      <c r="D150" s="82" t="str">
        <f>IF('CONSOLIDACION DEL MAPA'!Q150="","",'CONSOLIDACION DEL MAPA'!Q150)</f>
        <v/>
      </c>
      <c r="E150" s="82" t="str">
        <f>IF('CONSOLIDACION DEL MAPA'!R150="","",'CONSOLIDACION DEL MAPA'!R150)</f>
        <v/>
      </c>
      <c r="F150" s="101"/>
      <c r="G150" s="101"/>
      <c r="H150" s="163"/>
      <c r="I150" s="163"/>
      <c r="J150" s="100">
        <f t="shared" si="4"/>
        <v>0</v>
      </c>
    </row>
    <row r="151" spans="1:10" ht="26.25" thickTop="1" x14ac:dyDescent="0.25">
      <c r="A151" s="569" t="str">
        <f>'CONSOLIDACION DEL MAPA'!A151</f>
        <v>20C</v>
      </c>
      <c r="B151" s="568" t="str">
        <f>'CONSOLIDACION DEL MAPA'!B151</f>
        <v>Gestión de Contratación. Pliegos de condiciones hechos a la medida de una firma en particular.</v>
      </c>
      <c r="C151" s="82" t="str">
        <f>IF('CONSOLIDACION DEL MAPA'!P151="","",'CONSOLIDACION DEL MAPA'!P151)</f>
        <v>No Establecer</v>
      </c>
      <c r="D151" s="82" t="str">
        <f>IF('CONSOLIDACION DEL MAPA'!Q151="","",'CONSOLIDACION DEL MAPA'!Q151)</f>
        <v>Seguir ejecutando y monitoreando los controles existentes</v>
      </c>
      <c r="E151" s="82" t="str">
        <f>IF('CONSOLIDACION DEL MAPA'!R151="","",'CONSOLIDACION DEL MAPA'!R151)</f>
        <v>No Aplica</v>
      </c>
      <c r="F151" s="101"/>
      <c r="G151" s="101"/>
      <c r="H151" s="163"/>
      <c r="I151" s="163"/>
      <c r="J151" s="100">
        <f t="shared" si="4"/>
        <v>0</v>
      </c>
    </row>
    <row r="152" spans="1:10" ht="15.75" x14ac:dyDescent="0.25">
      <c r="A152" s="570"/>
      <c r="B152" s="568"/>
      <c r="C152" s="82" t="str">
        <f>IF('CONSOLIDACION DEL MAPA'!P152="","",'CONSOLIDACION DEL MAPA'!P152)</f>
        <v/>
      </c>
      <c r="D152" s="82" t="str">
        <f>IF('CONSOLIDACION DEL MAPA'!Q152="","",'CONSOLIDACION DEL MAPA'!Q152)</f>
        <v/>
      </c>
      <c r="E152" s="82" t="str">
        <f>IF('CONSOLIDACION DEL MAPA'!R152="","",'CONSOLIDACION DEL MAPA'!R152)</f>
        <v/>
      </c>
      <c r="F152" s="101"/>
      <c r="G152" s="101"/>
      <c r="H152" s="163"/>
      <c r="I152" s="163"/>
      <c r="J152" s="100">
        <f t="shared" si="4"/>
        <v>0</v>
      </c>
    </row>
    <row r="153" spans="1:10" ht="16.5" thickBot="1" x14ac:dyDescent="0.3">
      <c r="A153" s="571"/>
      <c r="B153" s="568"/>
      <c r="C153" s="82" t="str">
        <f>IF('CONSOLIDACION DEL MAPA'!P153="","",'CONSOLIDACION DEL MAPA'!P153)</f>
        <v/>
      </c>
      <c r="D153" s="82" t="str">
        <f>IF('CONSOLIDACION DEL MAPA'!Q153="","",'CONSOLIDACION DEL MAPA'!Q153)</f>
        <v/>
      </c>
      <c r="E153" s="82" t="str">
        <f>IF('CONSOLIDACION DEL MAPA'!R153="","",'CONSOLIDACION DEL MAPA'!R153)</f>
        <v/>
      </c>
      <c r="F153" s="101"/>
      <c r="G153" s="101"/>
      <c r="H153" s="163"/>
      <c r="I153" s="163"/>
      <c r="J153" s="100">
        <f t="shared" si="4"/>
        <v>0</v>
      </c>
    </row>
    <row r="154" spans="1:10" ht="39" thickTop="1" x14ac:dyDescent="0.25">
      <c r="A154" s="569" t="str">
        <f>'CONSOLIDACION DEL MAPA'!A154</f>
        <v>21C</v>
      </c>
      <c r="B154" s="568" t="str">
        <f>'CONSOLIDACION DEL MAPA'!B154</f>
        <v xml:space="preserve">Gestión Financiera. Pago de obligaciones sin el lleno de requisitos. </v>
      </c>
      <c r="C154" s="82" t="str">
        <f>IF('CONSOLIDACION DEL MAPA'!P154="","",'CONSOLIDACION DEL MAPA'!P154)</f>
        <v>Reducir</v>
      </c>
      <c r="D154" s="82" t="str">
        <f>IF('CONSOLIDACION DEL MAPA'!Q154="","",'CONSOLIDACION DEL MAPA'!Q154)</f>
        <v>Verificación de los requisitos legales, contables, tributarios y administrativos</v>
      </c>
      <c r="E154" s="82" t="str">
        <f>IF('CONSOLIDACION DEL MAPA'!R154="","",'CONSOLIDACION DEL MAPA'!R154)</f>
        <v>En Ejecución</v>
      </c>
      <c r="F154" s="101" t="s">
        <v>865</v>
      </c>
      <c r="G154" s="101">
        <v>1</v>
      </c>
      <c r="H154" s="163">
        <v>42373</v>
      </c>
      <c r="I154" s="163">
        <v>42735</v>
      </c>
      <c r="J154" s="100">
        <f t="shared" si="4"/>
        <v>51.714285714285715</v>
      </c>
    </row>
    <row r="155" spans="1:10" ht="15.75" x14ac:dyDescent="0.25">
      <c r="A155" s="570"/>
      <c r="B155" s="568"/>
      <c r="C155" s="82" t="str">
        <f>IF('CONSOLIDACION DEL MAPA'!P155="","",'CONSOLIDACION DEL MAPA'!P155)</f>
        <v/>
      </c>
      <c r="D155" s="82" t="str">
        <f>IF('CONSOLIDACION DEL MAPA'!Q155="","",'CONSOLIDACION DEL MAPA'!Q155)</f>
        <v/>
      </c>
      <c r="E155" s="82" t="str">
        <f>IF('CONSOLIDACION DEL MAPA'!R155="","",'CONSOLIDACION DEL MAPA'!R155)</f>
        <v/>
      </c>
      <c r="F155" s="101"/>
      <c r="G155" s="101"/>
      <c r="H155" s="163"/>
      <c r="I155" s="163"/>
      <c r="J155" s="100">
        <f t="shared" si="4"/>
        <v>0</v>
      </c>
    </row>
    <row r="156" spans="1:10" ht="16.5" thickBot="1" x14ac:dyDescent="0.3">
      <c r="A156" s="571"/>
      <c r="B156" s="568"/>
      <c r="C156" s="82" t="str">
        <f>IF('CONSOLIDACION DEL MAPA'!P156="","",'CONSOLIDACION DEL MAPA'!P156)</f>
        <v/>
      </c>
      <c r="D156" s="82" t="str">
        <f>IF('CONSOLIDACION DEL MAPA'!Q156="","",'CONSOLIDACION DEL MAPA'!Q156)</f>
        <v/>
      </c>
      <c r="E156" s="82" t="str">
        <f>IF('CONSOLIDACION DEL MAPA'!R156="","",'CONSOLIDACION DEL MAPA'!R156)</f>
        <v/>
      </c>
      <c r="F156" s="101"/>
      <c r="G156" s="101"/>
      <c r="H156" s="163"/>
      <c r="I156" s="163"/>
      <c r="J156" s="100">
        <f t="shared" si="4"/>
        <v>0</v>
      </c>
    </row>
    <row r="157" spans="1:10" ht="32.25" thickTop="1" x14ac:dyDescent="0.25">
      <c r="A157" s="569" t="str">
        <f>'CONSOLIDACION DEL MAPA'!A157</f>
        <v>22C</v>
      </c>
      <c r="B157" s="568" t="str">
        <f>'CONSOLIDACION DEL MAPA'!B157</f>
        <v>Gestión Financiera. Perdida de titulos valores</v>
      </c>
      <c r="C157" s="82" t="str">
        <f>IF('CONSOLIDACION DEL MAPA'!P157="","",'CONSOLIDACION DEL MAPA'!P157)</f>
        <v>Evitar</v>
      </c>
      <c r="D157" s="82" t="str">
        <f>IF('CONSOLIDACION DEL MAPA'!Q157="","",'CONSOLIDACION DEL MAPA'!Q157)</f>
        <v>Verificar los títulos valores custodiados.</v>
      </c>
      <c r="E157" s="82" t="str">
        <f>IF('CONSOLIDACION DEL MAPA'!R157="","",'CONSOLIDACION DEL MAPA'!R157)</f>
        <v>En Ejecución</v>
      </c>
      <c r="F157" s="101" t="s">
        <v>866</v>
      </c>
      <c r="G157" s="101">
        <v>4</v>
      </c>
      <c r="H157" s="163">
        <v>42373</v>
      </c>
      <c r="I157" s="163">
        <v>42735</v>
      </c>
      <c r="J157" s="100">
        <f t="shared" si="4"/>
        <v>51.714285714285715</v>
      </c>
    </row>
    <row r="158" spans="1:10" ht="15.75" x14ac:dyDescent="0.25">
      <c r="A158" s="570"/>
      <c r="B158" s="568"/>
      <c r="C158" s="82" t="str">
        <f>IF('CONSOLIDACION DEL MAPA'!P158="","",'CONSOLIDACION DEL MAPA'!P158)</f>
        <v/>
      </c>
      <c r="D158" s="82" t="str">
        <f>IF('CONSOLIDACION DEL MAPA'!Q158="","",'CONSOLIDACION DEL MAPA'!Q158)</f>
        <v/>
      </c>
      <c r="E158" s="82" t="str">
        <f>IF('CONSOLIDACION DEL MAPA'!R158="","",'CONSOLIDACION DEL MAPA'!R158)</f>
        <v/>
      </c>
      <c r="F158" s="101"/>
      <c r="G158" s="101"/>
      <c r="H158" s="163"/>
      <c r="I158" s="163"/>
      <c r="J158" s="100">
        <f t="shared" si="4"/>
        <v>0</v>
      </c>
    </row>
    <row r="159" spans="1:10" ht="16.5" thickBot="1" x14ac:dyDescent="0.3">
      <c r="A159" s="571"/>
      <c r="B159" s="568"/>
      <c r="C159" s="82" t="str">
        <f>IF('CONSOLIDACION DEL MAPA'!P159="","",'CONSOLIDACION DEL MAPA'!P159)</f>
        <v/>
      </c>
      <c r="D159" s="82" t="str">
        <f>IF('CONSOLIDACION DEL MAPA'!Q159="","",'CONSOLIDACION DEL MAPA'!Q159)</f>
        <v/>
      </c>
      <c r="E159" s="82" t="str">
        <f>IF('CONSOLIDACION DEL MAPA'!R159="","",'CONSOLIDACION DEL MAPA'!R159)</f>
        <v/>
      </c>
      <c r="F159" s="101"/>
      <c r="G159" s="101"/>
      <c r="H159" s="163"/>
      <c r="I159" s="163"/>
      <c r="J159" s="100">
        <f t="shared" si="4"/>
        <v>0</v>
      </c>
    </row>
    <row r="160" spans="1:10" ht="39" thickTop="1" x14ac:dyDescent="0.25">
      <c r="A160" s="569" t="str">
        <f>'CONSOLIDACION DEL MAPA'!A160</f>
        <v>23C</v>
      </c>
      <c r="B160" s="568" t="str">
        <f>'CONSOLIDACION DEL MAPA'!B160</f>
        <v>Gestión Financiera. Omisión en la aplicación  de la normatividad vigente en los procesos de la Gestión Financiera</v>
      </c>
      <c r="C160" s="82" t="str">
        <f>IF('CONSOLIDACION DEL MAPA'!P160="","",'CONSOLIDACION DEL MAPA'!P160)</f>
        <v>Reducir</v>
      </c>
      <c r="D160" s="82" t="str">
        <f>IF('CONSOLIDACION DEL MAPA'!Q160="","",'CONSOLIDACION DEL MAPA'!Q160)</f>
        <v>Realizar reuniones con equipo financiero para unificación de criterios</v>
      </c>
      <c r="E160" s="82" t="str">
        <f>IF('CONSOLIDACION DEL MAPA'!R160="","",'CONSOLIDACION DEL MAPA'!R160)</f>
        <v>En Ejecución</v>
      </c>
      <c r="F160" s="101" t="s">
        <v>867</v>
      </c>
      <c r="G160" s="101">
        <v>4</v>
      </c>
      <c r="H160" s="163">
        <v>42373</v>
      </c>
      <c r="I160" s="163">
        <v>42735</v>
      </c>
      <c r="J160" s="100">
        <f t="shared" si="4"/>
        <v>51.714285714285715</v>
      </c>
    </row>
    <row r="161" spans="1:10" ht="15.75" x14ac:dyDescent="0.25">
      <c r="A161" s="570"/>
      <c r="B161" s="568"/>
      <c r="C161" s="82" t="str">
        <f>IF('CONSOLIDACION DEL MAPA'!P161="","",'CONSOLIDACION DEL MAPA'!P161)</f>
        <v/>
      </c>
      <c r="D161" s="82" t="str">
        <f>IF('CONSOLIDACION DEL MAPA'!Q161="","",'CONSOLIDACION DEL MAPA'!Q161)</f>
        <v/>
      </c>
      <c r="E161" s="82" t="str">
        <f>IF('CONSOLIDACION DEL MAPA'!R161="","",'CONSOLIDACION DEL MAPA'!R161)</f>
        <v/>
      </c>
      <c r="F161" s="101"/>
      <c r="G161" s="101"/>
      <c r="H161" s="163"/>
      <c r="I161" s="163"/>
      <c r="J161" s="100">
        <f t="shared" si="4"/>
        <v>0</v>
      </c>
    </row>
    <row r="162" spans="1:10" ht="16.5" thickBot="1" x14ac:dyDescent="0.3">
      <c r="A162" s="571"/>
      <c r="B162" s="568"/>
      <c r="C162" s="82" t="str">
        <f>IF('CONSOLIDACION DEL MAPA'!P162="","",'CONSOLIDACION DEL MAPA'!P162)</f>
        <v/>
      </c>
      <c r="D162" s="82" t="str">
        <f>IF('CONSOLIDACION DEL MAPA'!Q162="","",'CONSOLIDACION DEL MAPA'!Q162)</f>
        <v/>
      </c>
      <c r="E162" s="82" t="str">
        <f>IF('CONSOLIDACION DEL MAPA'!R162="","",'CONSOLIDACION DEL MAPA'!R162)</f>
        <v/>
      </c>
      <c r="F162" s="101"/>
      <c r="G162" s="101"/>
      <c r="H162" s="163"/>
      <c r="I162" s="163"/>
      <c r="J162" s="100">
        <f t="shared" si="4"/>
        <v>0</v>
      </c>
    </row>
    <row r="163" spans="1:10" ht="26.25" thickTop="1" x14ac:dyDescent="0.25">
      <c r="A163" s="569" t="str">
        <f>'CONSOLIDACION DEL MAPA'!A163</f>
        <v>24C</v>
      </c>
      <c r="B163" s="568" t="str">
        <f>'CONSOLIDACION DEL MAPA'!B163</f>
        <v xml:space="preserve">Apoyo Tecnológico TIC. Vulnerabilidad de la Información </v>
      </c>
      <c r="C163" s="82" t="str">
        <f>IF('CONSOLIDACION DEL MAPA'!P163="","",'CONSOLIDACION DEL MAPA'!P163)</f>
        <v>Reducir</v>
      </c>
      <c r="D163" s="82" t="str">
        <f>IF('CONSOLIDACION DEL MAPA'!Q163="","",'CONSOLIDACION DEL MAPA'!Q163)</f>
        <v>Contratar la seguridad gestionada a través de firewall perimetral</v>
      </c>
      <c r="E163" s="82" t="str">
        <f>IF('CONSOLIDACION DEL MAPA'!R163="","",'CONSOLIDACION DEL MAPA'!R163)</f>
        <v>En Ejecución</v>
      </c>
      <c r="F163" s="101" t="s">
        <v>868</v>
      </c>
      <c r="G163" s="101">
        <v>1</v>
      </c>
      <c r="H163" s="163">
        <v>42495</v>
      </c>
      <c r="I163" s="163">
        <v>42735</v>
      </c>
      <c r="J163" s="100">
        <f t="shared" si="4"/>
        <v>34.285714285714285</v>
      </c>
    </row>
    <row r="164" spans="1:10" ht="25.5" x14ac:dyDescent="0.25">
      <c r="A164" s="570"/>
      <c r="B164" s="568"/>
      <c r="C164" s="82" t="str">
        <f>IF('CONSOLIDACION DEL MAPA'!P164="","",'CONSOLIDACION DEL MAPA'!P164)</f>
        <v>Reducir</v>
      </c>
      <c r="D164" s="82" t="str">
        <f>IF('CONSOLIDACION DEL MAPA'!Q164="","",'CONSOLIDACION DEL MAPA'!Q164)</f>
        <v>Documentar los controles existentes</v>
      </c>
      <c r="E164" s="82" t="str">
        <f>IF('CONSOLIDACION DEL MAPA'!R164="","",'CONSOLIDACION DEL MAPA'!R164)</f>
        <v>Sin Implementar</v>
      </c>
      <c r="F164" s="101" t="s">
        <v>869</v>
      </c>
      <c r="G164" s="101">
        <v>2</v>
      </c>
      <c r="H164" s="163">
        <v>42495</v>
      </c>
      <c r="I164" s="163">
        <v>42735</v>
      </c>
      <c r="J164" s="100">
        <f t="shared" si="4"/>
        <v>34.285714285714285</v>
      </c>
    </row>
    <row r="165" spans="1:10" ht="26.25" thickBot="1" x14ac:dyDescent="0.3">
      <c r="A165" s="571"/>
      <c r="B165" s="568"/>
      <c r="C165" s="82" t="str">
        <f>IF('CONSOLIDACION DEL MAPA'!P165="","",'CONSOLIDACION DEL MAPA'!P165)</f>
        <v>Reducir</v>
      </c>
      <c r="D165" s="82" t="str">
        <f>IF('CONSOLIDACION DEL MAPA'!Q165="","",'CONSOLIDACION DEL MAPA'!Q165)</f>
        <v>Realización de un Plan de Manejo y uso de la Información Institucional</v>
      </c>
      <c r="E165" s="82" t="str">
        <f>IF('CONSOLIDACION DEL MAPA'!R165="","",'CONSOLIDACION DEL MAPA'!R165)</f>
        <v>Sin Implementar</v>
      </c>
      <c r="F165" s="101" t="s">
        <v>870</v>
      </c>
      <c r="G165" s="101">
        <v>1</v>
      </c>
      <c r="H165" s="163">
        <v>42495</v>
      </c>
      <c r="I165" s="163">
        <v>42735</v>
      </c>
      <c r="J165" s="100">
        <f t="shared" si="4"/>
        <v>34.285714285714285</v>
      </c>
    </row>
    <row r="166" spans="1:10" ht="26.25" thickTop="1" x14ac:dyDescent="0.25">
      <c r="A166" s="569" t="str">
        <f>'CONSOLIDACION DEL MAPA'!A166</f>
        <v>25C</v>
      </c>
      <c r="B166" s="568" t="str">
        <f>'CONSOLIDACION DEL MAPA'!B166</f>
        <v xml:space="preserve">Gestión Documental. Entregar un título o certificado sin los requisitos para ello </v>
      </c>
      <c r="C166" s="82" t="str">
        <f>IF('CONSOLIDACION DEL MAPA'!P166="","",'CONSOLIDACION DEL MAPA'!P166)</f>
        <v>No Establecer</v>
      </c>
      <c r="D166" s="82" t="str">
        <f>IF('CONSOLIDACION DEL MAPA'!Q166="","",'CONSOLIDACION DEL MAPA'!Q166)</f>
        <v xml:space="preserve">Seguir ejecutando y monitoreando los controles existentes </v>
      </c>
      <c r="E166" s="82" t="str">
        <f>IF('CONSOLIDACION DEL MAPA'!R166="","",'CONSOLIDACION DEL MAPA'!R166)</f>
        <v>No Aplica</v>
      </c>
      <c r="F166" s="101"/>
      <c r="G166" s="101"/>
      <c r="H166" s="163"/>
      <c r="I166" s="163"/>
      <c r="J166" s="100">
        <f t="shared" ref="J166:J183" si="5">(I166-H166)/7</f>
        <v>0</v>
      </c>
    </row>
    <row r="167" spans="1:10" ht="15.75" x14ac:dyDescent="0.25">
      <c r="A167" s="570"/>
      <c r="B167" s="568"/>
      <c r="C167" s="82" t="str">
        <f>IF('CONSOLIDACION DEL MAPA'!P167="","",'CONSOLIDACION DEL MAPA'!P167)</f>
        <v/>
      </c>
      <c r="D167" s="82" t="str">
        <f>IF('CONSOLIDACION DEL MAPA'!Q167="","",'CONSOLIDACION DEL MAPA'!Q167)</f>
        <v/>
      </c>
      <c r="E167" s="82" t="str">
        <f>IF('CONSOLIDACION DEL MAPA'!R167="","",'CONSOLIDACION DEL MAPA'!R167)</f>
        <v/>
      </c>
      <c r="F167" s="101"/>
      <c r="G167" s="101"/>
      <c r="H167" s="163"/>
      <c r="I167" s="163"/>
      <c r="J167" s="100">
        <f t="shared" si="5"/>
        <v>0</v>
      </c>
    </row>
    <row r="168" spans="1:10" ht="16.5" thickBot="1" x14ac:dyDescent="0.3">
      <c r="A168" s="571"/>
      <c r="B168" s="568"/>
      <c r="C168" s="82" t="str">
        <f>IF('CONSOLIDACION DEL MAPA'!P168="","",'CONSOLIDACION DEL MAPA'!P168)</f>
        <v/>
      </c>
      <c r="D168" s="82" t="str">
        <f>IF('CONSOLIDACION DEL MAPA'!Q168="","",'CONSOLIDACION DEL MAPA'!Q168)</f>
        <v/>
      </c>
      <c r="E168" s="82" t="str">
        <f>IF('CONSOLIDACION DEL MAPA'!R168="","",'CONSOLIDACION DEL MAPA'!R168)</f>
        <v/>
      </c>
      <c r="F168" s="101"/>
      <c r="G168" s="101"/>
      <c r="H168" s="163"/>
      <c r="I168" s="163"/>
      <c r="J168" s="100">
        <f t="shared" si="5"/>
        <v>0</v>
      </c>
    </row>
    <row r="169" spans="1:10" ht="26.25" thickTop="1" x14ac:dyDescent="0.25">
      <c r="A169" s="569" t="str">
        <f>'CONSOLIDACION DEL MAPA'!A169</f>
        <v>26C</v>
      </c>
      <c r="B169" s="568" t="str">
        <f>'CONSOLIDACION DEL MAPA'!B169</f>
        <v>Gestión Documental. Expedición de un certificado de título falso</v>
      </c>
      <c r="C169" s="82" t="str">
        <f>IF('CONSOLIDACION DEL MAPA'!P169="","",'CONSOLIDACION DEL MAPA'!P169)</f>
        <v>No Establecer</v>
      </c>
      <c r="D169" s="82" t="str">
        <f>IF('CONSOLIDACION DEL MAPA'!Q169="","",'CONSOLIDACION DEL MAPA'!Q169)</f>
        <v xml:space="preserve">Seguir ejecutando y monitoreando los controles existentes </v>
      </c>
      <c r="E169" s="82" t="str">
        <f>IF('CONSOLIDACION DEL MAPA'!R169="","",'CONSOLIDACION DEL MAPA'!R169)</f>
        <v>No Aplica</v>
      </c>
      <c r="F169" s="101"/>
      <c r="G169" s="101"/>
      <c r="H169" s="163"/>
      <c r="I169" s="163"/>
      <c r="J169" s="100">
        <f t="shared" si="5"/>
        <v>0</v>
      </c>
    </row>
    <row r="170" spans="1:10" ht="15.75" x14ac:dyDescent="0.25">
      <c r="A170" s="570"/>
      <c r="B170" s="568"/>
      <c r="C170" s="82" t="str">
        <f>IF('CONSOLIDACION DEL MAPA'!P170="","",'CONSOLIDACION DEL MAPA'!P170)</f>
        <v/>
      </c>
      <c r="D170" s="82" t="str">
        <f>IF('CONSOLIDACION DEL MAPA'!Q170="","",'CONSOLIDACION DEL MAPA'!Q170)</f>
        <v/>
      </c>
      <c r="E170" s="82" t="str">
        <f>IF('CONSOLIDACION DEL MAPA'!R170="","",'CONSOLIDACION DEL MAPA'!R170)</f>
        <v/>
      </c>
      <c r="F170" s="101"/>
      <c r="G170" s="101"/>
      <c r="H170" s="163"/>
      <c r="I170" s="163"/>
      <c r="J170" s="100">
        <f t="shared" si="5"/>
        <v>0</v>
      </c>
    </row>
    <row r="171" spans="1:10" ht="16.5" thickBot="1" x14ac:dyDescent="0.3">
      <c r="A171" s="571"/>
      <c r="B171" s="568"/>
      <c r="C171" s="82" t="str">
        <f>IF('CONSOLIDACION DEL MAPA'!P171="","",'CONSOLIDACION DEL MAPA'!P171)</f>
        <v/>
      </c>
      <c r="D171" s="82" t="str">
        <f>IF('CONSOLIDACION DEL MAPA'!Q171="","",'CONSOLIDACION DEL MAPA'!Q171)</f>
        <v/>
      </c>
      <c r="E171" s="82" t="str">
        <f>IF('CONSOLIDACION DEL MAPA'!R171="","",'CONSOLIDACION DEL MAPA'!R171)</f>
        <v/>
      </c>
      <c r="F171" s="101"/>
      <c r="G171" s="101"/>
      <c r="H171" s="163"/>
      <c r="I171" s="163"/>
      <c r="J171" s="100">
        <f t="shared" si="5"/>
        <v>0</v>
      </c>
    </row>
    <row r="172" spans="1:10" ht="39" thickTop="1" x14ac:dyDescent="0.25">
      <c r="A172" s="569" t="str">
        <f>'CONSOLIDACION DEL MAPA'!A172</f>
        <v>27C</v>
      </c>
      <c r="B172" s="568" t="str">
        <f>'CONSOLIDACION DEL MAPA'!B172</f>
        <v>Gestión del Talento Humano. Concentración de información de determinadas actividades o procesos en una persona.</v>
      </c>
      <c r="C172" s="82" t="str">
        <f>IF('CONSOLIDACION DEL MAPA'!P172="","",'CONSOLIDACION DEL MAPA'!P172)</f>
        <v>Reducir</v>
      </c>
      <c r="D172" s="82" t="str">
        <f>IF('CONSOLIDACION DEL MAPA'!Q172="","",'CONSOLIDACION DEL MAPA'!Q172)</f>
        <v>Revisión y actualización de los procedimientos de la Gestión del Talento Humano</v>
      </c>
      <c r="E172" s="82" t="str">
        <f>IF('CONSOLIDACION DEL MAPA'!R172="","",'CONSOLIDACION DEL MAPA'!R172)</f>
        <v>En Ejecución</v>
      </c>
      <c r="F172" s="101" t="s">
        <v>871</v>
      </c>
      <c r="G172" s="101">
        <v>1</v>
      </c>
      <c r="H172" s="163">
        <v>42430</v>
      </c>
      <c r="I172" s="163">
        <v>42735</v>
      </c>
      <c r="J172" s="100">
        <f t="shared" si="5"/>
        <v>43.571428571428569</v>
      </c>
    </row>
    <row r="173" spans="1:10" ht="15.75" x14ac:dyDescent="0.25">
      <c r="A173" s="570"/>
      <c r="B173" s="568"/>
      <c r="C173" s="82" t="str">
        <f>IF('CONSOLIDACION DEL MAPA'!P173="","",'CONSOLIDACION DEL MAPA'!P173)</f>
        <v/>
      </c>
      <c r="D173" s="82" t="str">
        <f>IF('CONSOLIDACION DEL MAPA'!Q173="","",'CONSOLIDACION DEL MAPA'!Q173)</f>
        <v/>
      </c>
      <c r="E173" s="82" t="str">
        <f>IF('CONSOLIDACION DEL MAPA'!R173="","",'CONSOLIDACION DEL MAPA'!R173)</f>
        <v/>
      </c>
      <c r="F173" s="101"/>
      <c r="G173" s="101"/>
      <c r="H173" s="163"/>
      <c r="I173" s="163"/>
      <c r="J173" s="100">
        <f t="shared" si="5"/>
        <v>0</v>
      </c>
    </row>
    <row r="174" spans="1:10" ht="16.5" thickBot="1" x14ac:dyDescent="0.3">
      <c r="A174" s="571"/>
      <c r="B174" s="568"/>
      <c r="C174" s="82" t="str">
        <f>IF('CONSOLIDACION DEL MAPA'!P174="","",'CONSOLIDACION DEL MAPA'!P174)</f>
        <v/>
      </c>
      <c r="D174" s="82" t="str">
        <f>IF('CONSOLIDACION DEL MAPA'!Q174="","",'CONSOLIDACION DEL MAPA'!Q174)</f>
        <v/>
      </c>
      <c r="E174" s="82" t="str">
        <f>IF('CONSOLIDACION DEL MAPA'!R174="","",'CONSOLIDACION DEL MAPA'!R174)</f>
        <v/>
      </c>
      <c r="F174" s="101"/>
      <c r="G174" s="101"/>
      <c r="H174" s="163"/>
      <c r="I174" s="163"/>
      <c r="J174" s="100">
        <f t="shared" si="5"/>
        <v>0</v>
      </c>
    </row>
    <row r="175" spans="1:10" ht="39" thickTop="1" x14ac:dyDescent="0.25">
      <c r="A175" s="569" t="str">
        <f>'CONSOLIDACION DEL MAPA'!A175</f>
        <v>28C</v>
      </c>
      <c r="B175" s="568" t="str">
        <f>'CONSOLIDACION DEL MAPA'!B175</f>
        <v>Gestión del Talento Humano. Decisiones no ajustadas a la normatividad legal.</v>
      </c>
      <c r="C175" s="82" t="str">
        <f>IF('CONSOLIDACION DEL MAPA'!P175="","",'CONSOLIDACION DEL MAPA'!P175)</f>
        <v>Reducir</v>
      </c>
      <c r="D175" s="82" t="str">
        <f>IF('CONSOLIDACION DEL MAPA'!Q175="","",'CONSOLIDACION DEL MAPA'!Q175)</f>
        <v>Revisión y actualización el Normograma y los procedimientos de la Gestión del Talento Humano</v>
      </c>
      <c r="E175" s="82" t="str">
        <f>IF('CONSOLIDACION DEL MAPA'!R175="","",'CONSOLIDACION DEL MAPA'!R175)</f>
        <v>En Ejecución</v>
      </c>
      <c r="F175" s="101" t="s">
        <v>872</v>
      </c>
      <c r="G175" s="101">
        <v>1</v>
      </c>
      <c r="H175" s="163">
        <v>42430</v>
      </c>
      <c r="I175" s="163">
        <v>42735</v>
      </c>
      <c r="J175" s="100">
        <f t="shared" si="5"/>
        <v>43.571428571428569</v>
      </c>
    </row>
    <row r="176" spans="1:10" ht="15.75" x14ac:dyDescent="0.25">
      <c r="A176" s="570"/>
      <c r="B176" s="568"/>
      <c r="C176" s="82" t="str">
        <f>IF('CONSOLIDACION DEL MAPA'!P176="","",'CONSOLIDACION DEL MAPA'!P176)</f>
        <v/>
      </c>
      <c r="D176" s="82" t="str">
        <f>IF('CONSOLIDACION DEL MAPA'!Q176="","",'CONSOLIDACION DEL MAPA'!Q176)</f>
        <v/>
      </c>
      <c r="E176" s="82" t="str">
        <f>IF('CONSOLIDACION DEL MAPA'!R176="","",'CONSOLIDACION DEL MAPA'!R176)</f>
        <v/>
      </c>
      <c r="F176" s="101"/>
      <c r="G176" s="101"/>
      <c r="H176" s="163"/>
      <c r="I176" s="163"/>
      <c r="J176" s="100">
        <f t="shared" si="5"/>
        <v>0</v>
      </c>
    </row>
    <row r="177" spans="1:10" ht="16.5" thickBot="1" x14ac:dyDescent="0.3">
      <c r="A177" s="571"/>
      <c r="B177" s="568"/>
      <c r="C177" s="82" t="str">
        <f>IF('CONSOLIDACION DEL MAPA'!P177="","",'CONSOLIDACION DEL MAPA'!P177)</f>
        <v/>
      </c>
      <c r="D177" s="82" t="str">
        <f>IF('CONSOLIDACION DEL MAPA'!Q177="","",'CONSOLIDACION DEL MAPA'!Q177)</f>
        <v/>
      </c>
      <c r="E177" s="82" t="str">
        <f>IF('CONSOLIDACION DEL MAPA'!R177="","",'CONSOLIDACION DEL MAPA'!R177)</f>
        <v/>
      </c>
      <c r="F177" s="101"/>
      <c r="G177" s="101"/>
      <c r="H177" s="163"/>
      <c r="I177" s="163"/>
      <c r="J177" s="100">
        <f t="shared" si="5"/>
        <v>0</v>
      </c>
    </row>
    <row r="178" spans="1:10" ht="26.25" thickTop="1" x14ac:dyDescent="0.25">
      <c r="A178" s="569" t="str">
        <f>'CONSOLIDACION DEL MAPA'!A178</f>
        <v>29C</v>
      </c>
      <c r="B178" s="568" t="str">
        <f>'CONSOLIDACION DEL MAPA'!B178</f>
        <v>Gestión de Admisiones y Registro. Manipulación de resultados del examen  de admisión.</v>
      </c>
      <c r="C178" s="82" t="str">
        <f>IF('CONSOLIDACION DEL MAPA'!P178="","",'CONSOLIDACION DEL MAPA'!P178)</f>
        <v>No Establecer</v>
      </c>
      <c r="D178" s="82" t="str">
        <f>IF('CONSOLIDACION DEL MAPA'!Q178="","",'CONSOLIDACION DEL MAPA'!Q178)</f>
        <v>Seguir ejecutando y monitoreando los controles existentes.</v>
      </c>
      <c r="E178" s="82" t="str">
        <f>IF('CONSOLIDACION DEL MAPA'!R178="","",'CONSOLIDACION DEL MAPA'!R178)</f>
        <v>No Aplica</v>
      </c>
      <c r="F178" s="101"/>
      <c r="G178" s="101"/>
      <c r="H178" s="163"/>
      <c r="I178" s="163"/>
      <c r="J178" s="100">
        <f t="shared" si="5"/>
        <v>0</v>
      </c>
    </row>
    <row r="179" spans="1:10" ht="15.75" x14ac:dyDescent="0.25">
      <c r="A179" s="570"/>
      <c r="B179" s="568"/>
      <c r="C179" s="82" t="str">
        <f>IF('CONSOLIDACION DEL MAPA'!P179="","",'CONSOLIDACION DEL MAPA'!P179)</f>
        <v/>
      </c>
      <c r="D179" s="82" t="str">
        <f>IF('CONSOLIDACION DEL MAPA'!Q179="","",'CONSOLIDACION DEL MAPA'!Q179)</f>
        <v/>
      </c>
      <c r="E179" s="82" t="str">
        <f>IF('CONSOLIDACION DEL MAPA'!R179="","",'CONSOLIDACION DEL MAPA'!R179)</f>
        <v/>
      </c>
      <c r="F179" s="101"/>
      <c r="G179" s="101"/>
      <c r="H179" s="163"/>
      <c r="I179" s="163"/>
      <c r="J179" s="100">
        <f t="shared" si="5"/>
        <v>0</v>
      </c>
    </row>
    <row r="180" spans="1:10" ht="16.5" thickBot="1" x14ac:dyDescent="0.3">
      <c r="A180" s="571"/>
      <c r="B180" s="568"/>
      <c r="C180" s="82" t="str">
        <f>IF('CONSOLIDACION DEL MAPA'!P180="","",'CONSOLIDACION DEL MAPA'!P180)</f>
        <v/>
      </c>
      <c r="D180" s="82" t="str">
        <f>IF('CONSOLIDACION DEL MAPA'!Q180="","",'CONSOLIDACION DEL MAPA'!Q180)</f>
        <v/>
      </c>
      <c r="E180" s="82" t="str">
        <f>IF('CONSOLIDACION DEL MAPA'!R180="","",'CONSOLIDACION DEL MAPA'!R180)</f>
        <v/>
      </c>
      <c r="F180" s="101"/>
      <c r="G180" s="101"/>
      <c r="H180" s="163"/>
      <c r="I180" s="163"/>
      <c r="J180" s="100">
        <f t="shared" si="5"/>
        <v>0</v>
      </c>
    </row>
    <row r="181" spans="1:10" ht="26.25" thickTop="1" x14ac:dyDescent="0.25">
      <c r="A181" s="569" t="str">
        <f>'CONSOLIDACION DEL MAPA'!A181</f>
        <v>30C</v>
      </c>
      <c r="B181" s="568" t="str">
        <f>'CONSOLIDACION DEL MAPA'!B181</f>
        <v>Gestión de Admisiones y Registro. Alteración de notas de estudiantes.</v>
      </c>
      <c r="C181" s="82" t="str">
        <f>IF('CONSOLIDACION DEL MAPA'!P181="","",'CONSOLIDACION DEL MAPA'!P181)</f>
        <v>No Establecer</v>
      </c>
      <c r="D181" s="82" t="str">
        <f>IF('CONSOLIDACION DEL MAPA'!Q181="","",'CONSOLIDACION DEL MAPA'!Q181)</f>
        <v>Seguir ejecutando y monitoreando los controles existentes.</v>
      </c>
      <c r="E181" s="82" t="str">
        <f>IF('CONSOLIDACION DEL MAPA'!R181="","",'CONSOLIDACION DEL MAPA'!R181)</f>
        <v>No Aplica</v>
      </c>
      <c r="F181" s="101"/>
      <c r="G181" s="101"/>
      <c r="H181" s="163"/>
      <c r="I181" s="163"/>
      <c r="J181" s="100">
        <f t="shared" si="5"/>
        <v>0</v>
      </c>
    </row>
    <row r="182" spans="1:10" ht="15.75" x14ac:dyDescent="0.25">
      <c r="A182" s="570"/>
      <c r="B182" s="568"/>
      <c r="C182" s="82" t="str">
        <f>IF('CONSOLIDACION DEL MAPA'!P182="","",'CONSOLIDACION DEL MAPA'!P182)</f>
        <v/>
      </c>
      <c r="D182" s="82" t="str">
        <f>IF('CONSOLIDACION DEL MAPA'!Q182="","",'CONSOLIDACION DEL MAPA'!Q182)</f>
        <v/>
      </c>
      <c r="E182" s="82" t="str">
        <f>IF('CONSOLIDACION DEL MAPA'!R182="","",'CONSOLIDACION DEL MAPA'!R182)</f>
        <v/>
      </c>
      <c r="F182" s="101"/>
      <c r="G182" s="101"/>
      <c r="H182" s="163"/>
      <c r="I182" s="163"/>
      <c r="J182" s="100">
        <f t="shared" si="5"/>
        <v>0</v>
      </c>
    </row>
    <row r="183" spans="1:10" ht="16.5" thickBot="1" x14ac:dyDescent="0.3">
      <c r="A183" s="571"/>
      <c r="B183" s="568"/>
      <c r="C183" s="82" t="str">
        <f>IF('CONSOLIDACION DEL MAPA'!P183="","",'CONSOLIDACION DEL MAPA'!P183)</f>
        <v/>
      </c>
      <c r="D183" s="82" t="str">
        <f>IF('CONSOLIDACION DEL MAPA'!Q183="","",'CONSOLIDACION DEL MAPA'!Q183)</f>
        <v/>
      </c>
      <c r="E183" s="82" t="str">
        <f>IF('CONSOLIDACION DEL MAPA'!R183="","",'CONSOLIDACION DEL MAPA'!R183)</f>
        <v/>
      </c>
      <c r="F183" s="101"/>
      <c r="G183" s="101"/>
      <c r="H183" s="163"/>
      <c r="I183" s="163"/>
      <c r="J183" s="100">
        <f t="shared" si="5"/>
        <v>0</v>
      </c>
    </row>
    <row r="184" spans="1:10" ht="39" thickTop="1" x14ac:dyDescent="0.25">
      <c r="A184" s="569" t="str">
        <f>'CONSOLIDACION DEL MAPA'!A184</f>
        <v>31C</v>
      </c>
      <c r="B184" s="568" t="str">
        <f>'CONSOLIDACION DEL MAPA'!B184</f>
        <v>Gestión y Rendición de Cuentas. Rendición de cuentas a la ciudadanía inadecuada, incompleta e inoportuna</v>
      </c>
      <c r="C184" s="82" t="str">
        <f>IF('CONSOLIDACION DEL MAPA'!P184="","",'CONSOLIDACION DEL MAPA'!P184)</f>
        <v>Reducir</v>
      </c>
      <c r="D184" s="82" t="str">
        <f>IF('CONSOLIDACION DEL MAPA'!Q184="","",'CONSOLIDACION DEL MAPA'!Q184)</f>
        <v>Capacitación del personal en temas relacionados con la rendición de cuentas</v>
      </c>
      <c r="E184" s="82" t="str">
        <f>IF('CONSOLIDACION DEL MAPA'!R184="","",'CONSOLIDACION DEL MAPA'!R184)</f>
        <v>Sin Implementar</v>
      </c>
      <c r="F184" s="101" t="s">
        <v>873</v>
      </c>
      <c r="G184" s="101">
        <v>1</v>
      </c>
      <c r="H184" s="163">
        <v>42552</v>
      </c>
      <c r="I184" s="163">
        <v>42734</v>
      </c>
      <c r="J184" s="100">
        <f t="shared" ref="J184:J195" si="6">(I184-H184)/7</f>
        <v>26</v>
      </c>
    </row>
    <row r="185" spans="1:10" ht="47.25" x14ac:dyDescent="0.25">
      <c r="A185" s="570"/>
      <c r="B185" s="568"/>
      <c r="C185" s="82" t="str">
        <f>IF('CONSOLIDACION DEL MAPA'!P185="","",'CONSOLIDACION DEL MAPA'!P185)</f>
        <v>Reducir</v>
      </c>
      <c r="D185" s="82" t="str">
        <f>IF('CONSOLIDACION DEL MAPA'!Q185="","",'CONSOLIDACION DEL MAPA'!Q185)</f>
        <v>Planeación, ejecución y evaluación de audiencias públicas de rendición de cuentas</v>
      </c>
      <c r="E185" s="82" t="str">
        <f>IF('CONSOLIDACION DEL MAPA'!R185="","",'CONSOLIDACION DEL MAPA'!R185)</f>
        <v>En Ejecución</v>
      </c>
      <c r="F185" s="101" t="s">
        <v>874</v>
      </c>
      <c r="G185" s="101">
        <v>7</v>
      </c>
      <c r="H185" s="163">
        <v>42461</v>
      </c>
      <c r="I185" s="163">
        <v>42674</v>
      </c>
      <c r="J185" s="100">
        <f t="shared" si="6"/>
        <v>30.428571428571427</v>
      </c>
    </row>
    <row r="186" spans="1:10" ht="16.5" thickBot="1" x14ac:dyDescent="0.3">
      <c r="A186" s="571"/>
      <c r="B186" s="568"/>
      <c r="C186" s="82" t="str">
        <f>IF('CONSOLIDACION DEL MAPA'!P186="","",'CONSOLIDACION DEL MAPA'!P186)</f>
        <v/>
      </c>
      <c r="D186" s="82" t="str">
        <f>IF('CONSOLIDACION DEL MAPA'!Q186="","",'CONSOLIDACION DEL MAPA'!Q186)</f>
        <v/>
      </c>
      <c r="E186" s="82" t="str">
        <f>IF('CONSOLIDACION DEL MAPA'!R186="","",'CONSOLIDACION DEL MAPA'!R186)</f>
        <v/>
      </c>
      <c r="F186" s="101"/>
      <c r="G186" s="101"/>
      <c r="H186" s="163"/>
      <c r="I186" s="163"/>
      <c r="J186" s="100">
        <f t="shared" si="6"/>
        <v>0</v>
      </c>
    </row>
    <row r="187" spans="1:10" ht="26.25" thickTop="1" x14ac:dyDescent="0.25">
      <c r="A187" s="569" t="str">
        <f>'CONSOLIDACION DEL MAPA'!A187</f>
        <v>32C</v>
      </c>
      <c r="B187" s="568" t="str">
        <f>'CONSOLIDACION DEL MAPA'!B187</f>
        <v>Gestión y Rendición de Cuentas. Alteración de la información</v>
      </c>
      <c r="C187" s="82" t="str">
        <f>IF('CONSOLIDACION DEL MAPA'!P187="","",'CONSOLIDACION DEL MAPA'!P187)</f>
        <v>Evitar</v>
      </c>
      <c r="D187" s="82" t="str">
        <f>IF('CONSOLIDACION DEL MAPA'!Q187="","",'CONSOLIDACION DEL MAPA'!Q187)</f>
        <v>Implementación de auditorías internas de información</v>
      </c>
      <c r="E187" s="82" t="str">
        <f>IF('CONSOLIDACION DEL MAPA'!R187="","",'CONSOLIDACION DEL MAPA'!R187)</f>
        <v>Sin Implementar</v>
      </c>
      <c r="F187" s="101" t="s">
        <v>875</v>
      </c>
      <c r="G187" s="101">
        <v>1</v>
      </c>
      <c r="H187" s="163">
        <v>42569</v>
      </c>
      <c r="I187" s="163">
        <v>42613</v>
      </c>
      <c r="J187" s="100">
        <f t="shared" si="6"/>
        <v>6.2857142857142856</v>
      </c>
    </row>
    <row r="188" spans="1:10" ht="47.25" x14ac:dyDescent="0.25">
      <c r="A188" s="570"/>
      <c r="B188" s="568"/>
      <c r="C188" s="82" t="str">
        <f>IF('CONSOLIDACION DEL MAPA'!P188="","",'CONSOLIDACION DEL MAPA'!P188)</f>
        <v>Reducir</v>
      </c>
      <c r="D188" s="82" t="str">
        <f>IF('CONSOLIDACION DEL MAPA'!Q188="","",'CONSOLIDACION DEL MAPA'!Q188)</f>
        <v>Diseño e implementación de un sistema de información para la gestión de Indicadores</v>
      </c>
      <c r="E188" s="82" t="str">
        <f>IF('CONSOLIDACION DEL MAPA'!R188="","",'CONSOLIDACION DEL MAPA'!R188)</f>
        <v>Sin Implementar</v>
      </c>
      <c r="F188" s="101" t="s">
        <v>876</v>
      </c>
      <c r="G188" s="101">
        <v>1</v>
      </c>
      <c r="H188" s="163">
        <v>42583</v>
      </c>
      <c r="I188" s="163">
        <v>43313</v>
      </c>
      <c r="J188" s="100">
        <f t="shared" si="6"/>
        <v>104.28571428571429</v>
      </c>
    </row>
    <row r="189" spans="1:10" ht="51.75" thickBot="1" x14ac:dyDescent="0.3">
      <c r="A189" s="571"/>
      <c r="B189" s="568"/>
      <c r="C189" s="82" t="str">
        <f>IF('CONSOLIDACION DEL MAPA'!P189="","",'CONSOLIDACION DEL MAPA'!P189)</f>
        <v>Reducir</v>
      </c>
      <c r="D189" s="82" t="str">
        <f>IF('CONSOLIDACION DEL MAPA'!Q189="","",'CONSOLIDACION DEL MAPA'!Q189)</f>
        <v>Estrategia para masificar el uso y conocimiento del sitio Web de Transparencia y Acceso a Ia Información Pública</v>
      </c>
      <c r="E189" s="82" t="str">
        <f>IF('CONSOLIDACION DEL MAPA'!R189="","",'CONSOLIDACION DEL MAPA'!R189)</f>
        <v>Sin Implementar</v>
      </c>
      <c r="F189" s="101" t="s">
        <v>877</v>
      </c>
      <c r="G189" s="101">
        <v>1</v>
      </c>
      <c r="H189" s="163">
        <v>42552</v>
      </c>
      <c r="I189" s="163">
        <v>42734</v>
      </c>
      <c r="J189" s="100">
        <f t="shared" si="6"/>
        <v>26</v>
      </c>
    </row>
    <row r="190" spans="1:10" ht="26.25" thickTop="1" x14ac:dyDescent="0.25">
      <c r="A190" s="569" t="str">
        <f>'CONSOLIDACION DEL MAPA'!A190</f>
        <v>33C</v>
      </c>
      <c r="B190" s="568" t="str">
        <f>'CONSOLIDACION DEL MAPA'!B190</f>
        <v>Evaluación Independiente. Falta de Objetividad e Independencia en el proceso auditor, de evaluación y seguimiento</v>
      </c>
      <c r="C190" s="82" t="str">
        <f>IF('CONSOLIDACION DEL MAPA'!P190="","",'CONSOLIDACION DEL MAPA'!P190)</f>
        <v>No Establecer</v>
      </c>
      <c r="D190" s="82" t="str">
        <f>IF('CONSOLIDACION DEL MAPA'!Q190="","",'CONSOLIDACION DEL MAPA'!Q190)</f>
        <v>Seguir ejecutando y monitoreando los controles existentes</v>
      </c>
      <c r="E190" s="82" t="str">
        <f>IF('CONSOLIDACION DEL MAPA'!R190="","",'CONSOLIDACION DEL MAPA'!R190)</f>
        <v>No Aplica</v>
      </c>
      <c r="F190" s="101"/>
      <c r="G190" s="101"/>
      <c r="H190" s="163"/>
      <c r="I190" s="163"/>
      <c r="J190" s="100">
        <f t="shared" si="6"/>
        <v>0</v>
      </c>
    </row>
    <row r="191" spans="1:10" ht="15.75" x14ac:dyDescent="0.25">
      <c r="A191" s="570"/>
      <c r="B191" s="568"/>
      <c r="C191" s="82" t="str">
        <f>IF('CONSOLIDACION DEL MAPA'!P191="","",'CONSOLIDACION DEL MAPA'!P191)</f>
        <v/>
      </c>
      <c r="D191" s="82" t="str">
        <f>IF('CONSOLIDACION DEL MAPA'!Q191="","",'CONSOLIDACION DEL MAPA'!Q191)</f>
        <v/>
      </c>
      <c r="E191" s="82" t="str">
        <f>IF('CONSOLIDACION DEL MAPA'!R191="","",'CONSOLIDACION DEL MAPA'!R191)</f>
        <v/>
      </c>
      <c r="F191" s="101"/>
      <c r="G191" s="101"/>
      <c r="H191" s="163"/>
      <c r="I191" s="163"/>
      <c r="J191" s="100">
        <f t="shared" si="6"/>
        <v>0</v>
      </c>
    </row>
    <row r="192" spans="1:10" ht="16.5" thickBot="1" x14ac:dyDescent="0.3">
      <c r="A192" s="571"/>
      <c r="B192" s="568"/>
      <c r="C192" s="82" t="str">
        <f>IF('CONSOLIDACION DEL MAPA'!P192="","",'CONSOLIDACION DEL MAPA'!P192)</f>
        <v/>
      </c>
      <c r="D192" s="82" t="str">
        <f>IF('CONSOLIDACION DEL MAPA'!Q192="","",'CONSOLIDACION DEL MAPA'!Q192)</f>
        <v/>
      </c>
      <c r="E192" s="82" t="str">
        <f>IF('CONSOLIDACION DEL MAPA'!R192="","",'CONSOLIDACION DEL MAPA'!R192)</f>
        <v/>
      </c>
      <c r="F192" s="101"/>
      <c r="G192" s="101"/>
      <c r="H192" s="163"/>
      <c r="I192" s="163"/>
      <c r="J192" s="100">
        <f t="shared" si="6"/>
        <v>0</v>
      </c>
    </row>
    <row r="193" spans="1:10" ht="26.25" thickTop="1" x14ac:dyDescent="0.25">
      <c r="A193" s="569" t="str">
        <f>'CONSOLIDACION DEL MAPA'!A193</f>
        <v>34C</v>
      </c>
      <c r="B193" s="568" t="str">
        <f>'CONSOLIDACION DEL MAPA'!B193</f>
        <v>Evaluación Independiente. No reportar posibles actos de corrupción e irregularidades</v>
      </c>
      <c r="C193" s="82" t="str">
        <f>IF('CONSOLIDACION DEL MAPA'!P193="","",'CONSOLIDACION DEL MAPA'!P193)</f>
        <v>No Establecer</v>
      </c>
      <c r="D193" s="82" t="str">
        <f>IF('CONSOLIDACION DEL MAPA'!Q193="","",'CONSOLIDACION DEL MAPA'!Q193)</f>
        <v>Seguir ejecutando y monitoreando los controles existentes</v>
      </c>
      <c r="E193" s="82" t="str">
        <f>IF('CONSOLIDACION DEL MAPA'!R193="","",'CONSOLIDACION DEL MAPA'!R193)</f>
        <v>No Aplica</v>
      </c>
      <c r="F193" s="101"/>
      <c r="G193" s="101"/>
      <c r="H193" s="163"/>
      <c r="I193" s="163"/>
      <c r="J193" s="100">
        <f t="shared" si="6"/>
        <v>0</v>
      </c>
    </row>
    <row r="194" spans="1:10" ht="15.75" x14ac:dyDescent="0.25">
      <c r="A194" s="570"/>
      <c r="B194" s="568"/>
      <c r="C194" s="82" t="str">
        <f>IF('CONSOLIDACION DEL MAPA'!P194="","",'CONSOLIDACION DEL MAPA'!P194)</f>
        <v/>
      </c>
      <c r="D194" s="82" t="str">
        <f>IF('CONSOLIDACION DEL MAPA'!Q194="","",'CONSOLIDACION DEL MAPA'!Q194)</f>
        <v/>
      </c>
      <c r="E194" s="82" t="str">
        <f>IF('CONSOLIDACION DEL MAPA'!R194="","",'CONSOLIDACION DEL MAPA'!R194)</f>
        <v/>
      </c>
      <c r="F194" s="101"/>
      <c r="G194" s="101"/>
      <c r="H194" s="163"/>
      <c r="I194" s="163"/>
      <c r="J194" s="100">
        <f t="shared" si="6"/>
        <v>0</v>
      </c>
    </row>
    <row r="195" spans="1:10" ht="16.5" thickBot="1" x14ac:dyDescent="0.3">
      <c r="A195" s="571"/>
      <c r="B195" s="568"/>
      <c r="C195" s="82" t="str">
        <f>IF('CONSOLIDACION DEL MAPA'!P195="","",'CONSOLIDACION DEL MAPA'!P195)</f>
        <v/>
      </c>
      <c r="D195" s="82" t="str">
        <f>IF('CONSOLIDACION DEL MAPA'!Q195="","",'CONSOLIDACION DEL MAPA'!Q195)</f>
        <v/>
      </c>
      <c r="E195" s="82" t="str">
        <f>IF('CONSOLIDACION DEL MAPA'!R195="","",'CONSOLIDACION DEL MAPA'!R195)</f>
        <v/>
      </c>
      <c r="F195" s="101"/>
      <c r="G195" s="101"/>
      <c r="H195" s="163"/>
      <c r="I195" s="163"/>
      <c r="J195" s="100">
        <f t="shared" si="6"/>
        <v>0</v>
      </c>
    </row>
    <row r="196" spans="1:10" ht="15.75" thickTop="1" x14ac:dyDescent="0.2"/>
  </sheetData>
  <sheetProtection algorithmName="SHA-512" hashValue="ntBPflP6Ar0xnAoG59EIuuIlVwkoNDFifKoFD2t7s5XKtTawPoiOO5ARr7MoskHeB2wtytJHYOUx2kCSxexoSQ==" saltValue="2/awoSQQiQxxTHQaK7pSZw==" spinCount="100000" sheet="1" objects="1" scenarios="1" formatCells="0" formatRows="0" insertRows="0" selectLockedCells="1"/>
  <mergeCells count="133">
    <mergeCell ref="A187:A189"/>
    <mergeCell ref="B187:B189"/>
    <mergeCell ref="A190:A192"/>
    <mergeCell ref="B190:B192"/>
    <mergeCell ref="A193:A195"/>
    <mergeCell ref="B193:B195"/>
    <mergeCell ref="A178:A180"/>
    <mergeCell ref="B178:B180"/>
    <mergeCell ref="A181:A183"/>
    <mergeCell ref="B181:B183"/>
    <mergeCell ref="A184:A186"/>
    <mergeCell ref="B184:B186"/>
    <mergeCell ref="A169:A171"/>
    <mergeCell ref="B169:B171"/>
    <mergeCell ref="A172:A174"/>
    <mergeCell ref="B172:B174"/>
    <mergeCell ref="A175:A177"/>
    <mergeCell ref="B175:B177"/>
    <mergeCell ref="A160:A162"/>
    <mergeCell ref="B160:B162"/>
    <mergeCell ref="A163:A165"/>
    <mergeCell ref="B163:B165"/>
    <mergeCell ref="A166:A168"/>
    <mergeCell ref="B166:B168"/>
    <mergeCell ref="A151:A153"/>
    <mergeCell ref="B151:B153"/>
    <mergeCell ref="A154:A156"/>
    <mergeCell ref="B154:B156"/>
    <mergeCell ref="A157:A159"/>
    <mergeCell ref="B157:B159"/>
    <mergeCell ref="A142:A144"/>
    <mergeCell ref="B142:B144"/>
    <mergeCell ref="A145:A147"/>
    <mergeCell ref="B145:B147"/>
    <mergeCell ref="A148:A150"/>
    <mergeCell ref="B148:B150"/>
    <mergeCell ref="A133:A135"/>
    <mergeCell ref="B133:B135"/>
    <mergeCell ref="A136:A138"/>
    <mergeCell ref="B136:B138"/>
    <mergeCell ref="A139:A141"/>
    <mergeCell ref="B139:B141"/>
    <mergeCell ref="A124:A126"/>
    <mergeCell ref="B124:B126"/>
    <mergeCell ref="A127:A129"/>
    <mergeCell ref="B127:B129"/>
    <mergeCell ref="A130:A132"/>
    <mergeCell ref="B130:B132"/>
    <mergeCell ref="A115:A117"/>
    <mergeCell ref="B115:B117"/>
    <mergeCell ref="A118:A120"/>
    <mergeCell ref="B118:B120"/>
    <mergeCell ref="A121:A123"/>
    <mergeCell ref="B121:B123"/>
    <mergeCell ref="A109:A111"/>
    <mergeCell ref="B109:B111"/>
    <mergeCell ref="A112:A114"/>
    <mergeCell ref="B112:B114"/>
    <mergeCell ref="A84:A86"/>
    <mergeCell ref="B84:B86"/>
    <mergeCell ref="A87:A89"/>
    <mergeCell ref="B87:B89"/>
    <mergeCell ref="A90:A92"/>
    <mergeCell ref="B90:B92"/>
    <mergeCell ref="A75:A77"/>
    <mergeCell ref="B75:B77"/>
    <mergeCell ref="A78:A80"/>
    <mergeCell ref="B78:B80"/>
    <mergeCell ref="A81:A83"/>
    <mergeCell ref="B81:B83"/>
    <mergeCell ref="A69:A71"/>
    <mergeCell ref="B69:B71"/>
    <mergeCell ref="A72:A74"/>
    <mergeCell ref="B72:B74"/>
    <mergeCell ref="A57:A59"/>
    <mergeCell ref="B57:B59"/>
    <mergeCell ref="A60:A62"/>
    <mergeCell ref="B60:B62"/>
    <mergeCell ref="A63:A65"/>
    <mergeCell ref="B63:B65"/>
    <mergeCell ref="A103:A105"/>
    <mergeCell ref="B103:B105"/>
    <mergeCell ref="A106:A108"/>
    <mergeCell ref="B106:B108"/>
    <mergeCell ref="A93:I93"/>
    <mergeCell ref="A94:A96"/>
    <mergeCell ref="B94:B96"/>
    <mergeCell ref="A97:A99"/>
    <mergeCell ref="B97:B99"/>
    <mergeCell ref="A36:A38"/>
    <mergeCell ref="B36:B38"/>
    <mergeCell ref="A24:A26"/>
    <mergeCell ref="B24:B26"/>
    <mergeCell ref="A27:A29"/>
    <mergeCell ref="B27:B29"/>
    <mergeCell ref="A30:A32"/>
    <mergeCell ref="B30:B32"/>
    <mergeCell ref="A100:A102"/>
    <mergeCell ref="B100:B102"/>
    <mergeCell ref="A48:A50"/>
    <mergeCell ref="B48:B50"/>
    <mergeCell ref="A51:A53"/>
    <mergeCell ref="B51:B53"/>
    <mergeCell ref="A54:A56"/>
    <mergeCell ref="B54:B56"/>
    <mergeCell ref="A39:A41"/>
    <mergeCell ref="B39:B41"/>
    <mergeCell ref="A42:A44"/>
    <mergeCell ref="B42:B44"/>
    <mergeCell ref="A45:A47"/>
    <mergeCell ref="B45:B47"/>
    <mergeCell ref="A66:A68"/>
    <mergeCell ref="B66:B68"/>
    <mergeCell ref="A18:A20"/>
    <mergeCell ref="B18:B20"/>
    <mergeCell ref="A21:A23"/>
    <mergeCell ref="B21:B23"/>
    <mergeCell ref="A9:A11"/>
    <mergeCell ref="B9:B11"/>
    <mergeCell ref="A12:A14"/>
    <mergeCell ref="B12:B14"/>
    <mergeCell ref="A33:A35"/>
    <mergeCell ref="B33:B35"/>
    <mergeCell ref="A6:B6"/>
    <mergeCell ref="A7:B7"/>
    <mergeCell ref="C7:I7"/>
    <mergeCell ref="C6:F6"/>
    <mergeCell ref="G6:H6"/>
    <mergeCell ref="A1:B3"/>
    <mergeCell ref="A5:J5"/>
    <mergeCell ref="C1:H3"/>
    <mergeCell ref="A15:A17"/>
    <mergeCell ref="B15:B17"/>
  </mergeCells>
  <dataValidations count="4">
    <dataValidation type="date" operator="greaterThanOrEqual" allowBlank="1" showInputMessage="1" showErrorMessage="1" errorTitle="Fecha de Terminación" error="La Fecha de Terminación debe ser_x000a_Igual o Posterior a la Fecha de Inicio" sqref="I9:I92 I94:I195">
      <formula1>H9</formula1>
    </dataValidation>
    <dataValidation type="textLength" operator="lessThanOrEqual" allowBlank="1" showInputMessage="1" showErrorMessage="1" errorTitle="Cronograma de la Accion" error="No se permite establecer cronograma debido_x000a_a que no definio acción o indico que asume el riesgo" sqref="G9:G92 G94:G195">
      <formula1>IF(OR($E9="Sin Implementar",$E9="En Ejecución"),5,0)</formula1>
    </dataValidation>
    <dataValidation type="textLength" operator="lessThanOrEqual" allowBlank="1" showInputMessage="1" showErrorMessage="1" errorTitle="Cronograma de la Accion" error="- No se permite establecer cronograma debido_x000a_a que no definio acción o indico que asume el riesgo_x000a_- O texto introducido mayor a 100 caracteres" sqref="F9:F92 F94:F195">
      <formula1>IF(OR($E9="Sin Implementar",$E9="En Ejecución"),100,0)</formula1>
    </dataValidation>
    <dataValidation type="custom" operator="equal" allowBlank="1" showInputMessage="1" showErrorMessage="1" errorTitle="Estado de la Accion" error="Si Accion=SIN IMPLEMENTAR, entonces Fecha de Inicio debe ser_x000a_igual o posterior a Fecha de Actualizacion del Mapa._x000a_Si Accion= EN EJECUCIÓN, entonces Fecha de Inicio debe ser _x000a_anterior o igual a Fecha de Actualizacion del Mapa." sqref="H9:H92 H94:H195">
      <formula1>IF($E9="Sin Implementar",$H9&gt;=$I$6,IF($E9="En Ejecución",$H9&lt;=$I$6,""))</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rgb="FFFFC000"/>
  </sheetPr>
  <dimension ref="A1:AY206"/>
  <sheetViews>
    <sheetView zoomScaleNormal="100" workbookViewId="0">
      <pane xSplit="9" ySplit="8" topLeftCell="U9" activePane="bottomRight" state="frozen"/>
      <selection activeCell="A9" sqref="A9:E11"/>
      <selection pane="topRight" activeCell="A9" sqref="A9:E11"/>
      <selection pane="bottomLeft" activeCell="A9" sqref="A9:E11"/>
      <selection pane="bottomRight" activeCell="Z167" sqref="Z167"/>
    </sheetView>
  </sheetViews>
  <sheetFormatPr baseColWidth="10" defaultRowHeight="15" x14ac:dyDescent="0.2"/>
  <cols>
    <col min="1" max="1" width="2.88671875" customWidth="1"/>
    <col min="2" max="2" width="13.44140625" customWidth="1"/>
    <col min="3" max="3" width="8.5546875" customWidth="1"/>
    <col min="4" max="4" width="15.44140625" customWidth="1"/>
    <col min="5" max="5" width="9.77734375" customWidth="1"/>
    <col min="6" max="6" width="7.109375" customWidth="1"/>
    <col min="7" max="8" width="9" customWidth="1"/>
    <col min="9" max="9" width="8.33203125" hidden="1" customWidth="1"/>
    <col min="10" max="10" width="3.44140625" style="159" customWidth="1"/>
    <col min="11" max="11" width="7.33203125" style="104" customWidth="1"/>
    <col min="12" max="12" width="21" customWidth="1"/>
    <col min="13" max="13" width="7.33203125" style="104" customWidth="1"/>
    <col min="14" max="14" width="7.44140625" style="108" customWidth="1"/>
    <col min="15" max="15" width="4.88671875" style="340" customWidth="1"/>
    <col min="16" max="16" width="23.88671875" customWidth="1"/>
    <col min="17" max="17" width="6" style="110" hidden="1" customWidth="1"/>
    <col min="18" max="19" width="6.44140625" style="110" hidden="1" customWidth="1"/>
    <col min="20" max="20" width="3.44140625" style="110" customWidth="1"/>
    <col min="21" max="21" width="7.77734375" customWidth="1"/>
    <col min="22" max="22" width="21" customWidth="1"/>
    <col min="23" max="23" width="7.44140625" style="96" customWidth="1"/>
    <col min="24" max="24" width="7.44140625" style="108" customWidth="1"/>
    <col min="25" max="25" width="4.88671875" style="340" customWidth="1"/>
    <col min="26" max="26" width="23.77734375" customWidth="1"/>
    <col min="27" max="27" width="6" hidden="1" customWidth="1"/>
    <col min="28" max="29" width="6.44140625" hidden="1" customWidth="1"/>
    <col min="30" max="30" width="3.44140625" style="110" customWidth="1"/>
    <col min="31" max="31" width="7.88671875" customWidth="1"/>
    <col min="32" max="32" width="21" customWidth="1"/>
    <col min="33" max="33" width="7.109375" style="96" customWidth="1"/>
    <col min="34" max="34" width="7.44140625" style="108" customWidth="1"/>
    <col min="35" max="35" width="4.88671875" style="340" customWidth="1"/>
    <col min="36" max="36" width="23.77734375" customWidth="1"/>
    <col min="37" max="37" width="6" hidden="1" customWidth="1"/>
    <col min="38" max="39" width="6.44140625" hidden="1" customWidth="1"/>
    <col min="40" max="43" width="11.5546875" hidden="1" customWidth="1"/>
    <col min="44" max="48" width="11.5546875" style="139" hidden="1" customWidth="1"/>
    <col min="49" max="49" width="11.5546875" style="136"/>
    <col min="50" max="51" width="11.5546875" hidden="1" customWidth="1"/>
  </cols>
  <sheetData>
    <row r="1" spans="1:50" ht="24" customHeight="1" x14ac:dyDescent="0.2">
      <c r="A1" s="437" t="s">
        <v>145</v>
      </c>
      <c r="B1" s="437"/>
      <c r="C1" s="438" t="s">
        <v>152</v>
      </c>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521" t="s">
        <v>71</v>
      </c>
      <c r="AG1" s="521"/>
      <c r="AH1" s="521"/>
      <c r="AI1" s="521"/>
      <c r="AJ1" s="521"/>
      <c r="AK1" s="521"/>
      <c r="AL1" s="521"/>
      <c r="AM1" s="521"/>
      <c r="AN1" s="521"/>
      <c r="AO1" s="521"/>
      <c r="AP1" s="521"/>
      <c r="AQ1" s="521"/>
      <c r="AR1" s="521"/>
      <c r="AS1" s="521"/>
      <c r="AT1" s="521"/>
      <c r="AU1" s="521"/>
      <c r="AV1" s="521"/>
      <c r="AW1" s="521"/>
    </row>
    <row r="2" spans="1:50" ht="24" customHeight="1" x14ac:dyDescent="0.2">
      <c r="A2" s="437"/>
      <c r="B2" s="437"/>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521" t="s">
        <v>107</v>
      </c>
      <c r="AG2" s="521"/>
      <c r="AH2" s="521"/>
      <c r="AI2" s="521"/>
      <c r="AJ2" s="521"/>
      <c r="AK2" s="521"/>
      <c r="AL2" s="521"/>
      <c r="AM2" s="521"/>
      <c r="AN2" s="521"/>
      <c r="AO2" s="521"/>
      <c r="AP2" s="521"/>
      <c r="AQ2" s="521"/>
      <c r="AR2" s="521"/>
      <c r="AS2" s="521"/>
      <c r="AT2" s="521"/>
      <c r="AU2" s="521"/>
      <c r="AV2" s="521"/>
      <c r="AW2" s="521"/>
    </row>
    <row r="3" spans="1:50" ht="15" customHeight="1" x14ac:dyDescent="0.2">
      <c r="A3" s="437"/>
      <c r="B3" s="437"/>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521" t="s">
        <v>408</v>
      </c>
      <c r="AG3" s="521"/>
      <c r="AH3" s="521"/>
      <c r="AI3" s="521"/>
      <c r="AJ3" s="521"/>
      <c r="AK3" s="521"/>
      <c r="AL3" s="521"/>
      <c r="AM3" s="521"/>
      <c r="AN3" s="521"/>
      <c r="AO3" s="521"/>
      <c r="AP3" s="521"/>
      <c r="AQ3" s="521"/>
      <c r="AR3" s="521"/>
      <c r="AS3" s="521"/>
      <c r="AT3" s="521"/>
      <c r="AU3" s="521"/>
      <c r="AV3" s="521"/>
      <c r="AW3" s="521"/>
    </row>
    <row r="4" spans="1:50" ht="3.75" customHeight="1" x14ac:dyDescent="0.2">
      <c r="A4" s="33"/>
      <c r="B4" s="34"/>
      <c r="C4" s="49"/>
      <c r="D4" s="49"/>
      <c r="E4" s="3"/>
      <c r="F4" s="3"/>
    </row>
    <row r="5" spans="1:50" ht="15.75" customHeight="1" x14ac:dyDescent="0.2">
      <c r="A5" s="565" t="s">
        <v>146</v>
      </c>
      <c r="B5" s="566"/>
      <c r="C5" s="566"/>
      <c r="D5" s="566"/>
      <c r="E5" s="566"/>
      <c r="F5" s="566"/>
      <c r="G5" s="566"/>
      <c r="H5" s="566"/>
      <c r="I5" s="231"/>
      <c r="J5" s="606" t="s">
        <v>146</v>
      </c>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6"/>
      <c r="AM5" s="606"/>
      <c r="AN5" s="606"/>
      <c r="AO5" s="606"/>
      <c r="AP5" s="606"/>
      <c r="AQ5" s="606"/>
      <c r="AR5" s="606"/>
      <c r="AS5" s="606"/>
      <c r="AT5" s="606"/>
      <c r="AU5" s="606"/>
      <c r="AV5" s="606"/>
      <c r="AW5" s="606"/>
    </row>
    <row r="6" spans="1:50" ht="15.75" customHeight="1" x14ac:dyDescent="0.25">
      <c r="A6" s="529" t="str">
        <f>'CONTEXTO ESTRATEGICO'!A7</f>
        <v>INSTITUCIONAL</v>
      </c>
      <c r="B6" s="529"/>
      <c r="C6" s="579" t="str">
        <f>'CONTEXTO ESTRATEGICO'!B7</f>
        <v>Mapa de Riesgo Institucional</v>
      </c>
      <c r="D6" s="580"/>
      <c r="E6" s="599" t="str">
        <f>'CONTEXTO ESTRATEGICO'!A6</f>
        <v>Fecha de Actualización (AAAA/MM/DD)</v>
      </c>
      <c r="F6" s="600"/>
      <c r="G6" s="601"/>
      <c r="H6" s="103">
        <f>'CONTEXTO ESTRATEGICO'!B6</f>
        <v>42443</v>
      </c>
      <c r="I6" s="158"/>
      <c r="J6" s="594" t="str">
        <f ca="1">Datos!$W$2</f>
        <v/>
      </c>
      <c r="K6" s="595"/>
      <c r="L6" s="598" t="s">
        <v>202</v>
      </c>
      <c r="M6" s="598"/>
      <c r="N6" s="598"/>
      <c r="O6" s="341"/>
      <c r="P6" s="214">
        <v>42490</v>
      </c>
      <c r="Q6" s="111"/>
      <c r="R6" s="112"/>
      <c r="S6" s="113"/>
      <c r="T6" s="594" t="str">
        <f ca="1">Datos!$X$2</f>
        <v/>
      </c>
      <c r="U6" s="595"/>
      <c r="V6" s="598" t="s">
        <v>170</v>
      </c>
      <c r="W6" s="598"/>
      <c r="X6" s="598"/>
      <c r="Y6" s="341"/>
      <c r="Z6" s="214">
        <v>42613</v>
      </c>
      <c r="AA6" s="87"/>
      <c r="AB6" s="88"/>
      <c r="AC6" s="93"/>
      <c r="AD6" s="594" t="str">
        <f ca="1">Datos!$Y$2</f>
        <v/>
      </c>
      <c r="AE6" s="595"/>
      <c r="AF6" s="598" t="s">
        <v>171</v>
      </c>
      <c r="AG6" s="598"/>
      <c r="AH6" s="598"/>
      <c r="AI6" s="341"/>
      <c r="AJ6" s="214" t="s">
        <v>168</v>
      </c>
      <c r="AK6" s="87"/>
      <c r="AL6" s="88"/>
      <c r="AM6" s="93"/>
      <c r="AT6" s="150">
        <f>IF(SUM(AS7,AR7)=0,"",IF(AS7&gt;=AR7,2,1))</f>
        <v>2</v>
      </c>
      <c r="AU6" s="150">
        <f>IF(SUM(AU7,AT7)=0,"",IF(AU7&gt;=AT7,3,AT6))</f>
        <v>2</v>
      </c>
      <c r="AV6" s="148" t="s">
        <v>199</v>
      </c>
      <c r="AW6" s="607" t="s">
        <v>190</v>
      </c>
    </row>
    <row r="7" spans="1:50" ht="15.75" x14ac:dyDescent="0.25">
      <c r="A7" s="529" t="str">
        <f>'CONTEXTO ESTRATEGICO'!A8</f>
        <v>MISION</v>
      </c>
      <c r="B7" s="529"/>
      <c r="C7" s="579" t="str">
        <f>'CONTEXTO ESTRATEGICO'!B8</f>
        <v>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(Plan de Desarrollo 2010-2019)</v>
      </c>
      <c r="D7" s="580"/>
      <c r="E7" s="580"/>
      <c r="F7" s="580"/>
      <c r="G7" s="580"/>
      <c r="H7" s="580"/>
      <c r="I7" s="581"/>
      <c r="J7" s="582" t="s">
        <v>154</v>
      </c>
      <c r="K7" s="583"/>
      <c r="L7" s="584"/>
      <c r="M7" s="577" t="s">
        <v>158</v>
      </c>
      <c r="N7" s="578"/>
      <c r="O7" s="578"/>
      <c r="P7" s="578"/>
      <c r="Q7" s="114"/>
      <c r="R7" s="114"/>
      <c r="S7" s="114"/>
      <c r="T7" s="582" t="s">
        <v>154</v>
      </c>
      <c r="U7" s="583"/>
      <c r="V7" s="584"/>
      <c r="W7" s="577" t="s">
        <v>158</v>
      </c>
      <c r="X7" s="578"/>
      <c r="Y7" s="578"/>
      <c r="Z7" s="578"/>
      <c r="AA7" s="89"/>
      <c r="AB7" s="90"/>
      <c r="AC7" s="90"/>
      <c r="AD7" s="596" t="s">
        <v>154</v>
      </c>
      <c r="AE7" s="596"/>
      <c r="AF7" s="597"/>
      <c r="AG7" s="604" t="s">
        <v>158</v>
      </c>
      <c r="AH7" s="604"/>
      <c r="AI7" s="604"/>
      <c r="AJ7" s="604"/>
      <c r="AK7" s="89"/>
      <c r="AL7" s="90"/>
      <c r="AM7" s="90"/>
      <c r="AR7" s="147">
        <f>IF(P6="Indique Fecha Seguimiento",0,P6)</f>
        <v>42490</v>
      </c>
      <c r="AS7" s="147">
        <f>IF(Z6="Indique Fecha Seguimiento",0,Z6)</f>
        <v>42613</v>
      </c>
      <c r="AT7" s="147">
        <f>IF(AS7&gt;=AR7,AS7,AR7)</f>
        <v>42613</v>
      </c>
      <c r="AU7" s="147">
        <f>IF(AJ6="Indique Fecha Seguimiento",0,AJ6)</f>
        <v>0</v>
      </c>
      <c r="AV7" s="147">
        <f>IF(AU7&gt;=AT7,AU7,AT7)</f>
        <v>42613</v>
      </c>
      <c r="AW7" s="607"/>
      <c r="AX7">
        <f>IF(SUM(AR7,AS7,AU7)=0,"Sin Seguimientos",AV7)</f>
        <v>42613</v>
      </c>
    </row>
    <row r="8" spans="1:50" ht="37.5" customHeight="1" x14ac:dyDescent="0.2">
      <c r="A8" s="95" t="s">
        <v>26</v>
      </c>
      <c r="B8" s="11" t="s">
        <v>1</v>
      </c>
      <c r="C8" s="80" t="s">
        <v>18</v>
      </c>
      <c r="D8" s="80" t="s">
        <v>153</v>
      </c>
      <c r="E8" s="75" t="s">
        <v>159</v>
      </c>
      <c r="F8" s="75" t="s">
        <v>183</v>
      </c>
      <c r="G8" s="75" t="s">
        <v>166</v>
      </c>
      <c r="H8" s="76" t="s">
        <v>167</v>
      </c>
      <c r="I8" s="83" t="s">
        <v>162</v>
      </c>
      <c r="J8" s="161" t="s">
        <v>204</v>
      </c>
      <c r="K8" s="105" t="s">
        <v>181</v>
      </c>
      <c r="L8" s="77" t="s">
        <v>157</v>
      </c>
      <c r="M8" s="107" t="s">
        <v>180</v>
      </c>
      <c r="N8" s="109" t="s">
        <v>182</v>
      </c>
      <c r="O8" s="339" t="s">
        <v>387</v>
      </c>
      <c r="P8" s="79" t="s">
        <v>160</v>
      </c>
      <c r="Q8" s="115" t="s">
        <v>163</v>
      </c>
      <c r="R8" s="115" t="s">
        <v>164</v>
      </c>
      <c r="S8" s="115" t="s">
        <v>172</v>
      </c>
      <c r="T8" s="161" t="s">
        <v>204</v>
      </c>
      <c r="U8" s="105" t="s">
        <v>181</v>
      </c>
      <c r="V8" s="77" t="s">
        <v>157</v>
      </c>
      <c r="W8" s="86" t="s">
        <v>180</v>
      </c>
      <c r="X8" s="109" t="s">
        <v>182</v>
      </c>
      <c r="Y8" s="339" t="s">
        <v>387</v>
      </c>
      <c r="Z8" s="79" t="s">
        <v>160</v>
      </c>
      <c r="AA8" s="85" t="s">
        <v>163</v>
      </c>
      <c r="AB8" s="85" t="s">
        <v>164</v>
      </c>
      <c r="AC8" s="85" t="s">
        <v>172</v>
      </c>
      <c r="AD8" s="161" t="s">
        <v>204</v>
      </c>
      <c r="AE8" s="105" t="s">
        <v>181</v>
      </c>
      <c r="AF8" s="77" t="s">
        <v>157</v>
      </c>
      <c r="AG8" s="86" t="s">
        <v>180</v>
      </c>
      <c r="AH8" s="109" t="s">
        <v>182</v>
      </c>
      <c r="AI8" s="339" t="s">
        <v>387</v>
      </c>
      <c r="AJ8" s="79" t="s">
        <v>160</v>
      </c>
      <c r="AK8" s="85" t="s">
        <v>163</v>
      </c>
      <c r="AL8" s="85" t="s">
        <v>164</v>
      </c>
      <c r="AM8" s="85" t="s">
        <v>172</v>
      </c>
      <c r="AN8" s="135" t="s">
        <v>189</v>
      </c>
      <c r="AO8" s="135" t="s">
        <v>186</v>
      </c>
      <c r="AP8" s="134" t="s">
        <v>187</v>
      </c>
      <c r="AQ8" s="138" t="s">
        <v>188</v>
      </c>
      <c r="AR8" s="140" t="s">
        <v>191</v>
      </c>
      <c r="AS8" s="140" t="s">
        <v>192</v>
      </c>
      <c r="AT8" s="140" t="s">
        <v>194</v>
      </c>
      <c r="AU8" s="140" t="s">
        <v>193</v>
      </c>
      <c r="AV8" s="140" t="s">
        <v>198</v>
      </c>
      <c r="AW8" s="607"/>
    </row>
    <row r="9" spans="1:50" ht="51" x14ac:dyDescent="0.25">
      <c r="A9" s="593" t="str">
        <f>CRONOGRAMA!A9</f>
        <v>1G</v>
      </c>
      <c r="B9" s="591" t="str">
        <f>CRONOGRAMA!B9</f>
        <v>Relaciones Interinstitucionales. Concentrar labores múltiples en poco personal</v>
      </c>
      <c r="C9" s="82" t="str">
        <f>IF('CONSOLIDACION DEL MAPA'!P9="","",'CONSOLIDACION DEL MAPA'!P9)</f>
        <v>Compartir</v>
      </c>
      <c r="D9" s="82" t="str">
        <f>CRONOGRAMA!D9</f>
        <v>Trabajo conjunto con Rectoría para contratación de personal</v>
      </c>
      <c r="E9" s="132" t="str">
        <f>IF(CRONOGRAMA!F9="", "",CRONOGRAMA!F9)</f>
        <v>Comunicación Interna/correo Electronico</v>
      </c>
      <c r="F9" s="132">
        <f>IF(CRONOGRAMA!G9="", "",CRONOGRAMA!G9)</f>
        <v>1</v>
      </c>
      <c r="G9" s="128">
        <f>IF(CRONOGRAMA!H9="", "",CRONOGRAMA!H9)</f>
        <v>42491</v>
      </c>
      <c r="H9" s="128">
        <f>IF(CRONOGRAMA!I9="", "",CRONOGRAMA!I9)</f>
        <v>42735</v>
      </c>
      <c r="I9" s="84">
        <f>IF(G9="",0,IF(H9="",0,(H9-G9)/7))</f>
        <v>34.857142857142854</v>
      </c>
      <c r="J9" s="160" t="str">
        <f>IF($P$6="Indique Fecha Seguimiento","",IF(CRONOGRAMA!$E9="No Aplica","NA",IF($G9="","",IF(YEAR($G9)&lt;YEAR($P$6)," A ",IF(YEAR($G9)=YEAR($P$6),IF(MONTH($G9)&lt;=4," A ","NA"),IF(YEAR($G9)&gt;YEAR($P$6),"NA"))))))</f>
        <v>NA</v>
      </c>
      <c r="K9" s="400"/>
      <c r="L9" s="401"/>
      <c r="M9" s="400"/>
      <c r="N9" s="348" t="str">
        <f>IF(M9="","",IF($F9=0,0,M9/$F9))</f>
        <v/>
      </c>
      <c r="O9" s="349"/>
      <c r="P9" s="44"/>
      <c r="Q9" s="84" t="str">
        <f>IF(N9="","",($I9*N9))</f>
        <v/>
      </c>
      <c r="R9" s="84" t="str">
        <f>IF(O9="SI",Q9,IF($P$6&lt;=$H9,Q9,0))</f>
        <v/>
      </c>
      <c r="S9" s="84">
        <f>$I9</f>
        <v>34.857142857142854</v>
      </c>
      <c r="T9" s="160" t="str">
        <f>IF($Z$6="Indique Fecha Seguimiento","",IF(CRONOGRAMA!$E9="No Aplica","NA",IF($G9="","",IF(YEAR($G9)&lt;YEAR($Z$6)," A ",IF(YEAR($G9)=YEAR($Z$6),IF(MONTH($G9)&lt;=8," A ","NA"),IF(YEAR($G9)&gt;YEAR($Z$6),"NA"))))))</f>
        <v xml:space="preserve"> A </v>
      </c>
      <c r="U9" s="400">
        <v>0</v>
      </c>
      <c r="V9" s="402" t="s">
        <v>964</v>
      </c>
      <c r="W9" s="351">
        <v>0</v>
      </c>
      <c r="X9" s="348">
        <f>IF(W9="","",IF($F9=0,0,W9/$F9))</f>
        <v>0</v>
      </c>
      <c r="Y9" s="349" t="s">
        <v>353</v>
      </c>
      <c r="Z9" s="44" t="str">
        <f>V9</f>
        <v>No se ha realizado petición formal en lo que va del año 2016</v>
      </c>
      <c r="AA9" s="84">
        <f>IF(X9="","",($I9*X9))</f>
        <v>0</v>
      </c>
      <c r="AB9" s="84">
        <f>IF(N9=1,R9,IF(Y9="SI",AA9,IF($Z$6&lt;=$H9,AA9,0)))</f>
        <v>0</v>
      </c>
      <c r="AC9" s="84">
        <f>$I9</f>
        <v>34.857142857142854</v>
      </c>
      <c r="AD9" s="160" t="str">
        <f>IF($AJ$6="Indique Fecha Seguimiento","",IF(CRONOGRAMA!$E9="No Aplica","NA",IF($G9="","",IF(YEAR($G9)&lt;YEAR($AJ$6)," A ",IF(YEAR($G9)=YEAR($AJ$6),IF(MONTH($G9)&lt;=12," A ","NA"),IF(YEAR($G9)&gt;YEAR($AJ$6),"NA"))))))</f>
        <v/>
      </c>
      <c r="AE9" s="131"/>
      <c r="AF9" s="44"/>
      <c r="AG9" s="212"/>
      <c r="AH9" s="213" t="str">
        <f>IF(AG9="","",IF($F9=0,0,AG9/$F9))</f>
        <v/>
      </c>
      <c r="AI9" s="345"/>
      <c r="AJ9" s="44"/>
      <c r="AK9" s="81" t="str">
        <f>IF(AH9="","",($I9*AH9))</f>
        <v/>
      </c>
      <c r="AL9" s="84">
        <f>IF(X9=1,AB9,IF(AI9="SI",AK9,IF($AJ$6&lt;=$H9,AK9,0)))</f>
        <v>0</v>
      </c>
      <c r="AM9" s="84">
        <f>$I9</f>
        <v>34.857142857142854</v>
      </c>
      <c r="AN9" s="592">
        <f>SUM(I9:I11)</f>
        <v>34.857142857142854</v>
      </c>
      <c r="AO9" s="602" t="str">
        <f>IF(AND(Q9="",Q10="",Q11=""),"",SUM(Q9:Q11))</f>
        <v/>
      </c>
      <c r="AP9" s="603">
        <f>IF(AND(AA9="",AA10="",AA11=""),"",SUM(AA9:AA11))</f>
        <v>0</v>
      </c>
      <c r="AQ9" s="603" t="str">
        <f>IF(AND(AK9="",AK10="",AK11=""),"",SUM(AK9:AK11))</f>
        <v/>
      </c>
      <c r="AR9" s="574" t="str">
        <f>IF(AO9="",IF($AU$6&lt;1,"",IF($AU$6&gt;=1,"NA")),IF(AO9=0,0,AO9/$AN9))</f>
        <v>NA</v>
      </c>
      <c r="AS9" s="574">
        <f>IF(AP9="",IF($AU$6&lt;2,"",IF($AU$6&gt;=2,"NA")),IF(AP9=0,0,AP9/$AN9))</f>
        <v>0</v>
      </c>
      <c r="AT9" s="574" t="str">
        <f>IF(AS9&gt;=AR9,AS9,AR9)</f>
        <v>NA</v>
      </c>
      <c r="AU9" s="572" t="str">
        <f>IF(AQ9="",IF($AU$6&lt;3,"",IF($AU$6&gt;=3,"NA")),IF(AQ9=0,0,AQ9/$AN9))</f>
        <v/>
      </c>
      <c r="AV9" s="573">
        <f>IF($AU$6=1,AR9,IF($AU$6=2,AS9,IF($AU$6=3,AU9,"")))</f>
        <v>0</v>
      </c>
      <c r="AW9" s="605">
        <f>AV9</f>
        <v>0</v>
      </c>
      <c r="AX9" t="str">
        <f>IF($AU$6=1,P9,IF($AU$6=2,Z9,IF($AU$6=3,AJ9,"")))</f>
        <v>No se ha realizado petición formal en lo que va del año 2016</v>
      </c>
    </row>
    <row r="10" spans="1:50" ht="15.75" x14ac:dyDescent="0.25">
      <c r="A10" s="593"/>
      <c r="B10" s="591"/>
      <c r="C10" s="82" t="str">
        <f>IF('CONSOLIDACION DEL MAPA'!P10="","",'CONSOLIDACION DEL MAPA'!P10)</f>
        <v/>
      </c>
      <c r="D10" s="82" t="str">
        <f>CRONOGRAMA!D10</f>
        <v/>
      </c>
      <c r="E10" s="132" t="str">
        <f>IF(CRONOGRAMA!F10="", "",CRONOGRAMA!F10)</f>
        <v/>
      </c>
      <c r="F10" s="132" t="str">
        <f>IF(CRONOGRAMA!G10="", "",CRONOGRAMA!G10)</f>
        <v/>
      </c>
      <c r="G10" s="128" t="str">
        <f>IF(CRONOGRAMA!H10="", "",CRONOGRAMA!H10)</f>
        <v/>
      </c>
      <c r="H10" s="128" t="str">
        <f>IF(CRONOGRAMA!I10="", "",CRONOGRAMA!I10)</f>
        <v/>
      </c>
      <c r="I10" s="84">
        <f>IF(G10="",0,IF(H10="",0,(H10-G10)/7))</f>
        <v>0</v>
      </c>
      <c r="J10" s="160" t="str">
        <f>IF($P$6="Indique Fecha Seguimiento","",IF(CRONOGRAMA!$E10="No Aplica","NA",IF($G10="","",IF(YEAR($G10)&lt;YEAR($P$6)," A ",IF(YEAR($G10)=YEAR($P$6),IF(MONTH($G10)&lt;=4," A ","NA"),IF(YEAR($G10)&gt;YEAR($P$6),"NA"))))))</f>
        <v/>
      </c>
      <c r="K10" s="400"/>
      <c r="L10" s="401"/>
      <c r="M10" s="400"/>
      <c r="N10" s="348" t="str">
        <f t="shared" ref="N10:N38" si="0">IF(M10="","",IF($F10=0,0,M10/$F10))</f>
        <v/>
      </c>
      <c r="O10" s="349"/>
      <c r="P10" s="44"/>
      <c r="Q10" s="84" t="str">
        <f t="shared" ref="Q10:Q38" si="1">IF(N10="","",($I10*N10))</f>
        <v/>
      </c>
      <c r="R10" s="84" t="str">
        <f t="shared" ref="R10:R38" si="2">IF(O10="SI",Q10,IF($P$6&lt;=$H10,Q10,0))</f>
        <v/>
      </c>
      <c r="S10" s="84">
        <f t="shared" ref="S10:S73" si="3">$I10</f>
        <v>0</v>
      </c>
      <c r="T10" s="160" t="str">
        <f>IF($Z$6="Indique Fecha Seguimiento","",IF(CRONOGRAMA!$E10="No Aplica","NA",IF($G10="","",IF(YEAR($G10)&lt;YEAR($Z$6)," A ",IF(YEAR($G10)=YEAR($Z$6),IF(MONTH($G10)&lt;=8," A ","NA"),IF(YEAR($G10)&gt;YEAR($Z$6),"NA"))))))</f>
        <v/>
      </c>
      <c r="U10" s="351"/>
      <c r="V10" s="44"/>
      <c r="W10" s="351"/>
      <c r="X10" s="348" t="str">
        <f t="shared" ref="X10:X38" si="4">IF(W10="","",IF($F10=0,0,W10/$F10))</f>
        <v/>
      </c>
      <c r="Y10" s="349"/>
      <c r="Z10" s="44"/>
      <c r="AA10" s="84" t="str">
        <f t="shared" ref="AA10:AA38" si="5">IF(X10="","",($I10*X10))</f>
        <v/>
      </c>
      <c r="AB10" s="84" t="str">
        <f>IF(N10=1,R10,IF(Y10="SI",AA10,IF($Z$6&lt;=$H10,AA10,0)))</f>
        <v/>
      </c>
      <c r="AC10" s="84">
        <f t="shared" ref="AC10:AC73" si="6">$I10</f>
        <v>0</v>
      </c>
      <c r="AD10" s="160" t="str">
        <f>IF($AJ$6="Indique Fecha Seguimiento","",IF(CRONOGRAMA!$E10="No Aplica","NA",IF($G10="","",IF(YEAR($G10)&lt;YEAR($AJ$6)," A ",IF(YEAR($G10)=YEAR($AJ$6),IF(MONTH($G10)&lt;=12," A ","NA"),IF(YEAR($G10)&gt;YEAR($AJ$6),"NA"))))))</f>
        <v/>
      </c>
      <c r="AE10" s="350"/>
      <c r="AF10" s="44"/>
      <c r="AG10" s="351"/>
      <c r="AH10" s="348" t="str">
        <f t="shared" ref="AH10:AH38" si="7">IF(AG10="","",IF($F10=0,0,AG10/$F10))</f>
        <v/>
      </c>
      <c r="AI10" s="349"/>
      <c r="AJ10" s="44"/>
      <c r="AK10" s="81" t="str">
        <f t="shared" ref="AK10:AK38" si="8">IF(AH10="","",($I10*AH10))</f>
        <v/>
      </c>
      <c r="AL10" s="84">
        <f t="shared" ref="AL10:AL38" si="9">IF(X10=1,AB10,IF(AI10="SI",AK10,IF($AJ$6&lt;=$H10,AK10,0)))</f>
        <v>0</v>
      </c>
      <c r="AM10" s="84">
        <f t="shared" ref="AM10:AM73" si="10">$I10</f>
        <v>0</v>
      </c>
      <c r="AN10" s="592"/>
      <c r="AO10" s="602"/>
      <c r="AP10" s="603"/>
      <c r="AQ10" s="603"/>
      <c r="AR10" s="574"/>
      <c r="AS10" s="574"/>
      <c r="AT10" s="574"/>
      <c r="AU10" s="572"/>
      <c r="AV10" s="573"/>
      <c r="AW10" s="605"/>
      <c r="AX10">
        <f t="shared" ref="AX10:AX38" si="11">IF($AU$6=1,P10,IF($AU$6=2,Z10,IF($AU$6=3,AJ10,"")))</f>
        <v>0</v>
      </c>
    </row>
    <row r="11" spans="1:50" ht="15.75" x14ac:dyDescent="0.25">
      <c r="A11" s="593"/>
      <c r="B11" s="591"/>
      <c r="C11" s="82" t="str">
        <f>IF('CONSOLIDACION DEL MAPA'!P11="","",'CONSOLIDACION DEL MAPA'!P11)</f>
        <v/>
      </c>
      <c r="D11" s="82" t="str">
        <f>CRONOGRAMA!D11</f>
        <v/>
      </c>
      <c r="E11" s="132" t="str">
        <f>IF(CRONOGRAMA!F11="", "",CRONOGRAMA!F11)</f>
        <v/>
      </c>
      <c r="F11" s="132" t="str">
        <f>IF(CRONOGRAMA!G11="", "",CRONOGRAMA!G11)</f>
        <v/>
      </c>
      <c r="G11" s="128" t="str">
        <f>IF(CRONOGRAMA!H11="", "",CRONOGRAMA!H11)</f>
        <v/>
      </c>
      <c r="H11" s="128" t="str">
        <f>IF(CRONOGRAMA!I11="", "",CRONOGRAMA!I11)</f>
        <v/>
      </c>
      <c r="I11" s="84">
        <f t="shared" ref="I11:I38" si="12">IF(G11="",0,IF(H11="",0,(H11-G11)/7))</f>
        <v>0</v>
      </c>
      <c r="J11" s="160" t="str">
        <f>IF($P$6="Indique Fecha Seguimiento","",IF(CRONOGRAMA!$E11="No Aplica","NA",IF($G11="","",IF(YEAR($G11)&lt;YEAR($P$6)," A ",IF(YEAR($G11)=YEAR($P$6),IF(MONTH($G11)&lt;=4," A ","NA"),IF(YEAR($G11)&gt;YEAR($P$6),"NA"))))))</f>
        <v/>
      </c>
      <c r="K11" s="400"/>
      <c r="L11" s="401"/>
      <c r="M11" s="400"/>
      <c r="N11" s="348" t="str">
        <f t="shared" si="0"/>
        <v/>
      </c>
      <c r="O11" s="349"/>
      <c r="P11" s="44"/>
      <c r="Q11" s="84" t="str">
        <f t="shared" si="1"/>
        <v/>
      </c>
      <c r="R11" s="84" t="str">
        <f t="shared" si="2"/>
        <v/>
      </c>
      <c r="S11" s="84">
        <f t="shared" si="3"/>
        <v>0</v>
      </c>
      <c r="T11" s="160" t="str">
        <f>IF($Z$6="Indique Fecha Seguimiento","",IF(CRONOGRAMA!$E11="No Aplica","NA",IF($G11="","",IF(YEAR($G11)&lt;YEAR($Z$6)," A ",IF(YEAR($G11)=YEAR($Z$6),IF(MONTH($G11)&lt;=8," A ","NA"),IF(YEAR($G11)&gt;YEAR($Z$6),"NA"))))))</f>
        <v/>
      </c>
      <c r="U11" s="351"/>
      <c r="V11" s="44"/>
      <c r="W11" s="351"/>
      <c r="X11" s="348" t="str">
        <f t="shared" si="4"/>
        <v/>
      </c>
      <c r="Y11" s="349"/>
      <c r="Z11" s="44"/>
      <c r="AA11" s="84" t="str">
        <f t="shared" si="5"/>
        <v/>
      </c>
      <c r="AB11" s="84" t="str">
        <f t="shared" ref="AB11:AB38" si="13">IF(N11=1,R11,IF(Y11="SI",AA11,IF($Z$6&lt;=$H11,AA11,0)))</f>
        <v/>
      </c>
      <c r="AC11" s="84">
        <f t="shared" si="6"/>
        <v>0</v>
      </c>
      <c r="AD11" s="160" t="str">
        <f>IF($AJ$6="Indique Fecha Seguimiento","",IF(CRONOGRAMA!$E11="No Aplica","NA",IF($G11="","",IF(YEAR($G11)&lt;YEAR($AJ$6)," A ",IF(YEAR($G11)=YEAR($AJ$6),IF(MONTH($G11)&lt;=12," A ","NA"),IF(YEAR($G11)&gt;YEAR($AJ$6),"NA"))))))</f>
        <v/>
      </c>
      <c r="AE11" s="350"/>
      <c r="AF11" s="44"/>
      <c r="AG11" s="351"/>
      <c r="AH11" s="348" t="str">
        <f t="shared" si="7"/>
        <v/>
      </c>
      <c r="AI11" s="349"/>
      <c r="AJ11" s="44"/>
      <c r="AK11" s="81" t="str">
        <f t="shared" si="8"/>
        <v/>
      </c>
      <c r="AL11" s="84">
        <f t="shared" si="9"/>
        <v>0</v>
      </c>
      <c r="AM11" s="84">
        <f t="shared" si="10"/>
        <v>0</v>
      </c>
      <c r="AN11" s="592"/>
      <c r="AO11" s="602"/>
      <c r="AP11" s="603"/>
      <c r="AQ11" s="603"/>
      <c r="AR11" s="574"/>
      <c r="AS11" s="574"/>
      <c r="AT11" s="574"/>
      <c r="AU11" s="572"/>
      <c r="AV11" s="573"/>
      <c r="AW11" s="605"/>
      <c r="AX11">
        <f t="shared" si="11"/>
        <v>0</v>
      </c>
    </row>
    <row r="12" spans="1:50" ht="64.5" x14ac:dyDescent="0.25">
      <c r="A12" s="593" t="str">
        <f>CRONOGRAMA!A12</f>
        <v>2G</v>
      </c>
      <c r="B12" s="591" t="str">
        <f>CRONOGRAMA!B12</f>
        <v xml:space="preserve">Relaciones Interinstitucionales. Escaso registro y control de la movilidad internacional entrante y saliente. </v>
      </c>
      <c r="C12" s="82" t="str">
        <f>IF('CONSOLIDACION DEL MAPA'!P12="","",'CONSOLIDACION DEL MAPA'!P12)</f>
        <v>Evitar</v>
      </c>
      <c r="D12" s="82" t="str">
        <f>CRONOGRAMA!D12</f>
        <v>Actualizacion constante. Difusion de la Guia.</v>
      </c>
      <c r="E12" s="132" t="str">
        <f>IF(CRONOGRAMA!F12="", "",CRONOGRAMA!F12)</f>
        <v>Correos enviados</v>
      </c>
      <c r="F12" s="132">
        <f>IF(CRONOGRAMA!G12="", "",CRONOGRAMA!G12)</f>
        <v>1</v>
      </c>
      <c r="G12" s="128">
        <f>IF(CRONOGRAMA!H12="", "",CRONOGRAMA!H12)</f>
        <v>42401</v>
      </c>
      <c r="H12" s="128">
        <f>IF(CRONOGRAMA!I12="", "",CRONOGRAMA!I12)</f>
        <v>42405</v>
      </c>
      <c r="I12" s="84">
        <f t="shared" si="12"/>
        <v>0.5714285714285714</v>
      </c>
      <c r="J12" s="160" t="str">
        <f>IF($P$6="Indique Fecha Seguimiento","",IF(CRONOGRAMA!$E12="No Aplica","NA",IF($G12="","",IF(YEAR($G12)&lt;YEAR($P$6)," A ",IF(YEAR($G12)=YEAR($P$6),IF(MONTH($G12)&lt;=4," A ","NA"),IF(YEAR($G12)&gt;YEAR($P$6),"NA"))))))</f>
        <v xml:space="preserve"> A </v>
      </c>
      <c r="K12" s="400">
        <v>1</v>
      </c>
      <c r="L12" s="401" t="s">
        <v>878</v>
      </c>
      <c r="M12" s="400">
        <v>1</v>
      </c>
      <c r="N12" s="348">
        <f t="shared" si="0"/>
        <v>1</v>
      </c>
      <c r="O12" s="349" t="s">
        <v>11</v>
      </c>
      <c r="P12" s="44"/>
      <c r="Q12" s="84">
        <f t="shared" si="1"/>
        <v>0.5714285714285714</v>
      </c>
      <c r="R12" s="84">
        <f t="shared" si="2"/>
        <v>0.5714285714285714</v>
      </c>
      <c r="S12" s="84">
        <f t="shared" si="3"/>
        <v>0.5714285714285714</v>
      </c>
      <c r="T12" s="160" t="str">
        <f>IF($Z$6="Indique Fecha Seguimiento","",IF(CRONOGRAMA!$E12="No Aplica","NA",IF($G12="","",IF(YEAR($G12)&lt;YEAR($Z$6)," A ",IF(YEAR($G12)=YEAR($Z$6),IF(MONTH($G12)&lt;=8," A ","NA"),IF(YEAR($G12)&gt;YEAR($Z$6),"NA"))))))</f>
        <v xml:space="preserve"> A </v>
      </c>
      <c r="U12" s="351">
        <v>1</v>
      </c>
      <c r="V12" s="44" t="s">
        <v>939</v>
      </c>
      <c r="W12" s="351">
        <v>1</v>
      </c>
      <c r="X12" s="348">
        <f t="shared" si="4"/>
        <v>1</v>
      </c>
      <c r="Y12" s="349" t="s">
        <v>11</v>
      </c>
      <c r="Z12" s="44" t="s">
        <v>940</v>
      </c>
      <c r="AA12" s="84">
        <f t="shared" si="5"/>
        <v>0.5714285714285714</v>
      </c>
      <c r="AB12" s="84">
        <f t="shared" si="13"/>
        <v>0.5714285714285714</v>
      </c>
      <c r="AC12" s="84">
        <f t="shared" si="6"/>
        <v>0.5714285714285714</v>
      </c>
      <c r="AD12" s="160" t="str">
        <f>IF($AJ$6="Indique Fecha Seguimiento","",IF(CRONOGRAMA!$E12="No Aplica","NA",IF($G12="","",IF(YEAR($G12)&lt;YEAR($AJ$6)," A ",IF(YEAR($G12)=YEAR($AJ$6),IF(MONTH($G12)&lt;=12," A ","NA"),IF(YEAR($G12)&gt;YEAR($AJ$6),"NA"))))))</f>
        <v/>
      </c>
      <c r="AE12" s="350"/>
      <c r="AF12" s="44"/>
      <c r="AG12" s="351"/>
      <c r="AH12" s="348" t="str">
        <f t="shared" si="7"/>
        <v/>
      </c>
      <c r="AI12" s="349"/>
      <c r="AJ12" s="44"/>
      <c r="AK12" s="81" t="str">
        <f t="shared" si="8"/>
        <v/>
      </c>
      <c r="AL12" s="84">
        <f t="shared" si="9"/>
        <v>0.5714285714285714</v>
      </c>
      <c r="AM12" s="84">
        <f t="shared" si="10"/>
        <v>0.5714285714285714</v>
      </c>
      <c r="AN12" s="592">
        <f>SUM(I12:I14)</f>
        <v>1.7142857142857142</v>
      </c>
      <c r="AO12" s="602">
        <f t="shared" ref="AO12" si="14">IF(AND(Q12="",Q13="",Q14=""),"",SUM(Q12:Q14))</f>
        <v>1.7142857142857142</v>
      </c>
      <c r="AP12" s="603">
        <f t="shared" ref="AP12" si="15">IF(AND(AA12="",AA13="",AA14=""),"",SUM(AA12:AA14))</f>
        <v>1.7142857142857142</v>
      </c>
      <c r="AQ12" s="603" t="str">
        <f t="shared" ref="AQ12" si="16">IF(AND(AK12="",AK13="",AK14=""),"",SUM(AK12:AK14))</f>
        <v/>
      </c>
      <c r="AR12" s="574">
        <f>IF(AO12="",IF($AU$6&lt;1,"",IF($AU$6&gt;=1,"NA")),IF(AO12=0,0,AO12/$AN12))</f>
        <v>1</v>
      </c>
      <c r="AS12" s="574">
        <f t="shared" ref="AS12" si="17">IF(AP12="",IF($AU$6&lt;2,"",IF($AU$6&gt;=2,"NA")),IF(AP12=0,0,AP12/$AN12))</f>
        <v>1</v>
      </c>
      <c r="AT12" s="574">
        <f t="shared" ref="AT12" si="18">IF(AS12&gt;=AR12,AS12,AR12)</f>
        <v>1</v>
      </c>
      <c r="AU12" s="572" t="str">
        <f t="shared" ref="AU12" si="19">IF(AQ12="",IF($AU$6&lt;3,"",IF($AU$6&gt;=3,"NA")),IF(AQ12=0,0,AQ12/$AN12))</f>
        <v/>
      </c>
      <c r="AV12" s="573">
        <f t="shared" ref="AV12" si="20">IF($AU$6=1,AR12,IF($AU$6=2,AS12,IF($AU$6=3,AU12,"")))</f>
        <v>1</v>
      </c>
      <c r="AW12" s="605">
        <f t="shared" ref="AW12" si="21">AV12</f>
        <v>1</v>
      </c>
      <c r="AX12" t="str">
        <f t="shared" si="11"/>
        <v>Se cumplio con la actividad definida tal como se informo en primer seguimiento</v>
      </c>
    </row>
    <row r="13" spans="1:50" ht="76.5" x14ac:dyDescent="0.25">
      <c r="A13" s="593"/>
      <c r="B13" s="591"/>
      <c r="C13" s="82" t="str">
        <f>IF('CONSOLIDACION DEL MAPA'!P13="","",'CONSOLIDACION DEL MAPA'!P13)</f>
        <v>Evitar</v>
      </c>
      <c r="D13" s="82" t="str">
        <f>CRONOGRAMA!D13</f>
        <v>Seguimiento periodico a los controles existentes en el procedimiento. Difusión del procedimiento.</v>
      </c>
      <c r="E13" s="132" t="str">
        <f>IF(CRONOGRAMA!F13="", "",CRONOGRAMA!F13)</f>
        <v>Correos enviados</v>
      </c>
      <c r="F13" s="132">
        <f>IF(CRONOGRAMA!G13="", "",CRONOGRAMA!G13)</f>
        <v>1</v>
      </c>
      <c r="G13" s="128">
        <f>IF(CRONOGRAMA!H13="", "",CRONOGRAMA!H13)</f>
        <v>42401</v>
      </c>
      <c r="H13" s="128">
        <f>IF(CRONOGRAMA!I13="", "",CRONOGRAMA!I13)</f>
        <v>42405</v>
      </c>
      <c r="I13" s="84">
        <f t="shared" si="12"/>
        <v>0.5714285714285714</v>
      </c>
      <c r="J13" s="160" t="str">
        <f>IF($P$6="Indique Fecha Seguimiento","",IF(CRONOGRAMA!$E13="No Aplica","NA",IF($G13="","",IF(YEAR($G13)&lt;YEAR($P$6)," A ",IF(YEAR($G13)=YEAR($P$6),IF(MONTH($G13)&lt;=4," A ","NA"),IF(YEAR($G13)&gt;YEAR($P$6),"NA"))))))</f>
        <v xml:space="preserve"> A </v>
      </c>
      <c r="K13" s="400">
        <v>1</v>
      </c>
      <c r="L13" s="401" t="s">
        <v>878</v>
      </c>
      <c r="M13" s="400">
        <v>1</v>
      </c>
      <c r="N13" s="348">
        <f t="shared" si="0"/>
        <v>1</v>
      </c>
      <c r="O13" s="349" t="s">
        <v>11</v>
      </c>
      <c r="P13" s="44"/>
      <c r="Q13" s="84">
        <f t="shared" si="1"/>
        <v>0.5714285714285714</v>
      </c>
      <c r="R13" s="84">
        <f t="shared" si="2"/>
        <v>0.5714285714285714</v>
      </c>
      <c r="S13" s="84">
        <f t="shared" si="3"/>
        <v>0.5714285714285714</v>
      </c>
      <c r="T13" s="160" t="str">
        <f>IF($Z$6="Indique Fecha Seguimiento","",IF(CRONOGRAMA!$E13="No Aplica","NA",IF($G13="","",IF(YEAR($G13)&lt;YEAR($Z$6)," A ",IF(YEAR($G13)=YEAR($Z$6),IF(MONTH($G13)&lt;=8," A ","NA"),IF(YEAR($G13)&gt;YEAR($Z$6),"NA"))))))</f>
        <v xml:space="preserve"> A </v>
      </c>
      <c r="U13" s="351">
        <v>1</v>
      </c>
      <c r="V13" s="44" t="s">
        <v>939</v>
      </c>
      <c r="W13" s="351">
        <v>1</v>
      </c>
      <c r="X13" s="348">
        <f t="shared" si="4"/>
        <v>1</v>
      </c>
      <c r="Y13" s="349" t="s">
        <v>11</v>
      </c>
      <c r="Z13" s="44" t="s">
        <v>940</v>
      </c>
      <c r="AA13" s="84">
        <f t="shared" si="5"/>
        <v>0.5714285714285714</v>
      </c>
      <c r="AB13" s="84">
        <f t="shared" si="13"/>
        <v>0.5714285714285714</v>
      </c>
      <c r="AC13" s="84">
        <f t="shared" si="6"/>
        <v>0.5714285714285714</v>
      </c>
      <c r="AD13" s="160" t="str">
        <f>IF($AJ$6="Indique Fecha Seguimiento","",IF(CRONOGRAMA!$E13="No Aplica","NA",IF($G13="","",IF(YEAR($G13)&lt;YEAR($AJ$6)," A ",IF(YEAR($G13)=YEAR($AJ$6),IF(MONTH($G13)&lt;=12," A ","NA"),IF(YEAR($G13)&gt;YEAR($AJ$6),"NA"))))))</f>
        <v/>
      </c>
      <c r="AE13" s="350"/>
      <c r="AF13" s="44"/>
      <c r="AG13" s="351"/>
      <c r="AH13" s="348" t="str">
        <f t="shared" si="7"/>
        <v/>
      </c>
      <c r="AI13" s="349"/>
      <c r="AJ13" s="44"/>
      <c r="AK13" s="81" t="str">
        <f t="shared" si="8"/>
        <v/>
      </c>
      <c r="AL13" s="84">
        <f t="shared" si="9"/>
        <v>0.5714285714285714</v>
      </c>
      <c r="AM13" s="84">
        <f t="shared" si="10"/>
        <v>0.5714285714285714</v>
      </c>
      <c r="AN13" s="592"/>
      <c r="AO13" s="602"/>
      <c r="AP13" s="603"/>
      <c r="AQ13" s="603"/>
      <c r="AR13" s="574"/>
      <c r="AS13" s="574"/>
      <c r="AT13" s="574"/>
      <c r="AU13" s="572"/>
      <c r="AV13" s="573"/>
      <c r="AW13" s="605"/>
      <c r="AX13" t="str">
        <f t="shared" si="11"/>
        <v>Se cumplio con la actividad definida tal como se informo en primer seguimiento</v>
      </c>
    </row>
    <row r="14" spans="1:50" ht="64.5" x14ac:dyDescent="0.25">
      <c r="A14" s="593"/>
      <c r="B14" s="591"/>
      <c r="C14" s="82" t="str">
        <f>IF('CONSOLIDACION DEL MAPA'!P14="","",'CONSOLIDACION DEL MAPA'!P14)</f>
        <v>Evitar</v>
      </c>
      <c r="D14" s="82" t="str">
        <f>CRONOGRAMA!D14</f>
        <v>Difusion adecuada de los formatos. Recopilacion de los soportes requeridos.</v>
      </c>
      <c r="E14" s="132" t="str">
        <f>IF(CRONOGRAMA!F14="", "",CRONOGRAMA!F14)</f>
        <v>Correos enviados</v>
      </c>
      <c r="F14" s="132">
        <f>IF(CRONOGRAMA!G14="", "",CRONOGRAMA!G14)</f>
        <v>1</v>
      </c>
      <c r="G14" s="128">
        <f>IF(CRONOGRAMA!H14="", "",CRONOGRAMA!H14)</f>
        <v>42401</v>
      </c>
      <c r="H14" s="128">
        <f>IF(CRONOGRAMA!I14="", "",CRONOGRAMA!I14)</f>
        <v>42405</v>
      </c>
      <c r="I14" s="84">
        <f t="shared" si="12"/>
        <v>0.5714285714285714</v>
      </c>
      <c r="J14" s="160" t="str">
        <f>IF($P$6="Indique Fecha Seguimiento","",IF(CRONOGRAMA!$E14="No Aplica","NA",IF($G14="","",IF(YEAR($G14)&lt;YEAR($P$6)," A ",IF(YEAR($G14)=YEAR($P$6),IF(MONTH($G14)&lt;=4," A ","NA"),IF(YEAR($G14)&gt;YEAR($P$6),"NA"))))))</f>
        <v xml:space="preserve"> A </v>
      </c>
      <c r="K14" s="400">
        <v>1</v>
      </c>
      <c r="L14" s="401" t="s">
        <v>878</v>
      </c>
      <c r="M14" s="400">
        <v>1</v>
      </c>
      <c r="N14" s="348">
        <f t="shared" si="0"/>
        <v>1</v>
      </c>
      <c r="O14" s="349" t="s">
        <v>11</v>
      </c>
      <c r="P14" s="44"/>
      <c r="Q14" s="84">
        <f t="shared" si="1"/>
        <v>0.5714285714285714</v>
      </c>
      <c r="R14" s="84">
        <f t="shared" si="2"/>
        <v>0.5714285714285714</v>
      </c>
      <c r="S14" s="84">
        <f t="shared" si="3"/>
        <v>0.5714285714285714</v>
      </c>
      <c r="T14" s="160" t="str">
        <f>IF($Z$6="Indique Fecha Seguimiento","",IF(CRONOGRAMA!$E14="No Aplica","NA",IF($G14="","",IF(YEAR($G14)&lt;YEAR($Z$6)," A ",IF(YEAR($G14)=YEAR($Z$6),IF(MONTH($G14)&lt;=8," A ","NA"),IF(YEAR($G14)&gt;YEAR($Z$6),"NA"))))))</f>
        <v xml:space="preserve"> A </v>
      </c>
      <c r="U14" s="351">
        <v>1</v>
      </c>
      <c r="V14" s="44" t="s">
        <v>939</v>
      </c>
      <c r="W14" s="351">
        <v>1</v>
      </c>
      <c r="X14" s="348">
        <f t="shared" si="4"/>
        <v>1</v>
      </c>
      <c r="Y14" s="349" t="s">
        <v>11</v>
      </c>
      <c r="Z14" s="44" t="s">
        <v>940</v>
      </c>
      <c r="AA14" s="84">
        <f t="shared" si="5"/>
        <v>0.5714285714285714</v>
      </c>
      <c r="AB14" s="84">
        <f t="shared" si="13"/>
        <v>0.5714285714285714</v>
      </c>
      <c r="AC14" s="84">
        <f t="shared" si="6"/>
        <v>0.5714285714285714</v>
      </c>
      <c r="AD14" s="160" t="str">
        <f>IF($AJ$6="Indique Fecha Seguimiento","",IF(CRONOGRAMA!$E14="No Aplica","NA",IF($G14="","",IF(YEAR($G14)&lt;YEAR($AJ$6)," A ",IF(YEAR($G14)=YEAR($AJ$6),IF(MONTH($G14)&lt;=12," A ","NA"),IF(YEAR($G14)&gt;YEAR($AJ$6),"NA"))))))</f>
        <v/>
      </c>
      <c r="AE14" s="350"/>
      <c r="AF14" s="44"/>
      <c r="AG14" s="351"/>
      <c r="AH14" s="348" t="str">
        <f t="shared" si="7"/>
        <v/>
      </c>
      <c r="AI14" s="349"/>
      <c r="AJ14" s="44"/>
      <c r="AK14" s="81" t="str">
        <f t="shared" si="8"/>
        <v/>
      </c>
      <c r="AL14" s="84">
        <f t="shared" si="9"/>
        <v>0.5714285714285714</v>
      </c>
      <c r="AM14" s="84">
        <f t="shared" si="10"/>
        <v>0.5714285714285714</v>
      </c>
      <c r="AN14" s="592"/>
      <c r="AO14" s="602"/>
      <c r="AP14" s="603"/>
      <c r="AQ14" s="603"/>
      <c r="AR14" s="574"/>
      <c r="AS14" s="574"/>
      <c r="AT14" s="574"/>
      <c r="AU14" s="572"/>
      <c r="AV14" s="573"/>
      <c r="AW14" s="605"/>
      <c r="AX14" t="str">
        <f t="shared" si="11"/>
        <v>Se cumplio con la actividad definida tal como se informo en primer seguimiento</v>
      </c>
    </row>
    <row r="15" spans="1:50" ht="77.25" x14ac:dyDescent="0.25">
      <c r="A15" s="593" t="str">
        <f>CRONOGRAMA!A15</f>
        <v>3G</v>
      </c>
      <c r="B15" s="591" t="str">
        <f>CRONOGRAMA!B15</f>
        <v>Relaciones Interinstitucionales. Gestionar la movilidad internacional sin requisitos legales</v>
      </c>
      <c r="C15" s="82" t="str">
        <f>IF('CONSOLIDACION DEL MAPA'!P15="","",'CONSOLIDACION DEL MAPA'!P15)</f>
        <v>Evitar</v>
      </c>
      <c r="D15" s="82" t="str">
        <f>CRONOGRAMA!D15</f>
        <v>Difusion adecuada de los formatos. Recopilacion de los soportes requeridos.</v>
      </c>
      <c r="E15" s="132" t="str">
        <f>IF(CRONOGRAMA!F15="", "",CRONOGRAMA!F15)</f>
        <v xml:space="preserve">Correo Electronico y asistencia personalizada </v>
      </c>
      <c r="F15" s="132">
        <f>IF(CRONOGRAMA!G15="", "",CRONOGRAMA!G15)</f>
        <v>1</v>
      </c>
      <c r="G15" s="128">
        <f>IF(CRONOGRAMA!H15="", "",CRONOGRAMA!H15)</f>
        <v>42370</v>
      </c>
      <c r="H15" s="128">
        <f>IF(CRONOGRAMA!I15="", "",CRONOGRAMA!I15)</f>
        <v>42490</v>
      </c>
      <c r="I15" s="84">
        <f t="shared" si="12"/>
        <v>17.142857142857142</v>
      </c>
      <c r="J15" s="160" t="str">
        <f>IF($P$6="Indique Fecha Seguimiento","",IF(CRONOGRAMA!$E15="No Aplica","NA",IF($G15="","",IF(YEAR($G15)&lt;YEAR($P$6)," A ",IF(YEAR($G15)=YEAR($P$6),IF(MONTH($G15)&lt;=4," A ","NA"),IF(YEAR($G15)&gt;YEAR($P$6),"NA"))))))</f>
        <v xml:space="preserve"> A </v>
      </c>
      <c r="K15" s="400">
        <v>1</v>
      </c>
      <c r="L15" s="401" t="s">
        <v>879</v>
      </c>
      <c r="M15" s="400">
        <v>1</v>
      </c>
      <c r="N15" s="348">
        <f t="shared" si="0"/>
        <v>1</v>
      </c>
      <c r="O15" s="349" t="s">
        <v>11</v>
      </c>
      <c r="P15" s="44" t="s">
        <v>911</v>
      </c>
      <c r="Q15" s="84">
        <f t="shared" si="1"/>
        <v>17.142857142857142</v>
      </c>
      <c r="R15" s="84">
        <f t="shared" si="2"/>
        <v>17.142857142857142</v>
      </c>
      <c r="S15" s="84">
        <f t="shared" si="3"/>
        <v>17.142857142857142</v>
      </c>
      <c r="T15" s="160" t="str">
        <f>IF($Z$6="Indique Fecha Seguimiento","",IF(CRONOGRAMA!$E15="No Aplica","NA",IF($G15="","",IF(YEAR($G15)&lt;YEAR($Z$6)," A ",IF(YEAR($G15)=YEAR($Z$6),IF(MONTH($G15)&lt;=8," A ","NA"),IF(YEAR($G15)&gt;YEAR($Z$6),"NA"))))))</f>
        <v xml:space="preserve"> A </v>
      </c>
      <c r="U15" s="351">
        <v>1</v>
      </c>
      <c r="V15" s="44" t="s">
        <v>939</v>
      </c>
      <c r="W15" s="351">
        <v>1</v>
      </c>
      <c r="X15" s="348">
        <f t="shared" si="4"/>
        <v>1</v>
      </c>
      <c r="Y15" s="349" t="s">
        <v>11</v>
      </c>
      <c r="Z15" s="44" t="s">
        <v>940</v>
      </c>
      <c r="AA15" s="84">
        <f t="shared" si="5"/>
        <v>17.142857142857142</v>
      </c>
      <c r="AB15" s="84">
        <f t="shared" si="13"/>
        <v>17.142857142857142</v>
      </c>
      <c r="AC15" s="84">
        <f t="shared" si="6"/>
        <v>17.142857142857142</v>
      </c>
      <c r="AD15" s="160" t="str">
        <f>IF($AJ$6="Indique Fecha Seguimiento","",IF(CRONOGRAMA!$E15="No Aplica","NA",IF($G15="","",IF(YEAR($G15)&lt;YEAR($AJ$6)," A ",IF(YEAR($G15)=YEAR($AJ$6),IF(MONTH($G15)&lt;=12," A ","NA"),IF(YEAR($G15)&gt;YEAR($AJ$6),"NA"))))))</f>
        <v/>
      </c>
      <c r="AE15" s="350"/>
      <c r="AF15" s="44"/>
      <c r="AG15" s="351"/>
      <c r="AH15" s="348" t="str">
        <f t="shared" si="7"/>
        <v/>
      </c>
      <c r="AI15" s="349"/>
      <c r="AJ15" s="44"/>
      <c r="AK15" s="81" t="str">
        <f t="shared" si="8"/>
        <v/>
      </c>
      <c r="AL15" s="84">
        <f t="shared" si="9"/>
        <v>17.142857142857142</v>
      </c>
      <c r="AM15" s="84">
        <f t="shared" si="10"/>
        <v>17.142857142857142</v>
      </c>
      <c r="AN15" s="592">
        <f t="shared" ref="AN15" si="22">SUM(I15:I17)</f>
        <v>17.142857142857142</v>
      </c>
      <c r="AO15" s="602">
        <f t="shared" ref="AO15" si="23">IF(AND(Q15="",Q16="",Q17=""),"",SUM(Q15:Q17))</f>
        <v>17.142857142857142</v>
      </c>
      <c r="AP15" s="603">
        <f t="shared" ref="AP15" si="24">IF(AND(AA15="",AA16="",AA17=""),"",SUM(AA15:AA17))</f>
        <v>17.142857142857142</v>
      </c>
      <c r="AQ15" s="603" t="str">
        <f t="shared" ref="AQ15" si="25">IF(AND(AK15="",AK16="",AK17=""),"",SUM(AK15:AK17))</f>
        <v/>
      </c>
      <c r="AR15" s="574">
        <f t="shared" ref="AR15" si="26">IF(AO15="",IF($AU$6&lt;1,"",IF($AU$6&gt;=1,"NA")),IF(AO15=0,0,AO15/$AN15))</f>
        <v>1</v>
      </c>
      <c r="AS15" s="574">
        <f t="shared" ref="AS15" si="27">IF(AP15="",IF($AU$6&lt;2,"",IF($AU$6&gt;=2,"NA")),IF(AP15=0,0,AP15/$AN15))</f>
        <v>1</v>
      </c>
      <c r="AT15" s="574">
        <f t="shared" ref="AT15" si="28">IF(AS15&gt;=AR15,AS15,AR15)</f>
        <v>1</v>
      </c>
      <c r="AU15" s="572" t="str">
        <f t="shared" ref="AU15" si="29">IF(AQ15="",IF($AU$6&lt;3,"",IF($AU$6&gt;=3,"NA")),IF(AQ15=0,0,AQ15/$AN15))</f>
        <v/>
      </c>
      <c r="AV15" s="573">
        <f t="shared" ref="AV15" si="30">IF($AU$6=1,AR15,IF($AU$6=2,AS15,IF($AU$6=3,AU15,"")))</f>
        <v>1</v>
      </c>
      <c r="AW15" s="605">
        <f t="shared" ref="AW15" si="31">AV15</f>
        <v>1</v>
      </c>
      <c r="AX15" t="str">
        <f t="shared" si="11"/>
        <v>Se cumplio con la actividad definida tal como se informo en primer seguimiento</v>
      </c>
    </row>
    <row r="16" spans="1:50" ht="15.75" x14ac:dyDescent="0.25">
      <c r="A16" s="593"/>
      <c r="B16" s="591"/>
      <c r="C16" s="82" t="str">
        <f>IF('CONSOLIDACION DEL MAPA'!P16="","",'CONSOLIDACION DEL MAPA'!P16)</f>
        <v/>
      </c>
      <c r="D16" s="82" t="str">
        <f>CRONOGRAMA!D16</f>
        <v/>
      </c>
      <c r="E16" s="132" t="str">
        <f>IF(CRONOGRAMA!F16="", "",CRONOGRAMA!F16)</f>
        <v/>
      </c>
      <c r="F16" s="132" t="str">
        <f>IF(CRONOGRAMA!G16="", "",CRONOGRAMA!G16)</f>
        <v/>
      </c>
      <c r="G16" s="128" t="str">
        <f>IF(CRONOGRAMA!H16="", "",CRONOGRAMA!H16)</f>
        <v/>
      </c>
      <c r="H16" s="128" t="str">
        <f>IF(CRONOGRAMA!I16="", "",CRONOGRAMA!I16)</f>
        <v/>
      </c>
      <c r="I16" s="84">
        <f t="shared" si="12"/>
        <v>0</v>
      </c>
      <c r="J16" s="160" t="str">
        <f>IF($P$6="Indique Fecha Seguimiento","",IF(CRONOGRAMA!$E16="No Aplica","NA",IF($G16="","",IF(YEAR($G16)&lt;YEAR($P$6)," A ",IF(YEAR($G16)=YEAR($P$6),IF(MONTH($G16)&lt;=4," A ","NA"),IF(YEAR($G16)&gt;YEAR($P$6),"NA"))))))</f>
        <v/>
      </c>
      <c r="K16" s="400"/>
      <c r="L16" s="401"/>
      <c r="M16" s="400"/>
      <c r="N16" s="348" t="str">
        <f t="shared" si="0"/>
        <v/>
      </c>
      <c r="O16" s="349"/>
      <c r="P16" s="44"/>
      <c r="Q16" s="84" t="str">
        <f t="shared" si="1"/>
        <v/>
      </c>
      <c r="R16" s="84" t="str">
        <f t="shared" si="2"/>
        <v/>
      </c>
      <c r="S16" s="84">
        <f t="shared" si="3"/>
        <v>0</v>
      </c>
      <c r="T16" s="160" t="str">
        <f>IF($Z$6="Indique Fecha Seguimiento","",IF(CRONOGRAMA!$E16="No Aplica","NA",IF($G16="","",IF(YEAR($G16)&lt;YEAR($Z$6)," A ",IF(YEAR($G16)=YEAR($Z$6),IF(MONTH($G16)&lt;=8," A ","NA"),IF(YEAR($G16)&gt;YEAR($Z$6),"NA"))))))</f>
        <v/>
      </c>
      <c r="U16" s="351"/>
      <c r="V16" s="44"/>
      <c r="W16" s="351"/>
      <c r="X16" s="348" t="str">
        <f t="shared" si="4"/>
        <v/>
      </c>
      <c r="Y16" s="349"/>
      <c r="Z16" s="44"/>
      <c r="AA16" s="84" t="str">
        <f t="shared" si="5"/>
        <v/>
      </c>
      <c r="AB16" s="84" t="str">
        <f t="shared" si="13"/>
        <v/>
      </c>
      <c r="AC16" s="84">
        <f t="shared" si="6"/>
        <v>0</v>
      </c>
      <c r="AD16" s="160" t="str">
        <f>IF($AJ$6="Indique Fecha Seguimiento","",IF(CRONOGRAMA!$E16="No Aplica","NA",IF($G16="","",IF(YEAR($G16)&lt;YEAR($AJ$6)," A ",IF(YEAR($G16)=YEAR($AJ$6),IF(MONTH($G16)&lt;=12," A ","NA"),IF(YEAR($G16)&gt;YEAR($AJ$6),"NA"))))))</f>
        <v/>
      </c>
      <c r="AE16" s="350"/>
      <c r="AF16" s="44"/>
      <c r="AG16" s="351"/>
      <c r="AH16" s="348" t="str">
        <f t="shared" si="7"/>
        <v/>
      </c>
      <c r="AI16" s="349"/>
      <c r="AJ16" s="44"/>
      <c r="AK16" s="81" t="str">
        <f t="shared" si="8"/>
        <v/>
      </c>
      <c r="AL16" s="84">
        <f t="shared" si="9"/>
        <v>0</v>
      </c>
      <c r="AM16" s="84">
        <f t="shared" si="10"/>
        <v>0</v>
      </c>
      <c r="AN16" s="592"/>
      <c r="AO16" s="602"/>
      <c r="AP16" s="603"/>
      <c r="AQ16" s="603"/>
      <c r="AR16" s="574"/>
      <c r="AS16" s="574"/>
      <c r="AT16" s="574"/>
      <c r="AU16" s="572"/>
      <c r="AV16" s="573"/>
      <c r="AW16" s="605"/>
      <c r="AX16">
        <f t="shared" si="11"/>
        <v>0</v>
      </c>
    </row>
    <row r="17" spans="1:50" ht="15.75" x14ac:dyDescent="0.25">
      <c r="A17" s="593"/>
      <c r="B17" s="591"/>
      <c r="C17" s="82" t="str">
        <f>IF('CONSOLIDACION DEL MAPA'!P17="","",'CONSOLIDACION DEL MAPA'!P17)</f>
        <v/>
      </c>
      <c r="D17" s="82" t="str">
        <f>CRONOGRAMA!D17</f>
        <v/>
      </c>
      <c r="E17" s="132" t="str">
        <f>IF(CRONOGRAMA!F17="", "",CRONOGRAMA!F17)</f>
        <v/>
      </c>
      <c r="F17" s="132" t="str">
        <f>IF(CRONOGRAMA!G17="", "",CRONOGRAMA!G17)</f>
        <v/>
      </c>
      <c r="G17" s="128" t="str">
        <f>IF(CRONOGRAMA!H17="", "",CRONOGRAMA!H17)</f>
        <v/>
      </c>
      <c r="H17" s="128" t="str">
        <f>IF(CRONOGRAMA!I17="", "",CRONOGRAMA!I17)</f>
        <v/>
      </c>
      <c r="I17" s="84">
        <f t="shared" si="12"/>
        <v>0</v>
      </c>
      <c r="J17" s="160" t="str">
        <f>IF($P$6="Indique Fecha Seguimiento","",IF(CRONOGRAMA!$E17="No Aplica","NA",IF($G17="","",IF(YEAR($G17)&lt;YEAR($P$6)," A ",IF(YEAR($G17)=YEAR($P$6),IF(MONTH($G17)&lt;=4," A ","NA"),IF(YEAR($G17)&gt;YEAR($P$6),"NA"))))))</f>
        <v/>
      </c>
      <c r="K17" s="400"/>
      <c r="L17" s="401"/>
      <c r="M17" s="400"/>
      <c r="N17" s="348" t="str">
        <f t="shared" si="0"/>
        <v/>
      </c>
      <c r="O17" s="349"/>
      <c r="P17" s="44"/>
      <c r="Q17" s="84" t="str">
        <f t="shared" si="1"/>
        <v/>
      </c>
      <c r="R17" s="84" t="str">
        <f t="shared" si="2"/>
        <v/>
      </c>
      <c r="S17" s="84">
        <f t="shared" si="3"/>
        <v>0</v>
      </c>
      <c r="T17" s="160" t="str">
        <f>IF($Z$6="Indique Fecha Seguimiento","",IF(CRONOGRAMA!$E17="No Aplica","NA",IF($G17="","",IF(YEAR($G17)&lt;YEAR($Z$6)," A ",IF(YEAR($G17)=YEAR($Z$6),IF(MONTH($G17)&lt;=8," A ","NA"),IF(YEAR($G17)&gt;YEAR($Z$6),"NA"))))))</f>
        <v/>
      </c>
      <c r="U17" s="351"/>
      <c r="V17" s="44"/>
      <c r="W17" s="351"/>
      <c r="X17" s="348" t="str">
        <f t="shared" si="4"/>
        <v/>
      </c>
      <c r="Y17" s="349"/>
      <c r="Z17" s="44"/>
      <c r="AA17" s="84" t="str">
        <f t="shared" si="5"/>
        <v/>
      </c>
      <c r="AB17" s="84" t="str">
        <f t="shared" si="13"/>
        <v/>
      </c>
      <c r="AC17" s="84">
        <f t="shared" si="6"/>
        <v>0</v>
      </c>
      <c r="AD17" s="160" t="str">
        <f>IF($AJ$6="Indique Fecha Seguimiento","",IF(CRONOGRAMA!$E17="No Aplica","NA",IF($G17="","",IF(YEAR($G17)&lt;YEAR($AJ$6)," A ",IF(YEAR($G17)=YEAR($AJ$6),IF(MONTH($G17)&lt;=12," A ","NA"),IF(YEAR($G17)&gt;YEAR($AJ$6),"NA"))))))</f>
        <v/>
      </c>
      <c r="AE17" s="350"/>
      <c r="AF17" s="44"/>
      <c r="AG17" s="351"/>
      <c r="AH17" s="348" t="str">
        <f t="shared" si="7"/>
        <v/>
      </c>
      <c r="AI17" s="349"/>
      <c r="AJ17" s="44"/>
      <c r="AK17" s="81" t="str">
        <f t="shared" si="8"/>
        <v/>
      </c>
      <c r="AL17" s="84">
        <f t="shared" si="9"/>
        <v>0</v>
      </c>
      <c r="AM17" s="84">
        <f t="shared" si="10"/>
        <v>0</v>
      </c>
      <c r="AN17" s="592"/>
      <c r="AO17" s="602"/>
      <c r="AP17" s="603"/>
      <c r="AQ17" s="603"/>
      <c r="AR17" s="574"/>
      <c r="AS17" s="574"/>
      <c r="AT17" s="574"/>
      <c r="AU17" s="572"/>
      <c r="AV17" s="573"/>
      <c r="AW17" s="605"/>
      <c r="AX17">
        <f t="shared" si="11"/>
        <v>0</v>
      </c>
    </row>
    <row r="18" spans="1:50" ht="102.75" x14ac:dyDescent="0.25">
      <c r="A18" s="593" t="str">
        <f>CRONOGRAMA!A18</f>
        <v>4G</v>
      </c>
      <c r="B18" s="591" t="str">
        <f>CRONOGRAMA!B18</f>
        <v>Acreditación. Insuficiente Implementación de la Política Institucional de Autoevaluación, Acreditación y Aseguramiento de la calidad</v>
      </c>
      <c r="C18" s="82" t="str">
        <f>IF('CONSOLIDACION DEL MAPA'!P18="","",'CONSOLIDACION DEL MAPA'!P18)</f>
        <v>Reducir</v>
      </c>
      <c r="D18" s="82" t="str">
        <f>CRONOGRAMA!D18</f>
        <v>Cumplimiento de metas para  cualificación a la comunidad universitaria acordes con el plan de trabajo.</v>
      </c>
      <c r="E18" s="132" t="str">
        <f>IF(CRONOGRAMA!F18="", "",CRONOGRAMA!F18)</f>
        <v>Comunicaciones</v>
      </c>
      <c r="F18" s="132">
        <f>IF(CRONOGRAMA!G18="", "",CRONOGRAMA!G18)</f>
        <v>1</v>
      </c>
      <c r="G18" s="128">
        <f>IF(CRONOGRAMA!H18="", "",CRONOGRAMA!H18)</f>
        <v>42383</v>
      </c>
      <c r="H18" s="128">
        <f>IF(CRONOGRAMA!I18="", "",CRONOGRAMA!I18)</f>
        <v>42720</v>
      </c>
      <c r="I18" s="84">
        <f t="shared" si="12"/>
        <v>48.142857142857146</v>
      </c>
      <c r="J18" s="160" t="str">
        <f>IF($P$6="Indique Fecha Seguimiento","",IF(CRONOGRAMA!$E18="No Aplica","NA",IF($G18="","",IF(YEAR($G18)&lt;YEAR($P$6)," A ",IF(YEAR($G18)=YEAR($P$6),IF(MONTH($G18)&lt;=4," A ","NA"),IF(YEAR($G18)&gt;YEAR($P$6),"NA"))))))</f>
        <v xml:space="preserve"> A </v>
      </c>
      <c r="K18" s="400">
        <v>0</v>
      </c>
      <c r="L18" s="401" t="s">
        <v>880</v>
      </c>
      <c r="M18" s="400">
        <v>0</v>
      </c>
      <c r="N18" s="348">
        <f t="shared" si="0"/>
        <v>0</v>
      </c>
      <c r="O18" s="349" t="s">
        <v>353</v>
      </c>
      <c r="P18" s="44"/>
      <c r="Q18" s="84">
        <f t="shared" si="1"/>
        <v>0</v>
      </c>
      <c r="R18" s="84">
        <f t="shared" si="2"/>
        <v>0</v>
      </c>
      <c r="S18" s="84">
        <f t="shared" si="3"/>
        <v>48.142857142857146</v>
      </c>
      <c r="T18" s="160" t="str">
        <f>IF($Z$6="Indique Fecha Seguimiento","",IF(CRONOGRAMA!$E18="No Aplica","NA",IF($G18="","",IF(YEAR($G18)&lt;YEAR($Z$6)," A ",IF(YEAR($G18)=YEAR($Z$6),IF(MONTH($G18)&lt;=8," A ","NA"),IF(YEAR($G18)&gt;YEAR($Z$6),"NA"))))))</f>
        <v xml:space="preserve"> A </v>
      </c>
      <c r="U18" s="351">
        <v>0.5</v>
      </c>
      <c r="V18" s="401" t="s">
        <v>974</v>
      </c>
      <c r="W18" s="351">
        <v>0.5</v>
      </c>
      <c r="X18" s="348">
        <f t="shared" si="4"/>
        <v>0.5</v>
      </c>
      <c r="Y18" s="349" t="s">
        <v>353</v>
      </c>
      <c r="Z18" s="44" t="s">
        <v>975</v>
      </c>
      <c r="AA18" s="84">
        <f t="shared" si="5"/>
        <v>24.071428571428573</v>
      </c>
      <c r="AB18" s="84">
        <f t="shared" si="13"/>
        <v>24.071428571428573</v>
      </c>
      <c r="AC18" s="84">
        <f t="shared" si="6"/>
        <v>48.142857142857146</v>
      </c>
      <c r="AD18" s="160" t="str">
        <f>IF($AJ$6="Indique Fecha Seguimiento","",IF(CRONOGRAMA!$E18="No Aplica","NA",IF($G18="","",IF(YEAR($G18)&lt;YEAR($AJ$6)," A ",IF(YEAR($G18)=YEAR($AJ$6),IF(MONTH($G18)&lt;=12," A ","NA"),IF(YEAR($G18)&gt;YEAR($AJ$6),"NA"))))))</f>
        <v/>
      </c>
      <c r="AE18" s="350"/>
      <c r="AF18" s="44"/>
      <c r="AG18" s="351"/>
      <c r="AH18" s="348" t="str">
        <f t="shared" si="7"/>
        <v/>
      </c>
      <c r="AI18" s="349"/>
      <c r="AJ18" s="44"/>
      <c r="AK18" s="81" t="str">
        <f t="shared" si="8"/>
        <v/>
      </c>
      <c r="AL18" s="84">
        <f t="shared" si="9"/>
        <v>0</v>
      </c>
      <c r="AM18" s="84">
        <f t="shared" si="10"/>
        <v>48.142857142857146</v>
      </c>
      <c r="AN18" s="592">
        <f t="shared" ref="AN18" si="32">SUM(I18:I20)</f>
        <v>48.142857142857146</v>
      </c>
      <c r="AO18" s="602">
        <f t="shared" ref="AO18" si="33">IF(AND(Q18="",Q19="",Q20=""),"",SUM(Q18:Q20))</f>
        <v>0</v>
      </c>
      <c r="AP18" s="603">
        <f t="shared" ref="AP18" si="34">IF(AND(AA18="",AA19="",AA20=""),"",SUM(AA18:AA20))</f>
        <v>24.071428571428573</v>
      </c>
      <c r="AQ18" s="603" t="str">
        <f t="shared" ref="AQ18" si="35">IF(AND(AK18="",AK19="",AK20=""),"",SUM(AK18:AK20))</f>
        <v/>
      </c>
      <c r="AR18" s="574">
        <f t="shared" ref="AR18" si="36">IF(AO18="",IF($AU$6&lt;1,"",IF($AU$6&gt;=1,"NA")),IF(AO18=0,0,AO18/$AN18))</f>
        <v>0</v>
      </c>
      <c r="AS18" s="574">
        <f t="shared" ref="AS18" si="37">IF(AP18="",IF($AU$6&lt;2,"",IF($AU$6&gt;=2,"NA")),IF(AP18=0,0,AP18/$AN18))</f>
        <v>0.5</v>
      </c>
      <c r="AT18" s="574">
        <f t="shared" ref="AT18" si="38">IF(AS18&gt;=AR18,AS18,AR18)</f>
        <v>0.5</v>
      </c>
      <c r="AU18" s="572" t="str">
        <f t="shared" ref="AU18" si="39">IF(AQ18="",IF($AU$6&lt;3,"",IF($AU$6&gt;=3,"NA")),IF(AQ18=0,0,AQ18/$AN18))</f>
        <v/>
      </c>
      <c r="AV18" s="573">
        <f t="shared" ref="AV18" si="40">IF($AU$6=1,AR18,IF($AU$6=2,AS18,IF($AU$6=3,AU18,"")))</f>
        <v>0.5</v>
      </c>
      <c r="AW18" s="605">
        <f t="shared" ref="AW18" si="41">AV18</f>
        <v>0.5</v>
      </c>
      <c r="AX18" t="str">
        <f t="shared" si="11"/>
        <v>Enviado por correo electronico la propuesta y se encuentra en revisión por el rector</v>
      </c>
    </row>
    <row r="19" spans="1:50" ht="15.75" x14ac:dyDescent="0.25">
      <c r="A19" s="593"/>
      <c r="B19" s="591"/>
      <c r="C19" s="82" t="str">
        <f>IF('CONSOLIDACION DEL MAPA'!P19="","",'CONSOLIDACION DEL MAPA'!P19)</f>
        <v/>
      </c>
      <c r="D19" s="82" t="str">
        <f>CRONOGRAMA!D19</f>
        <v/>
      </c>
      <c r="E19" s="132" t="str">
        <f>IF(CRONOGRAMA!F19="", "",CRONOGRAMA!F19)</f>
        <v/>
      </c>
      <c r="F19" s="132" t="str">
        <f>IF(CRONOGRAMA!G19="", "",CRONOGRAMA!G19)</f>
        <v/>
      </c>
      <c r="G19" s="128" t="str">
        <f>IF(CRONOGRAMA!H19="", "",CRONOGRAMA!H19)</f>
        <v/>
      </c>
      <c r="H19" s="128" t="str">
        <f>IF(CRONOGRAMA!I19="", "",CRONOGRAMA!I19)</f>
        <v/>
      </c>
      <c r="I19" s="84">
        <f t="shared" si="12"/>
        <v>0</v>
      </c>
      <c r="J19" s="160" t="str">
        <f>IF($P$6="Indique Fecha Seguimiento","",IF(CRONOGRAMA!$E19="No Aplica","NA",IF($G19="","",IF(YEAR($G19)&lt;YEAR($P$6)," A ",IF(YEAR($G19)=YEAR($P$6),IF(MONTH($G19)&lt;=4," A ","NA"),IF(YEAR($G19)&gt;YEAR($P$6),"NA"))))))</f>
        <v/>
      </c>
      <c r="K19" s="400"/>
      <c r="L19" s="401"/>
      <c r="M19" s="400"/>
      <c r="N19" s="348" t="str">
        <f t="shared" si="0"/>
        <v/>
      </c>
      <c r="O19" s="349"/>
      <c r="P19" s="44"/>
      <c r="Q19" s="84" t="str">
        <f t="shared" si="1"/>
        <v/>
      </c>
      <c r="R19" s="84" t="str">
        <f t="shared" si="2"/>
        <v/>
      </c>
      <c r="S19" s="84">
        <f t="shared" si="3"/>
        <v>0</v>
      </c>
      <c r="T19" s="160" t="str">
        <f>IF($Z$6="Indique Fecha Seguimiento","",IF(CRONOGRAMA!$E19="No Aplica","NA",IF($G19="","",IF(YEAR($G19)&lt;YEAR($Z$6)," A ",IF(YEAR($G19)=YEAR($Z$6),IF(MONTH($G19)&lt;=8," A ","NA"),IF(YEAR($G19)&gt;YEAR($Z$6),"NA"))))))</f>
        <v/>
      </c>
      <c r="U19" s="351"/>
      <c r="V19" s="44"/>
      <c r="W19" s="351"/>
      <c r="X19" s="348" t="str">
        <f t="shared" si="4"/>
        <v/>
      </c>
      <c r="Y19" s="349"/>
      <c r="Z19" s="44"/>
      <c r="AA19" s="84" t="str">
        <f t="shared" si="5"/>
        <v/>
      </c>
      <c r="AB19" s="84" t="str">
        <f t="shared" si="13"/>
        <v/>
      </c>
      <c r="AC19" s="84">
        <f t="shared" si="6"/>
        <v>0</v>
      </c>
      <c r="AD19" s="160" t="str">
        <f>IF($AJ$6="Indique Fecha Seguimiento","",IF(CRONOGRAMA!$E19="No Aplica","NA",IF($G19="","",IF(YEAR($G19)&lt;YEAR($AJ$6)," A ",IF(YEAR($G19)=YEAR($AJ$6),IF(MONTH($G19)&lt;=12," A ","NA"),IF(YEAR($G19)&gt;YEAR($AJ$6),"NA"))))))</f>
        <v/>
      </c>
      <c r="AE19" s="350"/>
      <c r="AF19" s="44"/>
      <c r="AG19" s="351"/>
      <c r="AH19" s="348" t="str">
        <f t="shared" si="7"/>
        <v/>
      </c>
      <c r="AI19" s="349"/>
      <c r="AJ19" s="44"/>
      <c r="AK19" s="81" t="str">
        <f t="shared" si="8"/>
        <v/>
      </c>
      <c r="AL19" s="84">
        <f t="shared" si="9"/>
        <v>0</v>
      </c>
      <c r="AM19" s="84">
        <f t="shared" si="10"/>
        <v>0</v>
      </c>
      <c r="AN19" s="592"/>
      <c r="AO19" s="602"/>
      <c r="AP19" s="603"/>
      <c r="AQ19" s="603"/>
      <c r="AR19" s="574"/>
      <c r="AS19" s="574"/>
      <c r="AT19" s="574"/>
      <c r="AU19" s="572"/>
      <c r="AV19" s="573"/>
      <c r="AW19" s="605"/>
      <c r="AX19">
        <f t="shared" si="11"/>
        <v>0</v>
      </c>
    </row>
    <row r="20" spans="1:50" ht="15.75" x14ac:dyDescent="0.25">
      <c r="A20" s="593"/>
      <c r="B20" s="591"/>
      <c r="C20" s="82" t="str">
        <f>IF('CONSOLIDACION DEL MAPA'!P20="","",'CONSOLIDACION DEL MAPA'!P20)</f>
        <v/>
      </c>
      <c r="D20" s="82" t="str">
        <f>CRONOGRAMA!D20</f>
        <v/>
      </c>
      <c r="E20" s="132" t="str">
        <f>IF(CRONOGRAMA!F20="", "",CRONOGRAMA!F20)</f>
        <v/>
      </c>
      <c r="F20" s="132" t="str">
        <f>IF(CRONOGRAMA!G20="", "",CRONOGRAMA!G20)</f>
        <v/>
      </c>
      <c r="G20" s="128" t="str">
        <f>IF(CRONOGRAMA!H20="", "",CRONOGRAMA!H20)</f>
        <v/>
      </c>
      <c r="H20" s="128" t="str">
        <f>IF(CRONOGRAMA!I20="", "",CRONOGRAMA!I20)</f>
        <v/>
      </c>
      <c r="I20" s="84">
        <f t="shared" si="12"/>
        <v>0</v>
      </c>
      <c r="J20" s="160" t="str">
        <f>IF($P$6="Indique Fecha Seguimiento","",IF(CRONOGRAMA!$E20="No Aplica","NA",IF($G20="","",IF(YEAR($G20)&lt;YEAR($P$6)," A ",IF(YEAR($G20)=YEAR($P$6),IF(MONTH($G20)&lt;=4," A ","NA"),IF(YEAR($G20)&gt;YEAR($P$6),"NA"))))))</f>
        <v/>
      </c>
      <c r="K20" s="400"/>
      <c r="L20" s="401"/>
      <c r="M20" s="400"/>
      <c r="N20" s="348" t="str">
        <f t="shared" si="0"/>
        <v/>
      </c>
      <c r="O20" s="349"/>
      <c r="P20" s="44"/>
      <c r="Q20" s="84" t="str">
        <f t="shared" si="1"/>
        <v/>
      </c>
      <c r="R20" s="84" t="str">
        <f t="shared" si="2"/>
        <v/>
      </c>
      <c r="S20" s="84">
        <f t="shared" si="3"/>
        <v>0</v>
      </c>
      <c r="T20" s="160" t="str">
        <f>IF($Z$6="Indique Fecha Seguimiento","",IF(CRONOGRAMA!$E20="No Aplica","NA",IF($G20="","",IF(YEAR($G20)&lt;YEAR($Z$6)," A ",IF(YEAR($G20)=YEAR($Z$6),IF(MONTH($G20)&lt;=8," A ","NA"),IF(YEAR($G20)&gt;YEAR($Z$6),"NA"))))))</f>
        <v/>
      </c>
      <c r="U20" s="351"/>
      <c r="V20" s="44"/>
      <c r="W20" s="351"/>
      <c r="X20" s="348" t="str">
        <f t="shared" si="4"/>
        <v/>
      </c>
      <c r="Y20" s="349"/>
      <c r="Z20" s="44"/>
      <c r="AA20" s="84" t="str">
        <f t="shared" si="5"/>
        <v/>
      </c>
      <c r="AB20" s="84" t="str">
        <f t="shared" si="13"/>
        <v/>
      </c>
      <c r="AC20" s="84">
        <f t="shared" si="6"/>
        <v>0</v>
      </c>
      <c r="AD20" s="160" t="str">
        <f>IF($AJ$6="Indique Fecha Seguimiento","",IF(CRONOGRAMA!$E20="No Aplica","NA",IF($G20="","",IF(YEAR($G20)&lt;YEAR($AJ$6)," A ",IF(YEAR($G20)=YEAR($AJ$6),IF(MONTH($G20)&lt;=12," A ","NA"),IF(YEAR($G20)&gt;YEAR($AJ$6),"NA"))))))</f>
        <v/>
      </c>
      <c r="AE20" s="350"/>
      <c r="AF20" s="44"/>
      <c r="AG20" s="351"/>
      <c r="AH20" s="348" t="str">
        <f t="shared" si="7"/>
        <v/>
      </c>
      <c r="AI20" s="349"/>
      <c r="AJ20" s="44"/>
      <c r="AK20" s="81" t="str">
        <f t="shared" si="8"/>
        <v/>
      </c>
      <c r="AL20" s="84">
        <f t="shared" si="9"/>
        <v>0</v>
      </c>
      <c r="AM20" s="84">
        <f t="shared" si="10"/>
        <v>0</v>
      </c>
      <c r="AN20" s="592"/>
      <c r="AO20" s="602"/>
      <c r="AP20" s="603"/>
      <c r="AQ20" s="603"/>
      <c r="AR20" s="574"/>
      <c r="AS20" s="574"/>
      <c r="AT20" s="574"/>
      <c r="AU20" s="572"/>
      <c r="AV20" s="573"/>
      <c r="AW20" s="605"/>
      <c r="AX20">
        <f t="shared" si="11"/>
        <v>0</v>
      </c>
    </row>
    <row r="21" spans="1:50" ht="63.75" x14ac:dyDescent="0.25">
      <c r="A21" s="593" t="str">
        <f>CRONOGRAMA!A21</f>
        <v>5G</v>
      </c>
      <c r="B21" s="591" t="str">
        <f>CRONOGRAMA!B21</f>
        <v xml:space="preserve">Acreditación. Deficiencia en la calidad técnica de los informes </v>
      </c>
      <c r="C21" s="82" t="str">
        <f>IF('CONSOLIDACION DEL MAPA'!P21="","",'CONSOLIDACION DEL MAPA'!P21)</f>
        <v>Reducir</v>
      </c>
      <c r="D21" s="82" t="str">
        <f>CRONOGRAMA!D21</f>
        <v>Cumplimiento de metas para  cualificación a la comunidad universitaria acordes con el plan de trabajo.</v>
      </c>
      <c r="E21" s="132" t="str">
        <f>IF(CRONOGRAMA!F21="", "",CRONOGRAMA!F21)</f>
        <v>Actas o listas de asistencia</v>
      </c>
      <c r="F21" s="132">
        <f>IF(CRONOGRAMA!G21="", "",CRONOGRAMA!G21)</f>
        <v>1</v>
      </c>
      <c r="G21" s="128">
        <f>IF(CRONOGRAMA!H21="", "",CRONOGRAMA!H21)</f>
        <v>42383</v>
      </c>
      <c r="H21" s="128">
        <f>IF(CRONOGRAMA!I21="", "",CRONOGRAMA!I21)</f>
        <v>42720</v>
      </c>
      <c r="I21" s="84">
        <f t="shared" si="12"/>
        <v>48.142857142857146</v>
      </c>
      <c r="J21" s="160" t="str">
        <f>IF($P$6="Indique Fecha Seguimiento","",IF(CRONOGRAMA!$E21="No Aplica","NA",IF($G21="","",IF(YEAR($G21)&lt;YEAR($P$6)," A ",IF(YEAR($G21)=YEAR($P$6),IF(MONTH($G21)&lt;=4," A ","NA"),IF(YEAR($G21)&gt;YEAR($P$6),"NA"))))))</f>
        <v xml:space="preserve"> A </v>
      </c>
      <c r="K21" s="400">
        <v>1</v>
      </c>
      <c r="L21" s="401" t="s">
        <v>881</v>
      </c>
      <c r="M21" s="400">
        <v>1</v>
      </c>
      <c r="N21" s="348">
        <f t="shared" si="0"/>
        <v>1</v>
      </c>
      <c r="O21" s="349" t="s">
        <v>11</v>
      </c>
      <c r="P21" s="44"/>
      <c r="Q21" s="84">
        <f t="shared" si="1"/>
        <v>48.142857142857146</v>
      </c>
      <c r="R21" s="84">
        <f t="shared" si="2"/>
        <v>48.142857142857146</v>
      </c>
      <c r="S21" s="84">
        <f t="shared" si="3"/>
        <v>48.142857142857146</v>
      </c>
      <c r="T21" s="160" t="str">
        <f>IF($Z$6="Indique Fecha Seguimiento","",IF(CRONOGRAMA!$E21="No Aplica","NA",IF($G21="","",IF(YEAR($G21)&lt;YEAR($Z$6)," A ",IF(YEAR($G21)=YEAR($Z$6),IF(MONTH($G21)&lt;=8," A ","NA"),IF(YEAR($G21)&gt;YEAR($Z$6),"NA"))))))</f>
        <v xml:space="preserve"> A </v>
      </c>
      <c r="U21" s="351">
        <v>1</v>
      </c>
      <c r="V21" s="44" t="s">
        <v>939</v>
      </c>
      <c r="W21" s="351">
        <v>1</v>
      </c>
      <c r="X21" s="348">
        <f t="shared" si="4"/>
        <v>1</v>
      </c>
      <c r="Y21" s="349" t="s">
        <v>11</v>
      </c>
      <c r="Z21" s="44" t="s">
        <v>940</v>
      </c>
      <c r="AA21" s="84">
        <f t="shared" si="5"/>
        <v>48.142857142857146</v>
      </c>
      <c r="AB21" s="84">
        <f t="shared" si="13"/>
        <v>48.142857142857146</v>
      </c>
      <c r="AC21" s="84">
        <f t="shared" si="6"/>
        <v>48.142857142857146</v>
      </c>
      <c r="AD21" s="160" t="str">
        <f>IF($AJ$6="Indique Fecha Seguimiento","",IF(CRONOGRAMA!$E21="No Aplica","NA",IF($G21="","",IF(YEAR($G21)&lt;YEAR($AJ$6)," A ",IF(YEAR($G21)=YEAR($AJ$6),IF(MONTH($G21)&lt;=12," A ","NA"),IF(YEAR($G21)&gt;YEAR($AJ$6),"NA"))))))</f>
        <v/>
      </c>
      <c r="AE21" s="350"/>
      <c r="AF21" s="44"/>
      <c r="AG21" s="351"/>
      <c r="AH21" s="348" t="str">
        <f t="shared" si="7"/>
        <v/>
      </c>
      <c r="AI21" s="349"/>
      <c r="AJ21" s="44"/>
      <c r="AK21" s="81" t="str">
        <f t="shared" si="8"/>
        <v/>
      </c>
      <c r="AL21" s="84">
        <f t="shared" si="9"/>
        <v>48.142857142857146</v>
      </c>
      <c r="AM21" s="84">
        <f t="shared" si="10"/>
        <v>48.142857142857146</v>
      </c>
      <c r="AN21" s="592">
        <f t="shared" ref="AN21" si="42">SUM(I21:I23)</f>
        <v>48.142857142857146</v>
      </c>
      <c r="AO21" s="602">
        <f t="shared" ref="AO21" si="43">IF(AND(Q21="",Q22="",Q23=""),"",SUM(Q21:Q23))</f>
        <v>48.142857142857146</v>
      </c>
      <c r="AP21" s="603">
        <f t="shared" ref="AP21" si="44">IF(AND(AA21="",AA22="",AA23=""),"",SUM(AA21:AA23))</f>
        <v>48.142857142857146</v>
      </c>
      <c r="AQ21" s="603" t="str">
        <f t="shared" ref="AQ21" si="45">IF(AND(AK21="",AK22="",AK23=""),"",SUM(AK21:AK23))</f>
        <v/>
      </c>
      <c r="AR21" s="574">
        <f t="shared" ref="AR21" si="46">IF(AO21="",IF($AU$6&lt;1,"",IF($AU$6&gt;=1,"NA")),IF(AO21=0,0,AO21/$AN21))</f>
        <v>1</v>
      </c>
      <c r="AS21" s="574">
        <f t="shared" ref="AS21" si="47">IF(AP21="",IF($AU$6&lt;2,"",IF($AU$6&gt;=2,"NA")),IF(AP21=0,0,AP21/$AN21))</f>
        <v>1</v>
      </c>
      <c r="AT21" s="574">
        <f t="shared" ref="AT21" si="48">IF(AS21&gt;=AR21,AS21,AR21)</f>
        <v>1</v>
      </c>
      <c r="AU21" s="572" t="str">
        <f t="shared" ref="AU21" si="49">IF(AQ21="",IF($AU$6&lt;3,"",IF($AU$6&gt;=3,"NA")),IF(AQ21=0,0,AQ21/$AN21))</f>
        <v/>
      </c>
      <c r="AV21" s="573">
        <f t="shared" ref="AV21" si="50">IF($AU$6=1,AR21,IF($AU$6=2,AS21,IF($AU$6=3,AU21,"")))</f>
        <v>1</v>
      </c>
      <c r="AW21" s="605">
        <f t="shared" ref="AW21" si="51">AV21</f>
        <v>1</v>
      </c>
      <c r="AX21" t="str">
        <f t="shared" si="11"/>
        <v>Se cumplio con la actividad definida tal como se informo en primer seguimiento</v>
      </c>
    </row>
    <row r="22" spans="1:50" ht="15.75" x14ac:dyDescent="0.25">
      <c r="A22" s="593"/>
      <c r="B22" s="591"/>
      <c r="C22" s="82" t="str">
        <f>IF('CONSOLIDACION DEL MAPA'!P22="","",'CONSOLIDACION DEL MAPA'!P22)</f>
        <v/>
      </c>
      <c r="D22" s="82" t="str">
        <f>CRONOGRAMA!D22</f>
        <v/>
      </c>
      <c r="E22" s="132" t="str">
        <f>IF(CRONOGRAMA!F22="", "",CRONOGRAMA!F22)</f>
        <v/>
      </c>
      <c r="F22" s="132" t="str">
        <f>IF(CRONOGRAMA!G22="", "",CRONOGRAMA!G22)</f>
        <v/>
      </c>
      <c r="G22" s="128" t="str">
        <f>IF(CRONOGRAMA!H22="", "",CRONOGRAMA!H22)</f>
        <v/>
      </c>
      <c r="H22" s="128" t="str">
        <f>IF(CRONOGRAMA!I22="", "",CRONOGRAMA!I22)</f>
        <v/>
      </c>
      <c r="I22" s="84">
        <f t="shared" si="12"/>
        <v>0</v>
      </c>
      <c r="J22" s="160" t="str">
        <f>IF($P$6="Indique Fecha Seguimiento","",IF(CRONOGRAMA!$E22="No Aplica","NA",IF($G22="","",IF(YEAR($G22)&lt;YEAR($P$6)," A ",IF(YEAR($G22)=YEAR($P$6),IF(MONTH($G22)&lt;=4," A ","NA"),IF(YEAR($G22)&gt;YEAR($P$6),"NA"))))))</f>
        <v/>
      </c>
      <c r="K22" s="400"/>
      <c r="L22" s="401"/>
      <c r="M22" s="400"/>
      <c r="N22" s="348" t="str">
        <f t="shared" si="0"/>
        <v/>
      </c>
      <c r="O22" s="349"/>
      <c r="P22" s="44"/>
      <c r="Q22" s="84" t="str">
        <f t="shared" si="1"/>
        <v/>
      </c>
      <c r="R22" s="84" t="str">
        <f t="shared" si="2"/>
        <v/>
      </c>
      <c r="S22" s="84">
        <f t="shared" si="3"/>
        <v>0</v>
      </c>
      <c r="T22" s="160" t="str">
        <f>IF($Z$6="Indique Fecha Seguimiento","",IF(CRONOGRAMA!$E22="No Aplica","NA",IF($G22="","",IF(YEAR($G22)&lt;YEAR($Z$6)," A ",IF(YEAR($G22)=YEAR($Z$6),IF(MONTH($G22)&lt;=8," A ","NA"),IF(YEAR($G22)&gt;YEAR($Z$6),"NA"))))))</f>
        <v/>
      </c>
      <c r="U22" s="351"/>
      <c r="V22" s="44"/>
      <c r="W22" s="351"/>
      <c r="X22" s="348" t="str">
        <f t="shared" si="4"/>
        <v/>
      </c>
      <c r="Y22" s="349"/>
      <c r="Z22" s="44"/>
      <c r="AA22" s="84" t="str">
        <f t="shared" si="5"/>
        <v/>
      </c>
      <c r="AB22" s="84" t="str">
        <f t="shared" si="13"/>
        <v/>
      </c>
      <c r="AC22" s="84">
        <f t="shared" si="6"/>
        <v>0</v>
      </c>
      <c r="AD22" s="160" t="str">
        <f>IF($AJ$6="Indique Fecha Seguimiento","",IF(CRONOGRAMA!$E22="No Aplica","NA",IF($G22="","",IF(YEAR($G22)&lt;YEAR($AJ$6)," A ",IF(YEAR($G22)=YEAR($AJ$6),IF(MONTH($G22)&lt;=12," A ","NA"),IF(YEAR($G22)&gt;YEAR($AJ$6),"NA"))))))</f>
        <v/>
      </c>
      <c r="AE22" s="350"/>
      <c r="AF22" s="44"/>
      <c r="AG22" s="351"/>
      <c r="AH22" s="348" t="str">
        <f t="shared" si="7"/>
        <v/>
      </c>
      <c r="AI22" s="349"/>
      <c r="AJ22" s="44"/>
      <c r="AK22" s="81" t="str">
        <f t="shared" si="8"/>
        <v/>
      </c>
      <c r="AL22" s="84">
        <f t="shared" si="9"/>
        <v>0</v>
      </c>
      <c r="AM22" s="84">
        <f t="shared" si="10"/>
        <v>0</v>
      </c>
      <c r="AN22" s="592"/>
      <c r="AO22" s="602"/>
      <c r="AP22" s="603"/>
      <c r="AQ22" s="603"/>
      <c r="AR22" s="574"/>
      <c r="AS22" s="574"/>
      <c r="AT22" s="574"/>
      <c r="AU22" s="572"/>
      <c r="AV22" s="573"/>
      <c r="AW22" s="605"/>
      <c r="AX22">
        <f t="shared" si="11"/>
        <v>0</v>
      </c>
    </row>
    <row r="23" spans="1:50" ht="15.75" x14ac:dyDescent="0.25">
      <c r="A23" s="593"/>
      <c r="B23" s="591"/>
      <c r="C23" s="82" t="str">
        <f>IF('CONSOLIDACION DEL MAPA'!P23="","",'CONSOLIDACION DEL MAPA'!P23)</f>
        <v/>
      </c>
      <c r="D23" s="82" t="str">
        <f>CRONOGRAMA!D23</f>
        <v/>
      </c>
      <c r="E23" s="132" t="str">
        <f>IF(CRONOGRAMA!F23="", "",CRONOGRAMA!F23)</f>
        <v/>
      </c>
      <c r="F23" s="132" t="str">
        <f>IF(CRONOGRAMA!G23="", "",CRONOGRAMA!G23)</f>
        <v/>
      </c>
      <c r="G23" s="128" t="str">
        <f>IF(CRONOGRAMA!H23="", "",CRONOGRAMA!H23)</f>
        <v/>
      </c>
      <c r="H23" s="128" t="str">
        <f>IF(CRONOGRAMA!I23="", "",CRONOGRAMA!I23)</f>
        <v/>
      </c>
      <c r="I23" s="84">
        <f t="shared" si="12"/>
        <v>0</v>
      </c>
      <c r="J23" s="160" t="str">
        <f>IF($P$6="Indique Fecha Seguimiento","",IF(CRONOGRAMA!$E23="No Aplica","NA",IF($G23="","",IF(YEAR($G23)&lt;YEAR($P$6)," A ",IF(YEAR($G23)=YEAR($P$6),IF(MONTH($G23)&lt;=4," A ","NA"),IF(YEAR($G23)&gt;YEAR($P$6),"NA"))))))</f>
        <v/>
      </c>
      <c r="K23" s="400"/>
      <c r="L23" s="401"/>
      <c r="M23" s="400"/>
      <c r="N23" s="348" t="str">
        <f t="shared" si="0"/>
        <v/>
      </c>
      <c r="O23" s="349"/>
      <c r="P23" s="44"/>
      <c r="Q23" s="84" t="str">
        <f t="shared" si="1"/>
        <v/>
      </c>
      <c r="R23" s="84" t="str">
        <f t="shared" si="2"/>
        <v/>
      </c>
      <c r="S23" s="84">
        <f t="shared" si="3"/>
        <v>0</v>
      </c>
      <c r="T23" s="160" t="str">
        <f>IF($Z$6="Indique Fecha Seguimiento","",IF(CRONOGRAMA!$E23="No Aplica","NA",IF($G23="","",IF(YEAR($G23)&lt;YEAR($Z$6)," A ",IF(YEAR($G23)=YEAR($Z$6),IF(MONTH($G23)&lt;=8," A ","NA"),IF(YEAR($G23)&gt;YEAR($Z$6),"NA"))))))</f>
        <v/>
      </c>
      <c r="U23" s="351"/>
      <c r="V23" s="44"/>
      <c r="W23" s="351"/>
      <c r="X23" s="348" t="str">
        <f t="shared" si="4"/>
        <v/>
      </c>
      <c r="Y23" s="349"/>
      <c r="Z23" s="44"/>
      <c r="AA23" s="84" t="str">
        <f t="shared" si="5"/>
        <v/>
      </c>
      <c r="AB23" s="84" t="str">
        <f t="shared" si="13"/>
        <v/>
      </c>
      <c r="AC23" s="84">
        <f t="shared" si="6"/>
        <v>0</v>
      </c>
      <c r="AD23" s="160" t="str">
        <f>IF($AJ$6="Indique Fecha Seguimiento","",IF(CRONOGRAMA!$E23="No Aplica","NA",IF($G23="","",IF(YEAR($G23)&lt;YEAR($AJ$6)," A ",IF(YEAR($G23)=YEAR($AJ$6),IF(MONTH($G23)&lt;=12," A ","NA"),IF(YEAR($G23)&gt;YEAR($AJ$6),"NA"))))))</f>
        <v/>
      </c>
      <c r="AE23" s="350"/>
      <c r="AF23" s="44"/>
      <c r="AG23" s="351"/>
      <c r="AH23" s="348" t="str">
        <f t="shared" si="7"/>
        <v/>
      </c>
      <c r="AI23" s="349"/>
      <c r="AJ23" s="44"/>
      <c r="AK23" s="81" t="str">
        <f t="shared" si="8"/>
        <v/>
      </c>
      <c r="AL23" s="84">
        <f t="shared" si="9"/>
        <v>0</v>
      </c>
      <c r="AM23" s="84">
        <f t="shared" si="10"/>
        <v>0</v>
      </c>
      <c r="AN23" s="592"/>
      <c r="AO23" s="602"/>
      <c r="AP23" s="603"/>
      <c r="AQ23" s="603"/>
      <c r="AR23" s="574"/>
      <c r="AS23" s="574"/>
      <c r="AT23" s="574"/>
      <c r="AU23" s="572"/>
      <c r="AV23" s="573"/>
      <c r="AW23" s="605"/>
      <c r="AX23">
        <f t="shared" si="11"/>
        <v>0</v>
      </c>
    </row>
    <row r="24" spans="1:50" ht="51" x14ac:dyDescent="0.25">
      <c r="A24" s="593" t="str">
        <f>CRONOGRAMA!A24</f>
        <v>6G</v>
      </c>
      <c r="B24" s="591" t="str">
        <f>CRONOGRAMA!B24</f>
        <v>Acreditación. Negación de la acreditación o de la renovación de registro calificado</v>
      </c>
      <c r="C24" s="82" t="str">
        <f>IF('CONSOLIDACION DEL MAPA'!P24="","",'CONSOLIDACION DEL MAPA'!P24)</f>
        <v>Asumir</v>
      </c>
      <c r="D24" s="82" t="str">
        <f>CRONOGRAMA!D24</f>
        <v xml:space="preserve">Continuar con el seguimiento al cumplimiento de los controles existentes </v>
      </c>
      <c r="E24" s="132" t="str">
        <f>IF(CRONOGRAMA!F24="", "",CRONOGRAMA!F24)</f>
        <v/>
      </c>
      <c r="F24" s="132" t="str">
        <f>IF(CRONOGRAMA!G24="", "",CRONOGRAMA!G24)</f>
        <v/>
      </c>
      <c r="G24" s="128" t="str">
        <f>IF(CRONOGRAMA!H24="", "",CRONOGRAMA!H24)</f>
        <v/>
      </c>
      <c r="H24" s="128" t="str">
        <f>IF(CRONOGRAMA!I24="", "",CRONOGRAMA!I24)</f>
        <v/>
      </c>
      <c r="I24" s="84">
        <f t="shared" si="12"/>
        <v>0</v>
      </c>
      <c r="J24" s="160" t="str">
        <f>IF($P$6="Indique Fecha Seguimiento","",IF(CRONOGRAMA!$E24="No Aplica","NA",IF($G24="","",IF(YEAR($G24)&lt;YEAR($P$6)," A ",IF(YEAR($G24)=YEAR($P$6),IF(MONTH($G24)&lt;=4," A ","NA"),IF(YEAR($G24)&gt;YEAR($P$6),"NA"))))))</f>
        <v>NA</v>
      </c>
      <c r="K24" s="400"/>
      <c r="L24" s="401"/>
      <c r="M24" s="400"/>
      <c r="N24" s="348" t="str">
        <f t="shared" si="0"/>
        <v/>
      </c>
      <c r="O24" s="349"/>
      <c r="P24" s="44"/>
      <c r="Q24" s="84" t="str">
        <f t="shared" si="1"/>
        <v/>
      </c>
      <c r="R24" s="84" t="str">
        <f t="shared" si="2"/>
        <v/>
      </c>
      <c r="S24" s="84">
        <f t="shared" si="3"/>
        <v>0</v>
      </c>
      <c r="T24" s="160" t="str">
        <f>IF($Z$6="Indique Fecha Seguimiento","",IF(CRONOGRAMA!$E24="No Aplica","NA",IF($G24="","",IF(YEAR($G24)&lt;YEAR($Z$6)," A ",IF(YEAR($G24)=YEAR($Z$6),IF(MONTH($G24)&lt;=8," A ","NA"),IF(YEAR($G24)&gt;YEAR($Z$6),"NA"))))))</f>
        <v>NA</v>
      </c>
      <c r="U24" s="351"/>
      <c r="V24" s="44"/>
      <c r="W24" s="351"/>
      <c r="X24" s="348" t="str">
        <f t="shared" si="4"/>
        <v/>
      </c>
      <c r="Y24" s="349"/>
      <c r="Z24" s="44"/>
      <c r="AA24" s="84" t="str">
        <f t="shared" si="5"/>
        <v/>
      </c>
      <c r="AB24" s="84" t="str">
        <f t="shared" si="13"/>
        <v/>
      </c>
      <c r="AC24" s="84">
        <f t="shared" si="6"/>
        <v>0</v>
      </c>
      <c r="AD24" s="160" t="str">
        <f>IF($AJ$6="Indique Fecha Seguimiento","",IF(CRONOGRAMA!$E24="No Aplica","NA",IF($G24="","",IF(YEAR($G24)&lt;YEAR($AJ$6)," A ",IF(YEAR($G24)=YEAR($AJ$6),IF(MONTH($G24)&lt;=12," A ","NA"),IF(YEAR($G24)&gt;YEAR($AJ$6),"NA"))))))</f>
        <v/>
      </c>
      <c r="AE24" s="350"/>
      <c r="AF24" s="44"/>
      <c r="AG24" s="351"/>
      <c r="AH24" s="348" t="str">
        <f t="shared" si="7"/>
        <v/>
      </c>
      <c r="AI24" s="349"/>
      <c r="AJ24" s="44"/>
      <c r="AK24" s="81" t="str">
        <f t="shared" si="8"/>
        <v/>
      </c>
      <c r="AL24" s="84">
        <f t="shared" si="9"/>
        <v>0</v>
      </c>
      <c r="AM24" s="84">
        <f t="shared" si="10"/>
        <v>0</v>
      </c>
      <c r="AN24" s="592">
        <f t="shared" ref="AN24" si="52">SUM(I24:I26)</f>
        <v>0</v>
      </c>
      <c r="AO24" s="602" t="str">
        <f t="shared" ref="AO24" si="53">IF(AND(Q24="",Q25="",Q26=""),"",SUM(Q24:Q26))</f>
        <v/>
      </c>
      <c r="AP24" s="603" t="str">
        <f t="shared" ref="AP24" si="54">IF(AND(AA24="",AA25="",AA26=""),"",SUM(AA24:AA26))</f>
        <v/>
      </c>
      <c r="AQ24" s="603" t="str">
        <f t="shared" ref="AQ24" si="55">IF(AND(AK24="",AK25="",AK26=""),"",SUM(AK24:AK26))</f>
        <v/>
      </c>
      <c r="AR24" s="574" t="str">
        <f t="shared" ref="AR24" si="56">IF(AO24="",IF($AU$6&lt;1,"",IF($AU$6&gt;=1,"NA")),IF(AO24=0,0,AO24/$AN24))</f>
        <v>NA</v>
      </c>
      <c r="AS24" s="574" t="str">
        <f t="shared" ref="AS24" si="57">IF(AP24="",IF($AU$6&lt;2,"",IF($AU$6&gt;=2,"NA")),IF(AP24=0,0,AP24/$AN24))</f>
        <v>NA</v>
      </c>
      <c r="AT24" s="574" t="str">
        <f t="shared" ref="AT24" si="58">IF(AS24&gt;=AR24,AS24,AR24)</f>
        <v>NA</v>
      </c>
      <c r="AU24" s="572" t="str">
        <f t="shared" ref="AU24" si="59">IF(AQ24="",IF($AU$6&lt;3,"",IF($AU$6&gt;=3,"NA")),IF(AQ24=0,0,AQ24/$AN24))</f>
        <v/>
      </c>
      <c r="AV24" s="573" t="str">
        <f t="shared" ref="AV24" si="60">IF($AU$6=1,AR24,IF($AU$6=2,AS24,IF($AU$6=3,AU24,"")))</f>
        <v>NA</v>
      </c>
      <c r="AW24" s="605" t="str">
        <f t="shared" ref="AW24" si="61">AV24</f>
        <v>NA</v>
      </c>
      <c r="AX24">
        <f t="shared" si="11"/>
        <v>0</v>
      </c>
    </row>
    <row r="25" spans="1:50" ht="15.75" x14ac:dyDescent="0.25">
      <c r="A25" s="593"/>
      <c r="B25" s="591"/>
      <c r="C25" s="82" t="str">
        <f>IF('CONSOLIDACION DEL MAPA'!P25="","",'CONSOLIDACION DEL MAPA'!P25)</f>
        <v/>
      </c>
      <c r="D25" s="82" t="str">
        <f>CRONOGRAMA!D25</f>
        <v/>
      </c>
      <c r="E25" s="132" t="str">
        <f>IF(CRONOGRAMA!F25="", "",CRONOGRAMA!F25)</f>
        <v/>
      </c>
      <c r="F25" s="132" t="str">
        <f>IF(CRONOGRAMA!G25="", "",CRONOGRAMA!G25)</f>
        <v/>
      </c>
      <c r="G25" s="128" t="str">
        <f>IF(CRONOGRAMA!H25="", "",CRONOGRAMA!H25)</f>
        <v/>
      </c>
      <c r="H25" s="128" t="str">
        <f>IF(CRONOGRAMA!I25="", "",CRONOGRAMA!I25)</f>
        <v/>
      </c>
      <c r="I25" s="84">
        <f t="shared" si="12"/>
        <v>0</v>
      </c>
      <c r="J25" s="160" t="str">
        <f>IF($P$6="Indique Fecha Seguimiento","",IF(CRONOGRAMA!$E25="No Aplica","NA",IF($G25="","",IF(YEAR($G25)&lt;YEAR($P$6)," A ",IF(YEAR($G25)=YEAR($P$6),IF(MONTH($G25)&lt;=4," A ","NA"),IF(YEAR($G25)&gt;YEAR($P$6),"NA"))))))</f>
        <v/>
      </c>
      <c r="K25" s="400"/>
      <c r="L25" s="401"/>
      <c r="M25" s="400"/>
      <c r="N25" s="348" t="str">
        <f t="shared" si="0"/>
        <v/>
      </c>
      <c r="O25" s="349"/>
      <c r="P25" s="44"/>
      <c r="Q25" s="84" t="str">
        <f t="shared" si="1"/>
        <v/>
      </c>
      <c r="R25" s="84" t="str">
        <f t="shared" si="2"/>
        <v/>
      </c>
      <c r="S25" s="84">
        <f t="shared" si="3"/>
        <v>0</v>
      </c>
      <c r="T25" s="160" t="str">
        <f>IF($Z$6="Indique Fecha Seguimiento","",IF(CRONOGRAMA!$E25="No Aplica","NA",IF($G25="","",IF(YEAR($G25)&lt;YEAR($Z$6)," A ",IF(YEAR($G25)=YEAR($Z$6),IF(MONTH($G25)&lt;=8," A ","NA"),IF(YEAR($G25)&gt;YEAR($Z$6),"NA"))))))</f>
        <v/>
      </c>
      <c r="U25" s="351"/>
      <c r="V25" s="44"/>
      <c r="W25" s="351"/>
      <c r="X25" s="348" t="str">
        <f t="shared" si="4"/>
        <v/>
      </c>
      <c r="Y25" s="349"/>
      <c r="Z25" s="44"/>
      <c r="AA25" s="84" t="str">
        <f t="shared" si="5"/>
        <v/>
      </c>
      <c r="AB25" s="84" t="str">
        <f t="shared" si="13"/>
        <v/>
      </c>
      <c r="AC25" s="84">
        <f t="shared" si="6"/>
        <v>0</v>
      </c>
      <c r="AD25" s="160" t="str">
        <f>IF($AJ$6="Indique Fecha Seguimiento","",IF(CRONOGRAMA!$E25="No Aplica","NA",IF($G25="","",IF(YEAR($G25)&lt;YEAR($AJ$6)," A ",IF(YEAR($G25)=YEAR($AJ$6),IF(MONTH($G25)&lt;=12," A ","NA"),IF(YEAR($G25)&gt;YEAR($AJ$6),"NA"))))))</f>
        <v/>
      </c>
      <c r="AE25" s="350"/>
      <c r="AF25" s="44"/>
      <c r="AG25" s="351"/>
      <c r="AH25" s="348" t="str">
        <f t="shared" si="7"/>
        <v/>
      </c>
      <c r="AI25" s="349"/>
      <c r="AJ25" s="44"/>
      <c r="AK25" s="81" t="str">
        <f t="shared" si="8"/>
        <v/>
      </c>
      <c r="AL25" s="84">
        <f t="shared" si="9"/>
        <v>0</v>
      </c>
      <c r="AM25" s="84">
        <f t="shared" si="10"/>
        <v>0</v>
      </c>
      <c r="AN25" s="592"/>
      <c r="AO25" s="602"/>
      <c r="AP25" s="603"/>
      <c r="AQ25" s="603"/>
      <c r="AR25" s="574"/>
      <c r="AS25" s="574"/>
      <c r="AT25" s="574"/>
      <c r="AU25" s="572"/>
      <c r="AV25" s="573"/>
      <c r="AW25" s="605"/>
      <c r="AX25">
        <f t="shared" si="11"/>
        <v>0</v>
      </c>
    </row>
    <row r="26" spans="1:50" ht="15.75" x14ac:dyDescent="0.25">
      <c r="A26" s="593"/>
      <c r="B26" s="591"/>
      <c r="C26" s="82" t="str">
        <f>IF('CONSOLIDACION DEL MAPA'!P26="","",'CONSOLIDACION DEL MAPA'!P26)</f>
        <v/>
      </c>
      <c r="D26" s="82" t="str">
        <f>CRONOGRAMA!D26</f>
        <v/>
      </c>
      <c r="E26" s="132" t="str">
        <f>IF(CRONOGRAMA!F26="", "",CRONOGRAMA!F26)</f>
        <v/>
      </c>
      <c r="F26" s="132" t="str">
        <f>IF(CRONOGRAMA!G26="", "",CRONOGRAMA!G26)</f>
        <v/>
      </c>
      <c r="G26" s="128" t="str">
        <f>IF(CRONOGRAMA!H26="", "",CRONOGRAMA!H26)</f>
        <v/>
      </c>
      <c r="H26" s="128" t="str">
        <f>IF(CRONOGRAMA!I26="", "",CRONOGRAMA!I26)</f>
        <v/>
      </c>
      <c r="I26" s="84">
        <f t="shared" si="12"/>
        <v>0</v>
      </c>
      <c r="J26" s="160" t="str">
        <f>IF($P$6="Indique Fecha Seguimiento","",IF(CRONOGRAMA!$E26="No Aplica","NA",IF($G26="","",IF(YEAR($G26)&lt;YEAR($P$6)," A ",IF(YEAR($G26)=YEAR($P$6),IF(MONTH($G26)&lt;=4," A ","NA"),IF(YEAR($G26)&gt;YEAR($P$6),"NA"))))))</f>
        <v/>
      </c>
      <c r="K26" s="400"/>
      <c r="L26" s="401"/>
      <c r="M26" s="400"/>
      <c r="N26" s="348" t="str">
        <f t="shared" si="0"/>
        <v/>
      </c>
      <c r="O26" s="349"/>
      <c r="P26" s="44"/>
      <c r="Q26" s="84" t="str">
        <f t="shared" si="1"/>
        <v/>
      </c>
      <c r="R26" s="84" t="str">
        <f t="shared" si="2"/>
        <v/>
      </c>
      <c r="S26" s="84">
        <f t="shared" si="3"/>
        <v>0</v>
      </c>
      <c r="T26" s="160" t="str">
        <f>IF($Z$6="Indique Fecha Seguimiento","",IF(CRONOGRAMA!$E26="No Aplica","NA",IF($G26="","",IF(YEAR($G26)&lt;YEAR($Z$6)," A ",IF(YEAR($G26)=YEAR($Z$6),IF(MONTH($G26)&lt;=8," A ","NA"),IF(YEAR($G26)&gt;YEAR($Z$6),"NA"))))))</f>
        <v/>
      </c>
      <c r="U26" s="351"/>
      <c r="V26" s="44"/>
      <c r="W26" s="351"/>
      <c r="X26" s="348" t="str">
        <f t="shared" si="4"/>
        <v/>
      </c>
      <c r="Y26" s="349"/>
      <c r="Z26" s="44"/>
      <c r="AA26" s="84" t="str">
        <f t="shared" si="5"/>
        <v/>
      </c>
      <c r="AB26" s="84" t="str">
        <f t="shared" si="13"/>
        <v/>
      </c>
      <c r="AC26" s="84">
        <f t="shared" si="6"/>
        <v>0</v>
      </c>
      <c r="AD26" s="160" t="str">
        <f>IF($AJ$6="Indique Fecha Seguimiento","",IF(CRONOGRAMA!$E26="No Aplica","NA",IF($G26="","",IF(YEAR($G26)&lt;YEAR($AJ$6)," A ",IF(YEAR($G26)=YEAR($AJ$6),IF(MONTH($G26)&lt;=12," A ","NA"),IF(YEAR($G26)&gt;YEAR($AJ$6),"NA"))))))</f>
        <v/>
      </c>
      <c r="AE26" s="350"/>
      <c r="AF26" s="44"/>
      <c r="AG26" s="351"/>
      <c r="AH26" s="348" t="str">
        <f t="shared" si="7"/>
        <v/>
      </c>
      <c r="AI26" s="349"/>
      <c r="AJ26" s="44"/>
      <c r="AK26" s="81" t="str">
        <f t="shared" si="8"/>
        <v/>
      </c>
      <c r="AL26" s="84">
        <f t="shared" si="9"/>
        <v>0</v>
      </c>
      <c r="AM26" s="84">
        <f t="shared" si="10"/>
        <v>0</v>
      </c>
      <c r="AN26" s="592"/>
      <c r="AO26" s="602"/>
      <c r="AP26" s="603"/>
      <c r="AQ26" s="603"/>
      <c r="AR26" s="574"/>
      <c r="AS26" s="574"/>
      <c r="AT26" s="574"/>
      <c r="AU26" s="572"/>
      <c r="AV26" s="573"/>
      <c r="AW26" s="605"/>
      <c r="AX26">
        <f t="shared" si="11"/>
        <v>0</v>
      </c>
    </row>
    <row r="27" spans="1:50" ht="51" x14ac:dyDescent="0.25">
      <c r="A27" s="593" t="str">
        <f>CRONOGRAMA!A27</f>
        <v>7G</v>
      </c>
      <c r="B27" s="591" t="str">
        <f>CRONOGRAMA!B27</f>
        <v>Acreditación. Incumplimiento en algunas actividades establecidas en el plan de trabajo</v>
      </c>
      <c r="C27" s="82" t="str">
        <f>IF('CONSOLIDACION DEL MAPA'!P27="","",'CONSOLIDACION DEL MAPA'!P27)</f>
        <v>Asumir</v>
      </c>
      <c r="D27" s="82" t="str">
        <f>CRONOGRAMA!D27</f>
        <v xml:space="preserve">Continuar con el seguimiento al cumplimiento de los controles existentes </v>
      </c>
      <c r="E27" s="132" t="str">
        <f>IF(CRONOGRAMA!F27="", "",CRONOGRAMA!F27)</f>
        <v/>
      </c>
      <c r="F27" s="132" t="str">
        <f>IF(CRONOGRAMA!G27="", "",CRONOGRAMA!G27)</f>
        <v/>
      </c>
      <c r="G27" s="128" t="str">
        <f>IF(CRONOGRAMA!H27="", "",CRONOGRAMA!H27)</f>
        <v/>
      </c>
      <c r="H27" s="128" t="str">
        <f>IF(CRONOGRAMA!I27="", "",CRONOGRAMA!I27)</f>
        <v/>
      </c>
      <c r="I27" s="84">
        <f t="shared" si="12"/>
        <v>0</v>
      </c>
      <c r="J27" s="160" t="str">
        <f>IF($P$6="Indique Fecha Seguimiento","",IF(CRONOGRAMA!$E27="No Aplica","NA",IF($G27="","",IF(YEAR($G27)&lt;YEAR($P$6)," A ",IF(YEAR($G27)=YEAR($P$6),IF(MONTH($G27)&lt;=4," A ","NA"),IF(YEAR($G27)&gt;YEAR($P$6),"NA"))))))</f>
        <v>NA</v>
      </c>
      <c r="K27" s="400"/>
      <c r="L27" s="401"/>
      <c r="M27" s="400"/>
      <c r="N27" s="348" t="str">
        <f t="shared" si="0"/>
        <v/>
      </c>
      <c r="O27" s="349"/>
      <c r="P27" s="44"/>
      <c r="Q27" s="84" t="str">
        <f t="shared" si="1"/>
        <v/>
      </c>
      <c r="R27" s="84" t="str">
        <f t="shared" si="2"/>
        <v/>
      </c>
      <c r="S27" s="84">
        <f t="shared" si="3"/>
        <v>0</v>
      </c>
      <c r="T27" s="160" t="str">
        <f>IF($Z$6="Indique Fecha Seguimiento","",IF(CRONOGRAMA!$E27="No Aplica","NA",IF($G27="","",IF(YEAR($G27)&lt;YEAR($Z$6)," A ",IF(YEAR($G27)=YEAR($Z$6),IF(MONTH($G27)&lt;=8," A ","NA"),IF(YEAR($G27)&gt;YEAR($Z$6),"NA"))))))</f>
        <v>NA</v>
      </c>
      <c r="U27" s="351"/>
      <c r="V27" s="44"/>
      <c r="W27" s="351"/>
      <c r="X27" s="348" t="str">
        <f t="shared" si="4"/>
        <v/>
      </c>
      <c r="Y27" s="349"/>
      <c r="Z27" s="44"/>
      <c r="AA27" s="84" t="str">
        <f t="shared" si="5"/>
        <v/>
      </c>
      <c r="AB27" s="84" t="str">
        <f t="shared" si="13"/>
        <v/>
      </c>
      <c r="AC27" s="84">
        <f t="shared" si="6"/>
        <v>0</v>
      </c>
      <c r="AD27" s="160" t="str">
        <f>IF($AJ$6="Indique Fecha Seguimiento","",IF(CRONOGRAMA!$E27="No Aplica","NA",IF($G27="","",IF(YEAR($G27)&lt;YEAR($AJ$6)," A ",IF(YEAR($G27)=YEAR($AJ$6),IF(MONTH($G27)&lt;=12," A ","NA"),IF(YEAR($G27)&gt;YEAR($AJ$6),"NA"))))))</f>
        <v/>
      </c>
      <c r="AE27" s="350"/>
      <c r="AF27" s="44"/>
      <c r="AG27" s="351"/>
      <c r="AH27" s="348" t="str">
        <f t="shared" si="7"/>
        <v/>
      </c>
      <c r="AI27" s="349"/>
      <c r="AJ27" s="44"/>
      <c r="AK27" s="81" t="str">
        <f t="shared" si="8"/>
        <v/>
      </c>
      <c r="AL27" s="84">
        <f t="shared" si="9"/>
        <v>0</v>
      </c>
      <c r="AM27" s="84">
        <f t="shared" si="10"/>
        <v>0</v>
      </c>
      <c r="AN27" s="592">
        <f t="shared" ref="AN27" si="62">SUM(I27:I29)</f>
        <v>0</v>
      </c>
      <c r="AO27" s="602" t="str">
        <f t="shared" ref="AO27" si="63">IF(AND(Q27="",Q28="",Q29=""),"",SUM(Q27:Q29))</f>
        <v/>
      </c>
      <c r="AP27" s="603" t="str">
        <f t="shared" ref="AP27" si="64">IF(AND(AA27="",AA28="",AA29=""),"",SUM(AA27:AA29))</f>
        <v/>
      </c>
      <c r="AQ27" s="603" t="str">
        <f t="shared" ref="AQ27" si="65">IF(AND(AK27="",AK28="",AK29=""),"",SUM(AK27:AK29))</f>
        <v/>
      </c>
      <c r="AR27" s="574" t="str">
        <f t="shared" ref="AR27" si="66">IF(AO27="",IF($AU$6&lt;1,"",IF($AU$6&gt;=1,"NA")),IF(AO27=0,0,AO27/$AN27))</f>
        <v>NA</v>
      </c>
      <c r="AS27" s="574" t="str">
        <f t="shared" ref="AS27" si="67">IF(AP27="",IF($AU$6&lt;2,"",IF($AU$6&gt;=2,"NA")),IF(AP27=0,0,AP27/$AN27))</f>
        <v>NA</v>
      </c>
      <c r="AT27" s="574" t="str">
        <f t="shared" ref="AT27" si="68">IF(AS27&gt;=AR27,AS27,AR27)</f>
        <v>NA</v>
      </c>
      <c r="AU27" s="572" t="str">
        <f t="shared" ref="AU27" si="69">IF(AQ27="",IF($AU$6&lt;3,"",IF($AU$6&gt;=3,"NA")),IF(AQ27=0,0,AQ27/$AN27))</f>
        <v/>
      </c>
      <c r="AV27" s="573" t="str">
        <f t="shared" ref="AV27" si="70">IF($AU$6=1,AR27,IF($AU$6=2,AS27,IF($AU$6=3,AU27,"")))</f>
        <v>NA</v>
      </c>
      <c r="AW27" s="605" t="str">
        <f t="shared" ref="AW27" si="71">AV27</f>
        <v>NA</v>
      </c>
      <c r="AX27">
        <f t="shared" si="11"/>
        <v>0</v>
      </c>
    </row>
    <row r="28" spans="1:50" ht="15.75" x14ac:dyDescent="0.25">
      <c r="A28" s="593"/>
      <c r="B28" s="591"/>
      <c r="C28" s="82" t="str">
        <f>IF('CONSOLIDACION DEL MAPA'!P28="","",'CONSOLIDACION DEL MAPA'!P28)</f>
        <v/>
      </c>
      <c r="D28" s="82" t="str">
        <f>CRONOGRAMA!D28</f>
        <v/>
      </c>
      <c r="E28" s="132" t="str">
        <f>IF(CRONOGRAMA!F28="", "",CRONOGRAMA!F28)</f>
        <v/>
      </c>
      <c r="F28" s="132" t="str">
        <f>IF(CRONOGRAMA!G28="", "",CRONOGRAMA!G28)</f>
        <v/>
      </c>
      <c r="G28" s="128" t="str">
        <f>IF(CRONOGRAMA!H28="", "",CRONOGRAMA!H28)</f>
        <v/>
      </c>
      <c r="H28" s="128" t="str">
        <f>IF(CRONOGRAMA!I28="", "",CRONOGRAMA!I28)</f>
        <v/>
      </c>
      <c r="I28" s="84">
        <f t="shared" si="12"/>
        <v>0</v>
      </c>
      <c r="J28" s="160" t="str">
        <f>IF($P$6="Indique Fecha Seguimiento","",IF(CRONOGRAMA!$E28="No Aplica","NA",IF($G28="","",IF(YEAR($G28)&lt;YEAR($P$6)," A ",IF(YEAR($G28)=YEAR($P$6),IF(MONTH($G28)&lt;=4," A ","NA"),IF(YEAR($G28)&gt;YEAR($P$6),"NA"))))))</f>
        <v/>
      </c>
      <c r="K28" s="400"/>
      <c r="L28" s="401"/>
      <c r="M28" s="400"/>
      <c r="N28" s="348" t="str">
        <f t="shared" si="0"/>
        <v/>
      </c>
      <c r="O28" s="349"/>
      <c r="P28" s="44"/>
      <c r="Q28" s="84" t="str">
        <f t="shared" si="1"/>
        <v/>
      </c>
      <c r="R28" s="84" t="str">
        <f t="shared" si="2"/>
        <v/>
      </c>
      <c r="S28" s="84">
        <f t="shared" si="3"/>
        <v>0</v>
      </c>
      <c r="T28" s="160" t="str">
        <f>IF($Z$6="Indique Fecha Seguimiento","",IF(CRONOGRAMA!$E28="No Aplica","NA",IF($G28="","",IF(YEAR($G28)&lt;YEAR($Z$6)," A ",IF(YEAR($G28)=YEAR($Z$6),IF(MONTH($G28)&lt;=8," A ","NA"),IF(YEAR($G28)&gt;YEAR($Z$6),"NA"))))))</f>
        <v/>
      </c>
      <c r="U28" s="351"/>
      <c r="V28" s="44"/>
      <c r="W28" s="351"/>
      <c r="X28" s="348" t="str">
        <f t="shared" si="4"/>
        <v/>
      </c>
      <c r="Y28" s="349"/>
      <c r="Z28" s="44"/>
      <c r="AA28" s="84" t="str">
        <f t="shared" si="5"/>
        <v/>
      </c>
      <c r="AB28" s="84" t="str">
        <f t="shared" si="13"/>
        <v/>
      </c>
      <c r="AC28" s="84">
        <f t="shared" si="6"/>
        <v>0</v>
      </c>
      <c r="AD28" s="160" t="str">
        <f>IF($AJ$6="Indique Fecha Seguimiento","",IF(CRONOGRAMA!$E28="No Aplica","NA",IF($G28="","",IF(YEAR($G28)&lt;YEAR($AJ$6)," A ",IF(YEAR($G28)=YEAR($AJ$6),IF(MONTH($G28)&lt;=12," A ","NA"),IF(YEAR($G28)&gt;YEAR($AJ$6),"NA"))))))</f>
        <v/>
      </c>
      <c r="AE28" s="350"/>
      <c r="AF28" s="44"/>
      <c r="AG28" s="351"/>
      <c r="AH28" s="348" t="str">
        <f t="shared" si="7"/>
        <v/>
      </c>
      <c r="AI28" s="349"/>
      <c r="AJ28" s="44"/>
      <c r="AK28" s="81" t="str">
        <f t="shared" si="8"/>
        <v/>
      </c>
      <c r="AL28" s="84">
        <f t="shared" si="9"/>
        <v>0</v>
      </c>
      <c r="AM28" s="84">
        <f t="shared" si="10"/>
        <v>0</v>
      </c>
      <c r="AN28" s="592"/>
      <c r="AO28" s="602"/>
      <c r="AP28" s="603"/>
      <c r="AQ28" s="603"/>
      <c r="AR28" s="574"/>
      <c r="AS28" s="574"/>
      <c r="AT28" s="574"/>
      <c r="AU28" s="572"/>
      <c r="AV28" s="573"/>
      <c r="AW28" s="605"/>
      <c r="AX28">
        <f t="shared" si="11"/>
        <v>0</v>
      </c>
    </row>
    <row r="29" spans="1:50" ht="15.75" x14ac:dyDescent="0.25">
      <c r="A29" s="593"/>
      <c r="B29" s="591"/>
      <c r="C29" s="82" t="str">
        <f>IF('CONSOLIDACION DEL MAPA'!P29="","",'CONSOLIDACION DEL MAPA'!P29)</f>
        <v/>
      </c>
      <c r="D29" s="82" t="str">
        <f>CRONOGRAMA!D29</f>
        <v/>
      </c>
      <c r="E29" s="132" t="str">
        <f>IF(CRONOGRAMA!F29="", "",CRONOGRAMA!F29)</f>
        <v/>
      </c>
      <c r="F29" s="132" t="str">
        <f>IF(CRONOGRAMA!G29="", "",CRONOGRAMA!G29)</f>
        <v/>
      </c>
      <c r="G29" s="128" t="str">
        <f>IF(CRONOGRAMA!H29="", "",CRONOGRAMA!H29)</f>
        <v/>
      </c>
      <c r="H29" s="128" t="str">
        <f>IF(CRONOGRAMA!I29="", "",CRONOGRAMA!I29)</f>
        <v/>
      </c>
      <c r="I29" s="84">
        <f t="shared" si="12"/>
        <v>0</v>
      </c>
      <c r="J29" s="160" t="str">
        <f>IF($P$6="Indique Fecha Seguimiento","",IF(CRONOGRAMA!$E29="No Aplica","NA",IF($G29="","",IF(YEAR($G29)&lt;YEAR($P$6)," A ",IF(YEAR($G29)=YEAR($P$6),IF(MONTH($G29)&lt;=4," A ","NA"),IF(YEAR($G29)&gt;YEAR($P$6),"NA"))))))</f>
        <v/>
      </c>
      <c r="K29" s="400"/>
      <c r="L29" s="401"/>
      <c r="M29" s="400"/>
      <c r="N29" s="348" t="str">
        <f t="shared" si="0"/>
        <v/>
      </c>
      <c r="O29" s="349"/>
      <c r="P29" s="44"/>
      <c r="Q29" s="84" t="str">
        <f t="shared" si="1"/>
        <v/>
      </c>
      <c r="R29" s="84" t="str">
        <f t="shared" si="2"/>
        <v/>
      </c>
      <c r="S29" s="84">
        <f t="shared" si="3"/>
        <v>0</v>
      </c>
      <c r="T29" s="160" t="str">
        <f>IF($Z$6="Indique Fecha Seguimiento","",IF(CRONOGRAMA!$E29="No Aplica","NA",IF($G29="","",IF(YEAR($G29)&lt;YEAR($Z$6)," A ",IF(YEAR($G29)=YEAR($Z$6),IF(MONTH($G29)&lt;=8," A ","NA"),IF(YEAR($G29)&gt;YEAR($Z$6),"NA"))))))</f>
        <v/>
      </c>
      <c r="U29" s="351"/>
      <c r="V29" s="44"/>
      <c r="W29" s="351"/>
      <c r="X29" s="348" t="str">
        <f t="shared" si="4"/>
        <v/>
      </c>
      <c r="Y29" s="349"/>
      <c r="Z29" s="44"/>
      <c r="AA29" s="84" t="str">
        <f t="shared" si="5"/>
        <v/>
      </c>
      <c r="AB29" s="84" t="str">
        <f t="shared" si="13"/>
        <v/>
      </c>
      <c r="AC29" s="84">
        <f t="shared" si="6"/>
        <v>0</v>
      </c>
      <c r="AD29" s="160" t="str">
        <f>IF($AJ$6="Indique Fecha Seguimiento","",IF(CRONOGRAMA!$E29="No Aplica","NA",IF($G29="","",IF(YEAR($G29)&lt;YEAR($AJ$6)," A ",IF(YEAR($G29)=YEAR($AJ$6),IF(MONTH($G29)&lt;=12," A ","NA"),IF(YEAR($G29)&gt;YEAR($AJ$6),"NA"))))))</f>
        <v/>
      </c>
      <c r="AE29" s="350"/>
      <c r="AF29" s="44"/>
      <c r="AG29" s="351"/>
      <c r="AH29" s="348" t="str">
        <f t="shared" si="7"/>
        <v/>
      </c>
      <c r="AI29" s="349"/>
      <c r="AJ29" s="44"/>
      <c r="AK29" s="81" t="str">
        <f t="shared" si="8"/>
        <v/>
      </c>
      <c r="AL29" s="84">
        <f t="shared" si="9"/>
        <v>0</v>
      </c>
      <c r="AM29" s="84">
        <f t="shared" si="10"/>
        <v>0</v>
      </c>
      <c r="AN29" s="592"/>
      <c r="AO29" s="602"/>
      <c r="AP29" s="603"/>
      <c r="AQ29" s="603"/>
      <c r="AR29" s="574"/>
      <c r="AS29" s="574"/>
      <c r="AT29" s="574"/>
      <c r="AU29" s="572"/>
      <c r="AV29" s="573"/>
      <c r="AW29" s="605"/>
      <c r="AX29">
        <f t="shared" si="11"/>
        <v>0</v>
      </c>
    </row>
    <row r="30" spans="1:50" ht="51" x14ac:dyDescent="0.25">
      <c r="A30" s="593" t="str">
        <f>CRONOGRAMA!A30</f>
        <v>8G</v>
      </c>
      <c r="B30" s="591" t="str">
        <f>CRONOGRAMA!B30</f>
        <v>Acreditación. Retraso en el otorgamiento o renovacion del registro calificado</v>
      </c>
      <c r="C30" s="82" t="str">
        <f>IF('CONSOLIDACION DEL MAPA'!P30="","",'CONSOLIDACION DEL MAPA'!P30)</f>
        <v>Asumir</v>
      </c>
      <c r="D30" s="82" t="str">
        <f>CRONOGRAMA!D30</f>
        <v xml:space="preserve">Continuar con el seguimiento al cumplimiento de los controles existentes </v>
      </c>
      <c r="E30" s="132" t="str">
        <f>IF(CRONOGRAMA!F30="", "",CRONOGRAMA!F30)</f>
        <v/>
      </c>
      <c r="F30" s="132" t="str">
        <f>IF(CRONOGRAMA!G30="", "",CRONOGRAMA!G30)</f>
        <v/>
      </c>
      <c r="G30" s="128" t="str">
        <f>IF(CRONOGRAMA!H30="", "",CRONOGRAMA!H30)</f>
        <v/>
      </c>
      <c r="H30" s="128" t="str">
        <f>IF(CRONOGRAMA!I30="", "",CRONOGRAMA!I30)</f>
        <v/>
      </c>
      <c r="I30" s="84">
        <f t="shared" si="12"/>
        <v>0</v>
      </c>
      <c r="J30" s="160" t="str">
        <f>IF($P$6="Indique Fecha Seguimiento","",IF(CRONOGRAMA!$E30="No Aplica","NA",IF($G30="","",IF(YEAR($G30)&lt;YEAR($P$6)," A ",IF(YEAR($G30)=YEAR($P$6),IF(MONTH($G30)&lt;=4," A ","NA"),IF(YEAR($G30)&gt;YEAR($P$6),"NA"))))))</f>
        <v>NA</v>
      </c>
      <c r="K30" s="400"/>
      <c r="L30" s="401"/>
      <c r="M30" s="400"/>
      <c r="N30" s="348" t="str">
        <f t="shared" si="0"/>
        <v/>
      </c>
      <c r="O30" s="349"/>
      <c r="P30" s="44"/>
      <c r="Q30" s="84" t="str">
        <f t="shared" si="1"/>
        <v/>
      </c>
      <c r="R30" s="84" t="str">
        <f t="shared" si="2"/>
        <v/>
      </c>
      <c r="S30" s="84">
        <f t="shared" si="3"/>
        <v>0</v>
      </c>
      <c r="T30" s="160" t="str">
        <f>IF($Z$6="Indique Fecha Seguimiento","",IF(CRONOGRAMA!$E30="No Aplica","NA",IF($G30="","",IF(YEAR($G30)&lt;YEAR($Z$6)," A ",IF(YEAR($G30)=YEAR($Z$6),IF(MONTH($G30)&lt;=8," A ","NA"),IF(YEAR($G30)&gt;YEAR($Z$6),"NA"))))))</f>
        <v>NA</v>
      </c>
      <c r="U30" s="351"/>
      <c r="V30" s="44"/>
      <c r="W30" s="351"/>
      <c r="X30" s="348" t="str">
        <f t="shared" si="4"/>
        <v/>
      </c>
      <c r="Y30" s="349"/>
      <c r="Z30" s="44"/>
      <c r="AA30" s="84" t="str">
        <f t="shared" si="5"/>
        <v/>
      </c>
      <c r="AB30" s="84" t="str">
        <f t="shared" si="13"/>
        <v/>
      </c>
      <c r="AC30" s="84">
        <f t="shared" si="6"/>
        <v>0</v>
      </c>
      <c r="AD30" s="160" t="str">
        <f>IF($AJ$6="Indique Fecha Seguimiento","",IF(CRONOGRAMA!$E30="No Aplica","NA",IF($G30="","",IF(YEAR($G30)&lt;YEAR($AJ$6)," A ",IF(YEAR($G30)=YEAR($AJ$6),IF(MONTH($G30)&lt;=12," A ","NA"),IF(YEAR($G30)&gt;YEAR($AJ$6),"NA"))))))</f>
        <v/>
      </c>
      <c r="AE30" s="350"/>
      <c r="AF30" s="44"/>
      <c r="AG30" s="351"/>
      <c r="AH30" s="348" t="str">
        <f t="shared" si="7"/>
        <v/>
      </c>
      <c r="AI30" s="349"/>
      <c r="AJ30" s="44"/>
      <c r="AK30" s="81" t="str">
        <f t="shared" si="8"/>
        <v/>
      </c>
      <c r="AL30" s="84">
        <f t="shared" si="9"/>
        <v>0</v>
      </c>
      <c r="AM30" s="84">
        <f t="shared" si="10"/>
        <v>0</v>
      </c>
      <c r="AN30" s="592">
        <f t="shared" ref="AN30" si="72">SUM(I30:I32)</f>
        <v>0</v>
      </c>
      <c r="AO30" s="602" t="str">
        <f t="shared" ref="AO30" si="73">IF(AND(Q30="",Q31="",Q32=""),"",SUM(Q30:Q32))</f>
        <v/>
      </c>
      <c r="AP30" s="603" t="str">
        <f t="shared" ref="AP30" si="74">IF(AND(AA30="",AA31="",AA32=""),"",SUM(AA30:AA32))</f>
        <v/>
      </c>
      <c r="AQ30" s="603" t="str">
        <f t="shared" ref="AQ30" si="75">IF(AND(AK30="",AK31="",AK32=""),"",SUM(AK30:AK32))</f>
        <v/>
      </c>
      <c r="AR30" s="574" t="str">
        <f t="shared" ref="AR30" si="76">IF(AO30="",IF($AU$6&lt;1,"",IF($AU$6&gt;=1,"NA")),IF(AO30=0,0,AO30/$AN30))</f>
        <v>NA</v>
      </c>
      <c r="AS30" s="574" t="str">
        <f t="shared" ref="AS30" si="77">IF(AP30="",IF($AU$6&lt;2,"",IF($AU$6&gt;=2,"NA")),IF(AP30=0,0,AP30/$AN30))</f>
        <v>NA</v>
      </c>
      <c r="AT30" s="574" t="str">
        <f t="shared" ref="AT30" si="78">IF(AS30&gt;=AR30,AS30,AR30)</f>
        <v>NA</v>
      </c>
      <c r="AU30" s="572" t="str">
        <f t="shared" ref="AU30" si="79">IF(AQ30="",IF($AU$6&lt;3,"",IF($AU$6&gt;=3,"NA")),IF(AQ30=0,0,AQ30/$AN30))</f>
        <v/>
      </c>
      <c r="AV30" s="573" t="str">
        <f t="shared" ref="AV30" si="80">IF($AU$6=1,AR30,IF($AU$6=2,AS30,IF($AU$6=3,AU30,"")))</f>
        <v>NA</v>
      </c>
      <c r="AW30" s="605" t="str">
        <f t="shared" ref="AW30" si="81">AV30</f>
        <v>NA</v>
      </c>
      <c r="AX30">
        <f t="shared" si="11"/>
        <v>0</v>
      </c>
    </row>
    <row r="31" spans="1:50" ht="15.75" x14ac:dyDescent="0.25">
      <c r="A31" s="593"/>
      <c r="B31" s="591"/>
      <c r="C31" s="82" t="str">
        <f>IF('CONSOLIDACION DEL MAPA'!P31="","",'CONSOLIDACION DEL MAPA'!P31)</f>
        <v/>
      </c>
      <c r="D31" s="82" t="str">
        <f>CRONOGRAMA!D31</f>
        <v/>
      </c>
      <c r="E31" s="132" t="str">
        <f>IF(CRONOGRAMA!F31="", "",CRONOGRAMA!F31)</f>
        <v/>
      </c>
      <c r="F31" s="132" t="str">
        <f>IF(CRONOGRAMA!G31="", "",CRONOGRAMA!G31)</f>
        <v/>
      </c>
      <c r="G31" s="128" t="str">
        <f>IF(CRONOGRAMA!H31="", "",CRONOGRAMA!H31)</f>
        <v/>
      </c>
      <c r="H31" s="128" t="str">
        <f>IF(CRONOGRAMA!I31="", "",CRONOGRAMA!I31)</f>
        <v/>
      </c>
      <c r="I31" s="84">
        <f t="shared" si="12"/>
        <v>0</v>
      </c>
      <c r="J31" s="160" t="str">
        <f>IF($P$6="Indique Fecha Seguimiento","",IF(CRONOGRAMA!$E31="No Aplica","NA",IF($G31="","",IF(YEAR($G31)&lt;YEAR($P$6)," A ",IF(YEAR($G31)=YEAR($P$6),IF(MONTH($G31)&lt;=4," A ","NA"),IF(YEAR($G31)&gt;YEAR($P$6),"NA"))))))</f>
        <v/>
      </c>
      <c r="K31" s="400"/>
      <c r="L31" s="401"/>
      <c r="M31" s="400"/>
      <c r="N31" s="348" t="str">
        <f t="shared" si="0"/>
        <v/>
      </c>
      <c r="O31" s="349"/>
      <c r="P31" s="44"/>
      <c r="Q31" s="84" t="str">
        <f t="shared" si="1"/>
        <v/>
      </c>
      <c r="R31" s="84" t="str">
        <f t="shared" si="2"/>
        <v/>
      </c>
      <c r="S31" s="84">
        <f t="shared" si="3"/>
        <v>0</v>
      </c>
      <c r="T31" s="160" t="str">
        <f>IF($Z$6="Indique Fecha Seguimiento","",IF(CRONOGRAMA!$E31="No Aplica","NA",IF($G31="","",IF(YEAR($G31)&lt;YEAR($Z$6)," A ",IF(YEAR($G31)=YEAR($Z$6),IF(MONTH($G31)&lt;=8," A ","NA"),IF(YEAR($G31)&gt;YEAR($Z$6),"NA"))))))</f>
        <v/>
      </c>
      <c r="U31" s="351"/>
      <c r="V31" s="44"/>
      <c r="W31" s="351"/>
      <c r="X31" s="348" t="str">
        <f t="shared" si="4"/>
        <v/>
      </c>
      <c r="Y31" s="349"/>
      <c r="Z31" s="44"/>
      <c r="AA31" s="84" t="str">
        <f t="shared" si="5"/>
        <v/>
      </c>
      <c r="AB31" s="84" t="str">
        <f t="shared" si="13"/>
        <v/>
      </c>
      <c r="AC31" s="84">
        <f t="shared" si="6"/>
        <v>0</v>
      </c>
      <c r="AD31" s="160" t="str">
        <f>IF($AJ$6="Indique Fecha Seguimiento","",IF(CRONOGRAMA!$E31="No Aplica","NA",IF($G31="","",IF(YEAR($G31)&lt;YEAR($AJ$6)," A ",IF(YEAR($G31)=YEAR($AJ$6),IF(MONTH($G31)&lt;=12," A ","NA"),IF(YEAR($G31)&gt;YEAR($AJ$6),"NA"))))))</f>
        <v/>
      </c>
      <c r="AE31" s="350"/>
      <c r="AF31" s="44"/>
      <c r="AG31" s="351"/>
      <c r="AH31" s="348" t="str">
        <f t="shared" si="7"/>
        <v/>
      </c>
      <c r="AI31" s="349"/>
      <c r="AJ31" s="44"/>
      <c r="AK31" s="81" t="str">
        <f t="shared" si="8"/>
        <v/>
      </c>
      <c r="AL31" s="84">
        <f t="shared" si="9"/>
        <v>0</v>
      </c>
      <c r="AM31" s="84">
        <f t="shared" si="10"/>
        <v>0</v>
      </c>
      <c r="AN31" s="592"/>
      <c r="AO31" s="602"/>
      <c r="AP31" s="603"/>
      <c r="AQ31" s="603"/>
      <c r="AR31" s="574"/>
      <c r="AS31" s="574"/>
      <c r="AT31" s="574"/>
      <c r="AU31" s="572"/>
      <c r="AV31" s="573"/>
      <c r="AW31" s="605"/>
      <c r="AX31">
        <f t="shared" si="11"/>
        <v>0</v>
      </c>
    </row>
    <row r="32" spans="1:50" ht="15.75" x14ac:dyDescent="0.25">
      <c r="A32" s="593"/>
      <c r="B32" s="591"/>
      <c r="C32" s="82" t="str">
        <f>IF('CONSOLIDACION DEL MAPA'!P32="","",'CONSOLIDACION DEL MAPA'!P32)</f>
        <v/>
      </c>
      <c r="D32" s="82" t="str">
        <f>CRONOGRAMA!D32</f>
        <v/>
      </c>
      <c r="E32" s="132" t="str">
        <f>IF(CRONOGRAMA!F32="", "",CRONOGRAMA!F32)</f>
        <v/>
      </c>
      <c r="F32" s="132" t="str">
        <f>IF(CRONOGRAMA!G32="", "",CRONOGRAMA!G32)</f>
        <v/>
      </c>
      <c r="G32" s="128" t="str">
        <f>IF(CRONOGRAMA!H32="", "",CRONOGRAMA!H32)</f>
        <v/>
      </c>
      <c r="H32" s="128" t="str">
        <f>IF(CRONOGRAMA!I32="", "",CRONOGRAMA!I32)</f>
        <v/>
      </c>
      <c r="I32" s="84">
        <f t="shared" si="12"/>
        <v>0</v>
      </c>
      <c r="J32" s="160" t="str">
        <f>IF($P$6="Indique Fecha Seguimiento","",IF(CRONOGRAMA!$E32="No Aplica","NA",IF($G32="","",IF(YEAR($G32)&lt;YEAR($P$6)," A ",IF(YEAR($G32)=YEAR($P$6),IF(MONTH($G32)&lt;=4," A ","NA"),IF(YEAR($G32)&gt;YEAR($P$6),"NA"))))))</f>
        <v/>
      </c>
      <c r="K32" s="400"/>
      <c r="L32" s="401"/>
      <c r="M32" s="400"/>
      <c r="N32" s="348" t="str">
        <f t="shared" si="0"/>
        <v/>
      </c>
      <c r="O32" s="349"/>
      <c r="P32" s="44"/>
      <c r="Q32" s="84" t="str">
        <f t="shared" si="1"/>
        <v/>
      </c>
      <c r="R32" s="84" t="str">
        <f t="shared" si="2"/>
        <v/>
      </c>
      <c r="S32" s="84">
        <f t="shared" si="3"/>
        <v>0</v>
      </c>
      <c r="T32" s="160" t="str">
        <f>IF($Z$6="Indique Fecha Seguimiento","",IF(CRONOGRAMA!$E32="No Aplica","NA",IF($G32="","",IF(YEAR($G32)&lt;YEAR($Z$6)," A ",IF(YEAR($G32)=YEAR($Z$6),IF(MONTH($G32)&lt;=8," A ","NA"),IF(YEAR($G32)&gt;YEAR($Z$6),"NA"))))))</f>
        <v/>
      </c>
      <c r="U32" s="351"/>
      <c r="V32" s="44"/>
      <c r="W32" s="351"/>
      <c r="X32" s="348" t="str">
        <f t="shared" si="4"/>
        <v/>
      </c>
      <c r="Y32" s="349"/>
      <c r="Z32" s="44"/>
      <c r="AA32" s="84" t="str">
        <f t="shared" si="5"/>
        <v/>
      </c>
      <c r="AB32" s="84" t="str">
        <f t="shared" si="13"/>
        <v/>
      </c>
      <c r="AC32" s="84">
        <f t="shared" si="6"/>
        <v>0</v>
      </c>
      <c r="AD32" s="160" t="str">
        <f>IF($AJ$6="Indique Fecha Seguimiento","",IF(CRONOGRAMA!$E32="No Aplica","NA",IF($G32="","",IF(YEAR($G32)&lt;YEAR($AJ$6)," A ",IF(YEAR($G32)=YEAR($AJ$6),IF(MONTH($G32)&lt;=12," A ","NA"),IF(YEAR($G32)&gt;YEAR($AJ$6),"NA"))))))</f>
        <v/>
      </c>
      <c r="AE32" s="350"/>
      <c r="AF32" s="44"/>
      <c r="AG32" s="351"/>
      <c r="AH32" s="348" t="str">
        <f t="shared" si="7"/>
        <v/>
      </c>
      <c r="AI32" s="349"/>
      <c r="AJ32" s="44"/>
      <c r="AK32" s="81" t="str">
        <f t="shared" si="8"/>
        <v/>
      </c>
      <c r="AL32" s="84">
        <f t="shared" si="9"/>
        <v>0</v>
      </c>
      <c r="AM32" s="84">
        <f t="shared" si="10"/>
        <v>0</v>
      </c>
      <c r="AN32" s="592"/>
      <c r="AO32" s="602"/>
      <c r="AP32" s="603"/>
      <c r="AQ32" s="603"/>
      <c r="AR32" s="574"/>
      <c r="AS32" s="574"/>
      <c r="AT32" s="574"/>
      <c r="AU32" s="572"/>
      <c r="AV32" s="573"/>
      <c r="AW32" s="605"/>
      <c r="AX32">
        <f t="shared" si="11"/>
        <v>0</v>
      </c>
    </row>
    <row r="33" spans="1:50" ht="64.5" x14ac:dyDescent="0.25">
      <c r="A33" s="593" t="str">
        <f>CRONOGRAMA!A33</f>
        <v>9G</v>
      </c>
      <c r="B33" s="591" t="str">
        <f>CRONOGRAMA!B33</f>
        <v>Gestión de la Calidad. La alta dirección no asegura la disponibilidad de los recursos para el mantenimiento y mejora del sistema.</v>
      </c>
      <c r="C33" s="82" t="str">
        <f>IF('CONSOLIDACION DEL MAPA'!P33="","",'CONSOLIDACION DEL MAPA'!P33)</f>
        <v>Reducir</v>
      </c>
      <c r="D33" s="82" t="str">
        <f>CRONOGRAMA!D33</f>
        <v>Realizar la revisión por la dirección y divulgar los resultados del informe de revisión por la alta dirección</v>
      </c>
      <c r="E33" s="132" t="str">
        <f>IF(CRONOGRAMA!F33="", "",CRONOGRAMA!F33)</f>
        <v>Registro de asistencia revisión por la Dirección</v>
      </c>
      <c r="F33" s="132">
        <f>IF(CRONOGRAMA!G33="", "",CRONOGRAMA!G33)</f>
        <v>1</v>
      </c>
      <c r="G33" s="128">
        <f>IF(CRONOGRAMA!H33="", "",CRONOGRAMA!H33)</f>
        <v>42383</v>
      </c>
      <c r="H33" s="128">
        <f>IF(CRONOGRAMA!I33="", "",CRONOGRAMA!I33)</f>
        <v>42459</v>
      </c>
      <c r="I33" s="84">
        <f t="shared" si="12"/>
        <v>10.857142857142858</v>
      </c>
      <c r="J33" s="160" t="str">
        <f>IF($P$6="Indique Fecha Seguimiento","",IF(CRONOGRAMA!$E33="No Aplica","NA",IF($G33="","",IF(YEAR($G33)&lt;YEAR($P$6)," A ",IF(YEAR($G33)=YEAR($P$6),IF(MONTH($G33)&lt;=4," A ","NA"),IF(YEAR($G33)&gt;YEAR($P$6),"NA"))))))</f>
        <v xml:space="preserve"> A </v>
      </c>
      <c r="K33" s="400">
        <v>1</v>
      </c>
      <c r="L33" s="401" t="s">
        <v>882</v>
      </c>
      <c r="M33" s="400">
        <v>1</v>
      </c>
      <c r="N33" s="348">
        <f t="shared" si="0"/>
        <v>1</v>
      </c>
      <c r="O33" s="349" t="s">
        <v>11</v>
      </c>
      <c r="P33" s="44"/>
      <c r="Q33" s="84">
        <f t="shared" si="1"/>
        <v>10.857142857142858</v>
      </c>
      <c r="R33" s="84">
        <f t="shared" si="2"/>
        <v>10.857142857142858</v>
      </c>
      <c r="S33" s="84">
        <f t="shared" si="3"/>
        <v>10.857142857142858</v>
      </c>
      <c r="T33" s="160" t="str">
        <f>IF($Z$6="Indique Fecha Seguimiento","",IF(CRONOGRAMA!$E33="No Aplica","NA",IF($G33="","",IF(YEAR($G33)&lt;YEAR($Z$6)," A ",IF(YEAR($G33)=YEAR($Z$6),IF(MONTH($G33)&lt;=8," A ","NA"),IF(YEAR($G33)&gt;YEAR($Z$6),"NA"))))))</f>
        <v xml:space="preserve"> A </v>
      </c>
      <c r="U33" s="351">
        <v>1</v>
      </c>
      <c r="V33" s="44" t="s">
        <v>939</v>
      </c>
      <c r="W33" s="351">
        <v>1</v>
      </c>
      <c r="X33" s="348">
        <f t="shared" si="4"/>
        <v>1</v>
      </c>
      <c r="Y33" s="349" t="s">
        <v>11</v>
      </c>
      <c r="Z33" s="44" t="s">
        <v>940</v>
      </c>
      <c r="AA33" s="84">
        <f t="shared" si="5"/>
        <v>10.857142857142858</v>
      </c>
      <c r="AB33" s="84">
        <f t="shared" si="13"/>
        <v>10.857142857142858</v>
      </c>
      <c r="AC33" s="84">
        <f t="shared" si="6"/>
        <v>10.857142857142858</v>
      </c>
      <c r="AD33" s="160" t="str">
        <f>IF($AJ$6="Indique Fecha Seguimiento","",IF(CRONOGRAMA!$E33="No Aplica","NA",IF($G33="","",IF(YEAR($G33)&lt;YEAR($AJ$6)," A ",IF(YEAR($G33)=YEAR($AJ$6),IF(MONTH($G33)&lt;=12," A ","NA"),IF(YEAR($G33)&gt;YEAR($AJ$6),"NA"))))))</f>
        <v/>
      </c>
      <c r="AE33" s="350"/>
      <c r="AF33" s="44"/>
      <c r="AG33" s="351"/>
      <c r="AH33" s="348" t="str">
        <f t="shared" si="7"/>
        <v/>
      </c>
      <c r="AI33" s="349"/>
      <c r="AJ33" s="44"/>
      <c r="AK33" s="81" t="str">
        <f t="shared" si="8"/>
        <v/>
      </c>
      <c r="AL33" s="84">
        <f t="shared" si="9"/>
        <v>10.857142857142858</v>
      </c>
      <c r="AM33" s="84">
        <f t="shared" si="10"/>
        <v>10.857142857142858</v>
      </c>
      <c r="AN33" s="592">
        <f t="shared" ref="AN33" si="82">SUM(I33:I35)</f>
        <v>10.857142857142858</v>
      </c>
      <c r="AO33" s="602">
        <f t="shared" ref="AO33" si="83">IF(AND(Q33="",Q34="",Q35=""),"",SUM(Q33:Q35))</f>
        <v>10.857142857142858</v>
      </c>
      <c r="AP33" s="603">
        <f t="shared" ref="AP33" si="84">IF(AND(AA33="",AA34="",AA35=""),"",SUM(AA33:AA35))</f>
        <v>10.857142857142858</v>
      </c>
      <c r="AQ33" s="603" t="str">
        <f t="shared" ref="AQ33" si="85">IF(AND(AK33="",AK34="",AK35=""),"",SUM(AK33:AK35))</f>
        <v/>
      </c>
      <c r="AR33" s="574">
        <f t="shared" ref="AR33" si="86">IF(AO33="",IF($AU$6&lt;1,"",IF($AU$6&gt;=1,"NA")),IF(AO33=0,0,AO33/$AN33))</f>
        <v>1</v>
      </c>
      <c r="AS33" s="574">
        <f t="shared" ref="AS33" si="87">IF(AP33="",IF($AU$6&lt;2,"",IF($AU$6&gt;=2,"NA")),IF(AP33=0,0,AP33/$AN33))</f>
        <v>1</v>
      </c>
      <c r="AT33" s="574">
        <f t="shared" ref="AT33" si="88">IF(AS33&gt;=AR33,AS33,AR33)</f>
        <v>1</v>
      </c>
      <c r="AU33" s="572" t="str">
        <f t="shared" ref="AU33" si="89">IF(AQ33="",IF($AU$6&lt;3,"",IF($AU$6&gt;=3,"NA")),IF(AQ33=0,0,AQ33/$AN33))</f>
        <v/>
      </c>
      <c r="AV33" s="573">
        <f t="shared" ref="AV33" si="90">IF($AU$6=1,AR33,IF($AU$6=2,AS33,IF($AU$6=3,AU33,"")))</f>
        <v>1</v>
      </c>
      <c r="AW33" s="605">
        <f t="shared" ref="AW33" si="91">AV33</f>
        <v>1</v>
      </c>
      <c r="AX33" t="str">
        <f t="shared" si="11"/>
        <v>Se cumplio con la actividad definida tal como se informo en primer seguimiento</v>
      </c>
    </row>
    <row r="34" spans="1:50" ht="15.75" x14ac:dyDescent="0.25">
      <c r="A34" s="593"/>
      <c r="B34" s="591"/>
      <c r="C34" s="82" t="str">
        <f>IF('CONSOLIDACION DEL MAPA'!P34="","",'CONSOLIDACION DEL MAPA'!P34)</f>
        <v/>
      </c>
      <c r="D34" s="82" t="str">
        <f>CRONOGRAMA!D34</f>
        <v/>
      </c>
      <c r="E34" s="132" t="str">
        <f>IF(CRONOGRAMA!F34="", "",CRONOGRAMA!F34)</f>
        <v/>
      </c>
      <c r="F34" s="132" t="str">
        <f>IF(CRONOGRAMA!G34="", "",CRONOGRAMA!G34)</f>
        <v/>
      </c>
      <c r="G34" s="128" t="str">
        <f>IF(CRONOGRAMA!H34="", "",CRONOGRAMA!H34)</f>
        <v/>
      </c>
      <c r="H34" s="128" t="str">
        <f>IF(CRONOGRAMA!I34="", "",CRONOGRAMA!I34)</f>
        <v/>
      </c>
      <c r="I34" s="84">
        <f t="shared" si="12"/>
        <v>0</v>
      </c>
      <c r="J34" s="160" t="str">
        <f>IF($P$6="Indique Fecha Seguimiento","",IF(CRONOGRAMA!$E34="No Aplica","NA",IF($G34="","",IF(YEAR($G34)&lt;YEAR($P$6)," A ",IF(YEAR($G34)=YEAR($P$6),IF(MONTH($G34)&lt;=4," A ","NA"),IF(YEAR($G34)&gt;YEAR($P$6),"NA"))))))</f>
        <v/>
      </c>
      <c r="K34" s="400"/>
      <c r="L34" s="401"/>
      <c r="M34" s="400"/>
      <c r="N34" s="348" t="str">
        <f t="shared" si="0"/>
        <v/>
      </c>
      <c r="O34" s="349"/>
      <c r="P34" s="44"/>
      <c r="Q34" s="84" t="str">
        <f t="shared" si="1"/>
        <v/>
      </c>
      <c r="R34" s="84" t="str">
        <f t="shared" si="2"/>
        <v/>
      </c>
      <c r="S34" s="84">
        <f t="shared" si="3"/>
        <v>0</v>
      </c>
      <c r="T34" s="160" t="str">
        <f>IF($Z$6="Indique Fecha Seguimiento","",IF(CRONOGRAMA!$E34="No Aplica","NA",IF($G34="","",IF(YEAR($G34)&lt;YEAR($Z$6)," A ",IF(YEAR($G34)=YEAR($Z$6),IF(MONTH($G34)&lt;=8," A ","NA"),IF(YEAR($G34)&gt;YEAR($Z$6),"NA"))))))</f>
        <v/>
      </c>
      <c r="U34" s="351"/>
      <c r="V34" s="44"/>
      <c r="W34" s="351"/>
      <c r="X34" s="348" t="str">
        <f t="shared" si="4"/>
        <v/>
      </c>
      <c r="Y34" s="349"/>
      <c r="Z34" s="44"/>
      <c r="AA34" s="84" t="str">
        <f t="shared" si="5"/>
        <v/>
      </c>
      <c r="AB34" s="84" t="str">
        <f t="shared" si="13"/>
        <v/>
      </c>
      <c r="AC34" s="84">
        <f t="shared" si="6"/>
        <v>0</v>
      </c>
      <c r="AD34" s="160" t="str">
        <f>IF($AJ$6="Indique Fecha Seguimiento","",IF(CRONOGRAMA!$E34="No Aplica","NA",IF($G34="","",IF(YEAR($G34)&lt;YEAR($AJ$6)," A ",IF(YEAR($G34)=YEAR($AJ$6),IF(MONTH($G34)&lt;=12," A ","NA"),IF(YEAR($G34)&gt;YEAR($AJ$6),"NA"))))))</f>
        <v/>
      </c>
      <c r="AE34" s="350"/>
      <c r="AF34" s="44"/>
      <c r="AG34" s="351"/>
      <c r="AH34" s="348" t="str">
        <f t="shared" si="7"/>
        <v/>
      </c>
      <c r="AI34" s="349"/>
      <c r="AJ34" s="44"/>
      <c r="AK34" s="81" t="str">
        <f t="shared" si="8"/>
        <v/>
      </c>
      <c r="AL34" s="84">
        <f t="shared" si="9"/>
        <v>0</v>
      </c>
      <c r="AM34" s="84">
        <f t="shared" si="10"/>
        <v>0</v>
      </c>
      <c r="AN34" s="592"/>
      <c r="AO34" s="602"/>
      <c r="AP34" s="603"/>
      <c r="AQ34" s="603"/>
      <c r="AR34" s="574"/>
      <c r="AS34" s="574"/>
      <c r="AT34" s="574"/>
      <c r="AU34" s="572"/>
      <c r="AV34" s="573"/>
      <c r="AW34" s="605"/>
      <c r="AX34">
        <f t="shared" si="11"/>
        <v>0</v>
      </c>
    </row>
    <row r="35" spans="1:50" ht="15.75" x14ac:dyDescent="0.25">
      <c r="A35" s="593"/>
      <c r="B35" s="591"/>
      <c r="C35" s="82" t="str">
        <f>IF('CONSOLIDACION DEL MAPA'!P35="","",'CONSOLIDACION DEL MAPA'!P35)</f>
        <v/>
      </c>
      <c r="D35" s="82" t="str">
        <f>CRONOGRAMA!D35</f>
        <v/>
      </c>
      <c r="E35" s="132" t="str">
        <f>IF(CRONOGRAMA!F35="", "",CRONOGRAMA!F35)</f>
        <v/>
      </c>
      <c r="F35" s="132" t="str">
        <f>IF(CRONOGRAMA!G35="", "",CRONOGRAMA!G35)</f>
        <v/>
      </c>
      <c r="G35" s="128" t="str">
        <f>IF(CRONOGRAMA!H35="", "",CRONOGRAMA!H35)</f>
        <v/>
      </c>
      <c r="H35" s="128" t="str">
        <f>IF(CRONOGRAMA!I35="", "",CRONOGRAMA!I35)</f>
        <v/>
      </c>
      <c r="I35" s="84">
        <f t="shared" si="12"/>
        <v>0</v>
      </c>
      <c r="J35" s="160" t="str">
        <f>IF($P$6="Indique Fecha Seguimiento","",IF(CRONOGRAMA!$E35="No Aplica","NA",IF($G35="","",IF(YEAR($G35)&lt;YEAR($P$6)," A ",IF(YEAR($G35)=YEAR($P$6),IF(MONTH($G35)&lt;=4," A ","NA"),IF(YEAR($G35)&gt;YEAR($P$6),"NA"))))))</f>
        <v/>
      </c>
      <c r="K35" s="400"/>
      <c r="L35" s="401"/>
      <c r="M35" s="400"/>
      <c r="N35" s="348" t="str">
        <f t="shared" si="0"/>
        <v/>
      </c>
      <c r="O35" s="349"/>
      <c r="P35" s="44"/>
      <c r="Q35" s="84" t="str">
        <f t="shared" si="1"/>
        <v/>
      </c>
      <c r="R35" s="84" t="str">
        <f t="shared" si="2"/>
        <v/>
      </c>
      <c r="S35" s="84">
        <f t="shared" si="3"/>
        <v>0</v>
      </c>
      <c r="T35" s="160" t="str">
        <f>IF($Z$6="Indique Fecha Seguimiento","",IF(CRONOGRAMA!$E35="No Aplica","NA",IF($G35="","",IF(YEAR($G35)&lt;YEAR($Z$6)," A ",IF(YEAR($G35)=YEAR($Z$6),IF(MONTH($G35)&lt;=8," A ","NA"),IF(YEAR($G35)&gt;YEAR($Z$6),"NA"))))))</f>
        <v/>
      </c>
      <c r="U35" s="351"/>
      <c r="V35" s="44"/>
      <c r="W35" s="351"/>
      <c r="X35" s="348" t="str">
        <f t="shared" si="4"/>
        <v/>
      </c>
      <c r="Y35" s="349"/>
      <c r="Z35" s="44"/>
      <c r="AA35" s="84" t="str">
        <f t="shared" si="5"/>
        <v/>
      </c>
      <c r="AB35" s="84" t="str">
        <f t="shared" si="13"/>
        <v/>
      </c>
      <c r="AC35" s="84">
        <f t="shared" si="6"/>
        <v>0</v>
      </c>
      <c r="AD35" s="160" t="str">
        <f>IF($AJ$6="Indique Fecha Seguimiento","",IF(CRONOGRAMA!$E35="No Aplica","NA",IF($G35="","",IF(YEAR($G35)&lt;YEAR($AJ$6)," A ",IF(YEAR($G35)=YEAR($AJ$6),IF(MONTH($G35)&lt;=12," A ","NA"),IF(YEAR($G35)&gt;YEAR($AJ$6),"NA"))))))</f>
        <v/>
      </c>
      <c r="AE35" s="350"/>
      <c r="AF35" s="44"/>
      <c r="AG35" s="351"/>
      <c r="AH35" s="348" t="str">
        <f t="shared" si="7"/>
        <v/>
      </c>
      <c r="AI35" s="349"/>
      <c r="AJ35" s="44"/>
      <c r="AK35" s="81" t="str">
        <f t="shared" si="8"/>
        <v/>
      </c>
      <c r="AL35" s="84">
        <f t="shared" si="9"/>
        <v>0</v>
      </c>
      <c r="AM35" s="84">
        <f t="shared" si="10"/>
        <v>0</v>
      </c>
      <c r="AN35" s="592"/>
      <c r="AO35" s="602"/>
      <c r="AP35" s="603"/>
      <c r="AQ35" s="603"/>
      <c r="AR35" s="574"/>
      <c r="AS35" s="574"/>
      <c r="AT35" s="574"/>
      <c r="AU35" s="572"/>
      <c r="AV35" s="573"/>
      <c r="AW35" s="605"/>
      <c r="AX35">
        <f t="shared" si="11"/>
        <v>0</v>
      </c>
    </row>
    <row r="36" spans="1:50" ht="94.5" x14ac:dyDescent="0.25">
      <c r="A36" s="593" t="str">
        <f>CRONOGRAMA!A36</f>
        <v>10G</v>
      </c>
      <c r="B36" s="591" t="str">
        <f>CRONOGRAMA!B36</f>
        <v>Comunicaciones. Inoportuna e ineficaz divulgación de los productos comunicativos y publicitarios ante los usuarios internos y externos.</v>
      </c>
      <c r="C36" s="82" t="str">
        <f>IF('CONSOLIDACION DEL MAPA'!P36="","",'CONSOLIDACION DEL MAPA'!P36)</f>
        <v>Reducir</v>
      </c>
      <c r="D36" s="82" t="str">
        <f>CRONOGRAMA!D36</f>
        <v>Fomentar el autocontrol en los tiempos de entrega al equipo de comunicaciones</v>
      </c>
      <c r="E36" s="132" t="str">
        <f>IF(CRONOGRAMA!F36="", "",CRONOGRAMA!F36)</f>
        <v xml:space="preserve">comunicaciones </v>
      </c>
      <c r="F36" s="132">
        <f>IF(CRONOGRAMA!G36="", "",CRONOGRAMA!G36)</f>
        <v>4</v>
      </c>
      <c r="G36" s="128">
        <f>IF(CRONOGRAMA!H36="", "",CRONOGRAMA!H36)</f>
        <v>42384</v>
      </c>
      <c r="H36" s="128">
        <f>IF(CRONOGRAMA!I36="", "",CRONOGRAMA!I36)</f>
        <v>42734</v>
      </c>
      <c r="I36" s="84">
        <f t="shared" si="12"/>
        <v>50</v>
      </c>
      <c r="J36" s="160" t="str">
        <f>IF($P$6="Indique Fecha Seguimiento","",IF(CRONOGRAMA!$E36="No Aplica","NA",IF($G36="","",IF(YEAR($G36)&lt;YEAR($P$6)," A ",IF(YEAR($G36)=YEAR($P$6),IF(MONTH($G36)&lt;=4," A ","NA"),IF(YEAR($G36)&gt;YEAR($P$6),"NA"))))))</f>
        <v xml:space="preserve"> A </v>
      </c>
      <c r="K36" s="400">
        <v>0</v>
      </c>
      <c r="L36" s="401" t="s">
        <v>883</v>
      </c>
      <c r="M36" s="400">
        <v>0</v>
      </c>
      <c r="N36" s="348">
        <f t="shared" si="0"/>
        <v>0</v>
      </c>
      <c r="O36" s="349" t="s">
        <v>353</v>
      </c>
      <c r="P36" s="44"/>
      <c r="Q36" s="84">
        <f t="shared" si="1"/>
        <v>0</v>
      </c>
      <c r="R36" s="84">
        <f t="shared" si="2"/>
        <v>0</v>
      </c>
      <c r="S36" s="84">
        <f t="shared" si="3"/>
        <v>50</v>
      </c>
      <c r="T36" s="160" t="str">
        <f>IF($Z$6="Indique Fecha Seguimiento","",IF(CRONOGRAMA!$E36="No Aplica","NA",IF($G36="","",IF(YEAR($G36)&lt;YEAR($Z$6)," A ",IF(YEAR($G36)=YEAR($Z$6),IF(MONTH($G36)&lt;=8," A ","NA"),IF(YEAR($G36)&gt;YEAR($Z$6),"NA"))))))</f>
        <v xml:space="preserve"> A </v>
      </c>
      <c r="U36" s="351">
        <v>1</v>
      </c>
      <c r="V36" s="44" t="s">
        <v>976</v>
      </c>
      <c r="W36" s="351">
        <v>1</v>
      </c>
      <c r="X36" s="348">
        <f t="shared" si="4"/>
        <v>0.25</v>
      </c>
      <c r="Y36" s="349" t="s">
        <v>353</v>
      </c>
      <c r="Z36" s="44" t="s">
        <v>977</v>
      </c>
      <c r="AA36" s="84">
        <f t="shared" si="5"/>
        <v>12.5</v>
      </c>
      <c r="AB36" s="84">
        <f t="shared" si="13"/>
        <v>12.5</v>
      </c>
      <c r="AC36" s="84">
        <f t="shared" si="6"/>
        <v>50</v>
      </c>
      <c r="AD36" s="160" t="str">
        <f>IF($AJ$6="Indique Fecha Seguimiento","",IF(CRONOGRAMA!$E36="No Aplica","NA",IF($G36="","",IF(YEAR($G36)&lt;YEAR($AJ$6)," A ",IF(YEAR($G36)=YEAR($AJ$6),IF(MONTH($G36)&lt;=12," A ","NA"),IF(YEAR($G36)&gt;YEAR($AJ$6),"NA"))))))</f>
        <v/>
      </c>
      <c r="AE36" s="350"/>
      <c r="AF36" s="44"/>
      <c r="AG36" s="351"/>
      <c r="AH36" s="348" t="str">
        <f t="shared" si="7"/>
        <v/>
      </c>
      <c r="AI36" s="349"/>
      <c r="AJ36" s="44"/>
      <c r="AK36" s="81" t="str">
        <f t="shared" si="8"/>
        <v/>
      </c>
      <c r="AL36" s="84">
        <f t="shared" si="9"/>
        <v>0</v>
      </c>
      <c r="AM36" s="84">
        <f t="shared" si="10"/>
        <v>50</v>
      </c>
      <c r="AN36" s="592">
        <f>SUM(I36:I38)</f>
        <v>100</v>
      </c>
      <c r="AO36" s="602">
        <f>IF(AND(Q36="",Q37="",Q38=""),"",SUM(Q36:Q38))</f>
        <v>12.5</v>
      </c>
      <c r="AP36" s="603">
        <f>IF(AND(AA36="",AA37="",AA38=""),"",SUM(AA36:AA38))</f>
        <v>25</v>
      </c>
      <c r="AQ36" s="603" t="str">
        <f>IF(AND(AK36="",AK37="",AK38=""),"",SUM(AK36:AK38))</f>
        <v/>
      </c>
      <c r="AR36" s="574">
        <f t="shared" ref="AR36" si="92">IF(AO36="",IF($AU$6&lt;1,"",IF($AU$6&gt;=1,"NA")),IF(AO36=0,0,AO36/$AN36))</f>
        <v>0.125</v>
      </c>
      <c r="AS36" s="574">
        <f t="shared" ref="AS36" si="93">IF(AP36="",IF($AU$6&lt;2,"",IF($AU$6&gt;=2,"NA")),IF(AP36=0,0,AP36/$AN36))</f>
        <v>0.25</v>
      </c>
      <c r="AT36" s="574">
        <f t="shared" ref="AT36" si="94">IF(AS36&gt;=AR36,AS36,AR36)</f>
        <v>0.25</v>
      </c>
      <c r="AU36" s="572" t="str">
        <f t="shared" ref="AU36" si="95">IF(AQ36="",IF($AU$6&lt;3,"",IF($AU$6&gt;=3,"NA")),IF(AQ36=0,0,AQ36/$AN36))</f>
        <v/>
      </c>
      <c r="AV36" s="573">
        <f t="shared" ref="AV36" si="96">IF($AU$6=1,AR36,IF($AU$6=2,AS36,IF($AU$6=3,AU36,"")))</f>
        <v>0.25</v>
      </c>
      <c r="AW36" s="605">
        <f t="shared" ref="AW36" si="97">AV36</f>
        <v>0.25</v>
      </c>
      <c r="AX36" t="str">
        <f t="shared" si="11"/>
        <v>Correo enviado al equipo de trabajo sobre asignación de fuentes y ajustes de acciones</v>
      </c>
    </row>
    <row r="37" spans="1:50" ht="63" x14ac:dyDescent="0.25">
      <c r="A37" s="593"/>
      <c r="B37" s="591"/>
      <c r="C37" s="82" t="str">
        <f>IF('CONSOLIDACION DEL MAPA'!P37="","",'CONSOLIDACION DEL MAPA'!P37)</f>
        <v>Reducir</v>
      </c>
      <c r="D37" s="82" t="str">
        <f>CRONOGRAMA!D37</f>
        <v>Recordar la periocidad y la entrega  oportuna de cada producto comunicativo</v>
      </c>
      <c r="E37" s="132" t="str">
        <f>IF(CRONOGRAMA!F37="", "",CRONOGRAMA!F37)</f>
        <v xml:space="preserve">comunicaciones </v>
      </c>
      <c r="F37" s="132">
        <f>IF(CRONOGRAMA!G37="", "",CRONOGRAMA!G37)</f>
        <v>4</v>
      </c>
      <c r="G37" s="128">
        <f>IF(CRONOGRAMA!H37="", "",CRONOGRAMA!H37)</f>
        <v>42384</v>
      </c>
      <c r="H37" s="128">
        <f>IF(CRONOGRAMA!I37="", "",CRONOGRAMA!I37)</f>
        <v>42734</v>
      </c>
      <c r="I37" s="84">
        <f t="shared" si="12"/>
        <v>50</v>
      </c>
      <c r="J37" s="160" t="str">
        <f>IF($P$6="Indique Fecha Seguimiento","",IF(CRONOGRAMA!$E37="No Aplica","NA",IF($G37="","",IF(YEAR($G37)&lt;YEAR($P$6)," A ",IF(YEAR($G37)=YEAR($P$6),IF(MONTH($G37)&lt;=4," A ","NA"),IF(YEAR($G37)&gt;YEAR($P$6),"NA"))))))</f>
        <v xml:space="preserve"> A </v>
      </c>
      <c r="K37" s="400">
        <v>1</v>
      </c>
      <c r="L37" s="401" t="s">
        <v>884</v>
      </c>
      <c r="M37" s="400">
        <v>1</v>
      </c>
      <c r="N37" s="348">
        <f t="shared" si="0"/>
        <v>0.25</v>
      </c>
      <c r="O37" s="349" t="s">
        <v>353</v>
      </c>
      <c r="P37" s="44"/>
      <c r="Q37" s="84">
        <f t="shared" si="1"/>
        <v>12.5</v>
      </c>
      <c r="R37" s="84">
        <f t="shared" si="2"/>
        <v>12.5</v>
      </c>
      <c r="S37" s="84">
        <f t="shared" si="3"/>
        <v>50</v>
      </c>
      <c r="T37" s="160" t="str">
        <f>IF($Z$6="Indique Fecha Seguimiento","",IF(CRONOGRAMA!$E37="No Aplica","NA",IF($G37="","",IF(YEAR($G37)&lt;YEAR($Z$6)," A ",IF(YEAR($G37)=YEAR($Z$6),IF(MONTH($G37)&lt;=8," A ","NA"),IF(YEAR($G37)&gt;YEAR($Z$6),"NA"))))))</f>
        <v xml:space="preserve"> A </v>
      </c>
      <c r="U37" s="351">
        <v>1</v>
      </c>
      <c r="V37" s="44" t="s">
        <v>884</v>
      </c>
      <c r="W37" s="351">
        <v>1</v>
      </c>
      <c r="X37" s="348">
        <f t="shared" si="4"/>
        <v>0.25</v>
      </c>
      <c r="Y37" s="349" t="s">
        <v>353</v>
      </c>
      <c r="Z37" s="44" t="s">
        <v>978</v>
      </c>
      <c r="AA37" s="84">
        <f t="shared" si="5"/>
        <v>12.5</v>
      </c>
      <c r="AB37" s="84">
        <f t="shared" si="13"/>
        <v>12.5</v>
      </c>
      <c r="AC37" s="84">
        <f t="shared" si="6"/>
        <v>50</v>
      </c>
      <c r="AD37" s="160" t="str">
        <f>IF($AJ$6="Indique Fecha Seguimiento","",IF(CRONOGRAMA!$E37="No Aplica","NA",IF($G37="","",IF(YEAR($G37)&lt;YEAR($AJ$6)," A ",IF(YEAR($G37)=YEAR($AJ$6),IF(MONTH($G37)&lt;=12," A ","NA"),IF(YEAR($G37)&gt;YEAR($AJ$6),"NA"))))))</f>
        <v/>
      </c>
      <c r="AE37" s="350"/>
      <c r="AF37" s="44"/>
      <c r="AG37" s="351"/>
      <c r="AH37" s="348" t="str">
        <f t="shared" si="7"/>
        <v/>
      </c>
      <c r="AI37" s="349"/>
      <c r="AJ37" s="44"/>
      <c r="AK37" s="81" t="str">
        <f t="shared" si="8"/>
        <v/>
      </c>
      <c r="AL37" s="84">
        <f t="shared" si="9"/>
        <v>0</v>
      </c>
      <c r="AM37" s="84">
        <f t="shared" si="10"/>
        <v>50</v>
      </c>
      <c r="AN37" s="592"/>
      <c r="AO37" s="602"/>
      <c r="AP37" s="603"/>
      <c r="AQ37" s="603"/>
      <c r="AR37" s="574"/>
      <c r="AS37" s="574"/>
      <c r="AT37" s="574"/>
      <c r="AU37" s="572"/>
      <c r="AV37" s="573"/>
      <c r="AW37" s="605"/>
      <c r="AX37" t="str">
        <f t="shared" si="11"/>
        <v>Correo enviado al equipo de trabajo</v>
      </c>
    </row>
    <row r="38" spans="1:50" ht="15.75" x14ac:dyDescent="0.25">
      <c r="A38" s="593"/>
      <c r="B38" s="591"/>
      <c r="C38" s="82" t="str">
        <f>IF('CONSOLIDACION DEL MAPA'!P38="","",'CONSOLIDACION DEL MAPA'!P38)</f>
        <v/>
      </c>
      <c r="D38" s="82" t="str">
        <f>CRONOGRAMA!D38</f>
        <v/>
      </c>
      <c r="E38" s="132" t="str">
        <f>IF(CRONOGRAMA!F38="", "",CRONOGRAMA!F38)</f>
        <v/>
      </c>
      <c r="F38" s="132" t="str">
        <f>IF(CRONOGRAMA!G38="", "",CRONOGRAMA!G38)</f>
        <v/>
      </c>
      <c r="G38" s="128" t="str">
        <f>IF(CRONOGRAMA!H38="", "",CRONOGRAMA!H38)</f>
        <v/>
      </c>
      <c r="H38" s="128" t="str">
        <f>IF(CRONOGRAMA!I38="", "",CRONOGRAMA!I38)</f>
        <v/>
      </c>
      <c r="I38" s="84">
        <f t="shared" si="12"/>
        <v>0</v>
      </c>
      <c r="J38" s="160" t="str">
        <f>IF($P$6="Indique Fecha Seguimiento","",IF(CRONOGRAMA!$E38="No Aplica","NA",IF($G38="","",IF(YEAR($G38)&lt;YEAR($P$6)," A ",IF(YEAR($G38)=YEAR($P$6),IF(MONTH($G38)&lt;=4," A ","NA"),IF(YEAR($G38)&gt;YEAR($P$6),"NA"))))))</f>
        <v/>
      </c>
      <c r="K38" s="400"/>
      <c r="L38" s="401"/>
      <c r="M38" s="400"/>
      <c r="N38" s="348" t="str">
        <f t="shared" si="0"/>
        <v/>
      </c>
      <c r="O38" s="349"/>
      <c r="P38" s="44"/>
      <c r="Q38" s="84" t="str">
        <f t="shared" si="1"/>
        <v/>
      </c>
      <c r="R38" s="84" t="str">
        <f t="shared" si="2"/>
        <v/>
      </c>
      <c r="S38" s="84">
        <f t="shared" si="3"/>
        <v>0</v>
      </c>
      <c r="T38" s="160" t="str">
        <f>IF($Z$6="Indique Fecha Seguimiento","",IF(CRONOGRAMA!$E38="No Aplica","NA",IF($G38="","",IF(YEAR($G38)&lt;YEAR($Z$6)," A ",IF(YEAR($G38)=YEAR($Z$6),IF(MONTH($G38)&lt;=8," A ","NA"),IF(YEAR($G38)&gt;YEAR($Z$6),"NA"))))))</f>
        <v/>
      </c>
      <c r="U38" s="351"/>
      <c r="V38" s="44"/>
      <c r="W38" s="351"/>
      <c r="X38" s="348" t="str">
        <f t="shared" si="4"/>
        <v/>
      </c>
      <c r="Y38" s="349"/>
      <c r="Z38" s="44"/>
      <c r="AA38" s="84" t="str">
        <f t="shared" si="5"/>
        <v/>
      </c>
      <c r="AB38" s="84" t="str">
        <f t="shared" si="13"/>
        <v/>
      </c>
      <c r="AC38" s="84">
        <f t="shared" si="6"/>
        <v>0</v>
      </c>
      <c r="AD38" s="160" t="str">
        <f>IF($AJ$6="Indique Fecha Seguimiento","",IF(CRONOGRAMA!$E38="No Aplica","NA",IF($G38="","",IF(YEAR($G38)&lt;YEAR($AJ$6)," A ",IF(YEAR($G38)=YEAR($AJ$6),IF(MONTH($G38)&lt;=12," A ","NA"),IF(YEAR($G38)&gt;YEAR($AJ$6),"NA"))))))</f>
        <v/>
      </c>
      <c r="AE38" s="350"/>
      <c r="AF38" s="44"/>
      <c r="AG38" s="351"/>
      <c r="AH38" s="348" t="str">
        <f t="shared" si="7"/>
        <v/>
      </c>
      <c r="AI38" s="349"/>
      <c r="AJ38" s="44"/>
      <c r="AK38" s="81" t="str">
        <f t="shared" si="8"/>
        <v/>
      </c>
      <c r="AL38" s="84">
        <f t="shared" si="9"/>
        <v>0</v>
      </c>
      <c r="AM38" s="84">
        <f t="shared" si="10"/>
        <v>0</v>
      </c>
      <c r="AN38" s="592"/>
      <c r="AO38" s="602"/>
      <c r="AP38" s="603"/>
      <c r="AQ38" s="603"/>
      <c r="AR38" s="574"/>
      <c r="AS38" s="574"/>
      <c r="AT38" s="574"/>
      <c r="AU38" s="572"/>
      <c r="AV38" s="573"/>
      <c r="AW38" s="605"/>
      <c r="AX38">
        <f t="shared" si="11"/>
        <v>0</v>
      </c>
    </row>
    <row r="39" spans="1:50" ht="120" x14ac:dyDescent="0.25">
      <c r="A39" s="593" t="str">
        <f>CRONOGRAMA!A39</f>
        <v>11G</v>
      </c>
      <c r="B39" s="591" t="str">
        <f>CRONOGRAMA!B39</f>
        <v>Gestión Academica. Pérdida de Registro Calificado de los Programas Académicos.</v>
      </c>
      <c r="C39" s="82" t="str">
        <f>IF('CONSOLIDACION DEL MAPA'!P39="","",'CONSOLIDACION DEL MAPA'!P39)</f>
        <v>Reducir</v>
      </c>
      <c r="D39" s="82" t="str">
        <f>CRONOGRAMA!D39</f>
        <v xml:space="preserve">1. Mejorar las estrategias de seguimiento del proceso. </v>
      </c>
      <c r="E39" s="132" t="str">
        <f>IF(CRONOGRAMA!F39="", "",CRONOGRAMA!F39)</f>
        <v>Documento con las estrategía</v>
      </c>
      <c r="F39" s="132">
        <f>IF(CRONOGRAMA!G39="", "",CRONOGRAMA!G39)</f>
        <v>1</v>
      </c>
      <c r="G39" s="128">
        <f>IF(CRONOGRAMA!H39="", "",CRONOGRAMA!H39)</f>
        <v>42576</v>
      </c>
      <c r="H39" s="128">
        <f>IF(CRONOGRAMA!I39="", "",CRONOGRAMA!I39)</f>
        <v>42714</v>
      </c>
      <c r="I39" s="84">
        <f t="shared" ref="I39:I59" si="98">IF(G39="",0,IF(H39="",0,(H39-G39)/7))</f>
        <v>19.714285714285715</v>
      </c>
      <c r="J39" s="160" t="str">
        <f>IF($P$6="Indique Fecha Seguimiento","",IF(CRONOGRAMA!$E39="No Aplica","NA",IF($G39="","",IF(YEAR($G39)&lt;YEAR($P$6)," A ",IF(YEAR($G39)=YEAR($P$6),IF(MONTH($G39)&lt;=4," A ","NA"),IF(YEAR($G39)&gt;YEAR($P$6),"NA"))))))</f>
        <v>NA</v>
      </c>
      <c r="K39" s="400"/>
      <c r="L39" s="401"/>
      <c r="M39" s="400"/>
      <c r="N39" s="348" t="str">
        <f t="shared" ref="N39:N59" si="99">IF(M39="","",IF($F39=0,0,M39/$F39))</f>
        <v/>
      </c>
      <c r="O39" s="349"/>
      <c r="P39" s="44"/>
      <c r="Q39" s="84" t="str">
        <f t="shared" ref="Q39:Q59" si="100">IF(N39="","",($I39*N39))</f>
        <v/>
      </c>
      <c r="R39" s="84" t="str">
        <f t="shared" ref="R39:R59" si="101">IF(O39="SI",Q39,IF($P$6&lt;=$H39,Q39,0))</f>
        <v/>
      </c>
      <c r="S39" s="84">
        <f t="shared" si="3"/>
        <v>19.714285714285715</v>
      </c>
      <c r="T39" s="160" t="str">
        <f>IF($Z$6="Indique Fecha Seguimiento","",IF(CRONOGRAMA!$E39="No Aplica","NA",IF($G39="","",IF(YEAR($G39)&lt;YEAR($Z$6)," A ",IF(YEAR($G39)=YEAR($Z$6),IF(MONTH($G39)&lt;=8," A ","NA"),IF(YEAR($G39)&gt;YEAR($Z$6),"NA"))))))</f>
        <v xml:space="preserve"> A </v>
      </c>
      <c r="U39" s="421">
        <v>0.05</v>
      </c>
      <c r="V39" s="420" t="s">
        <v>968</v>
      </c>
      <c r="W39" s="351">
        <v>0.05</v>
      </c>
      <c r="X39" s="348">
        <f t="shared" ref="X39:X59" si="102">IF(W39="","",IF($F39=0,0,W39/$F39))</f>
        <v>0.05</v>
      </c>
      <c r="Y39" s="349" t="s">
        <v>353</v>
      </c>
      <c r="Z39" s="44" t="s">
        <v>969</v>
      </c>
      <c r="AA39" s="84">
        <f t="shared" ref="AA39:AA59" si="103">IF(X39="","",($I39*X39))</f>
        <v>0.98571428571428577</v>
      </c>
      <c r="AB39" s="84">
        <f t="shared" ref="AB39:AB59" si="104">IF(N39=1,R39,IF(Y39="SI",AA39,IF($Z$6&lt;=$H39,AA39,0)))</f>
        <v>0.98571428571428577</v>
      </c>
      <c r="AC39" s="84">
        <f t="shared" si="6"/>
        <v>19.714285714285715</v>
      </c>
      <c r="AD39" s="160" t="str">
        <f>IF($AJ$6="Indique Fecha Seguimiento","",IF(CRONOGRAMA!$E39="No Aplica","NA",IF($G39="","",IF(YEAR($G39)&lt;YEAR($AJ$6)," A ",IF(YEAR($G39)=YEAR($AJ$6),IF(MONTH($G39)&lt;=12," A ","NA"),IF(YEAR($G39)&gt;YEAR($AJ$6),"NA"))))))</f>
        <v/>
      </c>
      <c r="AE39" s="350"/>
      <c r="AF39" s="44"/>
      <c r="AG39" s="351"/>
      <c r="AH39" s="348" t="str">
        <f t="shared" ref="AH39:AH59" si="105">IF(AG39="","",IF($F39=0,0,AG39/$F39))</f>
        <v/>
      </c>
      <c r="AI39" s="349"/>
      <c r="AJ39" s="44"/>
      <c r="AK39" s="81" t="str">
        <f t="shared" ref="AK39:AK59" si="106">IF(AH39="","",($I39*AH39))</f>
        <v/>
      </c>
      <c r="AL39" s="84">
        <f t="shared" ref="AL39:AL59" si="107">IF(X39=1,AB39,IF(AI39="SI",AK39,IF($AJ$6&lt;=$H39,AK39,0)))</f>
        <v>0</v>
      </c>
      <c r="AM39" s="84">
        <f t="shared" si="10"/>
        <v>19.714285714285715</v>
      </c>
      <c r="AN39" s="592">
        <f t="shared" ref="AN39" si="108">SUM(I39:I41)</f>
        <v>39.428571428571431</v>
      </c>
      <c r="AO39" s="602" t="str">
        <f t="shared" ref="AO39" si="109">IF(AND(Q39="",Q40="",Q41=""),"",SUM(Q39:Q41))</f>
        <v/>
      </c>
      <c r="AP39" s="603">
        <f t="shared" ref="AP39" si="110">IF(AND(AA39="",AA40="",AA41=""),"",SUM(AA39:AA41))</f>
        <v>1.3800000000000001</v>
      </c>
      <c r="AQ39" s="603" t="str">
        <f t="shared" ref="AQ39" si="111">IF(AND(AK39="",AK40="",AK41=""),"",SUM(AK39:AK41))</f>
        <v/>
      </c>
      <c r="AR39" s="574" t="str">
        <f t="shared" ref="AR39" si="112">IF(AO39="",IF($AU$6&lt;1,"",IF($AU$6&gt;=1,"NA")),IF(AO39=0,0,AO39/$AN39))</f>
        <v>NA</v>
      </c>
      <c r="AS39" s="574">
        <f t="shared" ref="AS39" si="113">IF(AP39="",IF($AU$6&lt;2,"",IF($AU$6&gt;=2,"NA")),IF(AP39=0,0,AP39/$AN39))</f>
        <v>3.5000000000000003E-2</v>
      </c>
      <c r="AT39" s="574" t="str">
        <f t="shared" ref="AT39" si="114">IF(AS39&gt;=AR39,AS39,AR39)</f>
        <v>NA</v>
      </c>
      <c r="AU39" s="572" t="str">
        <f t="shared" ref="AU39" si="115">IF(AQ39="",IF($AU$6&lt;3,"",IF($AU$6&gt;=3,"NA")),IF(AQ39=0,0,AQ39/$AN39))</f>
        <v/>
      </c>
      <c r="AV39" s="573">
        <f t="shared" ref="AV39" si="116">IF($AU$6=1,AR39,IF($AU$6=2,AS39,IF($AU$6=3,AU39,"")))</f>
        <v>3.5000000000000003E-2</v>
      </c>
      <c r="AW39" s="605">
        <f t="shared" ref="AW39" si="117">AV39</f>
        <v>3.5000000000000003E-2</v>
      </c>
      <c r="AX39" t="str">
        <f t="shared" ref="AX39:AX59" si="118">IF($AU$6=1,P39,IF($AU$6=2,Z39,IF($AU$6=3,AJ39,"")))</f>
        <v>Analisis preliminar sobre las causas que ocasionan la perdida de los registros</v>
      </c>
    </row>
    <row r="40" spans="1:50" ht="120" x14ac:dyDescent="0.25">
      <c r="A40" s="593"/>
      <c r="B40" s="591"/>
      <c r="C40" s="82" t="str">
        <f>IF('CONSOLIDACION DEL MAPA'!P40="","",'CONSOLIDACION DEL MAPA'!P40)</f>
        <v>Evitar</v>
      </c>
      <c r="D40" s="82" t="str">
        <f>CRONOGRAMA!D40</f>
        <v>2. Automatizar tareas relacionadas con el proceso.</v>
      </c>
      <c r="E40" s="132" t="str">
        <f>IF(CRONOGRAMA!F40="", "",CRONOGRAMA!F40)</f>
        <v>Herramienta de automatización</v>
      </c>
      <c r="F40" s="132">
        <f>IF(CRONOGRAMA!G40="", "",CRONOGRAMA!G40)</f>
        <v>1</v>
      </c>
      <c r="G40" s="128">
        <f>IF(CRONOGRAMA!H40="", "",CRONOGRAMA!H40)</f>
        <v>42576</v>
      </c>
      <c r="H40" s="128">
        <f>IF(CRONOGRAMA!I40="", "",CRONOGRAMA!I40)</f>
        <v>42714</v>
      </c>
      <c r="I40" s="84">
        <f t="shared" si="98"/>
        <v>19.714285714285715</v>
      </c>
      <c r="J40" s="160" t="str">
        <f>IF($P$6="Indique Fecha Seguimiento","",IF(CRONOGRAMA!$E40="No Aplica","NA",IF($G40="","",IF(YEAR($G40)&lt;YEAR($P$6)," A ",IF(YEAR($G40)=YEAR($P$6),IF(MONTH($G40)&lt;=4," A ","NA"),IF(YEAR($G40)&gt;YEAR($P$6),"NA"))))))</f>
        <v>NA</v>
      </c>
      <c r="K40" s="400"/>
      <c r="L40" s="401"/>
      <c r="M40" s="400"/>
      <c r="N40" s="348" t="str">
        <f t="shared" si="99"/>
        <v/>
      </c>
      <c r="O40" s="349"/>
      <c r="P40" s="44"/>
      <c r="Q40" s="84" t="str">
        <f t="shared" si="100"/>
        <v/>
      </c>
      <c r="R40" s="84" t="str">
        <f t="shared" si="101"/>
        <v/>
      </c>
      <c r="S40" s="84">
        <f t="shared" si="3"/>
        <v>19.714285714285715</v>
      </c>
      <c r="T40" s="160" t="str">
        <f>IF($Z$6="Indique Fecha Seguimiento","",IF(CRONOGRAMA!$E40="No Aplica","NA",IF($G40="","",IF(YEAR($G40)&lt;YEAR($Z$6)," A ",IF(YEAR($G40)=YEAR($Z$6),IF(MONTH($G40)&lt;=8," A ","NA"),IF(YEAR($G40)&gt;YEAR($Z$6),"NA"))))))</f>
        <v xml:space="preserve"> A </v>
      </c>
      <c r="U40" s="421">
        <v>0.02</v>
      </c>
      <c r="V40" s="420" t="s">
        <v>968</v>
      </c>
      <c r="W40" s="351">
        <v>0.02</v>
      </c>
      <c r="X40" s="348">
        <f t="shared" si="102"/>
        <v>0.02</v>
      </c>
      <c r="Y40" s="349" t="s">
        <v>353</v>
      </c>
      <c r="Z40" s="44" t="s">
        <v>969</v>
      </c>
      <c r="AA40" s="84">
        <f t="shared" si="103"/>
        <v>0.39428571428571429</v>
      </c>
      <c r="AB40" s="84">
        <f t="shared" si="104"/>
        <v>0.39428571428571429</v>
      </c>
      <c r="AC40" s="84">
        <f t="shared" si="6"/>
        <v>19.714285714285715</v>
      </c>
      <c r="AD40" s="160" t="str">
        <f>IF($AJ$6="Indique Fecha Seguimiento","",IF(CRONOGRAMA!$E40="No Aplica","NA",IF($G40="","",IF(YEAR($G40)&lt;YEAR($AJ$6)," A ",IF(YEAR($G40)=YEAR($AJ$6),IF(MONTH($G40)&lt;=12," A ","NA"),IF(YEAR($G40)&gt;YEAR($AJ$6),"NA"))))))</f>
        <v/>
      </c>
      <c r="AE40" s="350"/>
      <c r="AF40" s="44"/>
      <c r="AG40" s="351"/>
      <c r="AH40" s="348" t="str">
        <f t="shared" si="105"/>
        <v/>
      </c>
      <c r="AI40" s="349"/>
      <c r="AJ40" s="44"/>
      <c r="AK40" s="81" t="str">
        <f t="shared" si="106"/>
        <v/>
      </c>
      <c r="AL40" s="84">
        <f t="shared" si="107"/>
        <v>0</v>
      </c>
      <c r="AM40" s="84">
        <f t="shared" si="10"/>
        <v>19.714285714285715</v>
      </c>
      <c r="AN40" s="592"/>
      <c r="AO40" s="602"/>
      <c r="AP40" s="603"/>
      <c r="AQ40" s="603"/>
      <c r="AR40" s="574"/>
      <c r="AS40" s="574"/>
      <c r="AT40" s="574"/>
      <c r="AU40" s="572"/>
      <c r="AV40" s="573"/>
      <c r="AW40" s="605"/>
      <c r="AX40" t="str">
        <f t="shared" si="118"/>
        <v>Analisis preliminar sobre las causas que ocasionan la perdida de los registros</v>
      </c>
    </row>
    <row r="41" spans="1:50" ht="15.75" x14ac:dyDescent="0.25">
      <c r="A41" s="593"/>
      <c r="B41" s="591"/>
      <c r="C41" s="82" t="str">
        <f>IF('CONSOLIDACION DEL MAPA'!P41="","",'CONSOLIDACION DEL MAPA'!P41)</f>
        <v/>
      </c>
      <c r="D41" s="82" t="str">
        <f>CRONOGRAMA!D41</f>
        <v/>
      </c>
      <c r="E41" s="132" t="str">
        <f>IF(CRONOGRAMA!F41="", "",CRONOGRAMA!F41)</f>
        <v/>
      </c>
      <c r="F41" s="132" t="str">
        <f>IF(CRONOGRAMA!G41="", "",CRONOGRAMA!G41)</f>
        <v/>
      </c>
      <c r="G41" s="128" t="str">
        <f>IF(CRONOGRAMA!H41="", "",CRONOGRAMA!H41)</f>
        <v/>
      </c>
      <c r="H41" s="128" t="str">
        <f>IF(CRONOGRAMA!I41="", "",CRONOGRAMA!I41)</f>
        <v/>
      </c>
      <c r="I41" s="84">
        <f t="shared" si="98"/>
        <v>0</v>
      </c>
      <c r="J41" s="160" t="str">
        <f>IF($P$6="Indique Fecha Seguimiento","",IF(CRONOGRAMA!$E41="No Aplica","NA",IF($G41="","",IF(YEAR($G41)&lt;YEAR($P$6)," A ",IF(YEAR($G41)=YEAR($P$6),IF(MONTH($G41)&lt;=4," A ","NA"),IF(YEAR($G41)&gt;YEAR($P$6),"NA"))))))</f>
        <v/>
      </c>
      <c r="K41" s="400"/>
      <c r="L41" s="401"/>
      <c r="M41" s="400"/>
      <c r="N41" s="348" t="str">
        <f t="shared" si="99"/>
        <v/>
      </c>
      <c r="O41" s="349"/>
      <c r="P41" s="44"/>
      <c r="Q41" s="84" t="str">
        <f t="shared" si="100"/>
        <v/>
      </c>
      <c r="R41" s="84" t="str">
        <f t="shared" si="101"/>
        <v/>
      </c>
      <c r="S41" s="84">
        <f t="shared" si="3"/>
        <v>0</v>
      </c>
      <c r="T41" s="160" t="str">
        <f>IF($Z$6="Indique Fecha Seguimiento","",IF(CRONOGRAMA!$E41="No Aplica","NA",IF($G41="","",IF(YEAR($G41)&lt;YEAR($Z$6)," A ",IF(YEAR($G41)=YEAR($Z$6),IF(MONTH($G41)&lt;=8," A ","NA"),IF(YEAR($G41)&gt;YEAR($Z$6),"NA"))))))</f>
        <v/>
      </c>
      <c r="U41" s="351"/>
      <c r="V41" s="44"/>
      <c r="W41" s="351"/>
      <c r="X41" s="348" t="str">
        <f t="shared" si="102"/>
        <v/>
      </c>
      <c r="Y41" s="349"/>
      <c r="Z41" s="44"/>
      <c r="AA41" s="84" t="str">
        <f t="shared" si="103"/>
        <v/>
      </c>
      <c r="AB41" s="84" t="str">
        <f t="shared" si="104"/>
        <v/>
      </c>
      <c r="AC41" s="84">
        <f t="shared" si="6"/>
        <v>0</v>
      </c>
      <c r="AD41" s="160" t="str">
        <f>IF($AJ$6="Indique Fecha Seguimiento","",IF(CRONOGRAMA!$E41="No Aplica","NA",IF($G41="","",IF(YEAR($G41)&lt;YEAR($AJ$6)," A ",IF(YEAR($G41)=YEAR($AJ$6),IF(MONTH($G41)&lt;=12," A ","NA"),IF(YEAR($G41)&gt;YEAR($AJ$6),"NA"))))))</f>
        <v/>
      </c>
      <c r="AE41" s="350"/>
      <c r="AF41" s="44"/>
      <c r="AG41" s="351"/>
      <c r="AH41" s="348" t="str">
        <f t="shared" si="105"/>
        <v/>
      </c>
      <c r="AI41" s="349"/>
      <c r="AJ41" s="44"/>
      <c r="AK41" s="81" t="str">
        <f t="shared" si="106"/>
        <v/>
      </c>
      <c r="AL41" s="84">
        <f t="shared" si="107"/>
        <v>0</v>
      </c>
      <c r="AM41" s="84">
        <f t="shared" si="10"/>
        <v>0</v>
      </c>
      <c r="AN41" s="592"/>
      <c r="AO41" s="602"/>
      <c r="AP41" s="603"/>
      <c r="AQ41" s="603"/>
      <c r="AR41" s="574"/>
      <c r="AS41" s="574"/>
      <c r="AT41" s="574"/>
      <c r="AU41" s="572"/>
      <c r="AV41" s="573"/>
      <c r="AW41" s="605"/>
      <c r="AX41">
        <f t="shared" si="118"/>
        <v>0</v>
      </c>
    </row>
    <row r="42" spans="1:50" ht="84" x14ac:dyDescent="0.25">
      <c r="A42" s="593" t="str">
        <f>CRONOGRAMA!A42</f>
        <v>12G</v>
      </c>
      <c r="B42" s="591" t="str">
        <f>CRONOGRAMA!B42</f>
        <v>Gestión Academica. Formulación inadecuada de políticas.</v>
      </c>
      <c r="C42" s="82" t="str">
        <f>IF('CONSOLIDACION DEL MAPA'!P42="","",'CONSOLIDACION DEL MAPA'!P42)</f>
        <v>Evitar</v>
      </c>
      <c r="D42" s="82" t="str">
        <f>CRONOGRAMA!D42</f>
        <v>1. Desarrollar capacitaciones continuas y a todo el personal que ingrese, sobre la formulación de políticas</v>
      </c>
      <c r="E42" s="132" t="str">
        <f>IF(CRONOGRAMA!F42="", "",CRONOGRAMA!F42)</f>
        <v>Actas de asistencia a capacitación</v>
      </c>
      <c r="F42" s="132">
        <f>IF(CRONOGRAMA!G42="", "",CRONOGRAMA!G42)</f>
        <v>5</v>
      </c>
      <c r="G42" s="128">
        <f>IF(CRONOGRAMA!H42="", "",CRONOGRAMA!H42)</f>
        <v>42506</v>
      </c>
      <c r="H42" s="128">
        <f>IF(CRONOGRAMA!I42="", "",CRONOGRAMA!I42)</f>
        <v>42714</v>
      </c>
      <c r="I42" s="84">
        <f t="shared" si="98"/>
        <v>29.714285714285715</v>
      </c>
      <c r="J42" s="160" t="str">
        <f>IF($P$6="Indique Fecha Seguimiento","",IF(CRONOGRAMA!$E42="No Aplica","NA",IF($G42="","",IF(YEAR($G42)&lt;YEAR($P$6)," A ",IF(YEAR($G42)=YEAR($P$6),IF(MONTH($G42)&lt;=4," A ","NA"),IF(YEAR($G42)&gt;YEAR($P$6),"NA"))))))</f>
        <v>NA</v>
      </c>
      <c r="K42" s="400"/>
      <c r="L42" s="401"/>
      <c r="M42" s="400"/>
      <c r="N42" s="348" t="str">
        <f t="shared" si="99"/>
        <v/>
      </c>
      <c r="O42" s="349"/>
      <c r="P42" s="44"/>
      <c r="Q42" s="84" t="str">
        <f t="shared" si="100"/>
        <v/>
      </c>
      <c r="R42" s="84" t="str">
        <f t="shared" si="101"/>
        <v/>
      </c>
      <c r="S42" s="84">
        <f t="shared" si="3"/>
        <v>29.714285714285715</v>
      </c>
      <c r="T42" s="160" t="str">
        <f>IF($Z$6="Indique Fecha Seguimiento","",IF(CRONOGRAMA!$E42="No Aplica","NA",IF($G42="","",IF(YEAR($G42)&lt;YEAR($Z$6)," A ",IF(YEAR($G42)=YEAR($Z$6),IF(MONTH($G42)&lt;=8," A ","NA"),IF(YEAR($G42)&gt;YEAR($Z$6),"NA"))))))</f>
        <v xml:space="preserve"> A </v>
      </c>
      <c r="U42" s="422">
        <v>0.05</v>
      </c>
      <c r="V42" s="420" t="s">
        <v>970</v>
      </c>
      <c r="W42" s="351">
        <v>0.25</v>
      </c>
      <c r="X42" s="348">
        <f t="shared" si="102"/>
        <v>0.05</v>
      </c>
      <c r="Y42" s="349" t="s">
        <v>353</v>
      </c>
      <c r="Z42" s="44" t="s">
        <v>971</v>
      </c>
      <c r="AA42" s="84">
        <f t="shared" si="103"/>
        <v>1.4857142857142858</v>
      </c>
      <c r="AB42" s="84">
        <f t="shared" si="104"/>
        <v>1.4857142857142858</v>
      </c>
      <c r="AC42" s="84">
        <f t="shared" si="6"/>
        <v>29.714285714285715</v>
      </c>
      <c r="AD42" s="160" t="str">
        <f>IF($AJ$6="Indique Fecha Seguimiento","",IF(CRONOGRAMA!$E42="No Aplica","NA",IF($G42="","",IF(YEAR($G42)&lt;YEAR($AJ$6)," A ",IF(YEAR($G42)=YEAR($AJ$6),IF(MONTH($G42)&lt;=12," A ","NA"),IF(YEAR($G42)&gt;YEAR($AJ$6),"NA"))))))</f>
        <v/>
      </c>
      <c r="AE42" s="350"/>
      <c r="AF42" s="44"/>
      <c r="AG42" s="351"/>
      <c r="AH42" s="348" t="str">
        <f t="shared" si="105"/>
        <v/>
      </c>
      <c r="AI42" s="349"/>
      <c r="AJ42" s="44"/>
      <c r="AK42" s="81" t="str">
        <f t="shared" si="106"/>
        <v/>
      </c>
      <c r="AL42" s="84">
        <f t="shared" si="107"/>
        <v>0</v>
      </c>
      <c r="AM42" s="84">
        <f t="shared" si="10"/>
        <v>29.714285714285715</v>
      </c>
      <c r="AN42" s="592">
        <f t="shared" ref="AN42" si="119">SUM(I42:I44)</f>
        <v>29.714285714285715</v>
      </c>
      <c r="AO42" s="602" t="str">
        <f t="shared" ref="AO42" si="120">IF(AND(Q42="",Q43="",Q44=""),"",SUM(Q42:Q44))</f>
        <v/>
      </c>
      <c r="AP42" s="603">
        <f t="shared" ref="AP42" si="121">IF(AND(AA42="",AA43="",AA44=""),"",SUM(AA42:AA44))</f>
        <v>1.4857142857142858</v>
      </c>
      <c r="AQ42" s="603" t="str">
        <f t="shared" ref="AQ42" si="122">IF(AND(AK42="",AK43="",AK44=""),"",SUM(AK42:AK44))</f>
        <v/>
      </c>
      <c r="AR42" s="574" t="str">
        <f t="shared" ref="AR42" si="123">IF(AO42="",IF($AU$6&lt;1,"",IF($AU$6&gt;=1,"NA")),IF(AO42=0,0,AO42/$AN42))</f>
        <v>NA</v>
      </c>
      <c r="AS42" s="574">
        <f t="shared" ref="AS42" si="124">IF(AP42="",IF($AU$6&lt;2,"",IF($AU$6&gt;=2,"NA")),IF(AP42=0,0,AP42/$AN42))</f>
        <v>0.05</v>
      </c>
      <c r="AT42" s="574" t="str">
        <f t="shared" ref="AT42" si="125">IF(AS42&gt;=AR42,AS42,AR42)</f>
        <v>NA</v>
      </c>
      <c r="AU42" s="572" t="str">
        <f t="shared" ref="AU42" si="126">IF(AQ42="",IF($AU$6&lt;3,"",IF($AU$6&gt;=3,"NA")),IF(AQ42=0,0,AQ42/$AN42))</f>
        <v/>
      </c>
      <c r="AV42" s="573">
        <f t="shared" ref="AV42" si="127">IF($AU$6=1,AR42,IF($AU$6=2,AS42,IF($AU$6=3,AU42,"")))</f>
        <v>0.05</v>
      </c>
      <c r="AW42" s="605">
        <f t="shared" ref="AW42" si="128">AV42</f>
        <v>0.05</v>
      </c>
      <c r="AX42" t="str">
        <f t="shared" si="118"/>
        <v>Inducción a docentes nuevos, reuniones con decanos</v>
      </c>
    </row>
    <row r="43" spans="1:50" ht="15.75" x14ac:dyDescent="0.25">
      <c r="A43" s="593"/>
      <c r="B43" s="591"/>
      <c r="C43" s="82" t="str">
        <f>IF('CONSOLIDACION DEL MAPA'!P43="","",'CONSOLIDACION DEL MAPA'!P43)</f>
        <v/>
      </c>
      <c r="D43" s="82" t="str">
        <f>CRONOGRAMA!D43</f>
        <v/>
      </c>
      <c r="E43" s="132" t="str">
        <f>IF(CRONOGRAMA!F43="", "",CRONOGRAMA!F43)</f>
        <v/>
      </c>
      <c r="F43" s="132" t="str">
        <f>IF(CRONOGRAMA!G43="", "",CRONOGRAMA!G43)</f>
        <v/>
      </c>
      <c r="G43" s="128" t="str">
        <f>IF(CRONOGRAMA!H43="", "",CRONOGRAMA!H43)</f>
        <v/>
      </c>
      <c r="H43" s="128" t="str">
        <f>IF(CRONOGRAMA!I43="", "",CRONOGRAMA!I43)</f>
        <v/>
      </c>
      <c r="I43" s="84">
        <f t="shared" si="98"/>
        <v>0</v>
      </c>
      <c r="J43" s="160" t="str">
        <f>IF($P$6="Indique Fecha Seguimiento","",IF(CRONOGRAMA!$E43="No Aplica","NA",IF($G43="","",IF(YEAR($G43)&lt;YEAR($P$6)," A ",IF(YEAR($G43)=YEAR($P$6),IF(MONTH($G43)&lt;=4," A ","NA"),IF(YEAR($G43)&gt;YEAR($P$6),"NA"))))))</f>
        <v/>
      </c>
      <c r="K43" s="400"/>
      <c r="L43" s="401"/>
      <c r="M43" s="400"/>
      <c r="N43" s="348" t="str">
        <f t="shared" si="99"/>
        <v/>
      </c>
      <c r="O43" s="349"/>
      <c r="P43" s="44"/>
      <c r="Q43" s="84" t="str">
        <f t="shared" si="100"/>
        <v/>
      </c>
      <c r="R43" s="84" t="str">
        <f t="shared" si="101"/>
        <v/>
      </c>
      <c r="S43" s="84">
        <f t="shared" si="3"/>
        <v>0</v>
      </c>
      <c r="T43" s="160" t="str">
        <f>IF($Z$6="Indique Fecha Seguimiento","",IF(CRONOGRAMA!$E43="No Aplica","NA",IF($G43="","",IF(YEAR($G43)&lt;YEAR($Z$6)," A ",IF(YEAR($G43)=YEAR($Z$6),IF(MONTH($G43)&lt;=8," A ","NA"),IF(YEAR($G43)&gt;YEAR($Z$6),"NA"))))))</f>
        <v/>
      </c>
      <c r="U43" s="351"/>
      <c r="V43" s="44"/>
      <c r="W43" s="351"/>
      <c r="X43" s="348" t="str">
        <f t="shared" si="102"/>
        <v/>
      </c>
      <c r="Y43" s="349"/>
      <c r="Z43" s="44"/>
      <c r="AA43" s="84" t="str">
        <f t="shared" si="103"/>
        <v/>
      </c>
      <c r="AB43" s="84" t="str">
        <f t="shared" si="104"/>
        <v/>
      </c>
      <c r="AC43" s="84">
        <f t="shared" si="6"/>
        <v>0</v>
      </c>
      <c r="AD43" s="160" t="str">
        <f>IF($AJ$6="Indique Fecha Seguimiento","",IF(CRONOGRAMA!$E43="No Aplica","NA",IF($G43="","",IF(YEAR($G43)&lt;YEAR($AJ$6)," A ",IF(YEAR($G43)=YEAR($AJ$6),IF(MONTH($G43)&lt;=12," A ","NA"),IF(YEAR($G43)&gt;YEAR($AJ$6),"NA"))))))</f>
        <v/>
      </c>
      <c r="AE43" s="350"/>
      <c r="AF43" s="44"/>
      <c r="AG43" s="351"/>
      <c r="AH43" s="348" t="str">
        <f t="shared" si="105"/>
        <v/>
      </c>
      <c r="AI43" s="349"/>
      <c r="AJ43" s="44"/>
      <c r="AK43" s="81" t="str">
        <f t="shared" si="106"/>
        <v/>
      </c>
      <c r="AL43" s="84">
        <f t="shared" si="107"/>
        <v>0</v>
      </c>
      <c r="AM43" s="84">
        <f t="shared" si="10"/>
        <v>0</v>
      </c>
      <c r="AN43" s="592"/>
      <c r="AO43" s="602"/>
      <c r="AP43" s="603"/>
      <c r="AQ43" s="603"/>
      <c r="AR43" s="574"/>
      <c r="AS43" s="574"/>
      <c r="AT43" s="574"/>
      <c r="AU43" s="572"/>
      <c r="AV43" s="573"/>
      <c r="AW43" s="605"/>
      <c r="AX43">
        <f t="shared" si="118"/>
        <v>0</v>
      </c>
    </row>
    <row r="44" spans="1:50" ht="15.75" x14ac:dyDescent="0.25">
      <c r="A44" s="593"/>
      <c r="B44" s="591"/>
      <c r="C44" s="82" t="str">
        <f>IF('CONSOLIDACION DEL MAPA'!P44="","",'CONSOLIDACION DEL MAPA'!P44)</f>
        <v/>
      </c>
      <c r="D44" s="82" t="str">
        <f>CRONOGRAMA!D44</f>
        <v/>
      </c>
      <c r="E44" s="132" t="str">
        <f>IF(CRONOGRAMA!F44="", "",CRONOGRAMA!F44)</f>
        <v/>
      </c>
      <c r="F44" s="132" t="str">
        <f>IF(CRONOGRAMA!G44="", "",CRONOGRAMA!G44)</f>
        <v/>
      </c>
      <c r="G44" s="128" t="str">
        <f>IF(CRONOGRAMA!H44="", "",CRONOGRAMA!H44)</f>
        <v/>
      </c>
      <c r="H44" s="128" t="str">
        <f>IF(CRONOGRAMA!I44="", "",CRONOGRAMA!I44)</f>
        <v/>
      </c>
      <c r="I44" s="84">
        <f t="shared" si="98"/>
        <v>0</v>
      </c>
      <c r="J44" s="160" t="str">
        <f>IF($P$6="Indique Fecha Seguimiento","",IF(CRONOGRAMA!$E44="No Aplica","NA",IF($G44="","",IF(YEAR($G44)&lt;YEAR($P$6)," A ",IF(YEAR($G44)=YEAR($P$6),IF(MONTH($G44)&lt;=4," A ","NA"),IF(YEAR($G44)&gt;YEAR($P$6),"NA"))))))</f>
        <v/>
      </c>
      <c r="K44" s="400"/>
      <c r="L44" s="401"/>
      <c r="M44" s="400"/>
      <c r="N44" s="348" t="str">
        <f t="shared" si="99"/>
        <v/>
      </c>
      <c r="O44" s="349"/>
      <c r="P44" s="44"/>
      <c r="Q44" s="84" t="str">
        <f t="shared" si="100"/>
        <v/>
      </c>
      <c r="R44" s="84" t="str">
        <f t="shared" si="101"/>
        <v/>
      </c>
      <c r="S44" s="84">
        <f t="shared" si="3"/>
        <v>0</v>
      </c>
      <c r="T44" s="160" t="str">
        <f>IF($Z$6="Indique Fecha Seguimiento","",IF(CRONOGRAMA!$E44="No Aplica","NA",IF($G44="","",IF(YEAR($G44)&lt;YEAR($Z$6)," A ",IF(YEAR($G44)=YEAR($Z$6),IF(MONTH($G44)&lt;=8," A ","NA"),IF(YEAR($G44)&gt;YEAR($Z$6),"NA"))))))</f>
        <v/>
      </c>
      <c r="U44" s="351"/>
      <c r="V44" s="44"/>
      <c r="W44" s="351"/>
      <c r="X44" s="348" t="str">
        <f t="shared" si="102"/>
        <v/>
      </c>
      <c r="Y44" s="349"/>
      <c r="Z44" s="44"/>
      <c r="AA44" s="84" t="str">
        <f t="shared" si="103"/>
        <v/>
      </c>
      <c r="AB44" s="84" t="str">
        <f t="shared" si="104"/>
        <v/>
      </c>
      <c r="AC44" s="84">
        <f t="shared" si="6"/>
        <v>0</v>
      </c>
      <c r="AD44" s="160" t="str">
        <f>IF($AJ$6="Indique Fecha Seguimiento","",IF(CRONOGRAMA!$E44="No Aplica","NA",IF($G44="","",IF(YEAR($G44)&lt;YEAR($AJ$6)," A ",IF(YEAR($G44)=YEAR($AJ$6),IF(MONTH($G44)&lt;=12," A ","NA"),IF(YEAR($G44)&gt;YEAR($AJ$6),"NA"))))))</f>
        <v/>
      </c>
      <c r="AE44" s="350"/>
      <c r="AF44" s="44"/>
      <c r="AG44" s="351"/>
      <c r="AH44" s="348" t="str">
        <f t="shared" si="105"/>
        <v/>
      </c>
      <c r="AI44" s="349"/>
      <c r="AJ44" s="44"/>
      <c r="AK44" s="81" t="str">
        <f t="shared" si="106"/>
        <v/>
      </c>
      <c r="AL44" s="84">
        <f t="shared" si="107"/>
        <v>0</v>
      </c>
      <c r="AM44" s="84">
        <f t="shared" si="10"/>
        <v>0</v>
      </c>
      <c r="AN44" s="592"/>
      <c r="AO44" s="602"/>
      <c r="AP44" s="603"/>
      <c r="AQ44" s="603"/>
      <c r="AR44" s="574"/>
      <c r="AS44" s="574"/>
      <c r="AT44" s="574"/>
      <c r="AU44" s="572"/>
      <c r="AV44" s="573"/>
      <c r="AW44" s="605"/>
      <c r="AX44">
        <f t="shared" si="118"/>
        <v>0</v>
      </c>
    </row>
    <row r="45" spans="1:50" ht="84" x14ac:dyDescent="0.25">
      <c r="A45" s="593" t="str">
        <f>CRONOGRAMA!A45</f>
        <v>13G</v>
      </c>
      <c r="B45" s="591" t="str">
        <f>CRONOGRAMA!B45</f>
        <v>Gestión Academica. Aplicación inadecuada de la normatividad en el desarrollo de los diferentes procesos academicos de los programas.</v>
      </c>
      <c r="C45" s="82" t="str">
        <f>IF('CONSOLIDACION DEL MAPA'!P45="","",'CONSOLIDACION DEL MAPA'!P45)</f>
        <v>Reducir</v>
      </c>
      <c r="D45" s="82" t="str">
        <f>CRONOGRAMA!D45</f>
        <v>1. Desarrollar capacitaciones continuas y a todo el personal que ingrese, sobre la normativas internas y externas</v>
      </c>
      <c r="E45" s="132" t="str">
        <f>IF(CRONOGRAMA!F45="", "",CRONOGRAMA!F45)</f>
        <v>Actas de asistencia a capacitación</v>
      </c>
      <c r="F45" s="132">
        <f>IF(CRONOGRAMA!G45="", "",CRONOGRAMA!G45)</f>
        <v>5</v>
      </c>
      <c r="G45" s="128">
        <f>IF(CRONOGRAMA!H45="", "",CRONOGRAMA!H45)</f>
        <v>42506</v>
      </c>
      <c r="H45" s="128">
        <f>IF(CRONOGRAMA!I45="", "",CRONOGRAMA!I45)</f>
        <v>42714</v>
      </c>
      <c r="I45" s="84">
        <f t="shared" si="98"/>
        <v>29.714285714285715</v>
      </c>
      <c r="J45" s="160" t="str">
        <f>IF($P$6="Indique Fecha Seguimiento","",IF(CRONOGRAMA!$E45="No Aplica","NA",IF($G45="","",IF(YEAR($G45)&lt;YEAR($P$6)," A ",IF(YEAR($G45)=YEAR($P$6),IF(MONTH($G45)&lt;=4," A ","NA"),IF(YEAR($G45)&gt;YEAR($P$6),"NA"))))))</f>
        <v>NA</v>
      </c>
      <c r="K45" s="400"/>
      <c r="L45" s="401"/>
      <c r="M45" s="400"/>
      <c r="N45" s="348" t="str">
        <f t="shared" si="99"/>
        <v/>
      </c>
      <c r="O45" s="349"/>
      <c r="P45" s="44"/>
      <c r="Q45" s="84" t="str">
        <f t="shared" si="100"/>
        <v/>
      </c>
      <c r="R45" s="84" t="str">
        <f t="shared" si="101"/>
        <v/>
      </c>
      <c r="S45" s="84">
        <f t="shared" si="3"/>
        <v>29.714285714285715</v>
      </c>
      <c r="T45" s="160" t="str">
        <f>IF($Z$6="Indique Fecha Seguimiento","",IF(CRONOGRAMA!$E45="No Aplica","NA",IF($G45="","",IF(YEAR($G45)&lt;YEAR($Z$6)," A ",IF(YEAR($G45)=YEAR($Z$6),IF(MONTH($G45)&lt;=8," A ","NA"),IF(YEAR($G45)&gt;YEAR($Z$6),"NA"))))))</f>
        <v xml:space="preserve"> A </v>
      </c>
      <c r="U45" s="422">
        <v>0.05</v>
      </c>
      <c r="V45" s="420" t="s">
        <v>970</v>
      </c>
      <c r="W45" s="351">
        <v>0.25</v>
      </c>
      <c r="X45" s="348">
        <f t="shared" si="102"/>
        <v>0.05</v>
      </c>
      <c r="Y45" s="349" t="s">
        <v>353</v>
      </c>
      <c r="Z45" s="44" t="s">
        <v>971</v>
      </c>
      <c r="AA45" s="84">
        <f t="shared" si="103"/>
        <v>1.4857142857142858</v>
      </c>
      <c r="AB45" s="84">
        <f t="shared" si="104"/>
        <v>1.4857142857142858</v>
      </c>
      <c r="AC45" s="84">
        <f t="shared" si="6"/>
        <v>29.714285714285715</v>
      </c>
      <c r="AD45" s="160" t="str">
        <f>IF($AJ$6="Indique Fecha Seguimiento","",IF(CRONOGRAMA!$E45="No Aplica","NA",IF($G45="","",IF(YEAR($G45)&lt;YEAR($AJ$6)," A ",IF(YEAR($G45)=YEAR($AJ$6),IF(MONTH($G45)&lt;=12," A ","NA"),IF(YEAR($G45)&gt;YEAR($AJ$6),"NA"))))))</f>
        <v/>
      </c>
      <c r="AE45" s="350"/>
      <c r="AF45" s="44"/>
      <c r="AG45" s="351"/>
      <c r="AH45" s="348" t="str">
        <f t="shared" si="105"/>
        <v/>
      </c>
      <c r="AI45" s="349"/>
      <c r="AJ45" s="44"/>
      <c r="AK45" s="81" t="str">
        <f t="shared" si="106"/>
        <v/>
      </c>
      <c r="AL45" s="84">
        <f t="shared" si="107"/>
        <v>0</v>
      </c>
      <c r="AM45" s="84">
        <f t="shared" si="10"/>
        <v>29.714285714285715</v>
      </c>
      <c r="AN45" s="592">
        <f t="shared" ref="AN45" si="129">SUM(I45:I47)</f>
        <v>29.714285714285715</v>
      </c>
      <c r="AO45" s="602" t="str">
        <f t="shared" ref="AO45" si="130">IF(AND(Q45="",Q46="",Q47=""),"",SUM(Q45:Q47))</f>
        <v/>
      </c>
      <c r="AP45" s="603">
        <f t="shared" ref="AP45" si="131">IF(AND(AA45="",AA46="",AA47=""),"",SUM(AA45:AA47))</f>
        <v>1.4857142857142858</v>
      </c>
      <c r="AQ45" s="603" t="str">
        <f t="shared" ref="AQ45" si="132">IF(AND(AK45="",AK46="",AK47=""),"",SUM(AK45:AK47))</f>
        <v/>
      </c>
      <c r="AR45" s="574" t="str">
        <f t="shared" ref="AR45" si="133">IF(AO45="",IF($AU$6&lt;1,"",IF($AU$6&gt;=1,"NA")),IF(AO45=0,0,AO45/$AN45))</f>
        <v>NA</v>
      </c>
      <c r="AS45" s="574">
        <f t="shared" ref="AS45" si="134">IF(AP45="",IF($AU$6&lt;2,"",IF($AU$6&gt;=2,"NA")),IF(AP45=0,0,AP45/$AN45))</f>
        <v>0.05</v>
      </c>
      <c r="AT45" s="574" t="str">
        <f t="shared" ref="AT45" si="135">IF(AS45&gt;=AR45,AS45,AR45)</f>
        <v>NA</v>
      </c>
      <c r="AU45" s="572" t="str">
        <f t="shared" ref="AU45" si="136">IF(AQ45="",IF($AU$6&lt;3,"",IF($AU$6&gt;=3,"NA")),IF(AQ45=0,0,AQ45/$AN45))</f>
        <v/>
      </c>
      <c r="AV45" s="573">
        <f t="shared" ref="AV45" si="137">IF($AU$6=1,AR45,IF($AU$6=2,AS45,IF($AU$6=3,AU45,"")))</f>
        <v>0.05</v>
      </c>
      <c r="AW45" s="605">
        <f t="shared" ref="AW45" si="138">AV45</f>
        <v>0.05</v>
      </c>
      <c r="AX45" t="str">
        <f t="shared" si="118"/>
        <v>Inducción a docentes nuevos, reuniones con decanos</v>
      </c>
    </row>
    <row r="46" spans="1:50" ht="15.75" x14ac:dyDescent="0.25">
      <c r="A46" s="593"/>
      <c r="B46" s="591"/>
      <c r="C46" s="82" t="str">
        <f>IF('CONSOLIDACION DEL MAPA'!P46="","",'CONSOLIDACION DEL MAPA'!P46)</f>
        <v/>
      </c>
      <c r="D46" s="82" t="str">
        <f>CRONOGRAMA!D46</f>
        <v/>
      </c>
      <c r="E46" s="132" t="str">
        <f>IF(CRONOGRAMA!F46="", "",CRONOGRAMA!F46)</f>
        <v/>
      </c>
      <c r="F46" s="132" t="str">
        <f>IF(CRONOGRAMA!G46="", "",CRONOGRAMA!G46)</f>
        <v/>
      </c>
      <c r="G46" s="128" t="str">
        <f>IF(CRONOGRAMA!H46="", "",CRONOGRAMA!H46)</f>
        <v/>
      </c>
      <c r="H46" s="128" t="str">
        <f>IF(CRONOGRAMA!I46="", "",CRONOGRAMA!I46)</f>
        <v/>
      </c>
      <c r="I46" s="84">
        <f t="shared" si="98"/>
        <v>0</v>
      </c>
      <c r="J46" s="160" t="str">
        <f>IF($P$6="Indique Fecha Seguimiento","",IF(CRONOGRAMA!$E46="No Aplica","NA",IF($G46="","",IF(YEAR($G46)&lt;YEAR($P$6)," A ",IF(YEAR($G46)=YEAR($P$6),IF(MONTH($G46)&lt;=4," A ","NA"),IF(YEAR($G46)&gt;YEAR($P$6),"NA"))))))</f>
        <v/>
      </c>
      <c r="K46" s="400"/>
      <c r="L46" s="401"/>
      <c r="M46" s="400"/>
      <c r="N46" s="348" t="str">
        <f t="shared" si="99"/>
        <v/>
      </c>
      <c r="O46" s="349"/>
      <c r="P46" s="44"/>
      <c r="Q46" s="84" t="str">
        <f t="shared" si="100"/>
        <v/>
      </c>
      <c r="R46" s="84" t="str">
        <f t="shared" si="101"/>
        <v/>
      </c>
      <c r="S46" s="84">
        <f t="shared" si="3"/>
        <v>0</v>
      </c>
      <c r="T46" s="160" t="str">
        <f>IF($Z$6="Indique Fecha Seguimiento","",IF(CRONOGRAMA!$E46="No Aplica","NA",IF($G46="","",IF(YEAR($G46)&lt;YEAR($Z$6)," A ",IF(YEAR($G46)=YEAR($Z$6),IF(MONTH($G46)&lt;=8," A ","NA"),IF(YEAR($G46)&gt;YEAR($Z$6),"NA"))))))</f>
        <v/>
      </c>
      <c r="U46" s="351"/>
      <c r="V46" s="44"/>
      <c r="W46" s="351"/>
      <c r="X46" s="348" t="str">
        <f t="shared" si="102"/>
        <v/>
      </c>
      <c r="Y46" s="349"/>
      <c r="Z46" s="44"/>
      <c r="AA46" s="84" t="str">
        <f t="shared" si="103"/>
        <v/>
      </c>
      <c r="AB46" s="84" t="str">
        <f t="shared" si="104"/>
        <v/>
      </c>
      <c r="AC46" s="84">
        <f t="shared" si="6"/>
        <v>0</v>
      </c>
      <c r="AD46" s="160" t="str">
        <f>IF($AJ$6="Indique Fecha Seguimiento","",IF(CRONOGRAMA!$E46="No Aplica","NA",IF($G46="","",IF(YEAR($G46)&lt;YEAR($AJ$6)," A ",IF(YEAR($G46)=YEAR($AJ$6),IF(MONTH($G46)&lt;=12," A ","NA"),IF(YEAR($G46)&gt;YEAR($AJ$6),"NA"))))))</f>
        <v/>
      </c>
      <c r="AE46" s="350"/>
      <c r="AF46" s="44"/>
      <c r="AG46" s="351"/>
      <c r="AH46" s="348" t="str">
        <f t="shared" si="105"/>
        <v/>
      </c>
      <c r="AI46" s="349"/>
      <c r="AJ46" s="44"/>
      <c r="AK46" s="81" t="str">
        <f t="shared" si="106"/>
        <v/>
      </c>
      <c r="AL46" s="84">
        <f t="shared" si="107"/>
        <v>0</v>
      </c>
      <c r="AM46" s="84">
        <f t="shared" si="10"/>
        <v>0</v>
      </c>
      <c r="AN46" s="592"/>
      <c r="AO46" s="602"/>
      <c r="AP46" s="603"/>
      <c r="AQ46" s="603"/>
      <c r="AR46" s="574"/>
      <c r="AS46" s="574"/>
      <c r="AT46" s="574"/>
      <c r="AU46" s="572"/>
      <c r="AV46" s="573"/>
      <c r="AW46" s="605"/>
      <c r="AX46">
        <f t="shared" si="118"/>
        <v>0</v>
      </c>
    </row>
    <row r="47" spans="1:50" ht="15.75" x14ac:dyDescent="0.25">
      <c r="A47" s="593"/>
      <c r="B47" s="591"/>
      <c r="C47" s="82" t="str">
        <f>IF('CONSOLIDACION DEL MAPA'!P47="","",'CONSOLIDACION DEL MAPA'!P47)</f>
        <v/>
      </c>
      <c r="D47" s="82" t="str">
        <f>CRONOGRAMA!D47</f>
        <v/>
      </c>
      <c r="E47" s="132" t="str">
        <f>IF(CRONOGRAMA!F47="", "",CRONOGRAMA!F47)</f>
        <v/>
      </c>
      <c r="F47" s="132" t="str">
        <f>IF(CRONOGRAMA!G47="", "",CRONOGRAMA!G47)</f>
        <v/>
      </c>
      <c r="G47" s="128" t="str">
        <f>IF(CRONOGRAMA!H47="", "",CRONOGRAMA!H47)</f>
        <v/>
      </c>
      <c r="H47" s="128" t="str">
        <f>IF(CRONOGRAMA!I47="", "",CRONOGRAMA!I47)</f>
        <v/>
      </c>
      <c r="I47" s="84">
        <f t="shared" si="98"/>
        <v>0</v>
      </c>
      <c r="J47" s="160" t="str">
        <f>IF($P$6="Indique Fecha Seguimiento","",IF(CRONOGRAMA!$E47="No Aplica","NA",IF($G47="","",IF(YEAR($G47)&lt;YEAR($P$6)," A ",IF(YEAR($G47)=YEAR($P$6),IF(MONTH($G47)&lt;=4," A ","NA"),IF(YEAR($G47)&gt;YEAR($P$6),"NA"))))))</f>
        <v/>
      </c>
      <c r="K47" s="400"/>
      <c r="L47" s="401"/>
      <c r="M47" s="400"/>
      <c r="N47" s="348" t="str">
        <f t="shared" si="99"/>
        <v/>
      </c>
      <c r="O47" s="349"/>
      <c r="P47" s="44"/>
      <c r="Q47" s="84" t="str">
        <f t="shared" si="100"/>
        <v/>
      </c>
      <c r="R47" s="84" t="str">
        <f t="shared" si="101"/>
        <v/>
      </c>
      <c r="S47" s="84">
        <f t="shared" si="3"/>
        <v>0</v>
      </c>
      <c r="T47" s="160" t="str">
        <f>IF($Z$6="Indique Fecha Seguimiento","",IF(CRONOGRAMA!$E47="No Aplica","NA",IF($G47="","",IF(YEAR($G47)&lt;YEAR($Z$6)," A ",IF(YEAR($G47)=YEAR($Z$6),IF(MONTH($G47)&lt;=8," A ","NA"),IF(YEAR($G47)&gt;YEAR($Z$6),"NA"))))))</f>
        <v/>
      </c>
      <c r="U47" s="351"/>
      <c r="V47" s="44"/>
      <c r="W47" s="351"/>
      <c r="X47" s="348" t="str">
        <f t="shared" si="102"/>
        <v/>
      </c>
      <c r="Y47" s="349"/>
      <c r="Z47" s="44"/>
      <c r="AA47" s="84" t="str">
        <f t="shared" si="103"/>
        <v/>
      </c>
      <c r="AB47" s="84" t="str">
        <f t="shared" si="104"/>
        <v/>
      </c>
      <c r="AC47" s="84">
        <f t="shared" si="6"/>
        <v>0</v>
      </c>
      <c r="AD47" s="160" t="str">
        <f>IF($AJ$6="Indique Fecha Seguimiento","",IF(CRONOGRAMA!$E47="No Aplica","NA",IF($G47="","",IF(YEAR($G47)&lt;YEAR($AJ$6)," A ",IF(YEAR($G47)=YEAR($AJ$6),IF(MONTH($G47)&lt;=12," A ","NA"),IF(YEAR($G47)&gt;YEAR($AJ$6),"NA"))))))</f>
        <v/>
      </c>
      <c r="AE47" s="350"/>
      <c r="AF47" s="44"/>
      <c r="AG47" s="351"/>
      <c r="AH47" s="348" t="str">
        <f t="shared" si="105"/>
        <v/>
      </c>
      <c r="AI47" s="349"/>
      <c r="AJ47" s="44"/>
      <c r="AK47" s="81" t="str">
        <f t="shared" si="106"/>
        <v/>
      </c>
      <c r="AL47" s="84">
        <f t="shared" si="107"/>
        <v>0</v>
      </c>
      <c r="AM47" s="84">
        <f t="shared" si="10"/>
        <v>0</v>
      </c>
      <c r="AN47" s="592"/>
      <c r="AO47" s="602"/>
      <c r="AP47" s="603"/>
      <c r="AQ47" s="603"/>
      <c r="AR47" s="574"/>
      <c r="AS47" s="574"/>
      <c r="AT47" s="574"/>
      <c r="AU47" s="572"/>
      <c r="AV47" s="573"/>
      <c r="AW47" s="605"/>
      <c r="AX47">
        <f t="shared" si="118"/>
        <v>0</v>
      </c>
    </row>
    <row r="48" spans="1:50" ht="89.25" x14ac:dyDescent="0.25">
      <c r="A48" s="593" t="str">
        <f>CRONOGRAMA!A48</f>
        <v>14G</v>
      </c>
      <c r="B48" s="591" t="str">
        <f>CRONOGRAMA!B48</f>
        <v>Gestión Academica. Deterioro en la calidad de los programas académicos por necesidades de recursos no cubiertas.</v>
      </c>
      <c r="C48" s="82" t="str">
        <f>IF('CONSOLIDACION DEL MAPA'!P48="","",'CONSOLIDACION DEL MAPA'!P48)</f>
        <v>Reducir</v>
      </c>
      <c r="D48" s="82" t="str">
        <f>CRONOGRAMA!D48</f>
        <v>Implementar herramientas automatizadas para el seguimiento a los planes de mejoramiento de los programas academicos</v>
      </c>
      <c r="E48" s="132" t="str">
        <f>IF(CRONOGRAMA!F48="", "",CRONOGRAMA!F48)</f>
        <v>Herramienta de automatización</v>
      </c>
      <c r="F48" s="132">
        <f>IF(CRONOGRAMA!G48="", "",CRONOGRAMA!G48)</f>
        <v>1</v>
      </c>
      <c r="G48" s="128">
        <f>IF(CRONOGRAMA!H48="", "",CRONOGRAMA!H48)</f>
        <v>42576</v>
      </c>
      <c r="H48" s="128">
        <f>IF(CRONOGRAMA!I48="", "",CRONOGRAMA!I48)</f>
        <v>42941</v>
      </c>
      <c r="I48" s="84">
        <f t="shared" si="98"/>
        <v>52.142857142857146</v>
      </c>
      <c r="J48" s="160" t="str">
        <f>IF($P$6="Indique Fecha Seguimiento","",IF(CRONOGRAMA!$E48="No Aplica","NA",IF($G48="","",IF(YEAR($G48)&lt;YEAR($P$6)," A ",IF(YEAR($G48)=YEAR($P$6),IF(MONTH($G48)&lt;=4," A ","NA"),IF(YEAR($G48)&gt;YEAR($P$6),"NA"))))))</f>
        <v>NA</v>
      </c>
      <c r="K48" s="400"/>
      <c r="L48" s="401"/>
      <c r="M48" s="400"/>
      <c r="N48" s="348" t="str">
        <f t="shared" si="99"/>
        <v/>
      </c>
      <c r="O48" s="349"/>
      <c r="P48" s="44"/>
      <c r="Q48" s="84" t="str">
        <f t="shared" si="100"/>
        <v/>
      </c>
      <c r="R48" s="84" t="str">
        <f t="shared" si="101"/>
        <v/>
      </c>
      <c r="S48" s="84">
        <f t="shared" si="3"/>
        <v>52.142857142857146</v>
      </c>
      <c r="T48" s="160" t="str">
        <f>IF($Z$6="Indique Fecha Seguimiento","",IF(CRONOGRAMA!$E48="No Aplica","NA",IF($G48="","",IF(YEAR($G48)&lt;YEAR($Z$6)," A ",IF(YEAR($G48)=YEAR($Z$6),IF(MONTH($G48)&lt;=8," A ","NA"),IF(YEAR($G48)&gt;YEAR($Z$6),"NA"))))))</f>
        <v xml:space="preserve"> A </v>
      </c>
      <c r="U48" s="422">
        <v>0.02</v>
      </c>
      <c r="V48" s="420" t="s">
        <v>972</v>
      </c>
      <c r="W48" s="351">
        <v>0.02</v>
      </c>
      <c r="X48" s="348">
        <f t="shared" si="102"/>
        <v>0.02</v>
      </c>
      <c r="Y48" s="349" t="s">
        <v>353</v>
      </c>
      <c r="Z48" s="44" t="s">
        <v>973</v>
      </c>
      <c r="AA48" s="84">
        <f t="shared" si="103"/>
        <v>1.0428571428571429</v>
      </c>
      <c r="AB48" s="84">
        <f t="shared" si="104"/>
        <v>1.0428571428571429</v>
      </c>
      <c r="AC48" s="84">
        <f t="shared" si="6"/>
        <v>52.142857142857146</v>
      </c>
      <c r="AD48" s="160" t="str">
        <f>IF($AJ$6="Indique Fecha Seguimiento","",IF(CRONOGRAMA!$E48="No Aplica","NA",IF($G48="","",IF(YEAR($G48)&lt;YEAR($AJ$6)," A ",IF(YEAR($G48)=YEAR($AJ$6),IF(MONTH($G48)&lt;=12," A ","NA"),IF(YEAR($G48)&gt;YEAR($AJ$6),"NA"))))))</f>
        <v/>
      </c>
      <c r="AE48" s="350"/>
      <c r="AF48" s="44"/>
      <c r="AG48" s="351"/>
      <c r="AH48" s="348" t="str">
        <f t="shared" si="105"/>
        <v/>
      </c>
      <c r="AI48" s="349"/>
      <c r="AJ48" s="44"/>
      <c r="AK48" s="81" t="str">
        <f t="shared" si="106"/>
        <v/>
      </c>
      <c r="AL48" s="84">
        <f t="shared" si="107"/>
        <v>0</v>
      </c>
      <c r="AM48" s="84">
        <f t="shared" si="10"/>
        <v>52.142857142857146</v>
      </c>
      <c r="AN48" s="592">
        <f t="shared" ref="AN48" si="139">SUM(I48:I50)</f>
        <v>52.142857142857146</v>
      </c>
      <c r="AO48" s="602" t="str">
        <f t="shared" ref="AO48" si="140">IF(AND(Q48="",Q49="",Q50=""),"",SUM(Q48:Q50))</f>
        <v/>
      </c>
      <c r="AP48" s="603">
        <f t="shared" ref="AP48" si="141">IF(AND(AA48="",AA49="",AA50=""),"",SUM(AA48:AA50))</f>
        <v>1.0428571428571429</v>
      </c>
      <c r="AQ48" s="603" t="str">
        <f t="shared" ref="AQ48" si="142">IF(AND(AK48="",AK49="",AK50=""),"",SUM(AK48:AK50))</f>
        <v/>
      </c>
      <c r="AR48" s="574" t="str">
        <f t="shared" ref="AR48" si="143">IF(AO48="",IF($AU$6&lt;1,"",IF($AU$6&gt;=1,"NA")),IF(AO48=0,0,AO48/$AN48))</f>
        <v>NA</v>
      </c>
      <c r="AS48" s="574">
        <f t="shared" ref="AS48" si="144">IF(AP48="",IF($AU$6&lt;2,"",IF($AU$6&gt;=2,"NA")),IF(AP48=0,0,AP48/$AN48))</f>
        <v>0.02</v>
      </c>
      <c r="AT48" s="574" t="str">
        <f t="shared" ref="AT48" si="145">IF(AS48&gt;=AR48,AS48,AR48)</f>
        <v>NA</v>
      </c>
      <c r="AU48" s="572" t="str">
        <f t="shared" ref="AU48" si="146">IF(AQ48="",IF($AU$6&lt;3,"",IF($AU$6&gt;=3,"NA")),IF(AQ48=0,0,AQ48/$AN48))</f>
        <v/>
      </c>
      <c r="AV48" s="573">
        <f t="shared" ref="AV48" si="147">IF($AU$6=1,AR48,IF($AU$6=2,AS48,IF($AU$6=3,AU48,"")))</f>
        <v>0.02</v>
      </c>
      <c r="AW48" s="605">
        <f t="shared" ref="AW48" si="148">AV48</f>
        <v>0.02</v>
      </c>
      <c r="AX48" t="str">
        <f t="shared" si="118"/>
        <v>Analisis para revisar las necesidades de programas academicos</v>
      </c>
    </row>
    <row r="49" spans="1:50" ht="15.75" x14ac:dyDescent="0.25">
      <c r="A49" s="593"/>
      <c r="B49" s="591"/>
      <c r="C49" s="82" t="str">
        <f>IF('CONSOLIDACION DEL MAPA'!P49="","",'CONSOLIDACION DEL MAPA'!P49)</f>
        <v/>
      </c>
      <c r="D49" s="82" t="str">
        <f>CRONOGRAMA!D49</f>
        <v/>
      </c>
      <c r="E49" s="132" t="str">
        <f>IF(CRONOGRAMA!F49="", "",CRONOGRAMA!F49)</f>
        <v/>
      </c>
      <c r="F49" s="132" t="str">
        <f>IF(CRONOGRAMA!G49="", "",CRONOGRAMA!G49)</f>
        <v/>
      </c>
      <c r="G49" s="128" t="str">
        <f>IF(CRONOGRAMA!H49="", "",CRONOGRAMA!H49)</f>
        <v/>
      </c>
      <c r="H49" s="128" t="str">
        <f>IF(CRONOGRAMA!I49="", "",CRONOGRAMA!I49)</f>
        <v/>
      </c>
      <c r="I49" s="84">
        <f t="shared" si="98"/>
        <v>0</v>
      </c>
      <c r="J49" s="160" t="str">
        <f>IF($P$6="Indique Fecha Seguimiento","",IF(CRONOGRAMA!$E49="No Aplica","NA",IF($G49="","",IF(YEAR($G49)&lt;YEAR($P$6)," A ",IF(YEAR($G49)=YEAR($P$6),IF(MONTH($G49)&lt;=4," A ","NA"),IF(YEAR($G49)&gt;YEAR($P$6),"NA"))))))</f>
        <v/>
      </c>
      <c r="K49" s="400"/>
      <c r="L49" s="401"/>
      <c r="M49" s="400"/>
      <c r="N49" s="348" t="str">
        <f t="shared" si="99"/>
        <v/>
      </c>
      <c r="O49" s="349"/>
      <c r="P49" s="44"/>
      <c r="Q49" s="84" t="str">
        <f t="shared" si="100"/>
        <v/>
      </c>
      <c r="R49" s="84" t="str">
        <f t="shared" si="101"/>
        <v/>
      </c>
      <c r="S49" s="84">
        <f t="shared" si="3"/>
        <v>0</v>
      </c>
      <c r="T49" s="160" t="str">
        <f>IF($Z$6="Indique Fecha Seguimiento","",IF(CRONOGRAMA!$E49="No Aplica","NA",IF($G49="","",IF(YEAR($G49)&lt;YEAR($Z$6)," A ",IF(YEAR($G49)=YEAR($Z$6),IF(MONTH($G49)&lt;=8," A ","NA"),IF(YEAR($G49)&gt;YEAR($Z$6),"NA"))))))</f>
        <v/>
      </c>
      <c r="U49" s="351"/>
      <c r="V49" s="44"/>
      <c r="W49" s="351"/>
      <c r="X49" s="348" t="str">
        <f t="shared" si="102"/>
        <v/>
      </c>
      <c r="Y49" s="349"/>
      <c r="Z49" s="44"/>
      <c r="AA49" s="84" t="str">
        <f t="shared" si="103"/>
        <v/>
      </c>
      <c r="AB49" s="84" t="str">
        <f t="shared" si="104"/>
        <v/>
      </c>
      <c r="AC49" s="84">
        <f t="shared" si="6"/>
        <v>0</v>
      </c>
      <c r="AD49" s="160" t="str">
        <f>IF($AJ$6="Indique Fecha Seguimiento","",IF(CRONOGRAMA!$E49="No Aplica","NA",IF($G49="","",IF(YEAR($G49)&lt;YEAR($AJ$6)," A ",IF(YEAR($G49)=YEAR($AJ$6),IF(MONTH($G49)&lt;=12," A ","NA"),IF(YEAR($G49)&gt;YEAR($AJ$6),"NA"))))))</f>
        <v/>
      </c>
      <c r="AE49" s="350"/>
      <c r="AF49" s="44"/>
      <c r="AG49" s="351"/>
      <c r="AH49" s="348" t="str">
        <f t="shared" si="105"/>
        <v/>
      </c>
      <c r="AI49" s="349"/>
      <c r="AJ49" s="44"/>
      <c r="AK49" s="81" t="str">
        <f t="shared" si="106"/>
        <v/>
      </c>
      <c r="AL49" s="84">
        <f t="shared" si="107"/>
        <v>0</v>
      </c>
      <c r="AM49" s="84">
        <f t="shared" si="10"/>
        <v>0</v>
      </c>
      <c r="AN49" s="592"/>
      <c r="AO49" s="602"/>
      <c r="AP49" s="603"/>
      <c r="AQ49" s="603"/>
      <c r="AR49" s="574"/>
      <c r="AS49" s="574"/>
      <c r="AT49" s="574"/>
      <c r="AU49" s="572"/>
      <c r="AV49" s="573"/>
      <c r="AW49" s="605"/>
      <c r="AX49">
        <f t="shared" si="118"/>
        <v>0</v>
      </c>
    </row>
    <row r="50" spans="1:50" ht="15.75" x14ac:dyDescent="0.25">
      <c r="A50" s="593"/>
      <c r="B50" s="591"/>
      <c r="C50" s="82" t="str">
        <f>IF('CONSOLIDACION DEL MAPA'!P50="","",'CONSOLIDACION DEL MAPA'!P50)</f>
        <v/>
      </c>
      <c r="D50" s="82" t="str">
        <f>CRONOGRAMA!D50</f>
        <v/>
      </c>
      <c r="E50" s="132" t="str">
        <f>IF(CRONOGRAMA!F50="", "",CRONOGRAMA!F50)</f>
        <v/>
      </c>
      <c r="F50" s="132" t="str">
        <f>IF(CRONOGRAMA!G50="", "",CRONOGRAMA!G50)</f>
        <v/>
      </c>
      <c r="G50" s="128" t="str">
        <f>IF(CRONOGRAMA!H50="", "",CRONOGRAMA!H50)</f>
        <v/>
      </c>
      <c r="H50" s="128" t="str">
        <f>IF(CRONOGRAMA!I50="", "",CRONOGRAMA!I50)</f>
        <v/>
      </c>
      <c r="I50" s="84">
        <f t="shared" si="98"/>
        <v>0</v>
      </c>
      <c r="J50" s="160" t="str">
        <f>IF($P$6="Indique Fecha Seguimiento","",IF(CRONOGRAMA!$E50="No Aplica","NA",IF($G50="","",IF(YEAR($G50)&lt;YEAR($P$6)," A ",IF(YEAR($G50)=YEAR($P$6),IF(MONTH($G50)&lt;=4," A ","NA"),IF(YEAR($G50)&gt;YEAR($P$6),"NA"))))))</f>
        <v/>
      </c>
      <c r="K50" s="400"/>
      <c r="L50" s="401"/>
      <c r="M50" s="400"/>
      <c r="N50" s="348" t="str">
        <f t="shared" si="99"/>
        <v/>
      </c>
      <c r="O50" s="349"/>
      <c r="P50" s="44"/>
      <c r="Q50" s="84" t="str">
        <f t="shared" si="100"/>
        <v/>
      </c>
      <c r="R50" s="84" t="str">
        <f t="shared" si="101"/>
        <v/>
      </c>
      <c r="S50" s="84">
        <f t="shared" si="3"/>
        <v>0</v>
      </c>
      <c r="T50" s="160" t="str">
        <f>IF($Z$6="Indique Fecha Seguimiento","",IF(CRONOGRAMA!$E50="No Aplica","NA",IF($G50="","",IF(YEAR($G50)&lt;YEAR($Z$6)," A ",IF(YEAR($G50)=YEAR($Z$6),IF(MONTH($G50)&lt;=8," A ","NA"),IF(YEAR($G50)&gt;YEAR($Z$6),"NA"))))))</f>
        <v/>
      </c>
      <c r="U50" s="351"/>
      <c r="V50" s="44"/>
      <c r="W50" s="351"/>
      <c r="X50" s="348" t="str">
        <f t="shared" si="102"/>
        <v/>
      </c>
      <c r="Y50" s="349"/>
      <c r="Z50" s="44"/>
      <c r="AA50" s="84" t="str">
        <f t="shared" si="103"/>
        <v/>
      </c>
      <c r="AB50" s="84" t="str">
        <f t="shared" si="104"/>
        <v/>
      </c>
      <c r="AC50" s="84">
        <f t="shared" si="6"/>
        <v>0</v>
      </c>
      <c r="AD50" s="160" t="str">
        <f>IF($AJ$6="Indique Fecha Seguimiento","",IF(CRONOGRAMA!$E50="No Aplica","NA",IF($G50="","",IF(YEAR($G50)&lt;YEAR($AJ$6)," A ",IF(YEAR($G50)=YEAR($AJ$6),IF(MONTH($G50)&lt;=12," A ","NA"),IF(YEAR($G50)&gt;YEAR($AJ$6),"NA"))))))</f>
        <v/>
      </c>
      <c r="AE50" s="350"/>
      <c r="AF50" s="44"/>
      <c r="AG50" s="351"/>
      <c r="AH50" s="348" t="str">
        <f t="shared" si="105"/>
        <v/>
      </c>
      <c r="AI50" s="349"/>
      <c r="AJ50" s="44"/>
      <c r="AK50" s="81" t="str">
        <f t="shared" si="106"/>
        <v/>
      </c>
      <c r="AL50" s="84">
        <f t="shared" si="107"/>
        <v>0</v>
      </c>
      <c r="AM50" s="84">
        <f t="shared" si="10"/>
        <v>0</v>
      </c>
      <c r="AN50" s="592"/>
      <c r="AO50" s="602"/>
      <c r="AP50" s="603"/>
      <c r="AQ50" s="603"/>
      <c r="AR50" s="574"/>
      <c r="AS50" s="574"/>
      <c r="AT50" s="574"/>
      <c r="AU50" s="572"/>
      <c r="AV50" s="573"/>
      <c r="AW50" s="605"/>
      <c r="AX50">
        <f t="shared" si="118"/>
        <v>0</v>
      </c>
    </row>
    <row r="51" spans="1:50" ht="166.5" x14ac:dyDescent="0.25">
      <c r="A51" s="593" t="str">
        <f>CRONOGRAMA!A51</f>
        <v>15G</v>
      </c>
      <c r="B51" s="591" t="str">
        <f>CRONOGRAMA!B51</f>
        <v xml:space="preserve">Gestión de Investigación. No fomentar la actividad investigativa en la Universidad.  </v>
      </c>
      <c r="C51" s="82" t="str">
        <f>IF('CONSOLIDACION DEL MAPA'!P51="","",'CONSOLIDACION DEL MAPA'!P51)</f>
        <v>Reducir</v>
      </c>
      <c r="D51" s="82" t="str">
        <f>CRONOGRAMA!D51</f>
        <v>Monitorear las necesidades de los grupos de investigación</v>
      </c>
      <c r="E51" s="132" t="str">
        <f>IF(CRONOGRAMA!F51="", "",CRONOGRAMA!F51)</f>
        <v>Grupos que reciben financiación para personal, insumos, infraestructura, mobiliario y equipos (SIVI)</v>
      </c>
      <c r="F51" s="132">
        <f>IF(CRONOGRAMA!G51="", "",CRONOGRAMA!G51)</f>
        <v>35</v>
      </c>
      <c r="G51" s="128">
        <f>IF(CRONOGRAMA!H51="", "",CRONOGRAMA!H51)</f>
        <v>42388</v>
      </c>
      <c r="H51" s="128">
        <f>IF(CRONOGRAMA!I51="", "",CRONOGRAMA!I51)</f>
        <v>42723</v>
      </c>
      <c r="I51" s="84">
        <f t="shared" si="98"/>
        <v>47.857142857142854</v>
      </c>
      <c r="J51" s="160" t="str">
        <f>IF($P$6="Indique Fecha Seguimiento","",IF(CRONOGRAMA!$E51="No Aplica","NA",IF($G51="","",IF(YEAR($G51)&lt;YEAR($P$6)," A ",IF(YEAR($G51)=YEAR($P$6),IF(MONTH($G51)&lt;=4," A ","NA"),IF(YEAR($G51)&gt;YEAR($P$6),"NA"))))))</f>
        <v xml:space="preserve"> A </v>
      </c>
      <c r="K51" s="400">
        <v>35</v>
      </c>
      <c r="L51" s="401" t="s">
        <v>885</v>
      </c>
      <c r="M51" s="400">
        <v>35</v>
      </c>
      <c r="N51" s="348">
        <f t="shared" si="99"/>
        <v>1</v>
      </c>
      <c r="O51" s="349" t="s">
        <v>11</v>
      </c>
      <c r="P51" s="44"/>
      <c r="Q51" s="84">
        <f t="shared" si="100"/>
        <v>47.857142857142854</v>
      </c>
      <c r="R51" s="84">
        <f t="shared" si="101"/>
        <v>47.857142857142854</v>
      </c>
      <c r="S51" s="84">
        <f t="shared" si="3"/>
        <v>47.857142857142854</v>
      </c>
      <c r="T51" s="160" t="str">
        <f>IF($Z$6="Indique Fecha Seguimiento","",IF(CRONOGRAMA!$E51="No Aplica","NA",IF($G51="","",IF(YEAR($G51)&lt;YEAR($Z$6)," A ",IF(YEAR($G51)=YEAR($Z$6),IF(MONTH($G51)&lt;=8," A ","NA"),IF(YEAR($G51)&gt;YEAR($Z$6),"NA"))))))</f>
        <v xml:space="preserve"> A </v>
      </c>
      <c r="U51" s="407">
        <v>35</v>
      </c>
      <c r="V51" s="401" t="s">
        <v>885</v>
      </c>
      <c r="W51" s="351">
        <v>35</v>
      </c>
      <c r="X51" s="348">
        <f t="shared" si="102"/>
        <v>1</v>
      </c>
      <c r="Y51" s="349" t="s">
        <v>11</v>
      </c>
      <c r="Z51" s="402" t="s">
        <v>920</v>
      </c>
      <c r="AA51" s="84">
        <f t="shared" si="103"/>
        <v>47.857142857142854</v>
      </c>
      <c r="AB51" s="84">
        <f t="shared" si="104"/>
        <v>47.857142857142854</v>
      </c>
      <c r="AC51" s="84">
        <f t="shared" si="6"/>
        <v>47.857142857142854</v>
      </c>
      <c r="AD51" s="160" t="str">
        <f>IF($AJ$6="Indique Fecha Seguimiento","",IF(CRONOGRAMA!$E51="No Aplica","NA",IF($G51="","",IF(YEAR($G51)&lt;YEAR($AJ$6)," A ",IF(YEAR($G51)=YEAR($AJ$6),IF(MONTH($G51)&lt;=12," A ","NA"),IF(YEAR($G51)&gt;YEAR($AJ$6),"NA"))))))</f>
        <v/>
      </c>
      <c r="AE51" s="350"/>
      <c r="AF51" s="44"/>
      <c r="AG51" s="351"/>
      <c r="AH51" s="348" t="str">
        <f t="shared" si="105"/>
        <v/>
      </c>
      <c r="AI51" s="349"/>
      <c r="AJ51" s="44"/>
      <c r="AK51" s="81" t="str">
        <f t="shared" si="106"/>
        <v/>
      </c>
      <c r="AL51" s="84">
        <f t="shared" si="107"/>
        <v>47.857142857142854</v>
      </c>
      <c r="AM51" s="84">
        <f t="shared" si="10"/>
        <v>47.857142857142854</v>
      </c>
      <c r="AN51" s="592">
        <f t="shared" ref="AN51" si="149">SUM(I51:I53)</f>
        <v>143.57142857142856</v>
      </c>
      <c r="AO51" s="602">
        <f t="shared" ref="AO51" si="150">IF(AND(Q51="",Q52="",Q53=""),"",SUM(Q51:Q53))</f>
        <v>83.749999999999986</v>
      </c>
      <c r="AP51" s="603">
        <f t="shared" ref="AP51" si="151">IF(AND(AA51="",AA52="",AA53=""),"",SUM(AA51:AA53))</f>
        <v>102.89285714285714</v>
      </c>
      <c r="AQ51" s="603" t="str">
        <f t="shared" ref="AQ51" si="152">IF(AND(AK51="",AK52="",AK53=""),"",SUM(AK51:AK53))</f>
        <v/>
      </c>
      <c r="AR51" s="574">
        <f t="shared" ref="AR51" si="153">IF(AO51="",IF($AU$6&lt;1,"",IF($AU$6&gt;=1,"NA")),IF(AO51=0,0,AO51/$AN51))</f>
        <v>0.58333333333333326</v>
      </c>
      <c r="AS51" s="574">
        <f t="shared" ref="AS51" si="154">IF(AP51="",IF($AU$6&lt;2,"",IF($AU$6&gt;=2,"NA")),IF(AP51=0,0,AP51/$AN51))</f>
        <v>0.71666666666666667</v>
      </c>
      <c r="AT51" s="574">
        <f t="shared" ref="AT51" si="155">IF(AS51&gt;=AR51,AS51,AR51)</f>
        <v>0.71666666666666667</v>
      </c>
      <c r="AU51" s="572" t="str">
        <f t="shared" ref="AU51" si="156">IF(AQ51="",IF($AU$6&lt;3,"",IF($AU$6&gt;=3,"NA")),IF(AQ51=0,0,AQ51/$AN51))</f>
        <v/>
      </c>
      <c r="AV51" s="573">
        <f t="shared" ref="AV51" si="157">IF($AU$6=1,AR51,IF($AU$6=2,AS51,IF($AU$6=3,AU51,"")))</f>
        <v>0.71666666666666667</v>
      </c>
      <c r="AW51" s="605">
        <f t="shared" ref="AW51" si="158">AV51</f>
        <v>0.71666666666666667</v>
      </c>
      <c r="AX51" t="str">
        <f t="shared" si="118"/>
        <v>Contratación asistentes de apoyo, ayudantes y suscripción ELSEVIER</v>
      </c>
    </row>
    <row r="52" spans="1:50" ht="63.75" x14ac:dyDescent="0.25">
      <c r="A52" s="593"/>
      <c r="B52" s="591"/>
      <c r="C52" s="82" t="str">
        <f>IF('CONSOLIDACION DEL MAPA'!P52="","",'CONSOLIDACION DEL MAPA'!P52)</f>
        <v>Reducir</v>
      </c>
      <c r="D52" s="82" t="str">
        <f>CRONOGRAMA!D52</f>
        <v>Realizar seguimiento a la ejecución de las actividades programadas para investigación</v>
      </c>
      <c r="E52" s="132" t="str">
        <f>IF(CRONOGRAMA!F52="", "",CRONOGRAMA!F52)</f>
        <v xml:space="preserve">Actas de seguimiento a Proyectos del Plan de Acción (DE-F08) </v>
      </c>
      <c r="F52" s="132">
        <f>IF(CRONOGRAMA!G52="", "",CRONOGRAMA!G52)</f>
        <v>2</v>
      </c>
      <c r="G52" s="128">
        <f>IF(CRONOGRAMA!H52="", "",CRONOGRAMA!H52)</f>
        <v>42388</v>
      </c>
      <c r="H52" s="128">
        <f>IF(CRONOGRAMA!I52="", "",CRONOGRAMA!I52)</f>
        <v>42723</v>
      </c>
      <c r="I52" s="84">
        <f t="shared" si="98"/>
        <v>47.857142857142854</v>
      </c>
      <c r="J52" s="160" t="str">
        <f>IF($P$6="Indique Fecha Seguimiento","",IF(CRONOGRAMA!$E52="No Aplica","NA",IF($G52="","",IF(YEAR($G52)&lt;YEAR($P$6)," A ",IF(YEAR($G52)=YEAR($P$6),IF(MONTH($G52)&lt;=4," A ","NA"),IF(YEAR($G52)&gt;YEAR($P$6),"NA"))))))</f>
        <v xml:space="preserve"> A </v>
      </c>
      <c r="K52" s="400">
        <v>1</v>
      </c>
      <c r="L52" s="401" t="s">
        <v>886</v>
      </c>
      <c r="M52" s="400">
        <v>1</v>
      </c>
      <c r="N52" s="348">
        <f t="shared" si="99"/>
        <v>0.5</v>
      </c>
      <c r="O52" s="349" t="s">
        <v>353</v>
      </c>
      <c r="P52" s="44"/>
      <c r="Q52" s="84">
        <f t="shared" si="100"/>
        <v>23.928571428571427</v>
      </c>
      <c r="R52" s="84">
        <f t="shared" si="101"/>
        <v>23.928571428571427</v>
      </c>
      <c r="S52" s="84">
        <f t="shared" si="3"/>
        <v>47.857142857142854</v>
      </c>
      <c r="T52" s="160" t="str">
        <f>IF($Z$6="Indique Fecha Seguimiento","",IF(CRONOGRAMA!$E52="No Aplica","NA",IF($G52="","",IF(YEAR($G52)&lt;YEAR($Z$6)," A ",IF(YEAR($G52)=YEAR($Z$6),IF(MONTH($G52)&lt;=8," A ","NA"),IF(YEAR($G52)&gt;YEAR($Z$6),"NA"))))))</f>
        <v xml:space="preserve"> A </v>
      </c>
      <c r="U52" s="407">
        <v>1</v>
      </c>
      <c r="V52" s="401" t="s">
        <v>886</v>
      </c>
      <c r="W52" s="351">
        <v>1</v>
      </c>
      <c r="X52" s="348">
        <f t="shared" si="102"/>
        <v>0.5</v>
      </c>
      <c r="Y52" s="349" t="s">
        <v>353</v>
      </c>
      <c r="Z52" s="402" t="s">
        <v>921</v>
      </c>
      <c r="AA52" s="84">
        <f t="shared" si="103"/>
        <v>23.928571428571427</v>
      </c>
      <c r="AB52" s="84">
        <f t="shared" si="104"/>
        <v>23.928571428571427</v>
      </c>
      <c r="AC52" s="84">
        <f t="shared" si="6"/>
        <v>47.857142857142854</v>
      </c>
      <c r="AD52" s="160" t="str">
        <f>IF($AJ$6="Indique Fecha Seguimiento","",IF(CRONOGRAMA!$E52="No Aplica","NA",IF($G52="","",IF(YEAR($G52)&lt;YEAR($AJ$6)," A ",IF(YEAR($G52)=YEAR($AJ$6),IF(MONTH($G52)&lt;=12," A ","NA"),IF(YEAR($G52)&gt;YEAR($AJ$6),"NA"))))))</f>
        <v/>
      </c>
      <c r="AE52" s="350"/>
      <c r="AF52" s="44"/>
      <c r="AG52" s="351"/>
      <c r="AH52" s="348" t="str">
        <f t="shared" si="105"/>
        <v/>
      </c>
      <c r="AI52" s="349"/>
      <c r="AJ52" s="44"/>
      <c r="AK52" s="81" t="str">
        <f t="shared" si="106"/>
        <v/>
      </c>
      <c r="AL52" s="84">
        <f t="shared" si="107"/>
        <v>0</v>
      </c>
      <c r="AM52" s="84">
        <f t="shared" si="10"/>
        <v>47.857142857142854</v>
      </c>
      <c r="AN52" s="592"/>
      <c r="AO52" s="602"/>
      <c r="AP52" s="603"/>
      <c r="AQ52" s="603"/>
      <c r="AR52" s="574"/>
      <c r="AS52" s="574"/>
      <c r="AT52" s="574"/>
      <c r="AU52" s="572"/>
      <c r="AV52" s="573"/>
      <c r="AW52" s="605"/>
      <c r="AX52" t="str">
        <f t="shared" si="118"/>
        <v>Desarrollo de proyectos y programas previstos en el plan de acción</v>
      </c>
    </row>
    <row r="53" spans="1:50" ht="102.75" x14ac:dyDescent="0.25">
      <c r="A53" s="593"/>
      <c r="B53" s="591"/>
      <c r="C53" s="82" t="str">
        <f>IF('CONSOLIDACION DEL MAPA'!P53="","",'CONSOLIDACION DEL MAPA'!P53)</f>
        <v>Reducir</v>
      </c>
      <c r="D53" s="82" t="str">
        <f>CRONOGRAMA!D53</f>
        <v>Mejorar el sistema de información SIVI</v>
      </c>
      <c r="E53" s="132" t="str">
        <f>IF(CRONOGRAMA!F53="", "",CRONOGRAMA!F53)</f>
        <v>Control de recursos e indicadores del Plan de acción en el SIVI</v>
      </c>
      <c r="F53" s="132">
        <f>IF(CRONOGRAMA!G53="", "",CRONOGRAMA!G53)</f>
        <v>1</v>
      </c>
      <c r="G53" s="128">
        <f>IF(CRONOGRAMA!H53="", "",CRONOGRAMA!H53)</f>
        <v>42388</v>
      </c>
      <c r="H53" s="128">
        <f>IF(CRONOGRAMA!I53="", "",CRONOGRAMA!I53)</f>
        <v>42723</v>
      </c>
      <c r="I53" s="84">
        <f t="shared" si="98"/>
        <v>47.857142857142854</v>
      </c>
      <c r="J53" s="160" t="str">
        <f>IF($P$6="Indique Fecha Seguimiento","",IF(CRONOGRAMA!$E53="No Aplica","NA",IF($G53="","",IF(YEAR($G53)&lt;YEAR($P$6)," A ",IF(YEAR($G53)=YEAR($P$6),IF(MONTH($G53)&lt;=4," A ","NA"),IF(YEAR($G53)&gt;YEAR($P$6),"NA"))))))</f>
        <v xml:space="preserve"> A </v>
      </c>
      <c r="K53" s="400">
        <v>0.25</v>
      </c>
      <c r="L53" s="401" t="s">
        <v>887</v>
      </c>
      <c r="M53" s="400">
        <v>0.25</v>
      </c>
      <c r="N53" s="348">
        <f t="shared" si="99"/>
        <v>0.25</v>
      </c>
      <c r="O53" s="349" t="s">
        <v>353</v>
      </c>
      <c r="P53" s="44"/>
      <c r="Q53" s="84">
        <f t="shared" si="100"/>
        <v>11.964285714285714</v>
      </c>
      <c r="R53" s="84">
        <f t="shared" si="101"/>
        <v>11.964285714285714</v>
      </c>
      <c r="S53" s="84">
        <f t="shared" si="3"/>
        <v>47.857142857142854</v>
      </c>
      <c r="T53" s="160" t="str">
        <f>IF($Z$6="Indique Fecha Seguimiento","",IF(CRONOGRAMA!$E53="No Aplica","NA",IF($G53="","",IF(YEAR($G53)&lt;YEAR($Z$6)," A ",IF(YEAR($G53)=YEAR($Z$6),IF(MONTH($G53)&lt;=8," A ","NA"),IF(YEAR($G53)&gt;YEAR($Z$6),"NA"))))))</f>
        <v xml:space="preserve"> A </v>
      </c>
      <c r="U53" s="406">
        <v>0.65</v>
      </c>
      <c r="V53" s="401" t="s">
        <v>919</v>
      </c>
      <c r="W53" s="351">
        <v>0.65</v>
      </c>
      <c r="X53" s="348">
        <f t="shared" si="102"/>
        <v>0.65</v>
      </c>
      <c r="Y53" s="349" t="s">
        <v>353</v>
      </c>
      <c r="Z53" s="402" t="s">
        <v>922</v>
      </c>
      <c r="AA53" s="84">
        <f t="shared" si="103"/>
        <v>31.107142857142858</v>
      </c>
      <c r="AB53" s="84">
        <f t="shared" si="104"/>
        <v>31.107142857142858</v>
      </c>
      <c r="AC53" s="84">
        <f t="shared" si="6"/>
        <v>47.857142857142854</v>
      </c>
      <c r="AD53" s="160" t="str">
        <f>IF($AJ$6="Indique Fecha Seguimiento","",IF(CRONOGRAMA!$E53="No Aplica","NA",IF($G53="","",IF(YEAR($G53)&lt;YEAR($AJ$6)," A ",IF(YEAR($G53)=YEAR($AJ$6),IF(MONTH($G53)&lt;=12," A ","NA"),IF(YEAR($G53)&gt;YEAR($AJ$6),"NA"))))))</f>
        <v/>
      </c>
      <c r="AE53" s="350"/>
      <c r="AF53" s="44"/>
      <c r="AG53" s="351"/>
      <c r="AH53" s="348" t="str">
        <f t="shared" si="105"/>
        <v/>
      </c>
      <c r="AI53" s="349"/>
      <c r="AJ53" s="44"/>
      <c r="AK53" s="81" t="str">
        <f t="shared" si="106"/>
        <v/>
      </c>
      <c r="AL53" s="84">
        <f t="shared" si="107"/>
        <v>0</v>
      </c>
      <c r="AM53" s="84">
        <f t="shared" si="10"/>
        <v>47.857142857142854</v>
      </c>
      <c r="AN53" s="592"/>
      <c r="AO53" s="602"/>
      <c r="AP53" s="603"/>
      <c r="AQ53" s="603"/>
      <c r="AR53" s="574"/>
      <c r="AS53" s="574"/>
      <c r="AT53" s="574"/>
      <c r="AU53" s="572"/>
      <c r="AV53" s="573"/>
      <c r="AW53" s="605"/>
      <c r="AX53" t="str">
        <f t="shared" si="118"/>
        <v>Control de pagos y alertas de ordenes. Reprogramación del modulo de movilidad</v>
      </c>
    </row>
    <row r="54" spans="1:50" ht="63.75" x14ac:dyDescent="0.25">
      <c r="A54" s="593" t="str">
        <f>CRONOGRAMA!A54</f>
        <v>16G</v>
      </c>
      <c r="B54" s="591" t="str">
        <f>CRONOGRAMA!B54</f>
        <v>Gestión de Investigación. Deficiente cumplimiento del plan de acción de la Vicerrectoría de Investigación</v>
      </c>
      <c r="C54" s="82" t="str">
        <f>IF('CONSOLIDACION DEL MAPA'!P54="","",'CONSOLIDACION DEL MAPA'!P54)</f>
        <v>Reducir</v>
      </c>
      <c r="D54" s="82" t="str">
        <f>CRONOGRAMA!D54</f>
        <v>Realizar Seguimiento al plan de acción</v>
      </c>
      <c r="E54" s="132" t="str">
        <f>IF(CRONOGRAMA!F54="", "",CRONOGRAMA!F54)</f>
        <v xml:space="preserve">Actas de seguimiento a Proyectos del Plan de Acción (DE-F08) </v>
      </c>
      <c r="F54" s="132">
        <f>IF(CRONOGRAMA!G54="", "",CRONOGRAMA!G54)</f>
        <v>2</v>
      </c>
      <c r="G54" s="128">
        <f>IF(CRONOGRAMA!H54="", "",CRONOGRAMA!H54)</f>
        <v>42388</v>
      </c>
      <c r="H54" s="128">
        <f>IF(CRONOGRAMA!I54="", "",CRONOGRAMA!I54)</f>
        <v>42723</v>
      </c>
      <c r="I54" s="84">
        <f t="shared" si="98"/>
        <v>47.857142857142854</v>
      </c>
      <c r="J54" s="160" t="str">
        <f>IF($P$6="Indique Fecha Seguimiento","",IF(CRONOGRAMA!$E54="No Aplica","NA",IF($G54="","",IF(YEAR($G54)&lt;YEAR($P$6)," A ",IF(YEAR($G54)=YEAR($P$6),IF(MONTH($G54)&lt;=4," A ","NA"),IF(YEAR($G54)&gt;YEAR($P$6),"NA"))))))</f>
        <v xml:space="preserve"> A </v>
      </c>
      <c r="K54" s="400">
        <v>0.5</v>
      </c>
      <c r="L54" s="401" t="s">
        <v>886</v>
      </c>
      <c r="M54" s="400">
        <v>0</v>
      </c>
      <c r="N54" s="348">
        <f t="shared" si="99"/>
        <v>0</v>
      </c>
      <c r="O54" s="349" t="s">
        <v>353</v>
      </c>
      <c r="P54" s="44" t="s">
        <v>912</v>
      </c>
      <c r="Q54" s="84">
        <f t="shared" si="100"/>
        <v>0</v>
      </c>
      <c r="R54" s="84">
        <f t="shared" si="101"/>
        <v>0</v>
      </c>
      <c r="S54" s="84">
        <f t="shared" si="3"/>
        <v>47.857142857142854</v>
      </c>
      <c r="T54" s="160" t="str">
        <f>IF($Z$6="Indique Fecha Seguimiento","",IF(CRONOGRAMA!$E54="No Aplica","NA",IF($G54="","",IF(YEAR($G54)&lt;YEAR($Z$6)," A ",IF(YEAR($G54)=YEAR($Z$6),IF(MONTH($G54)&lt;=8," A ","NA"),IF(YEAR($G54)&gt;YEAR($Z$6),"NA"))))))</f>
        <v xml:space="preserve"> A </v>
      </c>
      <c r="U54" s="407">
        <v>1</v>
      </c>
      <c r="V54" s="401" t="s">
        <v>886</v>
      </c>
      <c r="W54" s="351">
        <v>1</v>
      </c>
      <c r="X54" s="348">
        <f t="shared" si="102"/>
        <v>0.5</v>
      </c>
      <c r="Y54" s="349" t="s">
        <v>353</v>
      </c>
      <c r="Z54" s="402" t="s">
        <v>921</v>
      </c>
      <c r="AA54" s="84">
        <f t="shared" si="103"/>
        <v>23.928571428571427</v>
      </c>
      <c r="AB54" s="84">
        <f t="shared" si="104"/>
        <v>23.928571428571427</v>
      </c>
      <c r="AC54" s="84">
        <f t="shared" si="6"/>
        <v>47.857142857142854</v>
      </c>
      <c r="AD54" s="160" t="str">
        <f>IF($AJ$6="Indique Fecha Seguimiento","",IF(CRONOGRAMA!$E54="No Aplica","NA",IF($G54="","",IF(YEAR($G54)&lt;YEAR($AJ$6)," A ",IF(YEAR($G54)=YEAR($AJ$6),IF(MONTH($G54)&lt;=12," A ","NA"),IF(YEAR($G54)&gt;YEAR($AJ$6),"NA"))))))</f>
        <v/>
      </c>
      <c r="AE54" s="350"/>
      <c r="AF54" s="44"/>
      <c r="AG54" s="351"/>
      <c r="AH54" s="348" t="str">
        <f t="shared" si="105"/>
        <v/>
      </c>
      <c r="AI54" s="349"/>
      <c r="AJ54" s="44"/>
      <c r="AK54" s="81" t="str">
        <f t="shared" si="106"/>
        <v/>
      </c>
      <c r="AL54" s="84">
        <f t="shared" si="107"/>
        <v>0</v>
      </c>
      <c r="AM54" s="84">
        <f t="shared" si="10"/>
        <v>47.857142857142854</v>
      </c>
      <c r="AN54" s="592">
        <f t="shared" ref="AN54" si="159">SUM(I54:I56)</f>
        <v>143.57142857142856</v>
      </c>
      <c r="AO54" s="602">
        <f t="shared" ref="AO54" si="160">IF(AND(Q54="",Q55="",Q56=""),"",SUM(Q54:Q56))</f>
        <v>11.964285714285714</v>
      </c>
      <c r="AP54" s="603">
        <f t="shared" ref="AP54" si="161">IF(AND(AA54="",AA55="",AA56=""),"",SUM(AA54:AA56))</f>
        <v>71.785714285714278</v>
      </c>
      <c r="AQ54" s="603" t="str">
        <f t="shared" ref="AQ54" si="162">IF(AND(AK54="",AK55="",AK56=""),"",SUM(AK54:AK56))</f>
        <v/>
      </c>
      <c r="AR54" s="574">
        <f t="shared" ref="AR54" si="163">IF(AO54="",IF($AU$6&lt;1,"",IF($AU$6&gt;=1,"NA")),IF(AO54=0,0,AO54/$AN54))</f>
        <v>8.3333333333333343E-2</v>
      </c>
      <c r="AS54" s="574">
        <f t="shared" ref="AS54" si="164">IF(AP54="",IF($AU$6&lt;2,"",IF($AU$6&gt;=2,"NA")),IF(AP54=0,0,AP54/$AN54))</f>
        <v>0.5</v>
      </c>
      <c r="AT54" s="574">
        <f t="shared" ref="AT54" si="165">IF(AS54&gt;=AR54,AS54,AR54)</f>
        <v>0.5</v>
      </c>
      <c r="AU54" s="572" t="str">
        <f t="shared" ref="AU54" si="166">IF(AQ54="",IF($AU$6&lt;3,"",IF($AU$6&gt;=3,"NA")),IF(AQ54=0,0,AQ54/$AN54))</f>
        <v/>
      </c>
      <c r="AV54" s="573">
        <f t="shared" ref="AV54" si="167">IF($AU$6=1,AR54,IF($AU$6=2,AS54,IF($AU$6=3,AU54,"")))</f>
        <v>0.5</v>
      </c>
      <c r="AW54" s="605">
        <f t="shared" ref="AW54" si="168">AV54</f>
        <v>0.5</v>
      </c>
      <c r="AX54" t="str">
        <f t="shared" si="118"/>
        <v>Desarrollo de proyectos y programas previstos en el plan de acción</v>
      </c>
    </row>
    <row r="55" spans="1:50" ht="63.75" x14ac:dyDescent="0.25">
      <c r="A55" s="593"/>
      <c r="B55" s="591"/>
      <c r="C55" s="82" t="str">
        <f>IF('CONSOLIDACION DEL MAPA'!P55="","",'CONSOLIDACION DEL MAPA'!P55)</f>
        <v>Reducir</v>
      </c>
      <c r="D55" s="82" t="str">
        <f>CRONOGRAMA!D55</f>
        <v>hacer seguimiento a las tareas y compromisos adquiridos</v>
      </c>
      <c r="E55" s="132" t="str">
        <f>IF(CRONOGRAMA!F55="", "",CRONOGRAMA!F55)</f>
        <v xml:space="preserve">Actas de seguimiento a Proyectos del Plan de Acción (DE-F08) </v>
      </c>
      <c r="F55" s="132">
        <f>IF(CRONOGRAMA!G55="", "",CRONOGRAMA!G55)</f>
        <v>2</v>
      </c>
      <c r="G55" s="128">
        <f>IF(CRONOGRAMA!H55="", "",CRONOGRAMA!H55)</f>
        <v>42388</v>
      </c>
      <c r="H55" s="128">
        <f>IF(CRONOGRAMA!I55="", "",CRONOGRAMA!I55)</f>
        <v>42723</v>
      </c>
      <c r="I55" s="84">
        <f t="shared" si="98"/>
        <v>47.857142857142854</v>
      </c>
      <c r="J55" s="160" t="str">
        <f>IF($P$6="Indique Fecha Seguimiento","",IF(CRONOGRAMA!$E55="No Aplica","NA",IF($G55="","",IF(YEAR($G55)&lt;YEAR($P$6)," A ",IF(YEAR($G55)=YEAR($P$6),IF(MONTH($G55)&lt;=4," A ","NA"),IF(YEAR($G55)&gt;YEAR($P$6),"NA"))))))</f>
        <v xml:space="preserve"> A </v>
      </c>
      <c r="K55" s="400">
        <v>0.5</v>
      </c>
      <c r="L55" s="401" t="s">
        <v>888</v>
      </c>
      <c r="M55" s="400">
        <v>0</v>
      </c>
      <c r="N55" s="348">
        <f t="shared" si="99"/>
        <v>0</v>
      </c>
      <c r="O55" s="349" t="s">
        <v>353</v>
      </c>
      <c r="P55" s="44" t="s">
        <v>912</v>
      </c>
      <c r="Q55" s="84">
        <f t="shared" si="100"/>
        <v>0</v>
      </c>
      <c r="R55" s="84">
        <f t="shared" si="101"/>
        <v>0</v>
      </c>
      <c r="S55" s="84">
        <f t="shared" si="3"/>
        <v>47.857142857142854</v>
      </c>
      <c r="T55" s="160" t="str">
        <f>IF($Z$6="Indique Fecha Seguimiento","",IF(CRONOGRAMA!$E55="No Aplica","NA",IF($G55="","",IF(YEAR($G55)&lt;YEAR($Z$6)," A ",IF(YEAR($G55)=YEAR($Z$6),IF(MONTH($G55)&lt;=8," A ","NA"),IF(YEAR($G55)&gt;YEAR($Z$6),"NA"))))))</f>
        <v xml:space="preserve"> A </v>
      </c>
      <c r="U55" s="407">
        <v>1</v>
      </c>
      <c r="V55" s="401" t="s">
        <v>923</v>
      </c>
      <c r="W55" s="351">
        <v>1</v>
      </c>
      <c r="X55" s="348">
        <f t="shared" si="102"/>
        <v>0.5</v>
      </c>
      <c r="Y55" s="349" t="s">
        <v>353</v>
      </c>
      <c r="Z55" s="402" t="str">
        <f>V55</f>
        <v xml:space="preserve">En el sistema de INVERSIÓN de Planeación se está llevando el seguimiento al PAI.  </v>
      </c>
      <c r="AA55" s="84">
        <f t="shared" si="103"/>
        <v>23.928571428571427</v>
      </c>
      <c r="AB55" s="84">
        <f t="shared" si="104"/>
        <v>23.928571428571427</v>
      </c>
      <c r="AC55" s="84">
        <f t="shared" si="6"/>
        <v>47.857142857142854</v>
      </c>
      <c r="AD55" s="160" t="str">
        <f>IF($AJ$6="Indique Fecha Seguimiento","",IF(CRONOGRAMA!$E55="No Aplica","NA",IF($G55="","",IF(YEAR($G55)&lt;YEAR($AJ$6)," A ",IF(YEAR($G55)=YEAR($AJ$6),IF(MONTH($G55)&lt;=12," A ","NA"),IF(YEAR($G55)&gt;YEAR($AJ$6),"NA"))))))</f>
        <v/>
      </c>
      <c r="AE55" s="350"/>
      <c r="AF55" s="44"/>
      <c r="AG55" s="351"/>
      <c r="AH55" s="348" t="str">
        <f t="shared" si="105"/>
        <v/>
      </c>
      <c r="AI55" s="349"/>
      <c r="AJ55" s="44"/>
      <c r="AK55" s="81" t="str">
        <f t="shared" si="106"/>
        <v/>
      </c>
      <c r="AL55" s="84">
        <f t="shared" si="107"/>
        <v>0</v>
      </c>
      <c r="AM55" s="84">
        <f t="shared" si="10"/>
        <v>47.857142857142854</v>
      </c>
      <c r="AN55" s="592"/>
      <c r="AO55" s="602"/>
      <c r="AP55" s="603"/>
      <c r="AQ55" s="603"/>
      <c r="AR55" s="574"/>
      <c r="AS55" s="574"/>
      <c r="AT55" s="574"/>
      <c r="AU55" s="572"/>
      <c r="AV55" s="573"/>
      <c r="AW55" s="605"/>
      <c r="AX55" t="str">
        <f t="shared" si="118"/>
        <v xml:space="preserve">En el sistema de INVERSIÓN de Planeación se está llevando el seguimiento al PAI.  </v>
      </c>
    </row>
    <row r="56" spans="1:50" ht="38.25" x14ac:dyDescent="0.25">
      <c r="A56" s="593"/>
      <c r="B56" s="591"/>
      <c r="C56" s="82" t="str">
        <f>IF('CONSOLIDACION DEL MAPA'!P56="","",'CONSOLIDACION DEL MAPA'!P56)</f>
        <v>Reducir</v>
      </c>
      <c r="D56" s="82" t="str">
        <f>CRONOGRAMA!D56</f>
        <v>Realizar seguimiento a la publicaciones de boletines</v>
      </c>
      <c r="E56" s="132" t="str">
        <f>IF(CRONOGRAMA!F56="", "",CRONOGRAMA!F56)</f>
        <v>Boletines de la VDI</v>
      </c>
      <c r="F56" s="132">
        <f>IF(CRONOGRAMA!G56="", "",CRONOGRAMA!G56)</f>
        <v>4</v>
      </c>
      <c r="G56" s="128">
        <f>IF(CRONOGRAMA!H56="", "",CRONOGRAMA!H56)</f>
        <v>42388</v>
      </c>
      <c r="H56" s="128">
        <f>IF(CRONOGRAMA!I56="", "",CRONOGRAMA!I56)</f>
        <v>42723</v>
      </c>
      <c r="I56" s="84">
        <f t="shared" si="98"/>
        <v>47.857142857142854</v>
      </c>
      <c r="J56" s="160" t="str">
        <f>IF($P$6="Indique Fecha Seguimiento","",IF(CRONOGRAMA!$E56="No Aplica","NA",IF($G56="","",IF(YEAR($G56)&lt;YEAR($P$6)," A ",IF(YEAR($G56)=YEAR($P$6),IF(MONTH($G56)&lt;=4," A ","NA"),IF(YEAR($G56)&gt;YEAR($P$6),"NA"))))))</f>
        <v xml:space="preserve"> A </v>
      </c>
      <c r="K56" s="400">
        <v>1</v>
      </c>
      <c r="L56" s="401" t="s">
        <v>889</v>
      </c>
      <c r="M56" s="400">
        <v>1</v>
      </c>
      <c r="N56" s="348">
        <f t="shared" si="99"/>
        <v>0.25</v>
      </c>
      <c r="O56" s="349" t="s">
        <v>353</v>
      </c>
      <c r="P56" s="44"/>
      <c r="Q56" s="84">
        <f t="shared" si="100"/>
        <v>11.964285714285714</v>
      </c>
      <c r="R56" s="84">
        <f t="shared" si="101"/>
        <v>11.964285714285714</v>
      </c>
      <c r="S56" s="84">
        <f t="shared" si="3"/>
        <v>47.857142857142854</v>
      </c>
      <c r="T56" s="160" t="str">
        <f>IF($Z$6="Indique Fecha Seguimiento","",IF(CRONOGRAMA!$E56="No Aplica","NA",IF($G56="","",IF(YEAR($G56)&lt;YEAR($Z$6)," A ",IF(YEAR($G56)=YEAR($Z$6),IF(MONTH($G56)&lt;=8," A ","NA"),IF(YEAR($G56)&gt;YEAR($Z$6),"NA"))))))</f>
        <v xml:space="preserve"> A </v>
      </c>
      <c r="U56" s="407">
        <v>2</v>
      </c>
      <c r="V56" s="401" t="s">
        <v>924</v>
      </c>
      <c r="W56" s="351">
        <v>2</v>
      </c>
      <c r="X56" s="348">
        <f t="shared" si="102"/>
        <v>0.5</v>
      </c>
      <c r="Y56" s="349" t="s">
        <v>353</v>
      </c>
      <c r="Z56" s="402" t="str">
        <f>V56</f>
        <v>Se han realizado 2 boletínes a la fecha.</v>
      </c>
      <c r="AA56" s="84">
        <f t="shared" si="103"/>
        <v>23.928571428571427</v>
      </c>
      <c r="AB56" s="84">
        <f t="shared" si="104"/>
        <v>23.928571428571427</v>
      </c>
      <c r="AC56" s="84">
        <f t="shared" si="6"/>
        <v>47.857142857142854</v>
      </c>
      <c r="AD56" s="160" t="str">
        <f>IF($AJ$6="Indique Fecha Seguimiento","",IF(CRONOGRAMA!$E56="No Aplica","NA",IF($G56="","",IF(YEAR($G56)&lt;YEAR($AJ$6)," A ",IF(YEAR($G56)=YEAR($AJ$6),IF(MONTH($G56)&lt;=12," A ","NA"),IF(YEAR($G56)&gt;YEAR($AJ$6),"NA"))))))</f>
        <v/>
      </c>
      <c r="AE56" s="350"/>
      <c r="AF56" s="44"/>
      <c r="AG56" s="351"/>
      <c r="AH56" s="348" t="str">
        <f t="shared" si="105"/>
        <v/>
      </c>
      <c r="AI56" s="349"/>
      <c r="AJ56" s="44"/>
      <c r="AK56" s="81" t="str">
        <f t="shared" si="106"/>
        <v/>
      </c>
      <c r="AL56" s="84">
        <f t="shared" si="107"/>
        <v>0</v>
      </c>
      <c r="AM56" s="84">
        <f t="shared" si="10"/>
        <v>47.857142857142854</v>
      </c>
      <c r="AN56" s="592"/>
      <c r="AO56" s="602"/>
      <c r="AP56" s="603"/>
      <c r="AQ56" s="603"/>
      <c r="AR56" s="574"/>
      <c r="AS56" s="574"/>
      <c r="AT56" s="574"/>
      <c r="AU56" s="572"/>
      <c r="AV56" s="573"/>
      <c r="AW56" s="605"/>
      <c r="AX56" t="str">
        <f t="shared" si="118"/>
        <v>Se han realizado 2 boletínes a la fecha.</v>
      </c>
    </row>
    <row r="57" spans="1:50" ht="26.25" x14ac:dyDescent="0.25">
      <c r="A57" s="593" t="str">
        <f>CRONOGRAMA!A57</f>
        <v>17G</v>
      </c>
      <c r="B57" s="591" t="str">
        <f>CRONOGRAMA!B57</f>
        <v>Gestión de Extensión y Proyección Social. Incumplimiento en los compromisos establecidos en la formalización de los proyectos.</v>
      </c>
      <c r="C57" s="82" t="str">
        <f>IF('CONSOLIDACION DEL MAPA'!P57="","",'CONSOLIDACION DEL MAPA'!P57)</f>
        <v>Reducir</v>
      </c>
      <c r="D57" s="82" t="str">
        <f>CRONOGRAMA!D57</f>
        <v>Auto evaluación de los procesos.</v>
      </c>
      <c r="E57" s="132" t="str">
        <f>IF(CRONOGRAMA!F57="", "",CRONOGRAMA!F57)</f>
        <v>Informes</v>
      </c>
      <c r="F57" s="132">
        <f>IF(CRONOGRAMA!G57="", "",CRONOGRAMA!G57)</f>
        <v>1</v>
      </c>
      <c r="G57" s="128">
        <f>IF(CRONOGRAMA!H57="", "",CRONOGRAMA!H57)</f>
        <v>42398</v>
      </c>
      <c r="H57" s="128">
        <f>IF(CRONOGRAMA!I57="", "",CRONOGRAMA!I57)</f>
        <v>42704</v>
      </c>
      <c r="I57" s="84">
        <f t="shared" si="98"/>
        <v>43.714285714285715</v>
      </c>
      <c r="J57" s="160" t="str">
        <f>IF($P$6="Indique Fecha Seguimiento","",IF(CRONOGRAMA!$E57="No Aplica","NA",IF($G57="","",IF(YEAR($G57)&lt;YEAR($P$6)," A ",IF(YEAR($G57)=YEAR($P$6),IF(MONTH($G57)&lt;=4," A ","NA"),IF(YEAR($G57)&gt;YEAR($P$6),"NA"))))))</f>
        <v xml:space="preserve"> A </v>
      </c>
      <c r="K57" s="400">
        <v>0.25</v>
      </c>
      <c r="L57" s="401" t="s">
        <v>890</v>
      </c>
      <c r="M57" s="400">
        <v>0</v>
      </c>
      <c r="N57" s="348">
        <f t="shared" si="99"/>
        <v>0</v>
      </c>
      <c r="O57" s="349" t="s">
        <v>353</v>
      </c>
      <c r="P57" s="44" t="s">
        <v>913</v>
      </c>
      <c r="Q57" s="84">
        <f t="shared" si="100"/>
        <v>0</v>
      </c>
      <c r="R57" s="84">
        <f t="shared" si="101"/>
        <v>0</v>
      </c>
      <c r="S57" s="84">
        <f t="shared" si="3"/>
        <v>43.714285714285715</v>
      </c>
      <c r="T57" s="160" t="str">
        <f>IF($Z$6="Indique Fecha Seguimiento","",IF(CRONOGRAMA!$E57="No Aplica","NA",IF($G57="","",IF(YEAR($G57)&lt;YEAR($Z$6)," A ",IF(YEAR($G57)=YEAR($Z$6),IF(MONTH($G57)&lt;=8," A ","NA"),IF(YEAR($G57)&gt;YEAR($Z$6),"NA"))))))</f>
        <v xml:space="preserve"> A </v>
      </c>
      <c r="U57" s="410">
        <v>0.66600000000000004</v>
      </c>
      <c r="V57" s="401" t="s">
        <v>890</v>
      </c>
      <c r="W57" s="351">
        <v>0.67</v>
      </c>
      <c r="X57" s="348">
        <f t="shared" si="102"/>
        <v>0.67</v>
      </c>
      <c r="Y57" s="349" t="s">
        <v>353</v>
      </c>
      <c r="Z57" s="402" t="s">
        <v>932</v>
      </c>
      <c r="AA57" s="84">
        <f t="shared" si="103"/>
        <v>29.28857142857143</v>
      </c>
      <c r="AB57" s="84">
        <f t="shared" si="104"/>
        <v>29.28857142857143</v>
      </c>
      <c r="AC57" s="84">
        <f t="shared" si="6"/>
        <v>43.714285714285715</v>
      </c>
      <c r="AD57" s="160" t="str">
        <f>IF($AJ$6="Indique Fecha Seguimiento","",IF(CRONOGRAMA!$E57="No Aplica","NA",IF($G57="","",IF(YEAR($G57)&lt;YEAR($AJ$6)," A ",IF(YEAR($G57)=YEAR($AJ$6),IF(MONTH($G57)&lt;=12," A ","NA"),IF(YEAR($G57)&gt;YEAR($AJ$6),"NA"))))))</f>
        <v/>
      </c>
      <c r="AE57" s="350"/>
      <c r="AF57" s="44"/>
      <c r="AG57" s="351"/>
      <c r="AH57" s="348" t="str">
        <f t="shared" si="105"/>
        <v/>
      </c>
      <c r="AI57" s="349"/>
      <c r="AJ57" s="44"/>
      <c r="AK57" s="81" t="str">
        <f t="shared" si="106"/>
        <v/>
      </c>
      <c r="AL57" s="84">
        <f t="shared" si="107"/>
        <v>0</v>
      </c>
      <c r="AM57" s="84">
        <f t="shared" si="10"/>
        <v>43.714285714285715</v>
      </c>
      <c r="AN57" s="592">
        <f t="shared" ref="AN57" si="169">SUM(I57:I59)</f>
        <v>43.714285714285715</v>
      </c>
      <c r="AO57" s="602">
        <f t="shared" ref="AO57" si="170">IF(AND(Q57="",Q58="",Q59=""),"",SUM(Q57:Q59))</f>
        <v>0</v>
      </c>
      <c r="AP57" s="603">
        <f t="shared" ref="AP57" si="171">IF(AND(AA57="",AA58="",AA59=""),"",SUM(AA57:AA59))</f>
        <v>29.28857142857143</v>
      </c>
      <c r="AQ57" s="603" t="str">
        <f t="shared" ref="AQ57" si="172">IF(AND(AK57="",AK58="",AK59=""),"",SUM(AK57:AK59))</f>
        <v/>
      </c>
      <c r="AR57" s="574">
        <f t="shared" ref="AR57" si="173">IF(AO57="",IF($AU$6&lt;1,"",IF($AU$6&gt;=1,"NA")),IF(AO57=0,0,AO57/$AN57))</f>
        <v>0</v>
      </c>
      <c r="AS57" s="574">
        <f t="shared" ref="AS57" si="174">IF(AP57="",IF($AU$6&lt;2,"",IF($AU$6&gt;=2,"NA")),IF(AP57=0,0,AP57/$AN57))</f>
        <v>0.67</v>
      </c>
      <c r="AT57" s="574">
        <f t="shared" ref="AT57" si="175">IF(AS57&gt;=AR57,AS57,AR57)</f>
        <v>0.67</v>
      </c>
      <c r="AU57" s="572" t="str">
        <f t="shared" ref="AU57" si="176">IF(AQ57="",IF($AU$6&lt;3,"",IF($AU$6&gt;=3,"NA")),IF(AQ57=0,0,AQ57/$AN57))</f>
        <v/>
      </c>
      <c r="AV57" s="573">
        <f t="shared" ref="AV57" si="177">IF($AU$6=1,AR57,IF($AU$6=2,AS57,IF($AU$6=3,AU57,"")))</f>
        <v>0.67</v>
      </c>
      <c r="AW57" s="605">
        <f t="shared" ref="AW57" si="178">AV57</f>
        <v>0.67</v>
      </c>
      <c r="AX57" t="str">
        <f t="shared" si="118"/>
        <v>Se siguen ejecutando los controles</v>
      </c>
    </row>
    <row r="58" spans="1:50" ht="15.75" x14ac:dyDescent="0.25">
      <c r="A58" s="593"/>
      <c r="B58" s="591"/>
      <c r="C58" s="82" t="str">
        <f>IF('CONSOLIDACION DEL MAPA'!P58="","",'CONSOLIDACION DEL MAPA'!P58)</f>
        <v/>
      </c>
      <c r="D58" s="82" t="str">
        <f>CRONOGRAMA!D58</f>
        <v/>
      </c>
      <c r="E58" s="132" t="str">
        <f>IF(CRONOGRAMA!F58="", "",CRONOGRAMA!F58)</f>
        <v/>
      </c>
      <c r="F58" s="132" t="str">
        <f>IF(CRONOGRAMA!G58="", "",CRONOGRAMA!G58)</f>
        <v/>
      </c>
      <c r="G58" s="128" t="str">
        <f>IF(CRONOGRAMA!H58="", "",CRONOGRAMA!H58)</f>
        <v/>
      </c>
      <c r="H58" s="128" t="str">
        <f>IF(CRONOGRAMA!I58="", "",CRONOGRAMA!I58)</f>
        <v/>
      </c>
      <c r="I58" s="84">
        <f t="shared" si="98"/>
        <v>0</v>
      </c>
      <c r="J58" s="160" t="str">
        <f>IF($P$6="Indique Fecha Seguimiento","",IF(CRONOGRAMA!$E58="No Aplica","NA",IF($G58="","",IF(YEAR($G58)&lt;YEAR($P$6)," A ",IF(YEAR($G58)=YEAR($P$6),IF(MONTH($G58)&lt;=4," A ","NA"),IF(YEAR($G58)&gt;YEAR($P$6),"NA"))))))</f>
        <v/>
      </c>
      <c r="K58" s="400"/>
      <c r="L58" s="401"/>
      <c r="M58" s="400"/>
      <c r="N58" s="348" t="str">
        <f t="shared" si="99"/>
        <v/>
      </c>
      <c r="O58" s="349"/>
      <c r="P58" s="44"/>
      <c r="Q58" s="84" t="str">
        <f t="shared" si="100"/>
        <v/>
      </c>
      <c r="R58" s="84" t="str">
        <f t="shared" si="101"/>
        <v/>
      </c>
      <c r="S58" s="84">
        <f t="shared" si="3"/>
        <v>0</v>
      </c>
      <c r="T58" s="160" t="str">
        <f>IF($Z$6="Indique Fecha Seguimiento","",IF(CRONOGRAMA!$E58="No Aplica","NA",IF($G58="","",IF(YEAR($G58)&lt;YEAR($Z$6)," A ",IF(YEAR($G58)=YEAR($Z$6),IF(MONTH($G58)&lt;=8," A ","NA"),IF(YEAR($G58)&gt;YEAR($Z$6),"NA"))))))</f>
        <v/>
      </c>
      <c r="U58" s="351"/>
      <c r="V58" s="44"/>
      <c r="W58" s="351"/>
      <c r="X58" s="348" t="str">
        <f t="shared" si="102"/>
        <v/>
      </c>
      <c r="Y58" s="349"/>
      <c r="Z58" s="402"/>
      <c r="AA58" s="84" t="str">
        <f t="shared" si="103"/>
        <v/>
      </c>
      <c r="AB58" s="84" t="str">
        <f t="shared" si="104"/>
        <v/>
      </c>
      <c r="AC58" s="84">
        <f t="shared" si="6"/>
        <v>0</v>
      </c>
      <c r="AD58" s="160" t="str">
        <f>IF($AJ$6="Indique Fecha Seguimiento","",IF(CRONOGRAMA!$E58="No Aplica","NA",IF($G58="","",IF(YEAR($G58)&lt;YEAR($AJ$6)," A ",IF(YEAR($G58)=YEAR($AJ$6),IF(MONTH($G58)&lt;=12," A ","NA"),IF(YEAR($G58)&gt;YEAR($AJ$6),"NA"))))))</f>
        <v/>
      </c>
      <c r="AE58" s="350"/>
      <c r="AF58" s="44"/>
      <c r="AG58" s="351"/>
      <c r="AH58" s="348" t="str">
        <f t="shared" si="105"/>
        <v/>
      </c>
      <c r="AI58" s="349"/>
      <c r="AJ58" s="44"/>
      <c r="AK58" s="81" t="str">
        <f t="shared" si="106"/>
        <v/>
      </c>
      <c r="AL58" s="84">
        <f t="shared" si="107"/>
        <v>0</v>
      </c>
      <c r="AM58" s="84">
        <f t="shared" si="10"/>
        <v>0</v>
      </c>
      <c r="AN58" s="592"/>
      <c r="AO58" s="602"/>
      <c r="AP58" s="603"/>
      <c r="AQ58" s="603"/>
      <c r="AR58" s="574"/>
      <c r="AS58" s="574"/>
      <c r="AT58" s="574"/>
      <c r="AU58" s="572"/>
      <c r="AV58" s="573"/>
      <c r="AW58" s="605"/>
      <c r="AX58">
        <f t="shared" si="118"/>
        <v>0</v>
      </c>
    </row>
    <row r="59" spans="1:50" ht="15.75" x14ac:dyDescent="0.25">
      <c r="A59" s="593"/>
      <c r="B59" s="591"/>
      <c r="C59" s="82" t="str">
        <f>IF('CONSOLIDACION DEL MAPA'!P59="","",'CONSOLIDACION DEL MAPA'!P59)</f>
        <v/>
      </c>
      <c r="D59" s="82" t="str">
        <f>CRONOGRAMA!D59</f>
        <v/>
      </c>
      <c r="E59" s="132" t="str">
        <f>IF(CRONOGRAMA!F59="", "",CRONOGRAMA!F59)</f>
        <v/>
      </c>
      <c r="F59" s="132" t="str">
        <f>IF(CRONOGRAMA!G59="", "",CRONOGRAMA!G59)</f>
        <v/>
      </c>
      <c r="G59" s="128" t="str">
        <f>IF(CRONOGRAMA!H59="", "",CRONOGRAMA!H59)</f>
        <v/>
      </c>
      <c r="H59" s="128" t="str">
        <f>IF(CRONOGRAMA!I59="", "",CRONOGRAMA!I59)</f>
        <v/>
      </c>
      <c r="I59" s="84">
        <f t="shared" si="98"/>
        <v>0</v>
      </c>
      <c r="J59" s="160" t="str">
        <f>IF($P$6="Indique Fecha Seguimiento","",IF(CRONOGRAMA!$E59="No Aplica","NA",IF($G59="","",IF(YEAR($G59)&lt;YEAR($P$6)," A ",IF(YEAR($G59)=YEAR($P$6),IF(MONTH($G59)&lt;=4," A ","NA"),IF(YEAR($G59)&gt;YEAR($P$6),"NA"))))))</f>
        <v/>
      </c>
      <c r="K59" s="400"/>
      <c r="L59" s="401"/>
      <c r="M59" s="400"/>
      <c r="N59" s="348" t="str">
        <f t="shared" si="99"/>
        <v/>
      </c>
      <c r="O59" s="349"/>
      <c r="P59" s="44"/>
      <c r="Q59" s="84" t="str">
        <f t="shared" si="100"/>
        <v/>
      </c>
      <c r="R59" s="84" t="str">
        <f t="shared" si="101"/>
        <v/>
      </c>
      <c r="S59" s="84">
        <f t="shared" si="3"/>
        <v>0</v>
      </c>
      <c r="T59" s="160" t="str">
        <f>IF($Z$6="Indique Fecha Seguimiento","",IF(CRONOGRAMA!$E59="No Aplica","NA",IF($G59="","",IF(YEAR($G59)&lt;YEAR($Z$6)," A ",IF(YEAR($G59)=YEAR($Z$6),IF(MONTH($G59)&lt;=8," A ","NA"),IF(YEAR($G59)&gt;YEAR($Z$6),"NA"))))))</f>
        <v/>
      </c>
      <c r="U59" s="351"/>
      <c r="V59" s="44"/>
      <c r="W59" s="351"/>
      <c r="X59" s="348" t="str">
        <f t="shared" si="102"/>
        <v/>
      </c>
      <c r="Y59" s="349"/>
      <c r="Z59" s="402"/>
      <c r="AA59" s="84" t="str">
        <f t="shared" si="103"/>
        <v/>
      </c>
      <c r="AB59" s="84" t="str">
        <f t="shared" si="104"/>
        <v/>
      </c>
      <c r="AC59" s="84">
        <f t="shared" si="6"/>
        <v>0</v>
      </c>
      <c r="AD59" s="160" t="str">
        <f>IF($AJ$6="Indique Fecha Seguimiento","",IF(CRONOGRAMA!$E59="No Aplica","NA",IF($G59="","",IF(YEAR($G59)&lt;YEAR($AJ$6)," A ",IF(YEAR($G59)=YEAR($AJ$6),IF(MONTH($G59)&lt;=12," A ","NA"),IF(YEAR($G59)&gt;YEAR($AJ$6),"NA"))))))</f>
        <v/>
      </c>
      <c r="AE59" s="350"/>
      <c r="AF59" s="44"/>
      <c r="AG59" s="351"/>
      <c r="AH59" s="348" t="str">
        <f t="shared" si="105"/>
        <v/>
      </c>
      <c r="AI59" s="349"/>
      <c r="AJ59" s="44"/>
      <c r="AK59" s="81" t="str">
        <f t="shared" si="106"/>
        <v/>
      </c>
      <c r="AL59" s="84">
        <f t="shared" si="107"/>
        <v>0</v>
      </c>
      <c r="AM59" s="84">
        <f t="shared" si="10"/>
        <v>0</v>
      </c>
      <c r="AN59" s="592"/>
      <c r="AO59" s="602"/>
      <c r="AP59" s="603"/>
      <c r="AQ59" s="603"/>
      <c r="AR59" s="574"/>
      <c r="AS59" s="574"/>
      <c r="AT59" s="574"/>
      <c r="AU59" s="572"/>
      <c r="AV59" s="573"/>
      <c r="AW59" s="605"/>
      <c r="AX59">
        <f t="shared" si="118"/>
        <v>0</v>
      </c>
    </row>
    <row r="60" spans="1:50" ht="38.25" x14ac:dyDescent="0.25">
      <c r="A60" s="593" t="str">
        <f>CRONOGRAMA!A60</f>
        <v>18G</v>
      </c>
      <c r="B60" s="591" t="str">
        <f>CRONOGRAMA!B60</f>
        <v>Gestión de Extensión y Proyección Social. Limitada interacción e integración con las comunidades nacionales e internacionales en el fortalecimiento de la presencia de la Universidad en la vida social y cultural del país.</v>
      </c>
      <c r="C60" s="82" t="str">
        <f>IF('CONSOLIDACION DEL MAPA'!P60="","",'CONSOLIDACION DEL MAPA'!P60)</f>
        <v>Asumir</v>
      </c>
      <c r="D60" s="82" t="str">
        <f>CRONOGRAMA!D60</f>
        <v>Seguir ejecutando y monitoreando los controles existentes.</v>
      </c>
      <c r="E60" s="132" t="str">
        <f>IF(CRONOGRAMA!F60="", "",CRONOGRAMA!F60)</f>
        <v/>
      </c>
      <c r="F60" s="132" t="str">
        <f>IF(CRONOGRAMA!G60="", "",CRONOGRAMA!G60)</f>
        <v/>
      </c>
      <c r="G60" s="128" t="str">
        <f>IF(CRONOGRAMA!H60="", "",CRONOGRAMA!H60)</f>
        <v/>
      </c>
      <c r="H60" s="128" t="str">
        <f>IF(CRONOGRAMA!I60="", "",CRONOGRAMA!I60)</f>
        <v/>
      </c>
      <c r="I60" s="84">
        <f t="shared" ref="I60:I89" si="179">IF(G60="",0,IF(H60="",0,(H60-G60)/7))</f>
        <v>0</v>
      </c>
      <c r="J60" s="160" t="str">
        <f>IF($P$6="Indique Fecha Seguimiento","",IF(CRONOGRAMA!$E60="No Aplica","NA",IF($G60="","",IF(YEAR($G60)&lt;YEAR($P$6)," A ",IF(YEAR($G60)=YEAR($P$6),IF(MONTH($G60)&lt;=4," A ","NA"),IF(YEAR($G60)&gt;YEAR($P$6),"NA"))))))</f>
        <v>NA</v>
      </c>
      <c r="K60" s="400"/>
      <c r="L60" s="401"/>
      <c r="M60" s="400"/>
      <c r="N60" s="348" t="str">
        <f t="shared" ref="N60:N89" si="180">IF(M60="","",IF($F60=0,0,M60/$F60))</f>
        <v/>
      </c>
      <c r="O60" s="349"/>
      <c r="P60" s="44"/>
      <c r="Q60" s="84" t="str">
        <f t="shared" ref="Q60:Q89" si="181">IF(N60="","",($I60*N60))</f>
        <v/>
      </c>
      <c r="R60" s="84" t="str">
        <f t="shared" ref="R60:R89" si="182">IF(O60="SI",Q60,IF($P$6&lt;=$H60,Q60,0))</f>
        <v/>
      </c>
      <c r="S60" s="84">
        <f t="shared" si="3"/>
        <v>0</v>
      </c>
      <c r="T60" s="160" t="str">
        <f>IF($Z$6="Indique Fecha Seguimiento","",IF(CRONOGRAMA!$E60="No Aplica","NA",IF($G60="","",IF(YEAR($G60)&lt;YEAR($Z$6)," A ",IF(YEAR($G60)=YEAR($Z$6),IF(MONTH($G60)&lt;=8," A ","NA"),IF(YEAR($G60)&gt;YEAR($Z$6),"NA"))))))</f>
        <v>NA</v>
      </c>
      <c r="U60" s="351"/>
      <c r="V60" s="44"/>
      <c r="W60" s="351"/>
      <c r="X60" s="348" t="str">
        <f t="shared" ref="X60:X89" si="183">IF(W60="","",IF($F60=0,0,W60/$F60))</f>
        <v/>
      </c>
      <c r="Y60" s="349"/>
      <c r="Z60" s="402"/>
      <c r="AA60" s="84" t="str">
        <f t="shared" ref="AA60:AA89" si="184">IF(X60="","",($I60*X60))</f>
        <v/>
      </c>
      <c r="AB60" s="84" t="str">
        <f t="shared" ref="AB60:AB89" si="185">IF(N60=1,R60,IF(Y60="SI",AA60,IF($Z$6&lt;=$H60,AA60,0)))</f>
        <v/>
      </c>
      <c r="AC60" s="84">
        <f t="shared" si="6"/>
        <v>0</v>
      </c>
      <c r="AD60" s="160" t="str">
        <f>IF($AJ$6="Indique Fecha Seguimiento","",IF(CRONOGRAMA!$E60="No Aplica","NA",IF($G60="","",IF(YEAR($G60)&lt;YEAR($AJ$6)," A ",IF(YEAR($G60)=YEAR($AJ$6),IF(MONTH($G60)&lt;=12," A ","NA"),IF(YEAR($G60)&gt;YEAR($AJ$6),"NA"))))))</f>
        <v/>
      </c>
      <c r="AE60" s="350"/>
      <c r="AF60" s="44"/>
      <c r="AG60" s="351"/>
      <c r="AH60" s="348" t="str">
        <f t="shared" ref="AH60:AH89" si="186">IF(AG60="","",IF($F60=0,0,AG60/$F60))</f>
        <v/>
      </c>
      <c r="AI60" s="349"/>
      <c r="AJ60" s="44"/>
      <c r="AK60" s="81" t="str">
        <f t="shared" ref="AK60:AK89" si="187">IF(AH60="","",($I60*AH60))</f>
        <v/>
      </c>
      <c r="AL60" s="84">
        <f t="shared" ref="AL60:AL89" si="188">IF(X60=1,AB60,IF(AI60="SI",AK60,IF($AJ$6&lt;=$H60,AK60,0)))</f>
        <v>0</v>
      </c>
      <c r="AM60" s="84">
        <f t="shared" si="10"/>
        <v>0</v>
      </c>
      <c r="AN60" s="592">
        <f t="shared" ref="AN60" si="189">SUM(I60:I62)</f>
        <v>0</v>
      </c>
      <c r="AO60" s="602" t="str">
        <f t="shared" ref="AO60" si="190">IF(AND(Q60="",Q61="",Q62=""),"",SUM(Q60:Q62))</f>
        <v/>
      </c>
      <c r="AP60" s="603" t="str">
        <f t="shared" ref="AP60" si="191">IF(AND(AA60="",AA61="",AA62=""),"",SUM(AA60:AA62))</f>
        <v/>
      </c>
      <c r="AQ60" s="603" t="str">
        <f t="shared" ref="AQ60" si="192">IF(AND(AK60="",AK61="",AK62=""),"",SUM(AK60:AK62))</f>
        <v/>
      </c>
      <c r="AR60" s="574" t="str">
        <f t="shared" ref="AR60" si="193">IF(AO60="",IF($AU$6&lt;1,"",IF($AU$6&gt;=1,"NA")),IF(AO60=0,0,AO60/$AN60))</f>
        <v>NA</v>
      </c>
      <c r="AS60" s="574" t="str">
        <f t="shared" ref="AS60" si="194">IF(AP60="",IF($AU$6&lt;2,"",IF($AU$6&gt;=2,"NA")),IF(AP60=0,0,AP60/$AN60))</f>
        <v>NA</v>
      </c>
      <c r="AT60" s="574" t="str">
        <f t="shared" ref="AT60" si="195">IF(AS60&gt;=AR60,AS60,AR60)</f>
        <v>NA</v>
      </c>
      <c r="AU60" s="572" t="str">
        <f t="shared" ref="AU60" si="196">IF(AQ60="",IF($AU$6&lt;3,"",IF($AU$6&gt;=3,"NA")),IF(AQ60=0,0,AQ60/$AN60))</f>
        <v/>
      </c>
      <c r="AV60" s="573" t="str">
        <f t="shared" ref="AV60" si="197">IF($AU$6=1,AR60,IF($AU$6=2,AS60,IF($AU$6=3,AU60,"")))</f>
        <v>NA</v>
      </c>
      <c r="AW60" s="605" t="str">
        <f t="shared" ref="AW60" si="198">AV60</f>
        <v>NA</v>
      </c>
      <c r="AX60">
        <f t="shared" ref="AX60:AX89" si="199">IF($AU$6=1,P60,IF($AU$6=2,Z60,IF($AU$6=3,AJ60,"")))</f>
        <v>0</v>
      </c>
    </row>
    <row r="61" spans="1:50" ht="15.75" x14ac:dyDescent="0.25">
      <c r="A61" s="593"/>
      <c r="B61" s="591"/>
      <c r="C61" s="82" t="str">
        <f>IF('CONSOLIDACION DEL MAPA'!P61="","",'CONSOLIDACION DEL MAPA'!P61)</f>
        <v/>
      </c>
      <c r="D61" s="82" t="str">
        <f>CRONOGRAMA!D61</f>
        <v/>
      </c>
      <c r="E61" s="132" t="str">
        <f>IF(CRONOGRAMA!F61="", "",CRONOGRAMA!F61)</f>
        <v/>
      </c>
      <c r="F61" s="132" t="str">
        <f>IF(CRONOGRAMA!G61="", "",CRONOGRAMA!G61)</f>
        <v/>
      </c>
      <c r="G61" s="128" t="str">
        <f>IF(CRONOGRAMA!H61="", "",CRONOGRAMA!H61)</f>
        <v/>
      </c>
      <c r="H61" s="128" t="str">
        <f>IF(CRONOGRAMA!I61="", "",CRONOGRAMA!I61)</f>
        <v/>
      </c>
      <c r="I61" s="84">
        <f t="shared" si="179"/>
        <v>0</v>
      </c>
      <c r="J61" s="160" t="str">
        <f>IF($P$6="Indique Fecha Seguimiento","",IF(CRONOGRAMA!$E61="No Aplica","NA",IF($G61="","",IF(YEAR($G61)&lt;YEAR($P$6)," A ",IF(YEAR($G61)=YEAR($P$6),IF(MONTH($G61)&lt;=4," A ","NA"),IF(YEAR($G61)&gt;YEAR($P$6),"NA"))))))</f>
        <v/>
      </c>
      <c r="K61" s="400"/>
      <c r="L61" s="401"/>
      <c r="M61" s="400"/>
      <c r="N61" s="348" t="str">
        <f t="shared" si="180"/>
        <v/>
      </c>
      <c r="O61" s="349"/>
      <c r="P61" s="44"/>
      <c r="Q61" s="84" t="str">
        <f t="shared" si="181"/>
        <v/>
      </c>
      <c r="R61" s="84" t="str">
        <f t="shared" si="182"/>
        <v/>
      </c>
      <c r="S61" s="84">
        <f t="shared" si="3"/>
        <v>0</v>
      </c>
      <c r="T61" s="160" t="str">
        <f>IF($Z$6="Indique Fecha Seguimiento","",IF(CRONOGRAMA!$E61="No Aplica","NA",IF($G61="","",IF(YEAR($G61)&lt;YEAR($Z$6)," A ",IF(YEAR($G61)=YEAR($Z$6),IF(MONTH($G61)&lt;=8," A ","NA"),IF(YEAR($G61)&gt;YEAR($Z$6),"NA"))))))</f>
        <v/>
      </c>
      <c r="U61" s="351"/>
      <c r="V61" s="44"/>
      <c r="W61" s="351"/>
      <c r="X61" s="348" t="str">
        <f t="shared" si="183"/>
        <v/>
      </c>
      <c r="Y61" s="349"/>
      <c r="Z61" s="402"/>
      <c r="AA61" s="84" t="str">
        <f t="shared" si="184"/>
        <v/>
      </c>
      <c r="AB61" s="84" t="str">
        <f t="shared" si="185"/>
        <v/>
      </c>
      <c r="AC61" s="84">
        <f t="shared" si="6"/>
        <v>0</v>
      </c>
      <c r="AD61" s="160" t="str">
        <f>IF($AJ$6="Indique Fecha Seguimiento","",IF(CRONOGRAMA!$E61="No Aplica","NA",IF($G61="","",IF(YEAR($G61)&lt;YEAR($AJ$6)," A ",IF(YEAR($G61)=YEAR($AJ$6),IF(MONTH($G61)&lt;=12," A ","NA"),IF(YEAR($G61)&gt;YEAR($AJ$6),"NA"))))))</f>
        <v/>
      </c>
      <c r="AE61" s="350"/>
      <c r="AF61" s="44"/>
      <c r="AG61" s="351"/>
      <c r="AH61" s="348" t="str">
        <f t="shared" si="186"/>
        <v/>
      </c>
      <c r="AI61" s="349"/>
      <c r="AJ61" s="44"/>
      <c r="AK61" s="81" t="str">
        <f t="shared" si="187"/>
        <v/>
      </c>
      <c r="AL61" s="84">
        <f t="shared" si="188"/>
        <v>0</v>
      </c>
      <c r="AM61" s="84">
        <f t="shared" si="10"/>
        <v>0</v>
      </c>
      <c r="AN61" s="592"/>
      <c r="AO61" s="602"/>
      <c r="AP61" s="603"/>
      <c r="AQ61" s="603"/>
      <c r="AR61" s="574"/>
      <c r="AS61" s="574"/>
      <c r="AT61" s="574"/>
      <c r="AU61" s="572"/>
      <c r="AV61" s="573"/>
      <c r="AW61" s="605"/>
      <c r="AX61">
        <f t="shared" si="199"/>
        <v>0</v>
      </c>
    </row>
    <row r="62" spans="1:50" ht="15.75" x14ac:dyDescent="0.25">
      <c r="A62" s="593"/>
      <c r="B62" s="591"/>
      <c r="C62" s="82" t="str">
        <f>IF('CONSOLIDACION DEL MAPA'!P62="","",'CONSOLIDACION DEL MAPA'!P62)</f>
        <v/>
      </c>
      <c r="D62" s="82" t="str">
        <f>CRONOGRAMA!D62</f>
        <v/>
      </c>
      <c r="E62" s="132" t="str">
        <f>IF(CRONOGRAMA!F62="", "",CRONOGRAMA!F62)</f>
        <v/>
      </c>
      <c r="F62" s="132" t="str">
        <f>IF(CRONOGRAMA!G62="", "",CRONOGRAMA!G62)</f>
        <v/>
      </c>
      <c r="G62" s="128" t="str">
        <f>IF(CRONOGRAMA!H62="", "",CRONOGRAMA!H62)</f>
        <v/>
      </c>
      <c r="H62" s="128" t="str">
        <f>IF(CRONOGRAMA!I62="", "",CRONOGRAMA!I62)</f>
        <v/>
      </c>
      <c r="I62" s="84">
        <f t="shared" si="179"/>
        <v>0</v>
      </c>
      <c r="J62" s="160" t="str">
        <f>IF($P$6="Indique Fecha Seguimiento","",IF(CRONOGRAMA!$E62="No Aplica","NA",IF($G62="","",IF(YEAR($G62)&lt;YEAR($P$6)," A ",IF(YEAR($G62)=YEAR($P$6),IF(MONTH($G62)&lt;=4," A ","NA"),IF(YEAR($G62)&gt;YEAR($P$6),"NA"))))))</f>
        <v/>
      </c>
      <c r="K62" s="400"/>
      <c r="L62" s="401"/>
      <c r="M62" s="400"/>
      <c r="N62" s="348" t="str">
        <f t="shared" si="180"/>
        <v/>
      </c>
      <c r="O62" s="349"/>
      <c r="P62" s="44"/>
      <c r="Q62" s="84" t="str">
        <f t="shared" si="181"/>
        <v/>
      </c>
      <c r="R62" s="84" t="str">
        <f t="shared" si="182"/>
        <v/>
      </c>
      <c r="S62" s="84">
        <f t="shared" si="3"/>
        <v>0</v>
      </c>
      <c r="T62" s="160" t="str">
        <f>IF($Z$6="Indique Fecha Seguimiento","",IF(CRONOGRAMA!$E62="No Aplica","NA",IF($G62="","",IF(YEAR($G62)&lt;YEAR($Z$6)," A ",IF(YEAR($G62)=YEAR($Z$6),IF(MONTH($G62)&lt;=8," A ","NA"),IF(YEAR($G62)&gt;YEAR($Z$6),"NA"))))))</f>
        <v/>
      </c>
      <c r="U62" s="351"/>
      <c r="V62" s="44"/>
      <c r="W62" s="351"/>
      <c r="X62" s="348" t="str">
        <f t="shared" si="183"/>
        <v/>
      </c>
      <c r="Y62" s="349"/>
      <c r="Z62" s="402"/>
      <c r="AA62" s="84" t="str">
        <f t="shared" si="184"/>
        <v/>
      </c>
      <c r="AB62" s="84" t="str">
        <f t="shared" si="185"/>
        <v/>
      </c>
      <c r="AC62" s="84">
        <f t="shared" si="6"/>
        <v>0</v>
      </c>
      <c r="AD62" s="160" t="str">
        <f>IF($AJ$6="Indique Fecha Seguimiento","",IF(CRONOGRAMA!$E62="No Aplica","NA",IF($G62="","",IF(YEAR($G62)&lt;YEAR($AJ$6)," A ",IF(YEAR($G62)=YEAR($AJ$6),IF(MONTH($G62)&lt;=12," A ","NA"),IF(YEAR($G62)&gt;YEAR($AJ$6),"NA"))))))</f>
        <v/>
      </c>
      <c r="AE62" s="350"/>
      <c r="AF62" s="44"/>
      <c r="AG62" s="351"/>
      <c r="AH62" s="348" t="str">
        <f t="shared" si="186"/>
        <v/>
      </c>
      <c r="AI62" s="349"/>
      <c r="AJ62" s="44"/>
      <c r="AK62" s="81" t="str">
        <f t="shared" si="187"/>
        <v/>
      </c>
      <c r="AL62" s="84">
        <f t="shared" si="188"/>
        <v>0</v>
      </c>
      <c r="AM62" s="84">
        <f t="shared" si="10"/>
        <v>0</v>
      </c>
      <c r="AN62" s="592"/>
      <c r="AO62" s="602"/>
      <c r="AP62" s="603"/>
      <c r="AQ62" s="603"/>
      <c r="AR62" s="574"/>
      <c r="AS62" s="574"/>
      <c r="AT62" s="574"/>
      <c r="AU62" s="572"/>
      <c r="AV62" s="573"/>
      <c r="AW62" s="605"/>
      <c r="AX62">
        <f t="shared" si="199"/>
        <v>0</v>
      </c>
    </row>
    <row r="63" spans="1:50" ht="38.25" x14ac:dyDescent="0.25">
      <c r="A63" s="593" t="str">
        <f>CRONOGRAMA!A63</f>
        <v>19G</v>
      </c>
      <c r="B63" s="591" t="str">
        <f>CRONOGRAMA!B63</f>
        <v>Gestión de Extensión y Proyección Social. Interrupción en las actividades e incumplimiento de los proyectos de extensión y proyección social, en las zonas de influencia.</v>
      </c>
      <c r="C63" s="82" t="str">
        <f>IF('CONSOLIDACION DEL MAPA'!P63="","",'CONSOLIDACION DEL MAPA'!P63)</f>
        <v>Asumir</v>
      </c>
      <c r="D63" s="82" t="str">
        <f>CRONOGRAMA!D63</f>
        <v>Seguir ejecutando y monitoreando los controles existentes.</v>
      </c>
      <c r="E63" s="132" t="str">
        <f>IF(CRONOGRAMA!F63="", "",CRONOGRAMA!F63)</f>
        <v/>
      </c>
      <c r="F63" s="132" t="str">
        <f>IF(CRONOGRAMA!G63="", "",CRONOGRAMA!G63)</f>
        <v/>
      </c>
      <c r="G63" s="128" t="str">
        <f>IF(CRONOGRAMA!H63="", "",CRONOGRAMA!H63)</f>
        <v/>
      </c>
      <c r="H63" s="128" t="str">
        <f>IF(CRONOGRAMA!I63="", "",CRONOGRAMA!I63)</f>
        <v/>
      </c>
      <c r="I63" s="84">
        <f t="shared" si="179"/>
        <v>0</v>
      </c>
      <c r="J63" s="160" t="str">
        <f>IF($P$6="Indique Fecha Seguimiento","",IF(CRONOGRAMA!$E63="No Aplica","NA",IF($G63="","",IF(YEAR($G63)&lt;YEAR($P$6)," A ",IF(YEAR($G63)=YEAR($P$6),IF(MONTH($G63)&lt;=4," A ","NA"),IF(YEAR($G63)&gt;YEAR($P$6),"NA"))))))</f>
        <v>NA</v>
      </c>
      <c r="K63" s="400"/>
      <c r="L63" s="401"/>
      <c r="M63" s="400"/>
      <c r="N63" s="348" t="str">
        <f t="shared" si="180"/>
        <v/>
      </c>
      <c r="O63" s="349"/>
      <c r="P63" s="44"/>
      <c r="Q63" s="84" t="str">
        <f t="shared" si="181"/>
        <v/>
      </c>
      <c r="R63" s="84" t="str">
        <f t="shared" si="182"/>
        <v/>
      </c>
      <c r="S63" s="84">
        <f t="shared" si="3"/>
        <v>0</v>
      </c>
      <c r="T63" s="160" t="str">
        <f>IF($Z$6="Indique Fecha Seguimiento","",IF(CRONOGRAMA!$E63="No Aplica","NA",IF($G63="","",IF(YEAR($G63)&lt;YEAR($Z$6)," A ",IF(YEAR($G63)=YEAR($Z$6),IF(MONTH($G63)&lt;=8," A ","NA"),IF(YEAR($G63)&gt;YEAR($Z$6),"NA"))))))</f>
        <v>NA</v>
      </c>
      <c r="U63" s="351"/>
      <c r="V63" s="44"/>
      <c r="W63" s="351"/>
      <c r="X63" s="348" t="str">
        <f t="shared" si="183"/>
        <v/>
      </c>
      <c r="Y63" s="349"/>
      <c r="Z63" s="402"/>
      <c r="AA63" s="84" t="str">
        <f t="shared" si="184"/>
        <v/>
      </c>
      <c r="AB63" s="84" t="str">
        <f t="shared" si="185"/>
        <v/>
      </c>
      <c r="AC63" s="84">
        <f t="shared" si="6"/>
        <v>0</v>
      </c>
      <c r="AD63" s="160" t="str">
        <f>IF($AJ$6="Indique Fecha Seguimiento","",IF(CRONOGRAMA!$E63="No Aplica","NA",IF($G63="","",IF(YEAR($G63)&lt;YEAR($AJ$6)," A ",IF(YEAR($G63)=YEAR($AJ$6),IF(MONTH($G63)&lt;=12," A ","NA"),IF(YEAR($G63)&gt;YEAR($AJ$6),"NA"))))))</f>
        <v/>
      </c>
      <c r="AE63" s="350"/>
      <c r="AF63" s="44"/>
      <c r="AG63" s="351"/>
      <c r="AH63" s="348" t="str">
        <f t="shared" si="186"/>
        <v/>
      </c>
      <c r="AI63" s="349"/>
      <c r="AJ63" s="44"/>
      <c r="AK63" s="81" t="str">
        <f t="shared" si="187"/>
        <v/>
      </c>
      <c r="AL63" s="84">
        <f t="shared" si="188"/>
        <v>0</v>
      </c>
      <c r="AM63" s="84">
        <f t="shared" si="10"/>
        <v>0</v>
      </c>
      <c r="AN63" s="592">
        <f t="shared" ref="AN63" si="200">SUM(I63:I65)</f>
        <v>0</v>
      </c>
      <c r="AO63" s="602" t="str">
        <f t="shared" ref="AO63" si="201">IF(AND(Q63="",Q64="",Q65=""),"",SUM(Q63:Q65))</f>
        <v/>
      </c>
      <c r="AP63" s="603" t="str">
        <f t="shared" ref="AP63" si="202">IF(AND(AA63="",AA64="",AA65=""),"",SUM(AA63:AA65))</f>
        <v/>
      </c>
      <c r="AQ63" s="603" t="str">
        <f t="shared" ref="AQ63" si="203">IF(AND(AK63="",AK64="",AK65=""),"",SUM(AK63:AK65))</f>
        <v/>
      </c>
      <c r="AR63" s="574" t="str">
        <f t="shared" ref="AR63" si="204">IF(AO63="",IF($AU$6&lt;1,"",IF($AU$6&gt;=1,"NA")),IF(AO63=0,0,AO63/$AN63))</f>
        <v>NA</v>
      </c>
      <c r="AS63" s="574" t="str">
        <f t="shared" ref="AS63" si="205">IF(AP63="",IF($AU$6&lt;2,"",IF($AU$6&gt;=2,"NA")),IF(AP63=0,0,AP63/$AN63))</f>
        <v>NA</v>
      </c>
      <c r="AT63" s="574" t="str">
        <f t="shared" ref="AT63" si="206">IF(AS63&gt;=AR63,AS63,AR63)</f>
        <v>NA</v>
      </c>
      <c r="AU63" s="572" t="str">
        <f t="shared" ref="AU63" si="207">IF(AQ63="",IF($AU$6&lt;3,"",IF($AU$6&gt;=3,"NA")),IF(AQ63=0,0,AQ63/$AN63))</f>
        <v/>
      </c>
      <c r="AV63" s="573" t="str">
        <f t="shared" ref="AV63" si="208">IF($AU$6=1,AR63,IF($AU$6=2,AS63,IF($AU$6=3,AU63,"")))</f>
        <v>NA</v>
      </c>
      <c r="AW63" s="605" t="str">
        <f t="shared" ref="AW63" si="209">AV63</f>
        <v>NA</v>
      </c>
      <c r="AX63">
        <f t="shared" si="199"/>
        <v>0</v>
      </c>
    </row>
    <row r="64" spans="1:50" ht="15.75" x14ac:dyDescent="0.25">
      <c r="A64" s="593"/>
      <c r="B64" s="591"/>
      <c r="C64" s="82" t="str">
        <f>IF('CONSOLIDACION DEL MAPA'!P64="","",'CONSOLIDACION DEL MAPA'!P64)</f>
        <v/>
      </c>
      <c r="D64" s="82" t="str">
        <f>CRONOGRAMA!D64</f>
        <v/>
      </c>
      <c r="E64" s="132" t="str">
        <f>IF(CRONOGRAMA!F64="", "",CRONOGRAMA!F64)</f>
        <v/>
      </c>
      <c r="F64" s="132" t="str">
        <f>IF(CRONOGRAMA!G64="", "",CRONOGRAMA!G64)</f>
        <v/>
      </c>
      <c r="G64" s="128" t="str">
        <f>IF(CRONOGRAMA!H64="", "",CRONOGRAMA!H64)</f>
        <v/>
      </c>
      <c r="H64" s="128" t="str">
        <f>IF(CRONOGRAMA!I64="", "",CRONOGRAMA!I64)</f>
        <v/>
      </c>
      <c r="I64" s="84">
        <f t="shared" si="179"/>
        <v>0</v>
      </c>
      <c r="J64" s="160" t="str">
        <f>IF($P$6="Indique Fecha Seguimiento","",IF(CRONOGRAMA!$E64="No Aplica","NA",IF($G64="","",IF(YEAR($G64)&lt;YEAR($P$6)," A ",IF(YEAR($G64)=YEAR($P$6),IF(MONTH($G64)&lt;=4," A ","NA"),IF(YEAR($G64)&gt;YEAR($P$6),"NA"))))))</f>
        <v/>
      </c>
      <c r="K64" s="400"/>
      <c r="L64" s="401"/>
      <c r="M64" s="400"/>
      <c r="N64" s="348" t="str">
        <f t="shared" si="180"/>
        <v/>
      </c>
      <c r="O64" s="349"/>
      <c r="P64" s="44"/>
      <c r="Q64" s="84" t="str">
        <f t="shared" si="181"/>
        <v/>
      </c>
      <c r="R64" s="84" t="str">
        <f t="shared" si="182"/>
        <v/>
      </c>
      <c r="S64" s="84">
        <f t="shared" si="3"/>
        <v>0</v>
      </c>
      <c r="T64" s="160" t="str">
        <f>IF($Z$6="Indique Fecha Seguimiento","",IF(CRONOGRAMA!$E64="No Aplica","NA",IF($G64="","",IF(YEAR($G64)&lt;YEAR($Z$6)," A ",IF(YEAR($G64)=YEAR($Z$6),IF(MONTH($G64)&lt;=8," A ","NA"),IF(YEAR($G64)&gt;YEAR($Z$6),"NA"))))))</f>
        <v/>
      </c>
      <c r="U64" s="351"/>
      <c r="V64" s="44"/>
      <c r="W64" s="351"/>
      <c r="X64" s="348" t="str">
        <f t="shared" si="183"/>
        <v/>
      </c>
      <c r="Y64" s="349"/>
      <c r="Z64" s="44"/>
      <c r="AA64" s="84" t="str">
        <f t="shared" si="184"/>
        <v/>
      </c>
      <c r="AB64" s="84" t="str">
        <f t="shared" si="185"/>
        <v/>
      </c>
      <c r="AC64" s="84">
        <f t="shared" si="6"/>
        <v>0</v>
      </c>
      <c r="AD64" s="160" t="str">
        <f>IF($AJ$6="Indique Fecha Seguimiento","",IF(CRONOGRAMA!$E64="No Aplica","NA",IF($G64="","",IF(YEAR($G64)&lt;YEAR($AJ$6)," A ",IF(YEAR($G64)=YEAR($AJ$6),IF(MONTH($G64)&lt;=12," A ","NA"),IF(YEAR($G64)&gt;YEAR($AJ$6),"NA"))))))</f>
        <v/>
      </c>
      <c r="AE64" s="350"/>
      <c r="AF64" s="44"/>
      <c r="AG64" s="351"/>
      <c r="AH64" s="348" t="str">
        <f t="shared" si="186"/>
        <v/>
      </c>
      <c r="AI64" s="349"/>
      <c r="AJ64" s="44"/>
      <c r="AK64" s="81" t="str">
        <f t="shared" si="187"/>
        <v/>
      </c>
      <c r="AL64" s="84">
        <f t="shared" si="188"/>
        <v>0</v>
      </c>
      <c r="AM64" s="84">
        <f t="shared" si="10"/>
        <v>0</v>
      </c>
      <c r="AN64" s="592"/>
      <c r="AO64" s="602"/>
      <c r="AP64" s="603"/>
      <c r="AQ64" s="603"/>
      <c r="AR64" s="574"/>
      <c r="AS64" s="574"/>
      <c r="AT64" s="574"/>
      <c r="AU64" s="572"/>
      <c r="AV64" s="573"/>
      <c r="AW64" s="605"/>
      <c r="AX64">
        <f t="shared" si="199"/>
        <v>0</v>
      </c>
    </row>
    <row r="65" spans="1:50" ht="15.75" x14ac:dyDescent="0.25">
      <c r="A65" s="593"/>
      <c r="B65" s="591"/>
      <c r="C65" s="82" t="str">
        <f>IF('CONSOLIDACION DEL MAPA'!P65="","",'CONSOLIDACION DEL MAPA'!P65)</f>
        <v/>
      </c>
      <c r="D65" s="82" t="str">
        <f>CRONOGRAMA!D65</f>
        <v/>
      </c>
      <c r="E65" s="132" t="str">
        <f>IF(CRONOGRAMA!F65="", "",CRONOGRAMA!F65)</f>
        <v/>
      </c>
      <c r="F65" s="132" t="str">
        <f>IF(CRONOGRAMA!G65="", "",CRONOGRAMA!G65)</f>
        <v/>
      </c>
      <c r="G65" s="128" t="str">
        <f>IF(CRONOGRAMA!H65="", "",CRONOGRAMA!H65)</f>
        <v/>
      </c>
      <c r="H65" s="128" t="str">
        <f>IF(CRONOGRAMA!I65="", "",CRONOGRAMA!I65)</f>
        <v/>
      </c>
      <c r="I65" s="84">
        <f t="shared" si="179"/>
        <v>0</v>
      </c>
      <c r="J65" s="160" t="str">
        <f>IF($P$6="Indique Fecha Seguimiento","",IF(CRONOGRAMA!$E65="No Aplica","NA",IF($G65="","",IF(YEAR($G65)&lt;YEAR($P$6)," A ",IF(YEAR($G65)=YEAR($P$6),IF(MONTH($G65)&lt;=4," A ","NA"),IF(YEAR($G65)&gt;YEAR($P$6),"NA"))))))</f>
        <v/>
      </c>
      <c r="K65" s="400"/>
      <c r="L65" s="401"/>
      <c r="M65" s="400"/>
      <c r="N65" s="348" t="str">
        <f t="shared" si="180"/>
        <v/>
      </c>
      <c r="O65" s="349"/>
      <c r="P65" s="44"/>
      <c r="Q65" s="84" t="str">
        <f t="shared" si="181"/>
        <v/>
      </c>
      <c r="R65" s="84" t="str">
        <f t="shared" si="182"/>
        <v/>
      </c>
      <c r="S65" s="84">
        <f t="shared" si="3"/>
        <v>0</v>
      </c>
      <c r="T65" s="160" t="str">
        <f>IF($Z$6="Indique Fecha Seguimiento","",IF(CRONOGRAMA!$E65="No Aplica","NA",IF($G65="","",IF(YEAR($G65)&lt;YEAR($Z$6)," A ",IF(YEAR($G65)=YEAR($Z$6),IF(MONTH($G65)&lt;=8," A ","NA"),IF(YEAR($G65)&gt;YEAR($Z$6),"NA"))))))</f>
        <v/>
      </c>
      <c r="U65" s="351"/>
      <c r="V65" s="44"/>
      <c r="W65" s="351"/>
      <c r="X65" s="348" t="str">
        <f t="shared" si="183"/>
        <v/>
      </c>
      <c r="Y65" s="349"/>
      <c r="Z65" s="44"/>
      <c r="AA65" s="84" t="str">
        <f t="shared" si="184"/>
        <v/>
      </c>
      <c r="AB65" s="84" t="str">
        <f t="shared" si="185"/>
        <v/>
      </c>
      <c r="AC65" s="84">
        <f t="shared" si="6"/>
        <v>0</v>
      </c>
      <c r="AD65" s="160" t="str">
        <f>IF($AJ$6="Indique Fecha Seguimiento","",IF(CRONOGRAMA!$E65="No Aplica","NA",IF($G65="","",IF(YEAR($G65)&lt;YEAR($AJ$6)," A ",IF(YEAR($G65)=YEAR($AJ$6),IF(MONTH($G65)&lt;=12," A ","NA"),IF(YEAR($G65)&gt;YEAR($AJ$6),"NA"))))))</f>
        <v/>
      </c>
      <c r="AE65" s="350"/>
      <c r="AF65" s="44"/>
      <c r="AG65" s="351"/>
      <c r="AH65" s="348" t="str">
        <f t="shared" si="186"/>
        <v/>
      </c>
      <c r="AI65" s="349"/>
      <c r="AJ65" s="44"/>
      <c r="AK65" s="81" t="str">
        <f t="shared" si="187"/>
        <v/>
      </c>
      <c r="AL65" s="84">
        <f t="shared" si="188"/>
        <v>0</v>
      </c>
      <c r="AM65" s="84">
        <f t="shared" si="10"/>
        <v>0</v>
      </c>
      <c r="AN65" s="592"/>
      <c r="AO65" s="602"/>
      <c r="AP65" s="603"/>
      <c r="AQ65" s="603"/>
      <c r="AR65" s="574"/>
      <c r="AS65" s="574"/>
      <c r="AT65" s="574"/>
      <c r="AU65" s="572"/>
      <c r="AV65" s="573"/>
      <c r="AW65" s="605"/>
      <c r="AX65">
        <f t="shared" si="199"/>
        <v>0</v>
      </c>
    </row>
    <row r="66" spans="1:50" ht="38.25" x14ac:dyDescent="0.25">
      <c r="A66" s="593" t="str">
        <f>CRONOGRAMA!A66</f>
        <v>20G</v>
      </c>
      <c r="B66" s="591" t="str">
        <f>CRONOGRAMA!B66</f>
        <v>Gestión de Contratación. Celebración de contratos sin el cumplimiento de los requisitos internos y externos de carácter contractual</v>
      </c>
      <c r="C66" s="82" t="str">
        <f>IF('CONSOLIDACION DEL MAPA'!P66="","",'CONSOLIDACION DEL MAPA'!P66)</f>
        <v>Asumir</v>
      </c>
      <c r="D66" s="82" t="str">
        <f>CRONOGRAMA!D66</f>
        <v>Seguir ejecutando y monitoreando los controles existentes</v>
      </c>
      <c r="E66" s="132" t="str">
        <f>IF(CRONOGRAMA!F66="", "",CRONOGRAMA!F66)</f>
        <v/>
      </c>
      <c r="F66" s="132" t="str">
        <f>IF(CRONOGRAMA!G66="", "",CRONOGRAMA!G66)</f>
        <v/>
      </c>
      <c r="G66" s="128" t="str">
        <f>IF(CRONOGRAMA!H66="", "",CRONOGRAMA!H66)</f>
        <v/>
      </c>
      <c r="H66" s="128" t="str">
        <f>IF(CRONOGRAMA!I66="", "",CRONOGRAMA!I66)</f>
        <v/>
      </c>
      <c r="I66" s="84">
        <f t="shared" si="179"/>
        <v>0</v>
      </c>
      <c r="J66" s="160" t="str">
        <f>IF($P$6="Indique Fecha Seguimiento","",IF(CRONOGRAMA!$E66="No Aplica","NA",IF($G66="","",IF(YEAR($G66)&lt;YEAR($P$6)," A ",IF(YEAR($G66)=YEAR($P$6),IF(MONTH($G66)&lt;=4," A ","NA"),IF(YEAR($G66)&gt;YEAR($P$6),"NA"))))))</f>
        <v>NA</v>
      </c>
      <c r="K66" s="400"/>
      <c r="L66" s="401"/>
      <c r="M66" s="400"/>
      <c r="N66" s="348" t="str">
        <f t="shared" si="180"/>
        <v/>
      </c>
      <c r="O66" s="349"/>
      <c r="P66" s="44"/>
      <c r="Q66" s="84" t="str">
        <f t="shared" si="181"/>
        <v/>
      </c>
      <c r="R66" s="84" t="str">
        <f t="shared" si="182"/>
        <v/>
      </c>
      <c r="S66" s="84">
        <f t="shared" si="3"/>
        <v>0</v>
      </c>
      <c r="T66" s="160" t="str">
        <f>IF($Z$6="Indique Fecha Seguimiento","",IF(CRONOGRAMA!$E66="No Aplica","NA",IF($G66="","",IF(YEAR($G66)&lt;YEAR($Z$6)," A ",IF(YEAR($G66)=YEAR($Z$6),IF(MONTH($G66)&lt;=8," A ","NA"),IF(YEAR($G66)&gt;YEAR($Z$6),"NA"))))))</f>
        <v>NA</v>
      </c>
      <c r="U66" s="351"/>
      <c r="V66" s="44"/>
      <c r="W66" s="351"/>
      <c r="X66" s="348" t="str">
        <f t="shared" si="183"/>
        <v/>
      </c>
      <c r="Y66" s="349"/>
      <c r="Z66" s="44"/>
      <c r="AA66" s="84" t="str">
        <f t="shared" si="184"/>
        <v/>
      </c>
      <c r="AB66" s="84" t="str">
        <f t="shared" si="185"/>
        <v/>
      </c>
      <c r="AC66" s="84">
        <f t="shared" si="6"/>
        <v>0</v>
      </c>
      <c r="AD66" s="160" t="str">
        <f>IF($AJ$6="Indique Fecha Seguimiento","",IF(CRONOGRAMA!$E66="No Aplica","NA",IF($G66="","",IF(YEAR($G66)&lt;YEAR($AJ$6)," A ",IF(YEAR($G66)=YEAR($AJ$6),IF(MONTH($G66)&lt;=12," A ","NA"),IF(YEAR($G66)&gt;YEAR($AJ$6),"NA"))))))</f>
        <v/>
      </c>
      <c r="AE66" s="350"/>
      <c r="AF66" s="44"/>
      <c r="AG66" s="351"/>
      <c r="AH66" s="348" t="str">
        <f t="shared" si="186"/>
        <v/>
      </c>
      <c r="AI66" s="349"/>
      <c r="AJ66" s="44"/>
      <c r="AK66" s="81" t="str">
        <f t="shared" si="187"/>
        <v/>
      </c>
      <c r="AL66" s="84">
        <f t="shared" si="188"/>
        <v>0</v>
      </c>
      <c r="AM66" s="84">
        <f t="shared" si="10"/>
        <v>0</v>
      </c>
      <c r="AN66" s="592">
        <f t="shared" ref="AN66" si="210">SUM(I66:I68)</f>
        <v>0</v>
      </c>
      <c r="AO66" s="602" t="str">
        <f t="shared" ref="AO66" si="211">IF(AND(Q66="",Q67="",Q68=""),"",SUM(Q66:Q68))</f>
        <v/>
      </c>
      <c r="AP66" s="603" t="str">
        <f t="shared" ref="AP66" si="212">IF(AND(AA66="",AA67="",AA68=""),"",SUM(AA66:AA68))</f>
        <v/>
      </c>
      <c r="AQ66" s="603" t="str">
        <f t="shared" ref="AQ66" si="213">IF(AND(AK66="",AK67="",AK68=""),"",SUM(AK66:AK68))</f>
        <v/>
      </c>
      <c r="AR66" s="574" t="str">
        <f t="shared" ref="AR66" si="214">IF(AO66="",IF($AU$6&lt;1,"",IF($AU$6&gt;=1,"NA")),IF(AO66=0,0,AO66/$AN66))</f>
        <v>NA</v>
      </c>
      <c r="AS66" s="574" t="str">
        <f t="shared" ref="AS66" si="215">IF(AP66="",IF($AU$6&lt;2,"",IF($AU$6&gt;=2,"NA")),IF(AP66=0,0,AP66/$AN66))</f>
        <v>NA</v>
      </c>
      <c r="AT66" s="574" t="str">
        <f t="shared" ref="AT66" si="216">IF(AS66&gt;=AR66,AS66,AR66)</f>
        <v>NA</v>
      </c>
      <c r="AU66" s="572" t="str">
        <f t="shared" ref="AU66" si="217">IF(AQ66="",IF($AU$6&lt;3,"",IF($AU$6&gt;=3,"NA")),IF(AQ66=0,0,AQ66/$AN66))</f>
        <v/>
      </c>
      <c r="AV66" s="573" t="str">
        <f t="shared" ref="AV66" si="218">IF($AU$6=1,AR66,IF($AU$6=2,AS66,IF($AU$6=3,AU66,"")))</f>
        <v>NA</v>
      </c>
      <c r="AW66" s="605" t="str">
        <f t="shared" ref="AW66" si="219">AV66</f>
        <v>NA</v>
      </c>
      <c r="AX66">
        <f t="shared" si="199"/>
        <v>0</v>
      </c>
    </row>
    <row r="67" spans="1:50" ht="15.75" x14ac:dyDescent="0.25">
      <c r="A67" s="593"/>
      <c r="B67" s="591"/>
      <c r="C67" s="82" t="str">
        <f>IF('CONSOLIDACION DEL MAPA'!P67="","",'CONSOLIDACION DEL MAPA'!P67)</f>
        <v/>
      </c>
      <c r="D67" s="82" t="str">
        <f>CRONOGRAMA!D67</f>
        <v/>
      </c>
      <c r="E67" s="132" t="str">
        <f>IF(CRONOGRAMA!F67="", "",CRONOGRAMA!F67)</f>
        <v/>
      </c>
      <c r="F67" s="132" t="str">
        <f>IF(CRONOGRAMA!G67="", "",CRONOGRAMA!G67)</f>
        <v/>
      </c>
      <c r="G67" s="128" t="str">
        <f>IF(CRONOGRAMA!H67="", "",CRONOGRAMA!H67)</f>
        <v/>
      </c>
      <c r="H67" s="128" t="str">
        <f>IF(CRONOGRAMA!I67="", "",CRONOGRAMA!I67)</f>
        <v/>
      </c>
      <c r="I67" s="84">
        <f t="shared" si="179"/>
        <v>0</v>
      </c>
      <c r="J67" s="160" t="str">
        <f>IF($P$6="Indique Fecha Seguimiento","",IF(CRONOGRAMA!$E67="No Aplica","NA",IF($G67="","",IF(YEAR($G67)&lt;YEAR($P$6)," A ",IF(YEAR($G67)=YEAR($P$6),IF(MONTH($G67)&lt;=4," A ","NA"),IF(YEAR($G67)&gt;YEAR($P$6),"NA"))))))</f>
        <v/>
      </c>
      <c r="K67" s="400"/>
      <c r="L67" s="401"/>
      <c r="M67" s="400"/>
      <c r="N67" s="348" t="str">
        <f t="shared" si="180"/>
        <v/>
      </c>
      <c r="O67" s="349"/>
      <c r="P67" s="44"/>
      <c r="Q67" s="84" t="str">
        <f t="shared" si="181"/>
        <v/>
      </c>
      <c r="R67" s="84" t="str">
        <f t="shared" si="182"/>
        <v/>
      </c>
      <c r="S67" s="84">
        <f t="shared" si="3"/>
        <v>0</v>
      </c>
      <c r="T67" s="160" t="str">
        <f>IF($Z$6="Indique Fecha Seguimiento","",IF(CRONOGRAMA!$E67="No Aplica","NA",IF($G67="","",IF(YEAR($G67)&lt;YEAR($Z$6)," A ",IF(YEAR($G67)=YEAR($Z$6),IF(MONTH($G67)&lt;=8," A ","NA"),IF(YEAR($G67)&gt;YEAR($Z$6),"NA"))))))</f>
        <v/>
      </c>
      <c r="U67" s="351"/>
      <c r="V67" s="44"/>
      <c r="W67" s="351"/>
      <c r="X67" s="348" t="str">
        <f t="shared" si="183"/>
        <v/>
      </c>
      <c r="Y67" s="349"/>
      <c r="Z67" s="44"/>
      <c r="AA67" s="84" t="str">
        <f t="shared" si="184"/>
        <v/>
      </c>
      <c r="AB67" s="84" t="str">
        <f t="shared" si="185"/>
        <v/>
      </c>
      <c r="AC67" s="84">
        <f t="shared" si="6"/>
        <v>0</v>
      </c>
      <c r="AD67" s="160" t="str">
        <f>IF($AJ$6="Indique Fecha Seguimiento","",IF(CRONOGRAMA!$E67="No Aplica","NA",IF($G67="","",IF(YEAR($G67)&lt;YEAR($AJ$6)," A ",IF(YEAR($G67)=YEAR($AJ$6),IF(MONTH($G67)&lt;=12," A ","NA"),IF(YEAR($G67)&gt;YEAR($AJ$6),"NA"))))))</f>
        <v/>
      </c>
      <c r="AE67" s="350"/>
      <c r="AF67" s="44"/>
      <c r="AG67" s="351"/>
      <c r="AH67" s="348" t="str">
        <f t="shared" si="186"/>
        <v/>
      </c>
      <c r="AI67" s="349"/>
      <c r="AJ67" s="44"/>
      <c r="AK67" s="81" t="str">
        <f t="shared" si="187"/>
        <v/>
      </c>
      <c r="AL67" s="84">
        <f t="shared" si="188"/>
        <v>0</v>
      </c>
      <c r="AM67" s="84">
        <f t="shared" si="10"/>
        <v>0</v>
      </c>
      <c r="AN67" s="592"/>
      <c r="AO67" s="602"/>
      <c r="AP67" s="603"/>
      <c r="AQ67" s="603"/>
      <c r="AR67" s="574"/>
      <c r="AS67" s="574"/>
      <c r="AT67" s="574"/>
      <c r="AU67" s="572"/>
      <c r="AV67" s="573"/>
      <c r="AW67" s="605"/>
      <c r="AX67">
        <f t="shared" si="199"/>
        <v>0</v>
      </c>
    </row>
    <row r="68" spans="1:50" ht="15.75" x14ac:dyDescent="0.25">
      <c r="A68" s="593"/>
      <c r="B68" s="591"/>
      <c r="C68" s="82" t="str">
        <f>IF('CONSOLIDACION DEL MAPA'!P68="","",'CONSOLIDACION DEL MAPA'!P68)</f>
        <v/>
      </c>
      <c r="D68" s="82" t="str">
        <f>CRONOGRAMA!D68</f>
        <v/>
      </c>
      <c r="E68" s="132" t="str">
        <f>IF(CRONOGRAMA!F68="", "",CRONOGRAMA!F68)</f>
        <v/>
      </c>
      <c r="F68" s="132" t="str">
        <f>IF(CRONOGRAMA!G68="", "",CRONOGRAMA!G68)</f>
        <v/>
      </c>
      <c r="G68" s="128" t="str">
        <f>IF(CRONOGRAMA!H68="", "",CRONOGRAMA!H68)</f>
        <v/>
      </c>
      <c r="H68" s="128" t="str">
        <f>IF(CRONOGRAMA!I68="", "",CRONOGRAMA!I68)</f>
        <v/>
      </c>
      <c r="I68" s="84">
        <f t="shared" si="179"/>
        <v>0</v>
      </c>
      <c r="J68" s="160" t="str">
        <f>IF($P$6="Indique Fecha Seguimiento","",IF(CRONOGRAMA!$E68="No Aplica","NA",IF($G68="","",IF(YEAR($G68)&lt;YEAR($P$6)," A ",IF(YEAR($G68)=YEAR($P$6),IF(MONTH($G68)&lt;=4," A ","NA"),IF(YEAR($G68)&gt;YEAR($P$6),"NA"))))))</f>
        <v/>
      </c>
      <c r="K68" s="400"/>
      <c r="L68" s="401"/>
      <c r="M68" s="400"/>
      <c r="N68" s="348" t="str">
        <f t="shared" si="180"/>
        <v/>
      </c>
      <c r="O68" s="349"/>
      <c r="P68" s="44"/>
      <c r="Q68" s="84" t="str">
        <f t="shared" si="181"/>
        <v/>
      </c>
      <c r="R68" s="84" t="str">
        <f t="shared" si="182"/>
        <v/>
      </c>
      <c r="S68" s="84">
        <f t="shared" si="3"/>
        <v>0</v>
      </c>
      <c r="T68" s="160" t="str">
        <f>IF($Z$6="Indique Fecha Seguimiento","",IF(CRONOGRAMA!$E68="No Aplica","NA",IF($G68="","",IF(YEAR($G68)&lt;YEAR($Z$6)," A ",IF(YEAR($G68)=YEAR($Z$6),IF(MONTH($G68)&lt;=8," A ","NA"),IF(YEAR($G68)&gt;YEAR($Z$6),"NA"))))))</f>
        <v/>
      </c>
      <c r="U68" s="351"/>
      <c r="V68" s="44"/>
      <c r="W68" s="351"/>
      <c r="X68" s="348" t="str">
        <f t="shared" si="183"/>
        <v/>
      </c>
      <c r="Y68" s="349"/>
      <c r="Z68" s="44"/>
      <c r="AA68" s="84" t="str">
        <f t="shared" si="184"/>
        <v/>
      </c>
      <c r="AB68" s="84" t="str">
        <f t="shared" si="185"/>
        <v/>
      </c>
      <c r="AC68" s="84">
        <f t="shared" si="6"/>
        <v>0</v>
      </c>
      <c r="AD68" s="160" t="str">
        <f>IF($AJ$6="Indique Fecha Seguimiento","",IF(CRONOGRAMA!$E68="No Aplica","NA",IF($G68="","",IF(YEAR($G68)&lt;YEAR($AJ$6)," A ",IF(YEAR($G68)=YEAR($AJ$6),IF(MONTH($G68)&lt;=12," A ","NA"),IF(YEAR($G68)&gt;YEAR($AJ$6),"NA"))))))</f>
        <v/>
      </c>
      <c r="AE68" s="350"/>
      <c r="AF68" s="44"/>
      <c r="AG68" s="351"/>
      <c r="AH68" s="348" t="str">
        <f t="shared" si="186"/>
        <v/>
      </c>
      <c r="AI68" s="349"/>
      <c r="AJ68" s="44"/>
      <c r="AK68" s="81" t="str">
        <f t="shared" si="187"/>
        <v/>
      </c>
      <c r="AL68" s="84">
        <f t="shared" si="188"/>
        <v>0</v>
      </c>
      <c r="AM68" s="84">
        <f t="shared" si="10"/>
        <v>0</v>
      </c>
      <c r="AN68" s="592"/>
      <c r="AO68" s="602"/>
      <c r="AP68" s="603"/>
      <c r="AQ68" s="603"/>
      <c r="AR68" s="574"/>
      <c r="AS68" s="574"/>
      <c r="AT68" s="574"/>
      <c r="AU68" s="572"/>
      <c r="AV68" s="573"/>
      <c r="AW68" s="605"/>
      <c r="AX68">
        <f t="shared" si="199"/>
        <v>0</v>
      </c>
    </row>
    <row r="69" spans="1:50" ht="38.25" x14ac:dyDescent="0.25">
      <c r="A69" s="593" t="str">
        <f>CRONOGRAMA!A69</f>
        <v>21G</v>
      </c>
      <c r="B69" s="591" t="str">
        <f>CRONOGRAMA!B69</f>
        <v>Gestión de Contratación. Documentación incompleta en la carpeta contractual</v>
      </c>
      <c r="C69" s="82" t="str">
        <f>IF('CONSOLIDACION DEL MAPA'!P69="","",'CONSOLIDACION DEL MAPA'!P69)</f>
        <v>Asumir</v>
      </c>
      <c r="D69" s="82" t="str">
        <f>CRONOGRAMA!D69</f>
        <v>Seguir ejecutando y monitoreando los controles existentes</v>
      </c>
      <c r="E69" s="132" t="str">
        <f>IF(CRONOGRAMA!F69="", "",CRONOGRAMA!F69)</f>
        <v/>
      </c>
      <c r="F69" s="132" t="str">
        <f>IF(CRONOGRAMA!G69="", "",CRONOGRAMA!G69)</f>
        <v/>
      </c>
      <c r="G69" s="128" t="str">
        <f>IF(CRONOGRAMA!H69="", "",CRONOGRAMA!H69)</f>
        <v/>
      </c>
      <c r="H69" s="128" t="str">
        <f>IF(CRONOGRAMA!I69="", "",CRONOGRAMA!I69)</f>
        <v/>
      </c>
      <c r="I69" s="84">
        <f t="shared" si="179"/>
        <v>0</v>
      </c>
      <c r="J69" s="160" t="str">
        <f>IF($P$6="Indique Fecha Seguimiento","",IF(CRONOGRAMA!$E69="No Aplica","NA",IF($G69="","",IF(YEAR($G69)&lt;YEAR($P$6)," A ",IF(YEAR($G69)=YEAR($P$6),IF(MONTH($G69)&lt;=4," A ","NA"),IF(YEAR($G69)&gt;YEAR($P$6),"NA"))))))</f>
        <v>NA</v>
      </c>
      <c r="K69" s="400"/>
      <c r="L69" s="401"/>
      <c r="M69" s="400"/>
      <c r="N69" s="348" t="str">
        <f t="shared" si="180"/>
        <v/>
      </c>
      <c r="O69" s="349"/>
      <c r="P69" s="44"/>
      <c r="Q69" s="84" t="str">
        <f t="shared" si="181"/>
        <v/>
      </c>
      <c r="R69" s="84" t="str">
        <f t="shared" si="182"/>
        <v/>
      </c>
      <c r="S69" s="84">
        <f t="shared" si="3"/>
        <v>0</v>
      </c>
      <c r="T69" s="160" t="str">
        <f>IF($Z$6="Indique Fecha Seguimiento","",IF(CRONOGRAMA!$E69="No Aplica","NA",IF($G69="","",IF(YEAR($G69)&lt;YEAR($Z$6)," A ",IF(YEAR($G69)=YEAR($Z$6),IF(MONTH($G69)&lt;=8," A ","NA"),IF(YEAR($G69)&gt;YEAR($Z$6),"NA"))))))</f>
        <v>NA</v>
      </c>
      <c r="U69" s="351"/>
      <c r="V69" s="44"/>
      <c r="W69" s="351"/>
      <c r="X69" s="348" t="str">
        <f t="shared" si="183"/>
        <v/>
      </c>
      <c r="Y69" s="349"/>
      <c r="Z69" s="44"/>
      <c r="AA69" s="84" t="str">
        <f t="shared" si="184"/>
        <v/>
      </c>
      <c r="AB69" s="84" t="str">
        <f t="shared" si="185"/>
        <v/>
      </c>
      <c r="AC69" s="84">
        <f t="shared" si="6"/>
        <v>0</v>
      </c>
      <c r="AD69" s="160" t="str">
        <f>IF($AJ$6="Indique Fecha Seguimiento","",IF(CRONOGRAMA!$E69="No Aplica","NA",IF($G69="","",IF(YEAR($G69)&lt;YEAR($AJ$6)," A ",IF(YEAR($G69)=YEAR($AJ$6),IF(MONTH($G69)&lt;=12," A ","NA"),IF(YEAR($G69)&gt;YEAR($AJ$6),"NA"))))))</f>
        <v/>
      </c>
      <c r="AE69" s="350"/>
      <c r="AF69" s="44"/>
      <c r="AG69" s="351"/>
      <c r="AH69" s="348" t="str">
        <f t="shared" si="186"/>
        <v/>
      </c>
      <c r="AI69" s="349"/>
      <c r="AJ69" s="44"/>
      <c r="AK69" s="81" t="str">
        <f t="shared" si="187"/>
        <v/>
      </c>
      <c r="AL69" s="84">
        <f t="shared" si="188"/>
        <v>0</v>
      </c>
      <c r="AM69" s="84">
        <f t="shared" si="10"/>
        <v>0</v>
      </c>
      <c r="AN69" s="592">
        <f t="shared" ref="AN69" si="220">SUM(I69:I71)</f>
        <v>0</v>
      </c>
      <c r="AO69" s="602" t="str">
        <f t="shared" ref="AO69" si="221">IF(AND(Q69="",Q70="",Q71=""),"",SUM(Q69:Q71))</f>
        <v/>
      </c>
      <c r="AP69" s="603" t="str">
        <f t="shared" ref="AP69" si="222">IF(AND(AA69="",AA70="",AA71=""),"",SUM(AA69:AA71))</f>
        <v/>
      </c>
      <c r="AQ69" s="603" t="str">
        <f t="shared" ref="AQ69" si="223">IF(AND(AK69="",AK70="",AK71=""),"",SUM(AK69:AK71))</f>
        <v/>
      </c>
      <c r="AR69" s="574" t="str">
        <f t="shared" ref="AR69" si="224">IF(AO69="",IF($AU$6&lt;1,"",IF($AU$6&gt;=1,"NA")),IF(AO69=0,0,AO69/$AN69))</f>
        <v>NA</v>
      </c>
      <c r="AS69" s="574" t="str">
        <f t="shared" ref="AS69" si="225">IF(AP69="",IF($AU$6&lt;2,"",IF($AU$6&gt;=2,"NA")),IF(AP69=0,0,AP69/$AN69))</f>
        <v>NA</v>
      </c>
      <c r="AT69" s="574" t="str">
        <f t="shared" ref="AT69" si="226">IF(AS69&gt;=AR69,AS69,AR69)</f>
        <v>NA</v>
      </c>
      <c r="AU69" s="572" t="str">
        <f t="shared" ref="AU69" si="227">IF(AQ69="",IF($AU$6&lt;3,"",IF($AU$6&gt;=3,"NA")),IF(AQ69=0,0,AQ69/$AN69))</f>
        <v/>
      </c>
      <c r="AV69" s="573" t="str">
        <f t="shared" ref="AV69" si="228">IF($AU$6=1,AR69,IF($AU$6=2,AS69,IF($AU$6=3,AU69,"")))</f>
        <v>NA</v>
      </c>
      <c r="AW69" s="605" t="str">
        <f t="shared" ref="AW69" si="229">AV69</f>
        <v>NA</v>
      </c>
      <c r="AX69">
        <f t="shared" si="199"/>
        <v>0</v>
      </c>
    </row>
    <row r="70" spans="1:50" ht="15.75" x14ac:dyDescent="0.25">
      <c r="A70" s="593"/>
      <c r="B70" s="591"/>
      <c r="C70" s="82" t="str">
        <f>IF('CONSOLIDACION DEL MAPA'!P70="","",'CONSOLIDACION DEL MAPA'!P70)</f>
        <v/>
      </c>
      <c r="D70" s="82" t="str">
        <f>CRONOGRAMA!D70</f>
        <v/>
      </c>
      <c r="E70" s="132" t="str">
        <f>IF(CRONOGRAMA!F70="", "",CRONOGRAMA!F70)</f>
        <v/>
      </c>
      <c r="F70" s="132" t="str">
        <f>IF(CRONOGRAMA!G70="", "",CRONOGRAMA!G70)</f>
        <v/>
      </c>
      <c r="G70" s="128" t="str">
        <f>IF(CRONOGRAMA!H70="", "",CRONOGRAMA!H70)</f>
        <v/>
      </c>
      <c r="H70" s="128" t="str">
        <f>IF(CRONOGRAMA!I70="", "",CRONOGRAMA!I70)</f>
        <v/>
      </c>
      <c r="I70" s="84">
        <f t="shared" si="179"/>
        <v>0</v>
      </c>
      <c r="J70" s="160" t="str">
        <f>IF($P$6="Indique Fecha Seguimiento","",IF(CRONOGRAMA!$E70="No Aplica","NA",IF($G70="","",IF(YEAR($G70)&lt;YEAR($P$6)," A ",IF(YEAR($G70)=YEAR($P$6),IF(MONTH($G70)&lt;=4," A ","NA"),IF(YEAR($G70)&gt;YEAR($P$6),"NA"))))))</f>
        <v/>
      </c>
      <c r="K70" s="400"/>
      <c r="L70" s="401"/>
      <c r="M70" s="400"/>
      <c r="N70" s="348" t="str">
        <f t="shared" si="180"/>
        <v/>
      </c>
      <c r="O70" s="349"/>
      <c r="P70" s="44"/>
      <c r="Q70" s="84" t="str">
        <f t="shared" si="181"/>
        <v/>
      </c>
      <c r="R70" s="84" t="str">
        <f t="shared" si="182"/>
        <v/>
      </c>
      <c r="S70" s="84">
        <f t="shared" si="3"/>
        <v>0</v>
      </c>
      <c r="T70" s="160" t="str">
        <f>IF($Z$6="Indique Fecha Seguimiento","",IF(CRONOGRAMA!$E70="No Aplica","NA",IF($G70="","",IF(YEAR($G70)&lt;YEAR($Z$6)," A ",IF(YEAR($G70)=YEAR($Z$6),IF(MONTH($G70)&lt;=8," A ","NA"),IF(YEAR($G70)&gt;YEAR($Z$6),"NA"))))))</f>
        <v/>
      </c>
      <c r="U70" s="351"/>
      <c r="V70" s="44"/>
      <c r="W70" s="351"/>
      <c r="X70" s="348" t="str">
        <f t="shared" si="183"/>
        <v/>
      </c>
      <c r="Y70" s="349"/>
      <c r="Z70" s="44"/>
      <c r="AA70" s="84" t="str">
        <f t="shared" si="184"/>
        <v/>
      </c>
      <c r="AB70" s="84" t="str">
        <f t="shared" si="185"/>
        <v/>
      </c>
      <c r="AC70" s="84">
        <f t="shared" si="6"/>
        <v>0</v>
      </c>
      <c r="AD70" s="160" t="str">
        <f>IF($AJ$6="Indique Fecha Seguimiento","",IF(CRONOGRAMA!$E70="No Aplica","NA",IF($G70="","",IF(YEAR($G70)&lt;YEAR($AJ$6)," A ",IF(YEAR($G70)=YEAR($AJ$6),IF(MONTH($G70)&lt;=12," A ","NA"),IF(YEAR($G70)&gt;YEAR($AJ$6),"NA"))))))</f>
        <v/>
      </c>
      <c r="AE70" s="350"/>
      <c r="AF70" s="44"/>
      <c r="AG70" s="351"/>
      <c r="AH70" s="348" t="str">
        <f t="shared" si="186"/>
        <v/>
      </c>
      <c r="AI70" s="349"/>
      <c r="AJ70" s="44"/>
      <c r="AK70" s="81" t="str">
        <f t="shared" si="187"/>
        <v/>
      </c>
      <c r="AL70" s="84">
        <f t="shared" si="188"/>
        <v>0</v>
      </c>
      <c r="AM70" s="84">
        <f t="shared" si="10"/>
        <v>0</v>
      </c>
      <c r="AN70" s="592"/>
      <c r="AO70" s="602"/>
      <c r="AP70" s="603"/>
      <c r="AQ70" s="603"/>
      <c r="AR70" s="574"/>
      <c r="AS70" s="574"/>
      <c r="AT70" s="574"/>
      <c r="AU70" s="572"/>
      <c r="AV70" s="573"/>
      <c r="AW70" s="605"/>
      <c r="AX70">
        <f t="shared" si="199"/>
        <v>0</v>
      </c>
    </row>
    <row r="71" spans="1:50" ht="15.75" x14ac:dyDescent="0.25">
      <c r="A71" s="593"/>
      <c r="B71" s="591"/>
      <c r="C71" s="82" t="str">
        <f>IF('CONSOLIDACION DEL MAPA'!P71="","",'CONSOLIDACION DEL MAPA'!P71)</f>
        <v/>
      </c>
      <c r="D71" s="82" t="str">
        <f>CRONOGRAMA!D71</f>
        <v/>
      </c>
      <c r="E71" s="132" t="str">
        <f>IF(CRONOGRAMA!F71="", "",CRONOGRAMA!F71)</f>
        <v/>
      </c>
      <c r="F71" s="132" t="str">
        <f>IF(CRONOGRAMA!G71="", "",CRONOGRAMA!G71)</f>
        <v/>
      </c>
      <c r="G71" s="128" t="str">
        <f>IF(CRONOGRAMA!H71="", "",CRONOGRAMA!H71)</f>
        <v/>
      </c>
      <c r="H71" s="128" t="str">
        <f>IF(CRONOGRAMA!I71="", "",CRONOGRAMA!I71)</f>
        <v/>
      </c>
      <c r="I71" s="84">
        <f t="shared" si="179"/>
        <v>0</v>
      </c>
      <c r="J71" s="160" t="str">
        <f>IF($P$6="Indique Fecha Seguimiento","",IF(CRONOGRAMA!$E71="No Aplica","NA",IF($G71="","",IF(YEAR($G71)&lt;YEAR($P$6)," A ",IF(YEAR($G71)=YEAR($P$6),IF(MONTH($G71)&lt;=4," A ","NA"),IF(YEAR($G71)&gt;YEAR($P$6),"NA"))))))</f>
        <v/>
      </c>
      <c r="K71" s="400"/>
      <c r="L71" s="401"/>
      <c r="M71" s="400"/>
      <c r="N71" s="348" t="str">
        <f t="shared" si="180"/>
        <v/>
      </c>
      <c r="O71" s="349"/>
      <c r="P71" s="44"/>
      <c r="Q71" s="84" t="str">
        <f t="shared" si="181"/>
        <v/>
      </c>
      <c r="R71" s="84" t="str">
        <f t="shared" si="182"/>
        <v/>
      </c>
      <c r="S71" s="84">
        <f t="shared" si="3"/>
        <v>0</v>
      </c>
      <c r="T71" s="160" t="str">
        <f>IF($Z$6="Indique Fecha Seguimiento","",IF(CRONOGRAMA!$E71="No Aplica","NA",IF($G71="","",IF(YEAR($G71)&lt;YEAR($Z$6)," A ",IF(YEAR($G71)=YEAR($Z$6),IF(MONTH($G71)&lt;=8," A ","NA"),IF(YEAR($G71)&gt;YEAR($Z$6),"NA"))))))</f>
        <v/>
      </c>
      <c r="U71" s="351"/>
      <c r="V71" s="44"/>
      <c r="W71" s="351"/>
      <c r="X71" s="348" t="str">
        <f t="shared" si="183"/>
        <v/>
      </c>
      <c r="Y71" s="349"/>
      <c r="Z71" s="44"/>
      <c r="AA71" s="84" t="str">
        <f t="shared" si="184"/>
        <v/>
      </c>
      <c r="AB71" s="84" t="str">
        <f t="shared" si="185"/>
        <v/>
      </c>
      <c r="AC71" s="84">
        <f t="shared" si="6"/>
        <v>0</v>
      </c>
      <c r="AD71" s="160" t="str">
        <f>IF($AJ$6="Indique Fecha Seguimiento","",IF(CRONOGRAMA!$E71="No Aplica","NA",IF($G71="","",IF(YEAR($G71)&lt;YEAR($AJ$6)," A ",IF(YEAR($G71)=YEAR($AJ$6),IF(MONTH($G71)&lt;=12," A ","NA"),IF(YEAR($G71)&gt;YEAR($AJ$6),"NA"))))))</f>
        <v/>
      </c>
      <c r="AE71" s="350"/>
      <c r="AF71" s="44"/>
      <c r="AG71" s="351"/>
      <c r="AH71" s="348" t="str">
        <f t="shared" si="186"/>
        <v/>
      </c>
      <c r="AI71" s="349"/>
      <c r="AJ71" s="44"/>
      <c r="AK71" s="81" t="str">
        <f t="shared" si="187"/>
        <v/>
      </c>
      <c r="AL71" s="84">
        <f t="shared" si="188"/>
        <v>0</v>
      </c>
      <c r="AM71" s="84">
        <f t="shared" si="10"/>
        <v>0</v>
      </c>
      <c r="AN71" s="592"/>
      <c r="AO71" s="602"/>
      <c r="AP71" s="603"/>
      <c r="AQ71" s="603"/>
      <c r="AR71" s="574"/>
      <c r="AS71" s="574"/>
      <c r="AT71" s="574"/>
      <c r="AU71" s="572"/>
      <c r="AV71" s="573"/>
      <c r="AW71" s="605"/>
      <c r="AX71">
        <f t="shared" si="199"/>
        <v>0</v>
      </c>
    </row>
    <row r="72" spans="1:50" ht="63" x14ac:dyDescent="0.25">
      <c r="A72" s="593" t="str">
        <f>CRONOGRAMA!A72</f>
        <v>22G</v>
      </c>
      <c r="B72" s="591" t="str">
        <f>CRONOGRAMA!B72</f>
        <v>Gestión Administrativa. Inseguridad en el campus</v>
      </c>
      <c r="C72" s="82" t="str">
        <f>IF('CONSOLIDACION DEL MAPA'!P72="","",'CONSOLIDACION DEL MAPA'!P72)</f>
        <v>Reducir</v>
      </c>
      <c r="D72" s="82" t="str">
        <f>CRONOGRAMA!D72</f>
        <v>Documento analisis de estado de la seguridad y falencias existentes.</v>
      </c>
      <c r="E72" s="132" t="str">
        <f>IF(CRONOGRAMA!F72="", "",CRONOGRAMA!F72)</f>
        <v>Documento analisis</v>
      </c>
      <c r="F72" s="132">
        <f>IF(CRONOGRAMA!G72="", "",CRONOGRAMA!G72)</f>
        <v>1</v>
      </c>
      <c r="G72" s="128">
        <f>IF(CRONOGRAMA!H72="", "",CRONOGRAMA!H72)</f>
        <v>42371</v>
      </c>
      <c r="H72" s="128">
        <f>IF(CRONOGRAMA!I72="", "",CRONOGRAMA!I72)</f>
        <v>42735</v>
      </c>
      <c r="I72" s="84">
        <f t="shared" si="179"/>
        <v>52</v>
      </c>
      <c r="J72" s="160" t="str">
        <f>IF($P$6="Indique Fecha Seguimiento","",IF(CRONOGRAMA!$E72="No Aplica","NA",IF($G72="","",IF(YEAR($G72)&lt;YEAR($P$6)," A ",IF(YEAR($G72)=YEAR($P$6),IF(MONTH($G72)&lt;=4," A ","NA"),IF(YEAR($G72)&gt;YEAR($P$6),"NA"))))))</f>
        <v xml:space="preserve"> A </v>
      </c>
      <c r="K72" s="400">
        <v>0.05</v>
      </c>
      <c r="L72" s="401" t="s">
        <v>891</v>
      </c>
      <c r="M72" s="400">
        <v>0</v>
      </c>
      <c r="N72" s="348">
        <f t="shared" si="180"/>
        <v>0</v>
      </c>
      <c r="O72" s="349" t="s">
        <v>353</v>
      </c>
      <c r="P72" s="44" t="s">
        <v>914</v>
      </c>
      <c r="Q72" s="84">
        <f t="shared" si="181"/>
        <v>0</v>
      </c>
      <c r="R72" s="84">
        <f t="shared" si="182"/>
        <v>0</v>
      </c>
      <c r="S72" s="84">
        <f t="shared" si="3"/>
        <v>52</v>
      </c>
      <c r="T72" s="160" t="str">
        <f>IF($Z$6="Indique Fecha Seguimiento","",IF(CRONOGRAMA!$E72="No Aplica","NA",IF($G72="","",IF(YEAR($G72)&lt;YEAR($Z$6)," A ",IF(YEAR($G72)=YEAR($Z$6),IF(MONTH($G72)&lt;=8," A ","NA"),IF(YEAR($G72)&gt;YEAR($Z$6),"NA"))))))</f>
        <v xml:space="preserve"> A </v>
      </c>
      <c r="U72" s="410">
        <v>0.1</v>
      </c>
      <c r="V72" s="401" t="s">
        <v>891</v>
      </c>
      <c r="W72" s="351">
        <v>0.1</v>
      </c>
      <c r="X72" s="348">
        <f t="shared" si="183"/>
        <v>0.1</v>
      </c>
      <c r="Y72" s="349" t="s">
        <v>353</v>
      </c>
      <c r="Z72" s="402" t="str">
        <f>V72</f>
        <v>Detección de falencias y puntos de mejora en el sistema de seguridad</v>
      </c>
      <c r="AA72" s="84">
        <f t="shared" si="184"/>
        <v>5.2</v>
      </c>
      <c r="AB72" s="84">
        <f t="shared" si="185"/>
        <v>5.2</v>
      </c>
      <c r="AC72" s="84">
        <f t="shared" si="6"/>
        <v>52</v>
      </c>
      <c r="AD72" s="160" t="str">
        <f>IF($AJ$6="Indique Fecha Seguimiento","",IF(CRONOGRAMA!$E72="No Aplica","NA",IF($G72="","",IF(YEAR($G72)&lt;YEAR($AJ$6)," A ",IF(YEAR($G72)=YEAR($AJ$6),IF(MONTH($G72)&lt;=12," A ","NA"),IF(YEAR($G72)&gt;YEAR($AJ$6),"NA"))))))</f>
        <v/>
      </c>
      <c r="AE72" s="350"/>
      <c r="AF72" s="44"/>
      <c r="AG72" s="351"/>
      <c r="AH72" s="348" t="str">
        <f t="shared" si="186"/>
        <v/>
      </c>
      <c r="AI72" s="349"/>
      <c r="AJ72" s="44"/>
      <c r="AK72" s="81" t="str">
        <f t="shared" si="187"/>
        <v/>
      </c>
      <c r="AL72" s="84">
        <f t="shared" si="188"/>
        <v>0</v>
      </c>
      <c r="AM72" s="84">
        <f t="shared" si="10"/>
        <v>52</v>
      </c>
      <c r="AN72" s="592">
        <f t="shared" ref="AN72" si="230">SUM(I72:I74)</f>
        <v>104</v>
      </c>
      <c r="AO72" s="602">
        <f t="shared" ref="AO72" si="231">IF(AND(Q72="",Q73="",Q74=""),"",SUM(Q72:Q74))</f>
        <v>0</v>
      </c>
      <c r="AP72" s="603">
        <f t="shared" ref="AP72" si="232">IF(AND(AA72="",AA73="",AA74=""),"",SUM(AA72:AA74))</f>
        <v>22.533333333333331</v>
      </c>
      <c r="AQ72" s="603" t="str">
        <f t="shared" ref="AQ72" si="233">IF(AND(AK72="",AK73="",AK74=""),"",SUM(AK72:AK74))</f>
        <v/>
      </c>
      <c r="AR72" s="574">
        <f t="shared" ref="AR72" si="234">IF(AO72="",IF($AU$6&lt;1,"",IF($AU$6&gt;=1,"NA")),IF(AO72=0,0,AO72/$AN72))</f>
        <v>0</v>
      </c>
      <c r="AS72" s="574">
        <f t="shared" ref="AS72" si="235">IF(AP72="",IF($AU$6&lt;2,"",IF($AU$6&gt;=2,"NA")),IF(AP72=0,0,AP72/$AN72))</f>
        <v>0.21666666666666665</v>
      </c>
      <c r="AT72" s="574">
        <f t="shared" ref="AT72" si="236">IF(AS72&gt;=AR72,AS72,AR72)</f>
        <v>0.21666666666666665</v>
      </c>
      <c r="AU72" s="572" t="str">
        <f t="shared" ref="AU72" si="237">IF(AQ72="",IF($AU$6&lt;3,"",IF($AU$6&gt;=3,"NA")),IF(AQ72=0,0,AQ72/$AN72))</f>
        <v/>
      </c>
      <c r="AV72" s="573">
        <f t="shared" ref="AV72" si="238">IF($AU$6=1,AR72,IF($AU$6=2,AS72,IF($AU$6=3,AU72,"")))</f>
        <v>0.21666666666666665</v>
      </c>
      <c r="AW72" s="605">
        <f t="shared" ref="AW72" si="239">AV72</f>
        <v>0.21666666666666665</v>
      </c>
      <c r="AX72" t="str">
        <f t="shared" si="199"/>
        <v>Detección de falencias y puntos de mejora en el sistema de seguridad</v>
      </c>
    </row>
    <row r="73" spans="1:50" ht="76.5" x14ac:dyDescent="0.25">
      <c r="A73" s="593"/>
      <c r="B73" s="591"/>
      <c r="C73" s="82" t="str">
        <f>IF('CONSOLIDACION DEL MAPA'!P73="","",'CONSOLIDACION DEL MAPA'!P73)</f>
        <v>Reducir</v>
      </c>
      <c r="D73" s="82" t="str">
        <f>CRONOGRAMA!D73</f>
        <v>Gestionar compra de PDA, construccion de la sala de monitoreo y contratacion de responsable de monitoreo.</v>
      </c>
      <c r="E73" s="132" t="str">
        <f>IF(CRONOGRAMA!F73="", "",CRONOGRAMA!F73)</f>
        <v>PDA, sala de monitoreo</v>
      </c>
      <c r="F73" s="132">
        <f>IF(CRONOGRAMA!G73="", "",CRONOGRAMA!G73)</f>
        <v>3</v>
      </c>
      <c r="G73" s="128">
        <f>IF(CRONOGRAMA!H73="", "",CRONOGRAMA!H73)</f>
        <v>42371</v>
      </c>
      <c r="H73" s="128">
        <f>IF(CRONOGRAMA!I73="", "",CRONOGRAMA!I73)</f>
        <v>42735</v>
      </c>
      <c r="I73" s="84">
        <f t="shared" si="179"/>
        <v>52</v>
      </c>
      <c r="J73" s="160" t="str">
        <f>IF($P$6="Indique Fecha Seguimiento","",IF(CRONOGRAMA!$E73="No Aplica","NA",IF($G73="","",IF(YEAR($G73)&lt;YEAR($P$6)," A ",IF(YEAR($G73)=YEAR($P$6),IF(MONTH($G73)&lt;=4," A ","NA"),IF(YEAR($G73)&gt;YEAR($P$6),"NA"))))))</f>
        <v xml:space="preserve"> A </v>
      </c>
      <c r="K73" s="400">
        <v>0</v>
      </c>
      <c r="L73" s="401"/>
      <c r="M73" s="400">
        <v>0</v>
      </c>
      <c r="N73" s="348">
        <f t="shared" si="180"/>
        <v>0</v>
      </c>
      <c r="O73" s="349" t="s">
        <v>353</v>
      </c>
      <c r="P73" s="44"/>
      <c r="Q73" s="84">
        <f t="shared" si="181"/>
        <v>0</v>
      </c>
      <c r="R73" s="84">
        <f t="shared" si="182"/>
        <v>0</v>
      </c>
      <c r="S73" s="84">
        <f t="shared" si="3"/>
        <v>52</v>
      </c>
      <c r="T73" s="160" t="str">
        <f>IF($Z$6="Indique Fecha Seguimiento","",IF(CRONOGRAMA!$E73="No Aplica","NA",IF($G73="","",IF(YEAR($G73)&lt;YEAR($Z$6)," A ",IF(YEAR($G73)=YEAR($Z$6),IF(MONTH($G73)&lt;=8," A ","NA"),IF(YEAR($G73)&gt;YEAR($Z$6),"NA"))))))</f>
        <v xml:space="preserve"> A </v>
      </c>
      <c r="U73" s="410">
        <v>0.3</v>
      </c>
      <c r="V73" s="402" t="s">
        <v>935</v>
      </c>
      <c r="W73" s="351">
        <v>1</v>
      </c>
      <c r="X73" s="348">
        <f t="shared" si="183"/>
        <v>0.33333333333333331</v>
      </c>
      <c r="Y73" s="349" t="s">
        <v>353</v>
      </c>
      <c r="Z73" s="402" t="s">
        <v>936</v>
      </c>
      <c r="AA73" s="84">
        <f t="shared" si="184"/>
        <v>17.333333333333332</v>
      </c>
      <c r="AB73" s="84">
        <f t="shared" si="185"/>
        <v>17.333333333333332</v>
      </c>
      <c r="AC73" s="84">
        <f t="shared" si="6"/>
        <v>52</v>
      </c>
      <c r="AD73" s="160" t="str">
        <f>IF($AJ$6="Indique Fecha Seguimiento","",IF(CRONOGRAMA!$E73="No Aplica","NA",IF($G73="","",IF(YEAR($G73)&lt;YEAR($AJ$6)," A ",IF(YEAR($G73)=YEAR($AJ$6),IF(MONTH($G73)&lt;=12," A ","NA"),IF(YEAR($G73)&gt;YEAR($AJ$6),"NA"))))))</f>
        <v/>
      </c>
      <c r="AE73" s="350"/>
      <c r="AF73" s="44"/>
      <c r="AG73" s="351"/>
      <c r="AH73" s="348" t="str">
        <f t="shared" si="186"/>
        <v/>
      </c>
      <c r="AI73" s="349"/>
      <c r="AJ73" s="44"/>
      <c r="AK73" s="81" t="str">
        <f t="shared" si="187"/>
        <v/>
      </c>
      <c r="AL73" s="84">
        <f t="shared" si="188"/>
        <v>0</v>
      </c>
      <c r="AM73" s="84">
        <f t="shared" si="10"/>
        <v>52</v>
      </c>
      <c r="AN73" s="592"/>
      <c r="AO73" s="602"/>
      <c r="AP73" s="603"/>
      <c r="AQ73" s="603"/>
      <c r="AR73" s="574"/>
      <c r="AS73" s="574"/>
      <c r="AT73" s="574"/>
      <c r="AU73" s="572"/>
      <c r="AV73" s="573"/>
      <c r="AW73" s="605"/>
      <c r="AX73" t="str">
        <f t="shared" si="199"/>
        <v>Funcionamiento del sistema de control de acceso</v>
      </c>
    </row>
    <row r="74" spans="1:50" ht="15.75" x14ac:dyDescent="0.25">
      <c r="A74" s="593"/>
      <c r="B74" s="591"/>
      <c r="C74" s="82" t="str">
        <f>IF('CONSOLIDACION DEL MAPA'!P74="","",'CONSOLIDACION DEL MAPA'!P74)</f>
        <v/>
      </c>
      <c r="D74" s="82" t="str">
        <f>CRONOGRAMA!D74</f>
        <v/>
      </c>
      <c r="E74" s="132" t="str">
        <f>IF(CRONOGRAMA!F74="", "",CRONOGRAMA!F74)</f>
        <v/>
      </c>
      <c r="F74" s="132" t="str">
        <f>IF(CRONOGRAMA!G74="", "",CRONOGRAMA!G74)</f>
        <v/>
      </c>
      <c r="G74" s="128" t="str">
        <f>IF(CRONOGRAMA!H74="", "",CRONOGRAMA!H74)</f>
        <v/>
      </c>
      <c r="H74" s="128" t="str">
        <f>IF(CRONOGRAMA!I74="", "",CRONOGRAMA!I74)</f>
        <v/>
      </c>
      <c r="I74" s="84">
        <f t="shared" si="179"/>
        <v>0</v>
      </c>
      <c r="J74" s="160" t="str">
        <f>IF($P$6="Indique Fecha Seguimiento","",IF(CRONOGRAMA!$E74="No Aplica","NA",IF($G74="","",IF(YEAR($G74)&lt;YEAR($P$6)," A ",IF(YEAR($G74)=YEAR($P$6),IF(MONTH($G74)&lt;=4," A ","NA"),IF(YEAR($G74)&gt;YEAR($P$6),"NA"))))))</f>
        <v/>
      </c>
      <c r="K74" s="400"/>
      <c r="L74" s="401"/>
      <c r="M74" s="400"/>
      <c r="N74" s="348" t="str">
        <f t="shared" si="180"/>
        <v/>
      </c>
      <c r="O74" s="349"/>
      <c r="P74" s="44"/>
      <c r="Q74" s="84" t="str">
        <f t="shared" si="181"/>
        <v/>
      </c>
      <c r="R74" s="84" t="str">
        <f t="shared" si="182"/>
        <v/>
      </c>
      <c r="S74" s="84">
        <f t="shared" ref="S74:S92" si="240">$I74</f>
        <v>0</v>
      </c>
      <c r="T74" s="160" t="str">
        <f>IF($Z$6="Indique Fecha Seguimiento","",IF(CRONOGRAMA!$E74="No Aplica","NA",IF($G74="","",IF(YEAR($G74)&lt;YEAR($Z$6)," A ",IF(YEAR($G74)=YEAR($Z$6),IF(MONTH($G74)&lt;=8," A ","NA"),IF(YEAR($G74)&gt;YEAR($Z$6),"NA"))))))</f>
        <v/>
      </c>
      <c r="U74" s="351"/>
      <c r="V74" s="44"/>
      <c r="W74" s="351"/>
      <c r="X74" s="348" t="str">
        <f t="shared" si="183"/>
        <v/>
      </c>
      <c r="Y74" s="349"/>
      <c r="Z74" s="44"/>
      <c r="AA74" s="84" t="str">
        <f t="shared" si="184"/>
        <v/>
      </c>
      <c r="AB74" s="84" t="str">
        <f t="shared" si="185"/>
        <v/>
      </c>
      <c r="AC74" s="84">
        <f t="shared" ref="AC74:AC92" si="241">$I74</f>
        <v>0</v>
      </c>
      <c r="AD74" s="160" t="str">
        <f>IF($AJ$6="Indique Fecha Seguimiento","",IF(CRONOGRAMA!$E74="No Aplica","NA",IF($G74="","",IF(YEAR($G74)&lt;YEAR($AJ$6)," A ",IF(YEAR($G74)=YEAR($AJ$6),IF(MONTH($G74)&lt;=12," A ","NA"),IF(YEAR($G74)&gt;YEAR($AJ$6),"NA"))))))</f>
        <v/>
      </c>
      <c r="AE74" s="350"/>
      <c r="AF74" s="44"/>
      <c r="AG74" s="351"/>
      <c r="AH74" s="348" t="str">
        <f t="shared" si="186"/>
        <v/>
      </c>
      <c r="AI74" s="349"/>
      <c r="AJ74" s="44"/>
      <c r="AK74" s="81" t="str">
        <f t="shared" si="187"/>
        <v/>
      </c>
      <c r="AL74" s="84">
        <f t="shared" si="188"/>
        <v>0</v>
      </c>
      <c r="AM74" s="84">
        <f t="shared" ref="AM74:AM92" si="242">$I74</f>
        <v>0</v>
      </c>
      <c r="AN74" s="592"/>
      <c r="AO74" s="602"/>
      <c r="AP74" s="603"/>
      <c r="AQ74" s="603"/>
      <c r="AR74" s="574"/>
      <c r="AS74" s="574"/>
      <c r="AT74" s="574"/>
      <c r="AU74" s="572"/>
      <c r="AV74" s="573"/>
      <c r="AW74" s="605"/>
      <c r="AX74">
        <f t="shared" si="199"/>
        <v>0</v>
      </c>
    </row>
    <row r="75" spans="1:50" ht="153.75" x14ac:dyDescent="0.25">
      <c r="A75" s="593" t="str">
        <f>CRONOGRAMA!A75</f>
        <v>23G</v>
      </c>
      <c r="B75" s="591" t="str">
        <f>CRONOGRAMA!B75</f>
        <v>Gestión Administrativa. Inadecuado gestión de los residuos</v>
      </c>
      <c r="C75" s="82" t="str">
        <f>IF('CONSOLIDACION DEL MAPA'!P75="","",'CONSOLIDACION DEL MAPA'!P75)</f>
        <v>Reducir</v>
      </c>
      <c r="D75" s="82" t="str">
        <f>CRONOGRAMA!D75</f>
        <v>Seguimiento de PGIR</v>
      </c>
      <c r="E75" s="132" t="str">
        <f>IF(CRONOGRAMA!F75="", "",CRONOGRAMA!F75)</f>
        <v>Informe de gestión</v>
      </c>
      <c r="F75" s="132">
        <f>IF(CRONOGRAMA!G75="", "",CRONOGRAMA!G75)</f>
        <v>1</v>
      </c>
      <c r="G75" s="128">
        <f>IF(CRONOGRAMA!H75="", "",CRONOGRAMA!H75)</f>
        <v>42371</v>
      </c>
      <c r="H75" s="128">
        <f>IF(CRONOGRAMA!I75="", "",CRONOGRAMA!I75)</f>
        <v>42735</v>
      </c>
      <c r="I75" s="84">
        <f t="shared" si="179"/>
        <v>52</v>
      </c>
      <c r="J75" s="160" t="str">
        <f>IF($P$6="Indique Fecha Seguimiento","",IF(CRONOGRAMA!$E75="No Aplica","NA",IF($G75="","",IF(YEAR($G75)&lt;YEAR($P$6)," A ",IF(YEAR($G75)=YEAR($P$6),IF(MONTH($G75)&lt;=4," A ","NA"),IF(YEAR($G75)&gt;YEAR($P$6),"NA"))))))</f>
        <v xml:space="preserve"> A </v>
      </c>
      <c r="K75" s="400">
        <v>40</v>
      </c>
      <c r="L75" s="401" t="s">
        <v>892</v>
      </c>
      <c r="M75" s="400">
        <v>0</v>
      </c>
      <c r="N75" s="348">
        <f t="shared" si="180"/>
        <v>0</v>
      </c>
      <c r="O75" s="349" t="s">
        <v>353</v>
      </c>
      <c r="P75" s="44" t="s">
        <v>915</v>
      </c>
      <c r="Q75" s="84">
        <f t="shared" si="181"/>
        <v>0</v>
      </c>
      <c r="R75" s="84">
        <f t="shared" si="182"/>
        <v>0</v>
      </c>
      <c r="S75" s="84">
        <f t="shared" si="240"/>
        <v>52</v>
      </c>
      <c r="T75" s="160" t="str">
        <f>IF($Z$6="Indique Fecha Seguimiento","",IF(CRONOGRAMA!$E75="No Aplica","NA",IF($G75="","",IF(YEAR($G75)&lt;YEAR($Z$6)," A ",IF(YEAR($G75)=YEAR($Z$6),IF(MONTH($G75)&lt;=8," A ","NA"),IF(YEAR($G75)&gt;YEAR($Z$6),"NA"))))))</f>
        <v xml:space="preserve"> A </v>
      </c>
      <c r="U75" s="410">
        <v>0.5</v>
      </c>
      <c r="V75" s="411" t="s">
        <v>937</v>
      </c>
      <c r="W75" s="351">
        <v>0.5</v>
      </c>
      <c r="X75" s="348">
        <f t="shared" si="183"/>
        <v>0.5</v>
      </c>
      <c r="Y75" s="349" t="s">
        <v>353</v>
      </c>
      <c r="Z75" s="402" t="s">
        <v>938</v>
      </c>
      <c r="AA75" s="84">
        <f t="shared" si="184"/>
        <v>26</v>
      </c>
      <c r="AB75" s="84">
        <f t="shared" si="185"/>
        <v>26</v>
      </c>
      <c r="AC75" s="84">
        <f t="shared" si="241"/>
        <v>52</v>
      </c>
      <c r="AD75" s="160" t="str">
        <f>IF($AJ$6="Indique Fecha Seguimiento","",IF(CRONOGRAMA!$E75="No Aplica","NA",IF($G75="","",IF(YEAR($G75)&lt;YEAR($AJ$6)," A ",IF(YEAR($G75)=YEAR($AJ$6),IF(MONTH($G75)&lt;=12," A ","NA"),IF(YEAR($G75)&gt;YEAR($AJ$6),"NA"))))))</f>
        <v/>
      </c>
      <c r="AE75" s="350"/>
      <c r="AF75" s="44"/>
      <c r="AG75" s="351"/>
      <c r="AH75" s="348" t="str">
        <f t="shared" si="186"/>
        <v/>
      </c>
      <c r="AI75" s="349"/>
      <c r="AJ75" s="44"/>
      <c r="AK75" s="81" t="str">
        <f t="shared" si="187"/>
        <v/>
      </c>
      <c r="AL75" s="84">
        <f t="shared" si="188"/>
        <v>0</v>
      </c>
      <c r="AM75" s="84">
        <f t="shared" si="242"/>
        <v>52</v>
      </c>
      <c r="AN75" s="592">
        <f t="shared" ref="AN75" si="243">SUM(I75:I77)</f>
        <v>52</v>
      </c>
      <c r="AO75" s="602">
        <f t="shared" ref="AO75" si="244">IF(AND(Q75="",Q76="",Q77=""),"",SUM(Q75:Q77))</f>
        <v>0</v>
      </c>
      <c r="AP75" s="603">
        <f t="shared" ref="AP75" si="245">IF(AND(AA75="",AA76="",AA77=""),"",SUM(AA75:AA77))</f>
        <v>26</v>
      </c>
      <c r="AQ75" s="603" t="str">
        <f t="shared" ref="AQ75" si="246">IF(AND(AK75="",AK76="",AK77=""),"",SUM(AK75:AK77))</f>
        <v/>
      </c>
      <c r="AR75" s="574">
        <f t="shared" ref="AR75" si="247">IF(AO75="",IF($AU$6&lt;1,"",IF($AU$6&gt;=1,"NA")),IF(AO75=0,0,AO75/$AN75))</f>
        <v>0</v>
      </c>
      <c r="AS75" s="574">
        <f t="shared" ref="AS75" si="248">IF(AP75="",IF($AU$6&lt;2,"",IF($AU$6&gt;=2,"NA")),IF(AP75=0,0,AP75/$AN75))</f>
        <v>0.5</v>
      </c>
      <c r="AT75" s="574">
        <f t="shared" ref="AT75" si="249">IF(AS75&gt;=AR75,AS75,AR75)</f>
        <v>0.5</v>
      </c>
      <c r="AU75" s="572" t="str">
        <f t="shared" ref="AU75" si="250">IF(AQ75="",IF($AU$6&lt;3,"",IF($AU$6&gt;=3,"NA")),IF(AQ75=0,0,AQ75/$AN75))</f>
        <v/>
      </c>
      <c r="AV75" s="573">
        <f t="shared" ref="AV75" si="251">IF($AU$6=1,AR75,IF($AU$6=2,AS75,IF($AU$6=3,AU75,"")))</f>
        <v>0.5</v>
      </c>
      <c r="AW75" s="605">
        <f t="shared" ref="AW75" si="252">AV75</f>
        <v>0.5</v>
      </c>
      <c r="AX75" t="str">
        <f t="shared" si="199"/>
        <v>Realización de 2 capacitaciones, instalación de dispositivos y concesión de recoleccion de residuos</v>
      </c>
    </row>
    <row r="76" spans="1:50" ht="15.75" x14ac:dyDescent="0.25">
      <c r="A76" s="593"/>
      <c r="B76" s="591"/>
      <c r="C76" s="82" t="str">
        <f>IF('CONSOLIDACION DEL MAPA'!P76="","",'CONSOLIDACION DEL MAPA'!P76)</f>
        <v/>
      </c>
      <c r="D76" s="82" t="str">
        <f>CRONOGRAMA!D76</f>
        <v/>
      </c>
      <c r="E76" s="132" t="str">
        <f>IF(CRONOGRAMA!F76="", "",CRONOGRAMA!F76)</f>
        <v/>
      </c>
      <c r="F76" s="132" t="str">
        <f>IF(CRONOGRAMA!G76="", "",CRONOGRAMA!G76)</f>
        <v/>
      </c>
      <c r="G76" s="128" t="str">
        <f>IF(CRONOGRAMA!H76="", "",CRONOGRAMA!H76)</f>
        <v/>
      </c>
      <c r="H76" s="128" t="str">
        <f>IF(CRONOGRAMA!I76="", "",CRONOGRAMA!I76)</f>
        <v/>
      </c>
      <c r="I76" s="84">
        <f t="shared" si="179"/>
        <v>0</v>
      </c>
      <c r="J76" s="160" t="str">
        <f>IF($P$6="Indique Fecha Seguimiento","",IF(CRONOGRAMA!$E76="No Aplica","NA",IF($G76="","",IF(YEAR($G76)&lt;YEAR($P$6)," A ",IF(YEAR($G76)=YEAR($P$6),IF(MONTH($G76)&lt;=4," A ","NA"),IF(YEAR($G76)&gt;YEAR($P$6),"NA"))))))</f>
        <v/>
      </c>
      <c r="K76" s="400"/>
      <c r="L76" s="401"/>
      <c r="M76" s="400"/>
      <c r="N76" s="348" t="str">
        <f t="shared" si="180"/>
        <v/>
      </c>
      <c r="O76" s="349"/>
      <c r="P76" s="44"/>
      <c r="Q76" s="84" t="str">
        <f t="shared" si="181"/>
        <v/>
      </c>
      <c r="R76" s="84" t="str">
        <f t="shared" si="182"/>
        <v/>
      </c>
      <c r="S76" s="84">
        <f t="shared" si="240"/>
        <v>0</v>
      </c>
      <c r="T76" s="160" t="str">
        <f>IF($Z$6="Indique Fecha Seguimiento","",IF(CRONOGRAMA!$E76="No Aplica","NA",IF($G76="","",IF(YEAR($G76)&lt;YEAR($Z$6)," A ",IF(YEAR($G76)=YEAR($Z$6),IF(MONTH($G76)&lt;=8," A ","NA"),IF(YEAR($G76)&gt;YEAR($Z$6),"NA"))))))</f>
        <v/>
      </c>
      <c r="U76" s="351"/>
      <c r="V76" s="44"/>
      <c r="W76" s="351"/>
      <c r="X76" s="348" t="str">
        <f t="shared" si="183"/>
        <v/>
      </c>
      <c r="Y76" s="349"/>
      <c r="Z76" s="44"/>
      <c r="AA76" s="84" t="str">
        <f t="shared" si="184"/>
        <v/>
      </c>
      <c r="AB76" s="84" t="str">
        <f t="shared" si="185"/>
        <v/>
      </c>
      <c r="AC76" s="84">
        <f t="shared" si="241"/>
        <v>0</v>
      </c>
      <c r="AD76" s="160" t="str">
        <f>IF($AJ$6="Indique Fecha Seguimiento","",IF(CRONOGRAMA!$E76="No Aplica","NA",IF($G76="","",IF(YEAR($G76)&lt;YEAR($AJ$6)," A ",IF(YEAR($G76)=YEAR($AJ$6),IF(MONTH($G76)&lt;=12," A ","NA"),IF(YEAR($G76)&gt;YEAR($AJ$6),"NA"))))))</f>
        <v/>
      </c>
      <c r="AE76" s="350"/>
      <c r="AF76" s="44"/>
      <c r="AG76" s="351"/>
      <c r="AH76" s="348" t="str">
        <f t="shared" si="186"/>
        <v/>
      </c>
      <c r="AI76" s="349"/>
      <c r="AJ76" s="44"/>
      <c r="AK76" s="81" t="str">
        <f t="shared" si="187"/>
        <v/>
      </c>
      <c r="AL76" s="84">
        <f t="shared" si="188"/>
        <v>0</v>
      </c>
      <c r="AM76" s="84">
        <f t="shared" si="242"/>
        <v>0</v>
      </c>
      <c r="AN76" s="592"/>
      <c r="AO76" s="602"/>
      <c r="AP76" s="603"/>
      <c r="AQ76" s="603"/>
      <c r="AR76" s="574"/>
      <c r="AS76" s="574"/>
      <c r="AT76" s="574"/>
      <c r="AU76" s="572"/>
      <c r="AV76" s="573"/>
      <c r="AW76" s="605"/>
      <c r="AX76">
        <f t="shared" si="199"/>
        <v>0</v>
      </c>
    </row>
    <row r="77" spans="1:50" ht="15.75" x14ac:dyDescent="0.25">
      <c r="A77" s="593"/>
      <c r="B77" s="591"/>
      <c r="C77" s="82" t="str">
        <f>IF('CONSOLIDACION DEL MAPA'!P77="","",'CONSOLIDACION DEL MAPA'!P77)</f>
        <v/>
      </c>
      <c r="D77" s="82" t="str">
        <f>CRONOGRAMA!D77</f>
        <v/>
      </c>
      <c r="E77" s="132" t="str">
        <f>IF(CRONOGRAMA!F77="", "",CRONOGRAMA!F77)</f>
        <v/>
      </c>
      <c r="F77" s="132" t="str">
        <f>IF(CRONOGRAMA!G77="", "",CRONOGRAMA!G77)</f>
        <v/>
      </c>
      <c r="G77" s="128" t="str">
        <f>IF(CRONOGRAMA!H77="", "",CRONOGRAMA!H77)</f>
        <v/>
      </c>
      <c r="H77" s="128" t="str">
        <f>IF(CRONOGRAMA!I77="", "",CRONOGRAMA!I77)</f>
        <v/>
      </c>
      <c r="I77" s="84">
        <f t="shared" si="179"/>
        <v>0</v>
      </c>
      <c r="J77" s="160" t="str">
        <f>IF($P$6="Indique Fecha Seguimiento","",IF(CRONOGRAMA!$E77="No Aplica","NA",IF($G77="","",IF(YEAR($G77)&lt;YEAR($P$6)," A ",IF(YEAR($G77)=YEAR($P$6),IF(MONTH($G77)&lt;=4," A ","NA"),IF(YEAR($G77)&gt;YEAR($P$6),"NA"))))))</f>
        <v/>
      </c>
      <c r="K77" s="400"/>
      <c r="L77" s="401"/>
      <c r="M77" s="400"/>
      <c r="N77" s="348" t="str">
        <f t="shared" si="180"/>
        <v/>
      </c>
      <c r="O77" s="349"/>
      <c r="P77" s="44"/>
      <c r="Q77" s="84" t="str">
        <f t="shared" si="181"/>
        <v/>
      </c>
      <c r="R77" s="84" t="str">
        <f t="shared" si="182"/>
        <v/>
      </c>
      <c r="S77" s="84">
        <f t="shared" si="240"/>
        <v>0</v>
      </c>
      <c r="T77" s="160" t="str">
        <f>IF($Z$6="Indique Fecha Seguimiento","",IF(CRONOGRAMA!$E77="No Aplica","NA",IF($G77="","",IF(YEAR($G77)&lt;YEAR($Z$6)," A ",IF(YEAR($G77)=YEAR($Z$6),IF(MONTH($G77)&lt;=8," A ","NA"),IF(YEAR($G77)&gt;YEAR($Z$6),"NA"))))))</f>
        <v/>
      </c>
      <c r="U77" s="351"/>
      <c r="V77" s="44"/>
      <c r="W77" s="351"/>
      <c r="X77" s="348" t="str">
        <f t="shared" si="183"/>
        <v/>
      </c>
      <c r="Y77" s="349"/>
      <c r="Z77" s="44"/>
      <c r="AA77" s="84" t="str">
        <f t="shared" si="184"/>
        <v/>
      </c>
      <c r="AB77" s="84" t="str">
        <f t="shared" si="185"/>
        <v/>
      </c>
      <c r="AC77" s="84">
        <f t="shared" si="241"/>
        <v>0</v>
      </c>
      <c r="AD77" s="160" t="str">
        <f>IF($AJ$6="Indique Fecha Seguimiento","",IF(CRONOGRAMA!$E77="No Aplica","NA",IF($G77="","",IF(YEAR($G77)&lt;YEAR($AJ$6)," A ",IF(YEAR($G77)=YEAR($AJ$6),IF(MONTH($G77)&lt;=12," A ","NA"),IF(YEAR($G77)&gt;YEAR($AJ$6),"NA"))))))</f>
        <v/>
      </c>
      <c r="AE77" s="350"/>
      <c r="AF77" s="44"/>
      <c r="AG77" s="351"/>
      <c r="AH77" s="348" t="str">
        <f t="shared" si="186"/>
        <v/>
      </c>
      <c r="AI77" s="349"/>
      <c r="AJ77" s="44"/>
      <c r="AK77" s="81" t="str">
        <f t="shared" si="187"/>
        <v/>
      </c>
      <c r="AL77" s="84">
        <f t="shared" si="188"/>
        <v>0</v>
      </c>
      <c r="AM77" s="84">
        <f t="shared" si="242"/>
        <v>0</v>
      </c>
      <c r="AN77" s="592"/>
      <c r="AO77" s="602"/>
      <c r="AP77" s="603"/>
      <c r="AQ77" s="603"/>
      <c r="AR77" s="574"/>
      <c r="AS77" s="574"/>
      <c r="AT77" s="574"/>
      <c r="AU77" s="572"/>
      <c r="AV77" s="573"/>
      <c r="AW77" s="605"/>
      <c r="AX77">
        <f t="shared" si="199"/>
        <v>0</v>
      </c>
    </row>
    <row r="78" spans="1:50" ht="102" x14ac:dyDescent="0.25">
      <c r="A78" s="593" t="str">
        <f>CRONOGRAMA!A78</f>
        <v>24G</v>
      </c>
      <c r="B78" s="591" t="str">
        <f>CRONOGRAMA!B78</f>
        <v>Gestión del Talento Humano. Deficiente desempeño laboral de los funcionarios de la Universidad.</v>
      </c>
      <c r="C78" s="82" t="str">
        <f>IF('CONSOLIDACION DEL MAPA'!P78="","",'CONSOLIDACION DEL MAPA'!P78)</f>
        <v>Reducir</v>
      </c>
      <c r="D78" s="82" t="str">
        <f>CRONOGRAMA!D78</f>
        <v>Adquirir y aplicar herramientas para evaluar las competencias laborales de los servidores públicos.</v>
      </c>
      <c r="E78" s="132" t="str">
        <f>IF(CRONOGRAMA!F78="", "",CRONOGRAMA!F78)</f>
        <v xml:space="preserve">Adquisición y aplicación de herramientas de evaluación por competencias / Informe Resultados </v>
      </c>
      <c r="F78" s="132">
        <f>IF(CRONOGRAMA!G78="", "",CRONOGRAMA!G78)</f>
        <v>2</v>
      </c>
      <c r="G78" s="128">
        <f>IF(CRONOGRAMA!H78="", "",CRONOGRAMA!H78)</f>
        <v>42401</v>
      </c>
      <c r="H78" s="128">
        <f>IF(CRONOGRAMA!I78="", "",CRONOGRAMA!I78)</f>
        <v>42735</v>
      </c>
      <c r="I78" s="84">
        <f t="shared" si="179"/>
        <v>47.714285714285715</v>
      </c>
      <c r="J78" s="160" t="str">
        <f>IF($P$6="Indique Fecha Seguimiento","",IF(CRONOGRAMA!$E78="No Aplica","NA",IF($G78="","",IF(YEAR($G78)&lt;YEAR($P$6)," A ",IF(YEAR($G78)=YEAR($P$6),IF(MONTH($G78)&lt;=4," A ","NA"),IF(YEAR($G78)&gt;YEAR($P$6),"NA"))))))</f>
        <v xml:space="preserve"> A </v>
      </c>
      <c r="K78" s="400">
        <v>0.05</v>
      </c>
      <c r="L78" s="401" t="s">
        <v>893</v>
      </c>
      <c r="M78" s="400">
        <v>0</v>
      </c>
      <c r="N78" s="348">
        <f t="shared" si="180"/>
        <v>0</v>
      </c>
      <c r="O78" s="349" t="s">
        <v>353</v>
      </c>
      <c r="P78" s="44" t="s">
        <v>916</v>
      </c>
      <c r="Q78" s="84">
        <f t="shared" si="181"/>
        <v>0</v>
      </c>
      <c r="R78" s="84">
        <f t="shared" si="182"/>
        <v>0</v>
      </c>
      <c r="S78" s="84">
        <f t="shared" si="240"/>
        <v>47.714285714285715</v>
      </c>
      <c r="T78" s="160" t="str">
        <f>IF($Z$6="Indique Fecha Seguimiento","",IF(CRONOGRAMA!$E78="No Aplica","NA",IF($G78="","",IF(YEAR($G78)&lt;YEAR($Z$6)," A ",IF(YEAR($G78)=YEAR($Z$6),IF(MONTH($G78)&lt;=8," A ","NA"),IF(YEAR($G78)&gt;YEAR($Z$6),"NA"))))))</f>
        <v xml:space="preserve"> A </v>
      </c>
      <c r="U78" s="414">
        <v>0.2</v>
      </c>
      <c r="V78" s="415" t="s">
        <v>945</v>
      </c>
      <c r="W78" s="351">
        <v>0.2</v>
      </c>
      <c r="X78" s="348">
        <f t="shared" si="183"/>
        <v>0.1</v>
      </c>
      <c r="Y78" s="349" t="s">
        <v>353</v>
      </c>
      <c r="Z78" s="44" t="s">
        <v>947</v>
      </c>
      <c r="AA78" s="84">
        <f t="shared" si="184"/>
        <v>4.7714285714285714</v>
      </c>
      <c r="AB78" s="84">
        <f t="shared" si="185"/>
        <v>4.7714285714285714</v>
      </c>
      <c r="AC78" s="84">
        <f t="shared" si="241"/>
        <v>47.714285714285715</v>
      </c>
      <c r="AD78" s="160" t="str">
        <f>IF($AJ$6="Indique Fecha Seguimiento","",IF(CRONOGRAMA!$E78="No Aplica","NA",IF($G78="","",IF(YEAR($G78)&lt;YEAR($AJ$6)," A ",IF(YEAR($G78)=YEAR($AJ$6),IF(MONTH($G78)&lt;=12," A ","NA"),IF(YEAR($G78)&gt;YEAR($AJ$6),"NA"))))))</f>
        <v/>
      </c>
      <c r="AE78" s="350"/>
      <c r="AF78" s="44"/>
      <c r="AG78" s="351"/>
      <c r="AH78" s="348" t="str">
        <f t="shared" si="186"/>
        <v/>
      </c>
      <c r="AI78" s="349"/>
      <c r="AJ78" s="44"/>
      <c r="AK78" s="81" t="str">
        <f t="shared" si="187"/>
        <v/>
      </c>
      <c r="AL78" s="84">
        <f t="shared" si="188"/>
        <v>0</v>
      </c>
      <c r="AM78" s="84">
        <f t="shared" si="242"/>
        <v>47.714285714285715</v>
      </c>
      <c r="AN78" s="592">
        <f t="shared" ref="AN78" si="253">SUM(I78:I80)</f>
        <v>95.428571428571431</v>
      </c>
      <c r="AO78" s="602">
        <f t="shared" ref="AO78" si="254">IF(AND(Q78="",Q79="",Q80=""),"",SUM(Q78:Q80))</f>
        <v>0</v>
      </c>
      <c r="AP78" s="603">
        <f t="shared" ref="AP78" si="255">IF(AND(AA78="",AA79="",AA80=""),"",SUM(AA78:AA80))</f>
        <v>42.942857142857143</v>
      </c>
      <c r="AQ78" s="603" t="str">
        <f t="shared" ref="AQ78" si="256">IF(AND(AK78="",AK79="",AK80=""),"",SUM(AK78:AK80))</f>
        <v/>
      </c>
      <c r="AR78" s="574">
        <f t="shared" ref="AR78" si="257">IF(AO78="",IF($AU$6&lt;1,"",IF($AU$6&gt;=1,"NA")),IF(AO78=0,0,AO78/$AN78))</f>
        <v>0</v>
      </c>
      <c r="AS78" s="574">
        <f t="shared" ref="AS78" si="258">IF(AP78="",IF($AU$6&lt;2,"",IF($AU$6&gt;=2,"NA")),IF(AP78=0,0,AP78/$AN78))</f>
        <v>0.45</v>
      </c>
      <c r="AT78" s="574">
        <f t="shared" ref="AT78" si="259">IF(AS78&gt;=AR78,AS78,AR78)</f>
        <v>0.45</v>
      </c>
      <c r="AU78" s="572" t="str">
        <f t="shared" ref="AU78" si="260">IF(AQ78="",IF($AU$6&lt;3,"",IF($AU$6&gt;=3,"NA")),IF(AQ78=0,0,AQ78/$AN78))</f>
        <v/>
      </c>
      <c r="AV78" s="573">
        <f t="shared" ref="AV78" si="261">IF($AU$6=1,AR78,IF($AU$6=2,AS78,IF($AU$6=3,AU78,"")))</f>
        <v>0.45</v>
      </c>
      <c r="AW78" s="605">
        <f t="shared" ref="AW78" si="262">AV78</f>
        <v>0.45</v>
      </c>
      <c r="AX78" t="str">
        <f t="shared" si="199"/>
        <v>Ante el no cumplimiento de los lineamiento PEI, se requeriran nuevas propuestas a UNAL y CESA</v>
      </c>
    </row>
    <row r="79" spans="1:50" ht="67.5" x14ac:dyDescent="0.25">
      <c r="A79" s="593"/>
      <c r="B79" s="591"/>
      <c r="C79" s="82" t="str">
        <f>IF('CONSOLIDACION DEL MAPA'!P79="","",'CONSOLIDACION DEL MAPA'!P79)</f>
        <v>Reducir</v>
      </c>
      <c r="D79" s="82" t="str">
        <f>CRONOGRAMA!D79</f>
        <v>Elaboración y ejecución de un programa detallado de Inducción y/o 
Reinduccion.</v>
      </c>
      <c r="E79" s="132" t="str">
        <f>IF(CRONOGRAMA!F79="", "",CRONOGRAMA!F79)</f>
        <v>Informes de Inducción y Reinducción de los empleados</v>
      </c>
      <c r="F79" s="132">
        <f>IF(CRONOGRAMA!G79="", "",CRONOGRAMA!G79)</f>
        <v>1</v>
      </c>
      <c r="G79" s="128">
        <f>IF(CRONOGRAMA!H79="", "",CRONOGRAMA!H79)</f>
        <v>42401</v>
      </c>
      <c r="H79" s="128">
        <f>IF(CRONOGRAMA!I79="", "",CRONOGRAMA!I79)</f>
        <v>42735</v>
      </c>
      <c r="I79" s="84">
        <f t="shared" si="179"/>
        <v>47.714285714285715</v>
      </c>
      <c r="J79" s="160" t="str">
        <f>IF($P$6="Indique Fecha Seguimiento","",IF(CRONOGRAMA!$E79="No Aplica","NA",IF($G79="","",IF(YEAR($G79)&lt;YEAR($P$6)," A ",IF(YEAR($G79)=YEAR($P$6),IF(MONTH($G79)&lt;=4," A ","NA"),IF(YEAR($G79)&gt;YEAR($P$6),"NA"))))))</f>
        <v xml:space="preserve"> A </v>
      </c>
      <c r="K79" s="400">
        <v>0.1</v>
      </c>
      <c r="L79" s="401" t="s">
        <v>894</v>
      </c>
      <c r="M79" s="400">
        <v>0</v>
      </c>
      <c r="N79" s="348">
        <f t="shared" si="180"/>
        <v>0</v>
      </c>
      <c r="O79" s="349" t="s">
        <v>353</v>
      </c>
      <c r="P79" s="44" t="s">
        <v>917</v>
      </c>
      <c r="Q79" s="84">
        <f t="shared" si="181"/>
        <v>0</v>
      </c>
      <c r="R79" s="84">
        <f t="shared" si="182"/>
        <v>0</v>
      </c>
      <c r="S79" s="84">
        <f t="shared" si="240"/>
        <v>47.714285714285715</v>
      </c>
      <c r="T79" s="160" t="str">
        <f>IF($Z$6="Indique Fecha Seguimiento","",IF(CRONOGRAMA!$E79="No Aplica","NA",IF($G79="","",IF(YEAR($G79)&lt;YEAR($Z$6)," A ",IF(YEAR($G79)=YEAR($Z$6),IF(MONTH($G79)&lt;=8," A ","NA"),IF(YEAR($G79)&gt;YEAR($Z$6),"NA"))))))</f>
        <v xml:space="preserve"> A </v>
      </c>
      <c r="U79" s="414">
        <v>0.8</v>
      </c>
      <c r="V79" s="415" t="s">
        <v>946</v>
      </c>
      <c r="W79" s="351">
        <v>0.8</v>
      </c>
      <c r="X79" s="348">
        <f t="shared" si="183"/>
        <v>0.8</v>
      </c>
      <c r="Y79" s="349" t="s">
        <v>353</v>
      </c>
      <c r="Z79" s="44" t="s">
        <v>948</v>
      </c>
      <c r="AA79" s="84">
        <f t="shared" si="184"/>
        <v>38.171428571428571</v>
      </c>
      <c r="AB79" s="84">
        <f t="shared" si="185"/>
        <v>38.171428571428571</v>
      </c>
      <c r="AC79" s="84">
        <f t="shared" si="241"/>
        <v>47.714285714285715</v>
      </c>
      <c r="AD79" s="160" t="str">
        <f>IF($AJ$6="Indique Fecha Seguimiento","",IF(CRONOGRAMA!$E79="No Aplica","NA",IF($G79="","",IF(YEAR($G79)&lt;YEAR($AJ$6)," A ",IF(YEAR($G79)=YEAR($AJ$6),IF(MONTH($G79)&lt;=12," A ","NA"),IF(YEAR($G79)&gt;YEAR($AJ$6),"NA"))))))</f>
        <v/>
      </c>
      <c r="AE79" s="350"/>
      <c r="AF79" s="44"/>
      <c r="AG79" s="351"/>
      <c r="AH79" s="348" t="str">
        <f t="shared" si="186"/>
        <v/>
      </c>
      <c r="AI79" s="349"/>
      <c r="AJ79" s="44"/>
      <c r="AK79" s="81" t="str">
        <f t="shared" si="187"/>
        <v/>
      </c>
      <c r="AL79" s="84">
        <f t="shared" si="188"/>
        <v>0</v>
      </c>
      <c r="AM79" s="84">
        <f t="shared" si="242"/>
        <v>47.714285714285715</v>
      </c>
      <c r="AN79" s="592"/>
      <c r="AO79" s="602"/>
      <c r="AP79" s="603"/>
      <c r="AQ79" s="603"/>
      <c r="AR79" s="574"/>
      <c r="AS79" s="574"/>
      <c r="AT79" s="574"/>
      <c r="AU79" s="572"/>
      <c r="AV79" s="573"/>
      <c r="AW79" s="605"/>
      <c r="AX79" t="str">
        <f t="shared" si="199"/>
        <v>Se definio una dinamica de aprendizaje para el programa de reinducción</v>
      </c>
    </row>
    <row r="80" spans="1:50" ht="15.75" x14ac:dyDescent="0.25">
      <c r="A80" s="593"/>
      <c r="B80" s="591"/>
      <c r="C80" s="82" t="str">
        <f>IF('CONSOLIDACION DEL MAPA'!P80="","",'CONSOLIDACION DEL MAPA'!P80)</f>
        <v/>
      </c>
      <c r="D80" s="82" t="str">
        <f>CRONOGRAMA!D80</f>
        <v/>
      </c>
      <c r="E80" s="132" t="str">
        <f>IF(CRONOGRAMA!F80="", "",CRONOGRAMA!F80)</f>
        <v/>
      </c>
      <c r="F80" s="132" t="str">
        <f>IF(CRONOGRAMA!G80="", "",CRONOGRAMA!G80)</f>
        <v/>
      </c>
      <c r="G80" s="128" t="str">
        <f>IF(CRONOGRAMA!H80="", "",CRONOGRAMA!H80)</f>
        <v/>
      </c>
      <c r="H80" s="128" t="str">
        <f>IF(CRONOGRAMA!I80="", "",CRONOGRAMA!I80)</f>
        <v/>
      </c>
      <c r="I80" s="84">
        <f t="shared" si="179"/>
        <v>0</v>
      </c>
      <c r="J80" s="160" t="str">
        <f>IF($P$6="Indique Fecha Seguimiento","",IF(CRONOGRAMA!$E80="No Aplica","NA",IF($G80="","",IF(YEAR($G80)&lt;YEAR($P$6)," A ",IF(YEAR($G80)=YEAR($P$6),IF(MONTH($G80)&lt;=4," A ","NA"),IF(YEAR($G80)&gt;YEAR($P$6),"NA"))))))</f>
        <v/>
      </c>
      <c r="K80" s="400"/>
      <c r="L80" s="401"/>
      <c r="M80" s="400"/>
      <c r="N80" s="348" t="str">
        <f t="shared" si="180"/>
        <v/>
      </c>
      <c r="O80" s="349"/>
      <c r="P80" s="44"/>
      <c r="Q80" s="84" t="str">
        <f t="shared" si="181"/>
        <v/>
      </c>
      <c r="R80" s="84" t="str">
        <f t="shared" si="182"/>
        <v/>
      </c>
      <c r="S80" s="84">
        <f t="shared" si="240"/>
        <v>0</v>
      </c>
      <c r="T80" s="160" t="str">
        <f>IF($Z$6="Indique Fecha Seguimiento","",IF(CRONOGRAMA!$E80="No Aplica","NA",IF($G80="","",IF(YEAR($G80)&lt;YEAR($Z$6)," A ",IF(YEAR($G80)=YEAR($Z$6),IF(MONTH($G80)&lt;=8," A ","NA"),IF(YEAR($G80)&gt;YEAR($Z$6),"NA"))))))</f>
        <v/>
      </c>
      <c r="U80" s="351"/>
      <c r="V80" s="44"/>
      <c r="W80" s="351"/>
      <c r="X80" s="348" t="str">
        <f t="shared" si="183"/>
        <v/>
      </c>
      <c r="Y80" s="349"/>
      <c r="Z80" s="44"/>
      <c r="AA80" s="84" t="str">
        <f t="shared" si="184"/>
        <v/>
      </c>
      <c r="AB80" s="84" t="str">
        <f t="shared" si="185"/>
        <v/>
      </c>
      <c r="AC80" s="84">
        <f t="shared" si="241"/>
        <v>0</v>
      </c>
      <c r="AD80" s="160" t="str">
        <f>IF($AJ$6="Indique Fecha Seguimiento","",IF(CRONOGRAMA!$E80="No Aplica","NA",IF($G80="","",IF(YEAR($G80)&lt;YEAR($AJ$6)," A ",IF(YEAR($G80)=YEAR($AJ$6),IF(MONTH($G80)&lt;=12," A ","NA"),IF(YEAR($G80)&gt;YEAR($AJ$6),"NA"))))))</f>
        <v/>
      </c>
      <c r="AE80" s="350"/>
      <c r="AF80" s="44"/>
      <c r="AG80" s="351"/>
      <c r="AH80" s="348" t="str">
        <f t="shared" si="186"/>
        <v/>
      </c>
      <c r="AI80" s="349"/>
      <c r="AJ80" s="44"/>
      <c r="AK80" s="81" t="str">
        <f t="shared" si="187"/>
        <v/>
      </c>
      <c r="AL80" s="84">
        <f t="shared" si="188"/>
        <v>0</v>
      </c>
      <c r="AM80" s="84">
        <f t="shared" si="242"/>
        <v>0</v>
      </c>
      <c r="AN80" s="592"/>
      <c r="AO80" s="602"/>
      <c r="AP80" s="603"/>
      <c r="AQ80" s="603"/>
      <c r="AR80" s="574"/>
      <c r="AS80" s="574"/>
      <c r="AT80" s="574"/>
      <c r="AU80" s="572"/>
      <c r="AV80" s="573"/>
      <c r="AW80" s="605"/>
      <c r="AX80">
        <f t="shared" si="199"/>
        <v>0</v>
      </c>
    </row>
    <row r="81" spans="1:50" ht="90" x14ac:dyDescent="0.25">
      <c r="A81" s="593" t="str">
        <f>CRONOGRAMA!A81</f>
        <v>25G</v>
      </c>
      <c r="B81" s="591" t="str">
        <f>CRONOGRAMA!B81</f>
        <v>Gestión del Talento Humano. Falta de plan de incentivos y/o estímulos.</v>
      </c>
      <c r="C81" s="82" t="str">
        <f>IF('CONSOLIDACION DEL MAPA'!P81="","",'CONSOLIDACION DEL MAPA'!P81)</f>
        <v>Reducir</v>
      </c>
      <c r="D81" s="82" t="str">
        <f>CRONOGRAMA!D81</f>
        <v>Elaborar y presentar propuesta del programas de incentivos y bienestar laboral</v>
      </c>
      <c r="E81" s="132" t="str">
        <f>IF(CRONOGRAMA!F81="", "",CRONOGRAMA!F81)</f>
        <v>Propuesta del Programa de Incentivos y Bienestar Laboral</v>
      </c>
      <c r="F81" s="132">
        <f>IF(CRONOGRAMA!G81="", "",CRONOGRAMA!G81)</f>
        <v>1</v>
      </c>
      <c r="G81" s="128">
        <f>IF(CRONOGRAMA!H81="", "",CRONOGRAMA!H81)</f>
        <v>42401</v>
      </c>
      <c r="H81" s="128">
        <f>IF(CRONOGRAMA!I81="", "",CRONOGRAMA!I81)</f>
        <v>42612</v>
      </c>
      <c r="I81" s="84">
        <f t="shared" si="179"/>
        <v>30.142857142857142</v>
      </c>
      <c r="J81" s="160" t="str">
        <f>IF($P$6="Indique Fecha Seguimiento","",IF(CRONOGRAMA!$E81="No Aplica","NA",IF($G81="","",IF(YEAR($G81)&lt;YEAR($P$6)," A ",IF(YEAR($G81)=YEAR($P$6),IF(MONTH($G81)&lt;=4," A ","NA"),IF(YEAR($G81)&gt;YEAR($P$6),"NA"))))))</f>
        <v xml:space="preserve"> A </v>
      </c>
      <c r="K81" s="400">
        <v>0.1</v>
      </c>
      <c r="L81" s="401" t="s">
        <v>895</v>
      </c>
      <c r="M81" s="400">
        <v>0</v>
      </c>
      <c r="N81" s="348">
        <f t="shared" si="180"/>
        <v>0</v>
      </c>
      <c r="O81" s="349" t="s">
        <v>353</v>
      </c>
      <c r="P81" s="44" t="s">
        <v>917</v>
      </c>
      <c r="Q81" s="84">
        <f t="shared" si="181"/>
        <v>0</v>
      </c>
      <c r="R81" s="84">
        <f t="shared" si="182"/>
        <v>0</v>
      </c>
      <c r="S81" s="84">
        <f t="shared" si="240"/>
        <v>30.142857142857142</v>
      </c>
      <c r="T81" s="160" t="str">
        <f>IF($Z$6="Indique Fecha Seguimiento","",IF(CRONOGRAMA!$E81="No Aplica","NA",IF($G81="","",IF(YEAR($G81)&lt;YEAR($Z$6)," A ",IF(YEAR($G81)=YEAR($Z$6),IF(MONTH($G81)&lt;=8," A ","NA"),IF(YEAR($G81)&gt;YEAR($Z$6),"NA"))))))</f>
        <v xml:space="preserve"> A </v>
      </c>
      <c r="U81" s="416">
        <v>0</v>
      </c>
      <c r="V81" s="415" t="s">
        <v>949</v>
      </c>
      <c r="W81" s="351">
        <v>0</v>
      </c>
      <c r="X81" s="348">
        <f t="shared" si="183"/>
        <v>0</v>
      </c>
      <c r="Y81" s="349" t="s">
        <v>10</v>
      </c>
      <c r="Z81" s="44" t="s">
        <v>950</v>
      </c>
      <c r="AA81" s="84">
        <f t="shared" si="184"/>
        <v>0</v>
      </c>
      <c r="AB81" s="84">
        <f t="shared" si="185"/>
        <v>0</v>
      </c>
      <c r="AC81" s="84">
        <f t="shared" si="241"/>
        <v>30.142857142857142</v>
      </c>
      <c r="AD81" s="160" t="str">
        <f>IF($AJ$6="Indique Fecha Seguimiento","",IF(CRONOGRAMA!$E81="No Aplica","NA",IF($G81="","",IF(YEAR($G81)&lt;YEAR($AJ$6)," A ",IF(YEAR($G81)=YEAR($AJ$6),IF(MONTH($G81)&lt;=12," A ","NA"),IF(YEAR($G81)&gt;YEAR($AJ$6),"NA"))))))</f>
        <v/>
      </c>
      <c r="AE81" s="350"/>
      <c r="AF81" s="44"/>
      <c r="AG81" s="351"/>
      <c r="AH81" s="348" t="str">
        <f t="shared" si="186"/>
        <v/>
      </c>
      <c r="AI81" s="349"/>
      <c r="AJ81" s="44"/>
      <c r="AK81" s="81" t="str">
        <f t="shared" si="187"/>
        <v/>
      </c>
      <c r="AL81" s="84">
        <f t="shared" si="188"/>
        <v>0</v>
      </c>
      <c r="AM81" s="84">
        <f t="shared" si="242"/>
        <v>30.142857142857142</v>
      </c>
      <c r="AN81" s="592">
        <f t="shared" ref="AN81" si="263">SUM(I81:I83)</f>
        <v>30.142857142857142</v>
      </c>
      <c r="AO81" s="602">
        <f t="shared" ref="AO81" si="264">IF(AND(Q81="",Q82="",Q83=""),"",SUM(Q81:Q83))</f>
        <v>0</v>
      </c>
      <c r="AP81" s="603">
        <f t="shared" ref="AP81" si="265">IF(AND(AA81="",AA82="",AA83=""),"",SUM(AA81:AA83))</f>
        <v>0</v>
      </c>
      <c r="AQ81" s="603" t="str">
        <f t="shared" ref="AQ81" si="266">IF(AND(AK81="",AK82="",AK83=""),"",SUM(AK81:AK83))</f>
        <v/>
      </c>
      <c r="AR81" s="574">
        <f t="shared" ref="AR81" si="267">IF(AO81="",IF($AU$6&lt;1,"",IF($AU$6&gt;=1,"NA")),IF(AO81=0,0,AO81/$AN81))</f>
        <v>0</v>
      </c>
      <c r="AS81" s="574">
        <f t="shared" ref="AS81" si="268">IF(AP81="",IF($AU$6&lt;2,"",IF($AU$6&gt;=2,"NA")),IF(AP81=0,0,AP81/$AN81))</f>
        <v>0</v>
      </c>
      <c r="AT81" s="574">
        <f t="shared" ref="AT81" si="269">IF(AS81&gt;=AR81,AS81,AR81)</f>
        <v>0</v>
      </c>
      <c r="AU81" s="572" t="str">
        <f t="shared" ref="AU81" si="270">IF(AQ81="",IF($AU$6&lt;3,"",IF($AU$6&gt;=3,"NA")),IF(AQ81=0,0,AQ81/$AN81))</f>
        <v/>
      </c>
      <c r="AV81" s="573">
        <f t="shared" ref="AV81" si="271">IF($AU$6=1,AR81,IF($AU$6=2,AS81,IF($AU$6=3,AU81,"")))</f>
        <v>0</v>
      </c>
      <c r="AW81" s="605">
        <f t="shared" ref="AW81" si="272">AV81</f>
        <v>0</v>
      </c>
      <c r="AX81" t="str">
        <f t="shared" si="199"/>
        <v>Se estan realizando ajustes recomendados por asesor externo</v>
      </c>
    </row>
    <row r="82" spans="1:50" ht="15.75" x14ac:dyDescent="0.25">
      <c r="A82" s="593"/>
      <c r="B82" s="591"/>
      <c r="C82" s="82" t="str">
        <f>IF('CONSOLIDACION DEL MAPA'!P82="","",'CONSOLIDACION DEL MAPA'!P82)</f>
        <v/>
      </c>
      <c r="D82" s="82" t="str">
        <f>CRONOGRAMA!D82</f>
        <v/>
      </c>
      <c r="E82" s="132" t="str">
        <f>IF(CRONOGRAMA!F82="", "",CRONOGRAMA!F82)</f>
        <v/>
      </c>
      <c r="F82" s="132" t="str">
        <f>IF(CRONOGRAMA!G82="", "",CRONOGRAMA!G82)</f>
        <v/>
      </c>
      <c r="G82" s="128" t="str">
        <f>IF(CRONOGRAMA!H82="", "",CRONOGRAMA!H82)</f>
        <v/>
      </c>
      <c r="H82" s="128" t="str">
        <f>IF(CRONOGRAMA!I82="", "",CRONOGRAMA!I82)</f>
        <v/>
      </c>
      <c r="I82" s="84">
        <f t="shared" si="179"/>
        <v>0</v>
      </c>
      <c r="J82" s="160" t="str">
        <f>IF($P$6="Indique Fecha Seguimiento","",IF(CRONOGRAMA!$E82="No Aplica","NA",IF($G82="","",IF(YEAR($G82)&lt;YEAR($P$6)," A ",IF(YEAR($G82)=YEAR($P$6),IF(MONTH($G82)&lt;=4," A ","NA"),IF(YEAR($G82)&gt;YEAR($P$6),"NA"))))))</f>
        <v/>
      </c>
      <c r="K82" s="400"/>
      <c r="L82" s="401"/>
      <c r="M82" s="400"/>
      <c r="N82" s="348" t="str">
        <f t="shared" si="180"/>
        <v/>
      </c>
      <c r="O82" s="349"/>
      <c r="P82" s="44"/>
      <c r="Q82" s="84" t="str">
        <f t="shared" si="181"/>
        <v/>
      </c>
      <c r="R82" s="84" t="str">
        <f t="shared" si="182"/>
        <v/>
      </c>
      <c r="S82" s="84">
        <f t="shared" si="240"/>
        <v>0</v>
      </c>
      <c r="T82" s="160" t="str">
        <f>IF($Z$6="Indique Fecha Seguimiento","",IF(CRONOGRAMA!$E82="No Aplica","NA",IF($G82="","",IF(YEAR($G82)&lt;YEAR($Z$6)," A ",IF(YEAR($G82)=YEAR($Z$6),IF(MONTH($G82)&lt;=8," A ","NA"),IF(YEAR($G82)&gt;YEAR($Z$6),"NA"))))))</f>
        <v/>
      </c>
      <c r="U82" s="351"/>
      <c r="V82" s="44"/>
      <c r="W82" s="351"/>
      <c r="X82" s="348" t="str">
        <f t="shared" si="183"/>
        <v/>
      </c>
      <c r="Y82" s="349"/>
      <c r="Z82" s="44"/>
      <c r="AA82" s="84" t="str">
        <f t="shared" si="184"/>
        <v/>
      </c>
      <c r="AB82" s="84" t="str">
        <f t="shared" si="185"/>
        <v/>
      </c>
      <c r="AC82" s="84">
        <f t="shared" si="241"/>
        <v>0</v>
      </c>
      <c r="AD82" s="160" t="str">
        <f>IF($AJ$6="Indique Fecha Seguimiento","",IF(CRONOGRAMA!$E82="No Aplica","NA",IF($G82="","",IF(YEAR($G82)&lt;YEAR($AJ$6)," A ",IF(YEAR($G82)=YEAR($AJ$6),IF(MONTH($G82)&lt;=12," A ","NA"),IF(YEAR($G82)&gt;YEAR($AJ$6),"NA"))))))</f>
        <v/>
      </c>
      <c r="AE82" s="350"/>
      <c r="AF82" s="44"/>
      <c r="AG82" s="351"/>
      <c r="AH82" s="348" t="str">
        <f t="shared" si="186"/>
        <v/>
      </c>
      <c r="AI82" s="349"/>
      <c r="AJ82" s="44"/>
      <c r="AK82" s="81" t="str">
        <f t="shared" si="187"/>
        <v/>
      </c>
      <c r="AL82" s="84">
        <f t="shared" si="188"/>
        <v>0</v>
      </c>
      <c r="AM82" s="84">
        <f t="shared" si="242"/>
        <v>0</v>
      </c>
      <c r="AN82" s="592"/>
      <c r="AO82" s="602"/>
      <c r="AP82" s="603"/>
      <c r="AQ82" s="603"/>
      <c r="AR82" s="574"/>
      <c r="AS82" s="574"/>
      <c r="AT82" s="574"/>
      <c r="AU82" s="572"/>
      <c r="AV82" s="573"/>
      <c r="AW82" s="605"/>
      <c r="AX82">
        <f t="shared" si="199"/>
        <v>0</v>
      </c>
    </row>
    <row r="83" spans="1:50" ht="15.75" x14ac:dyDescent="0.25">
      <c r="A83" s="593"/>
      <c r="B83" s="591"/>
      <c r="C83" s="82" t="str">
        <f>IF('CONSOLIDACION DEL MAPA'!P83="","",'CONSOLIDACION DEL MAPA'!P83)</f>
        <v/>
      </c>
      <c r="D83" s="82" t="str">
        <f>CRONOGRAMA!D83</f>
        <v/>
      </c>
      <c r="E83" s="132" t="str">
        <f>IF(CRONOGRAMA!F83="", "",CRONOGRAMA!F83)</f>
        <v/>
      </c>
      <c r="F83" s="132" t="str">
        <f>IF(CRONOGRAMA!G83="", "",CRONOGRAMA!G83)</f>
        <v/>
      </c>
      <c r="G83" s="128" t="str">
        <f>IF(CRONOGRAMA!H83="", "",CRONOGRAMA!H83)</f>
        <v/>
      </c>
      <c r="H83" s="128" t="str">
        <f>IF(CRONOGRAMA!I83="", "",CRONOGRAMA!I83)</f>
        <v/>
      </c>
      <c r="I83" s="84">
        <f t="shared" si="179"/>
        <v>0</v>
      </c>
      <c r="J83" s="160" t="str">
        <f>IF($P$6="Indique Fecha Seguimiento","",IF(CRONOGRAMA!$E83="No Aplica","NA",IF($G83="","",IF(YEAR($G83)&lt;YEAR($P$6)," A ",IF(YEAR($G83)=YEAR($P$6),IF(MONTH($G83)&lt;=4," A ","NA"),IF(YEAR($G83)&gt;YEAR($P$6),"NA"))))))</f>
        <v/>
      </c>
      <c r="K83" s="400"/>
      <c r="L83" s="401"/>
      <c r="M83" s="400"/>
      <c r="N83" s="348" t="str">
        <f t="shared" si="180"/>
        <v/>
      </c>
      <c r="O83" s="349"/>
      <c r="P83" s="44"/>
      <c r="Q83" s="84" t="str">
        <f t="shared" si="181"/>
        <v/>
      </c>
      <c r="R83" s="84" t="str">
        <f t="shared" si="182"/>
        <v/>
      </c>
      <c r="S83" s="84">
        <f t="shared" si="240"/>
        <v>0</v>
      </c>
      <c r="T83" s="160" t="str">
        <f>IF($Z$6="Indique Fecha Seguimiento","",IF(CRONOGRAMA!$E83="No Aplica","NA",IF($G83="","",IF(YEAR($G83)&lt;YEAR($Z$6)," A ",IF(YEAR($G83)=YEAR($Z$6),IF(MONTH($G83)&lt;=8," A ","NA"),IF(YEAR($G83)&gt;YEAR($Z$6),"NA"))))))</f>
        <v/>
      </c>
      <c r="U83" s="351"/>
      <c r="V83" s="44"/>
      <c r="W83" s="351"/>
      <c r="X83" s="348" t="str">
        <f t="shared" si="183"/>
        <v/>
      </c>
      <c r="Y83" s="349"/>
      <c r="Z83" s="44"/>
      <c r="AA83" s="84" t="str">
        <f t="shared" si="184"/>
        <v/>
      </c>
      <c r="AB83" s="84" t="str">
        <f t="shared" si="185"/>
        <v/>
      </c>
      <c r="AC83" s="84">
        <f t="shared" si="241"/>
        <v>0</v>
      </c>
      <c r="AD83" s="160" t="str">
        <f>IF($AJ$6="Indique Fecha Seguimiento","",IF(CRONOGRAMA!$E83="No Aplica","NA",IF($G83="","",IF(YEAR($G83)&lt;YEAR($AJ$6)," A ",IF(YEAR($G83)=YEAR($AJ$6),IF(MONTH($G83)&lt;=12," A ","NA"),IF(YEAR($G83)&gt;YEAR($AJ$6),"NA"))))))</f>
        <v/>
      </c>
      <c r="AE83" s="350"/>
      <c r="AF83" s="44"/>
      <c r="AG83" s="351"/>
      <c r="AH83" s="348" t="str">
        <f t="shared" si="186"/>
        <v/>
      </c>
      <c r="AI83" s="349"/>
      <c r="AJ83" s="44"/>
      <c r="AK83" s="81" t="str">
        <f t="shared" si="187"/>
        <v/>
      </c>
      <c r="AL83" s="84">
        <f t="shared" si="188"/>
        <v>0</v>
      </c>
      <c r="AM83" s="84">
        <f t="shared" si="242"/>
        <v>0</v>
      </c>
      <c r="AN83" s="592"/>
      <c r="AO83" s="602"/>
      <c r="AP83" s="603"/>
      <c r="AQ83" s="603"/>
      <c r="AR83" s="574"/>
      <c r="AS83" s="574"/>
      <c r="AT83" s="574"/>
      <c r="AU83" s="572"/>
      <c r="AV83" s="573"/>
      <c r="AW83" s="605"/>
      <c r="AX83">
        <f t="shared" si="199"/>
        <v>0</v>
      </c>
    </row>
    <row r="84" spans="1:50" ht="141" x14ac:dyDescent="0.25">
      <c r="A84" s="593" t="str">
        <f>CRONOGRAMA!A84</f>
        <v>26G</v>
      </c>
      <c r="B84" s="591" t="str">
        <f>CRONOGRAMA!B84</f>
        <v>Gestión del Talento Humano. Demoras en la afilicación de catedráticos y ocasionales al Sistema de Seguridad Social Integral, y de los contratistas y estudiantes de Práctica a la Administradora de Riesgos Laborales.</v>
      </c>
      <c r="C84" s="82" t="str">
        <f>IF('CONSOLIDACION DEL MAPA'!P84="","",'CONSOLIDACION DEL MAPA'!P84)</f>
        <v>Reducir</v>
      </c>
      <c r="D84" s="82" t="str">
        <f>CRONOGRAMA!D84</f>
        <v>Elaboración y aprobación del procedimiento de Seguridad Social</v>
      </c>
      <c r="E84" s="132" t="str">
        <f>IF(CRONOGRAMA!F84="", "",CRONOGRAMA!F84)</f>
        <v>Procedimiento de Seguridad Social aprobado y publicado en COGUI</v>
      </c>
      <c r="F84" s="132">
        <f>IF(CRONOGRAMA!G84="", "",CRONOGRAMA!G84)</f>
        <v>1</v>
      </c>
      <c r="G84" s="128">
        <f>IF(CRONOGRAMA!H84="", "",CRONOGRAMA!H84)</f>
        <v>42430</v>
      </c>
      <c r="H84" s="128">
        <f>IF(CRONOGRAMA!I84="", "",CRONOGRAMA!I84)</f>
        <v>42735</v>
      </c>
      <c r="I84" s="84">
        <f t="shared" si="179"/>
        <v>43.571428571428569</v>
      </c>
      <c r="J84" s="160" t="str">
        <f>IF($P$6="Indique Fecha Seguimiento","",IF(CRONOGRAMA!$E84="No Aplica","NA",IF($G84="","",IF(YEAR($G84)&lt;YEAR($P$6)," A ",IF(YEAR($G84)=YEAR($P$6),IF(MONTH($G84)&lt;=4," A ","NA"),IF(YEAR($G84)&gt;YEAR($P$6),"NA"))))))</f>
        <v xml:space="preserve"> A </v>
      </c>
      <c r="K84" s="400">
        <v>0</v>
      </c>
      <c r="L84" s="401" t="s">
        <v>896</v>
      </c>
      <c r="M84" s="400">
        <v>0</v>
      </c>
      <c r="N84" s="348">
        <f t="shared" si="180"/>
        <v>0</v>
      </c>
      <c r="O84" s="349" t="s">
        <v>353</v>
      </c>
      <c r="P84" s="44"/>
      <c r="Q84" s="84">
        <f t="shared" si="181"/>
        <v>0</v>
      </c>
      <c r="R84" s="84">
        <f t="shared" si="182"/>
        <v>0</v>
      </c>
      <c r="S84" s="84">
        <f t="shared" si="240"/>
        <v>43.571428571428569</v>
      </c>
      <c r="T84" s="160" t="str">
        <f>IF($Z$6="Indique Fecha Seguimiento","",IF(CRONOGRAMA!$E84="No Aplica","NA",IF($G84="","",IF(YEAR($G84)&lt;YEAR($Z$6)," A ",IF(YEAR($G84)=YEAR($Z$6),IF(MONTH($G84)&lt;=8," A ","NA"),IF(YEAR($G84)&gt;YEAR($Z$6),"NA"))))))</f>
        <v xml:space="preserve"> A </v>
      </c>
      <c r="U84" s="416">
        <v>0</v>
      </c>
      <c r="V84" s="415" t="s">
        <v>951</v>
      </c>
      <c r="W84" s="351">
        <v>0</v>
      </c>
      <c r="X84" s="348">
        <f t="shared" si="183"/>
        <v>0</v>
      </c>
      <c r="Y84" s="349" t="s">
        <v>353</v>
      </c>
      <c r="Z84" s="44" t="s">
        <v>952</v>
      </c>
      <c r="AA84" s="84">
        <f t="shared" si="184"/>
        <v>0</v>
      </c>
      <c r="AB84" s="84">
        <f t="shared" si="185"/>
        <v>0</v>
      </c>
      <c r="AC84" s="84">
        <f t="shared" si="241"/>
        <v>43.571428571428569</v>
      </c>
      <c r="AD84" s="160" t="str">
        <f>IF($AJ$6="Indique Fecha Seguimiento","",IF(CRONOGRAMA!$E84="No Aplica","NA",IF($G84="","",IF(YEAR($G84)&lt;YEAR($AJ$6)," A ",IF(YEAR($G84)=YEAR($AJ$6),IF(MONTH($G84)&lt;=12," A ","NA"),IF(YEAR($G84)&gt;YEAR($AJ$6),"NA"))))))</f>
        <v/>
      </c>
      <c r="AE84" s="350"/>
      <c r="AF84" s="44"/>
      <c r="AG84" s="351"/>
      <c r="AH84" s="348" t="str">
        <f t="shared" si="186"/>
        <v/>
      </c>
      <c r="AI84" s="349"/>
      <c r="AJ84" s="44"/>
      <c r="AK84" s="81" t="str">
        <f t="shared" si="187"/>
        <v/>
      </c>
      <c r="AL84" s="84">
        <f t="shared" si="188"/>
        <v>0</v>
      </c>
      <c r="AM84" s="84">
        <f t="shared" si="242"/>
        <v>43.571428571428569</v>
      </c>
      <c r="AN84" s="592">
        <f t="shared" ref="AN84" si="273">SUM(I84:I86)</f>
        <v>43.571428571428569</v>
      </c>
      <c r="AO84" s="602">
        <f t="shared" ref="AO84" si="274">IF(AND(Q84="",Q85="",Q86=""),"",SUM(Q84:Q86))</f>
        <v>0</v>
      </c>
      <c r="AP84" s="603">
        <f t="shared" ref="AP84" si="275">IF(AND(AA84="",AA85="",AA86=""),"",SUM(AA84:AA86))</f>
        <v>0</v>
      </c>
      <c r="AQ84" s="603" t="str">
        <f t="shared" ref="AQ84" si="276">IF(AND(AK84="",AK85="",AK86=""),"",SUM(AK84:AK86))</f>
        <v/>
      </c>
      <c r="AR84" s="574">
        <f t="shared" ref="AR84" si="277">IF(AO84="",IF($AU$6&lt;1,"",IF($AU$6&gt;=1,"NA")),IF(AO84=0,0,AO84/$AN84))</f>
        <v>0</v>
      </c>
      <c r="AS84" s="574">
        <f t="shared" ref="AS84" si="278">IF(AP84="",IF($AU$6&lt;2,"",IF($AU$6&gt;=2,"NA")),IF(AP84=0,0,AP84/$AN84))</f>
        <v>0</v>
      </c>
      <c r="AT84" s="574">
        <f t="shared" ref="AT84" si="279">IF(AS84&gt;=AR84,AS84,AR84)</f>
        <v>0</v>
      </c>
      <c r="AU84" s="572" t="str">
        <f t="shared" ref="AU84" si="280">IF(AQ84="",IF($AU$6&lt;3,"",IF($AU$6&gt;=3,"NA")),IF(AQ84=0,0,AQ84/$AN84))</f>
        <v/>
      </c>
      <c r="AV84" s="573">
        <f t="shared" ref="AV84" si="281">IF($AU$6=1,AR84,IF($AU$6=2,AS84,IF($AU$6=3,AU84,"")))</f>
        <v>0</v>
      </c>
      <c r="AW84" s="605">
        <f t="shared" ref="AW84" si="282">AV84</f>
        <v>0</v>
      </c>
      <c r="AX84" t="str">
        <f t="shared" si="199"/>
        <v xml:space="preserve">Se programaron para el mes de septiembre jordanas de trabajo </v>
      </c>
    </row>
    <row r="85" spans="1:50" ht="15.75" x14ac:dyDescent="0.25">
      <c r="A85" s="593"/>
      <c r="B85" s="591"/>
      <c r="C85" s="82" t="str">
        <f>IF('CONSOLIDACION DEL MAPA'!P85="","",'CONSOLIDACION DEL MAPA'!P85)</f>
        <v/>
      </c>
      <c r="D85" s="82" t="str">
        <f>CRONOGRAMA!D85</f>
        <v/>
      </c>
      <c r="E85" s="132" t="str">
        <f>IF(CRONOGRAMA!F85="", "",CRONOGRAMA!F85)</f>
        <v/>
      </c>
      <c r="F85" s="132" t="str">
        <f>IF(CRONOGRAMA!G85="", "",CRONOGRAMA!G85)</f>
        <v/>
      </c>
      <c r="G85" s="128" t="str">
        <f>IF(CRONOGRAMA!H85="", "",CRONOGRAMA!H85)</f>
        <v/>
      </c>
      <c r="H85" s="128" t="str">
        <f>IF(CRONOGRAMA!I85="", "",CRONOGRAMA!I85)</f>
        <v/>
      </c>
      <c r="I85" s="84">
        <f t="shared" si="179"/>
        <v>0</v>
      </c>
      <c r="J85" s="160" t="str">
        <f>IF($P$6="Indique Fecha Seguimiento","",IF(CRONOGRAMA!$E85="No Aplica","NA",IF($G85="","",IF(YEAR($G85)&lt;YEAR($P$6)," A ",IF(YEAR($G85)=YEAR($P$6),IF(MONTH($G85)&lt;=4," A ","NA"),IF(YEAR($G85)&gt;YEAR($P$6),"NA"))))))</f>
        <v/>
      </c>
      <c r="K85" s="400"/>
      <c r="L85" s="401"/>
      <c r="M85" s="400"/>
      <c r="N85" s="348" t="str">
        <f t="shared" si="180"/>
        <v/>
      </c>
      <c r="O85" s="349"/>
      <c r="P85" s="44"/>
      <c r="Q85" s="84" t="str">
        <f t="shared" si="181"/>
        <v/>
      </c>
      <c r="R85" s="84" t="str">
        <f t="shared" si="182"/>
        <v/>
      </c>
      <c r="S85" s="84">
        <f t="shared" si="240"/>
        <v>0</v>
      </c>
      <c r="T85" s="160" t="str">
        <f>IF($Z$6="Indique Fecha Seguimiento","",IF(CRONOGRAMA!$E85="No Aplica","NA",IF($G85="","",IF(YEAR($G85)&lt;YEAR($Z$6)," A ",IF(YEAR($G85)=YEAR($Z$6),IF(MONTH($G85)&lt;=8," A ","NA"),IF(YEAR($G85)&gt;YEAR($Z$6),"NA"))))))</f>
        <v/>
      </c>
      <c r="U85" s="351"/>
      <c r="V85" s="44"/>
      <c r="W85" s="351"/>
      <c r="X85" s="348" t="str">
        <f t="shared" si="183"/>
        <v/>
      </c>
      <c r="Y85" s="349"/>
      <c r="Z85" s="44"/>
      <c r="AA85" s="84" t="str">
        <f t="shared" si="184"/>
        <v/>
      </c>
      <c r="AB85" s="84" t="str">
        <f t="shared" si="185"/>
        <v/>
      </c>
      <c r="AC85" s="84">
        <f t="shared" si="241"/>
        <v>0</v>
      </c>
      <c r="AD85" s="160" t="str">
        <f>IF($AJ$6="Indique Fecha Seguimiento","",IF(CRONOGRAMA!$E85="No Aplica","NA",IF($G85="","",IF(YEAR($G85)&lt;YEAR($AJ$6)," A ",IF(YEAR($G85)=YEAR($AJ$6),IF(MONTH($G85)&lt;=12," A ","NA"),IF(YEAR($G85)&gt;YEAR($AJ$6),"NA"))))))</f>
        <v/>
      </c>
      <c r="AE85" s="350"/>
      <c r="AF85" s="44"/>
      <c r="AG85" s="351"/>
      <c r="AH85" s="348" t="str">
        <f t="shared" si="186"/>
        <v/>
      </c>
      <c r="AI85" s="349"/>
      <c r="AJ85" s="44"/>
      <c r="AK85" s="81" t="str">
        <f t="shared" si="187"/>
        <v/>
      </c>
      <c r="AL85" s="84">
        <f t="shared" si="188"/>
        <v>0</v>
      </c>
      <c r="AM85" s="84">
        <f t="shared" si="242"/>
        <v>0</v>
      </c>
      <c r="AN85" s="592"/>
      <c r="AO85" s="602"/>
      <c r="AP85" s="603"/>
      <c r="AQ85" s="603"/>
      <c r="AR85" s="574"/>
      <c r="AS85" s="574"/>
      <c r="AT85" s="574"/>
      <c r="AU85" s="572"/>
      <c r="AV85" s="573"/>
      <c r="AW85" s="605"/>
      <c r="AX85">
        <f t="shared" si="199"/>
        <v>0</v>
      </c>
    </row>
    <row r="86" spans="1:50" ht="15.75" x14ac:dyDescent="0.25">
      <c r="A86" s="593"/>
      <c r="B86" s="591"/>
      <c r="C86" s="82" t="str">
        <f>IF('CONSOLIDACION DEL MAPA'!P86="","",'CONSOLIDACION DEL MAPA'!P86)</f>
        <v/>
      </c>
      <c r="D86" s="82" t="str">
        <f>CRONOGRAMA!D86</f>
        <v/>
      </c>
      <c r="E86" s="132" t="str">
        <f>IF(CRONOGRAMA!F86="", "",CRONOGRAMA!F86)</f>
        <v/>
      </c>
      <c r="F86" s="132" t="str">
        <f>IF(CRONOGRAMA!G86="", "",CRONOGRAMA!G86)</f>
        <v/>
      </c>
      <c r="G86" s="128" t="str">
        <f>IF(CRONOGRAMA!H86="", "",CRONOGRAMA!H86)</f>
        <v/>
      </c>
      <c r="H86" s="128" t="str">
        <f>IF(CRONOGRAMA!I86="", "",CRONOGRAMA!I86)</f>
        <v/>
      </c>
      <c r="I86" s="84">
        <f t="shared" si="179"/>
        <v>0</v>
      </c>
      <c r="J86" s="160" t="str">
        <f>IF($P$6="Indique Fecha Seguimiento","",IF(CRONOGRAMA!$E86="No Aplica","NA",IF($G86="","",IF(YEAR($G86)&lt;YEAR($P$6)," A ",IF(YEAR($G86)=YEAR($P$6),IF(MONTH($G86)&lt;=4," A ","NA"),IF(YEAR($G86)&gt;YEAR($P$6),"NA"))))))</f>
        <v/>
      </c>
      <c r="K86" s="400"/>
      <c r="L86" s="401"/>
      <c r="M86" s="400"/>
      <c r="N86" s="348" t="str">
        <f t="shared" si="180"/>
        <v/>
      </c>
      <c r="O86" s="349"/>
      <c r="P86" s="44"/>
      <c r="Q86" s="84" t="str">
        <f t="shared" si="181"/>
        <v/>
      </c>
      <c r="R86" s="84" t="str">
        <f t="shared" si="182"/>
        <v/>
      </c>
      <c r="S86" s="84">
        <f t="shared" si="240"/>
        <v>0</v>
      </c>
      <c r="T86" s="160" t="str">
        <f>IF($Z$6="Indique Fecha Seguimiento","",IF(CRONOGRAMA!$E86="No Aplica","NA",IF($G86="","",IF(YEAR($G86)&lt;YEAR($Z$6)," A ",IF(YEAR($G86)=YEAR($Z$6),IF(MONTH($G86)&lt;=8," A ","NA"),IF(YEAR($G86)&gt;YEAR($Z$6),"NA"))))))</f>
        <v/>
      </c>
      <c r="U86" s="351"/>
      <c r="V86" s="44"/>
      <c r="W86" s="351"/>
      <c r="X86" s="348" t="str">
        <f t="shared" si="183"/>
        <v/>
      </c>
      <c r="Y86" s="349"/>
      <c r="Z86" s="44"/>
      <c r="AA86" s="84" t="str">
        <f t="shared" si="184"/>
        <v/>
      </c>
      <c r="AB86" s="84" t="str">
        <f t="shared" si="185"/>
        <v/>
      </c>
      <c r="AC86" s="84">
        <f t="shared" si="241"/>
        <v>0</v>
      </c>
      <c r="AD86" s="160" t="str">
        <f>IF($AJ$6="Indique Fecha Seguimiento","",IF(CRONOGRAMA!$E86="No Aplica","NA",IF($G86="","",IF(YEAR($G86)&lt;YEAR($AJ$6)," A ",IF(YEAR($G86)=YEAR($AJ$6),IF(MONTH($G86)&lt;=12," A ","NA"),IF(YEAR($G86)&gt;YEAR($AJ$6),"NA"))))))</f>
        <v/>
      </c>
      <c r="AE86" s="350"/>
      <c r="AF86" s="44"/>
      <c r="AG86" s="351"/>
      <c r="AH86" s="348" t="str">
        <f t="shared" si="186"/>
        <v/>
      </c>
      <c r="AI86" s="349"/>
      <c r="AJ86" s="44"/>
      <c r="AK86" s="81" t="str">
        <f t="shared" si="187"/>
        <v/>
      </c>
      <c r="AL86" s="84">
        <f t="shared" si="188"/>
        <v>0</v>
      </c>
      <c r="AM86" s="84">
        <f t="shared" si="242"/>
        <v>0</v>
      </c>
      <c r="AN86" s="592"/>
      <c r="AO86" s="602"/>
      <c r="AP86" s="603"/>
      <c r="AQ86" s="603"/>
      <c r="AR86" s="574"/>
      <c r="AS86" s="574"/>
      <c r="AT86" s="574"/>
      <c r="AU86" s="572"/>
      <c r="AV86" s="573"/>
      <c r="AW86" s="605"/>
      <c r="AX86">
        <f t="shared" si="199"/>
        <v>0</v>
      </c>
    </row>
    <row r="87" spans="1:50" ht="38.25" x14ac:dyDescent="0.25">
      <c r="A87" s="593" t="str">
        <f>CRONOGRAMA!A87</f>
        <v>27G</v>
      </c>
      <c r="B87" s="591" t="str">
        <f>CRONOGRAMA!B87</f>
        <v>Evaluación Independiente. Deficiente evaluación y verificacion de la existencia, nivel de desarrollo y grado de efectividad del Sistema de Control Interno</v>
      </c>
      <c r="C87" s="82" t="str">
        <f>IF('CONSOLIDACION DEL MAPA'!P87="","",'CONSOLIDACION DEL MAPA'!P87)</f>
        <v>Asumir</v>
      </c>
      <c r="D87" s="82" t="str">
        <f>CRONOGRAMA!D87</f>
        <v>Seguir ejecutando y monitoreando los controles existentes</v>
      </c>
      <c r="E87" s="132" t="str">
        <f>IF(CRONOGRAMA!F87="", "",CRONOGRAMA!F87)</f>
        <v/>
      </c>
      <c r="F87" s="132" t="str">
        <f>IF(CRONOGRAMA!G87="", "",CRONOGRAMA!G87)</f>
        <v/>
      </c>
      <c r="G87" s="128" t="str">
        <f>IF(CRONOGRAMA!H87="", "",CRONOGRAMA!H87)</f>
        <v/>
      </c>
      <c r="H87" s="128" t="str">
        <f>IF(CRONOGRAMA!I87="", "",CRONOGRAMA!I87)</f>
        <v/>
      </c>
      <c r="I87" s="84">
        <f t="shared" si="179"/>
        <v>0</v>
      </c>
      <c r="J87" s="160" t="str">
        <f>IF($P$6="Indique Fecha Seguimiento","",IF(CRONOGRAMA!$E87="No Aplica","NA",IF($G87="","",IF(YEAR($G87)&lt;YEAR($P$6)," A ",IF(YEAR($G87)=YEAR($P$6),IF(MONTH($G87)&lt;=4," A ","NA"),IF(YEAR($G87)&gt;YEAR($P$6),"NA"))))))</f>
        <v>NA</v>
      </c>
      <c r="K87" s="400"/>
      <c r="L87" s="401"/>
      <c r="M87" s="400"/>
      <c r="N87" s="348" t="str">
        <f t="shared" si="180"/>
        <v/>
      </c>
      <c r="O87" s="349"/>
      <c r="P87" s="44"/>
      <c r="Q87" s="84" t="str">
        <f t="shared" si="181"/>
        <v/>
      </c>
      <c r="R87" s="84" t="str">
        <f t="shared" si="182"/>
        <v/>
      </c>
      <c r="S87" s="84">
        <f t="shared" si="240"/>
        <v>0</v>
      </c>
      <c r="T87" s="160" t="str">
        <f>IF($Z$6="Indique Fecha Seguimiento","",IF(CRONOGRAMA!$E87="No Aplica","NA",IF($G87="","",IF(YEAR($G87)&lt;YEAR($Z$6)," A ",IF(YEAR($G87)=YEAR($Z$6),IF(MONTH($G87)&lt;=8," A ","NA"),IF(YEAR($G87)&gt;YEAR($Z$6),"NA"))))))</f>
        <v>NA</v>
      </c>
      <c r="U87" s="351"/>
      <c r="V87" s="44"/>
      <c r="W87" s="351"/>
      <c r="X87" s="348" t="str">
        <f t="shared" si="183"/>
        <v/>
      </c>
      <c r="Y87" s="349"/>
      <c r="Z87" s="44"/>
      <c r="AA87" s="84" t="str">
        <f t="shared" si="184"/>
        <v/>
      </c>
      <c r="AB87" s="84" t="str">
        <f t="shared" si="185"/>
        <v/>
      </c>
      <c r="AC87" s="84">
        <f t="shared" si="241"/>
        <v>0</v>
      </c>
      <c r="AD87" s="160" t="str">
        <f>IF($AJ$6="Indique Fecha Seguimiento","",IF(CRONOGRAMA!$E87="No Aplica","NA",IF($G87="","",IF(YEAR($G87)&lt;YEAR($AJ$6)," A ",IF(YEAR($G87)=YEAR($AJ$6),IF(MONTH($G87)&lt;=12," A ","NA"),IF(YEAR($G87)&gt;YEAR($AJ$6),"NA"))))))</f>
        <v/>
      </c>
      <c r="AE87" s="350"/>
      <c r="AF87" s="44"/>
      <c r="AG87" s="351"/>
      <c r="AH87" s="348" t="str">
        <f t="shared" si="186"/>
        <v/>
      </c>
      <c r="AI87" s="349"/>
      <c r="AJ87" s="44"/>
      <c r="AK87" s="81" t="str">
        <f t="shared" si="187"/>
        <v/>
      </c>
      <c r="AL87" s="84">
        <f t="shared" si="188"/>
        <v>0</v>
      </c>
      <c r="AM87" s="84">
        <f t="shared" si="242"/>
        <v>0</v>
      </c>
      <c r="AN87" s="592">
        <f t="shared" ref="AN87" si="283">SUM(I87:I89)</f>
        <v>0</v>
      </c>
      <c r="AO87" s="602" t="str">
        <f t="shared" ref="AO87" si="284">IF(AND(Q87="",Q88="",Q89=""),"",SUM(Q87:Q89))</f>
        <v/>
      </c>
      <c r="AP87" s="603" t="str">
        <f t="shared" ref="AP87" si="285">IF(AND(AA87="",AA88="",AA89=""),"",SUM(AA87:AA89))</f>
        <v/>
      </c>
      <c r="AQ87" s="603" t="str">
        <f t="shared" ref="AQ87" si="286">IF(AND(AK87="",AK88="",AK89=""),"",SUM(AK87:AK89))</f>
        <v/>
      </c>
      <c r="AR87" s="574" t="str">
        <f t="shared" ref="AR87" si="287">IF(AO87="",IF($AU$6&lt;1,"",IF($AU$6&gt;=1,"NA")),IF(AO87=0,0,AO87/$AN87))</f>
        <v>NA</v>
      </c>
      <c r="AS87" s="574" t="str">
        <f t="shared" ref="AS87" si="288">IF(AP87="",IF($AU$6&lt;2,"",IF($AU$6&gt;=2,"NA")),IF(AP87=0,0,AP87/$AN87))</f>
        <v>NA</v>
      </c>
      <c r="AT87" s="574" t="str">
        <f t="shared" ref="AT87" si="289">IF(AS87&gt;=AR87,AS87,AR87)</f>
        <v>NA</v>
      </c>
      <c r="AU87" s="572" t="str">
        <f t="shared" ref="AU87" si="290">IF(AQ87="",IF($AU$6&lt;3,"",IF($AU$6&gt;=3,"NA")),IF(AQ87=0,0,AQ87/$AN87))</f>
        <v/>
      </c>
      <c r="AV87" s="573" t="str">
        <f t="shared" ref="AV87" si="291">IF($AU$6=1,AR87,IF($AU$6=2,AS87,IF($AU$6=3,AU87,"")))</f>
        <v>NA</v>
      </c>
      <c r="AW87" s="605" t="str">
        <f t="shared" ref="AW87" si="292">AV87</f>
        <v>NA</v>
      </c>
      <c r="AX87">
        <f t="shared" si="199"/>
        <v>0</v>
      </c>
    </row>
    <row r="88" spans="1:50" ht="15.75" x14ac:dyDescent="0.25">
      <c r="A88" s="593"/>
      <c r="B88" s="591"/>
      <c r="C88" s="82" t="str">
        <f>IF('CONSOLIDACION DEL MAPA'!P88="","",'CONSOLIDACION DEL MAPA'!P88)</f>
        <v/>
      </c>
      <c r="D88" s="82" t="str">
        <f>CRONOGRAMA!D88</f>
        <v/>
      </c>
      <c r="E88" s="132" t="str">
        <f>IF(CRONOGRAMA!F88="", "",CRONOGRAMA!F88)</f>
        <v/>
      </c>
      <c r="F88" s="132" t="str">
        <f>IF(CRONOGRAMA!G88="", "",CRONOGRAMA!G88)</f>
        <v/>
      </c>
      <c r="G88" s="128" t="str">
        <f>IF(CRONOGRAMA!H88="", "",CRONOGRAMA!H88)</f>
        <v/>
      </c>
      <c r="H88" s="128" t="str">
        <f>IF(CRONOGRAMA!I88="", "",CRONOGRAMA!I88)</f>
        <v/>
      </c>
      <c r="I88" s="84">
        <f t="shared" si="179"/>
        <v>0</v>
      </c>
      <c r="J88" s="160" t="str">
        <f>IF($P$6="Indique Fecha Seguimiento","",IF(CRONOGRAMA!$E88="No Aplica","NA",IF($G88="","",IF(YEAR($G88)&lt;YEAR($P$6)," A ",IF(YEAR($G88)=YEAR($P$6),IF(MONTH($G88)&lt;=4," A ","NA"),IF(YEAR($G88)&gt;YEAR($P$6),"NA"))))))</f>
        <v/>
      </c>
      <c r="K88" s="400"/>
      <c r="L88" s="401"/>
      <c r="M88" s="400"/>
      <c r="N88" s="348" t="str">
        <f t="shared" si="180"/>
        <v/>
      </c>
      <c r="O88" s="349"/>
      <c r="P88" s="44"/>
      <c r="Q88" s="84" t="str">
        <f t="shared" si="181"/>
        <v/>
      </c>
      <c r="R88" s="84" t="str">
        <f t="shared" si="182"/>
        <v/>
      </c>
      <c r="S88" s="84">
        <f t="shared" si="240"/>
        <v>0</v>
      </c>
      <c r="T88" s="160" t="str">
        <f>IF($Z$6="Indique Fecha Seguimiento","",IF(CRONOGRAMA!$E88="No Aplica","NA",IF($G88="","",IF(YEAR($G88)&lt;YEAR($Z$6)," A ",IF(YEAR($G88)=YEAR($Z$6),IF(MONTH($G88)&lt;=8," A ","NA"),IF(YEAR($G88)&gt;YEAR($Z$6),"NA"))))))</f>
        <v/>
      </c>
      <c r="U88" s="351"/>
      <c r="V88" s="44"/>
      <c r="W88" s="351"/>
      <c r="X88" s="348" t="str">
        <f t="shared" si="183"/>
        <v/>
      </c>
      <c r="Y88" s="349"/>
      <c r="Z88" s="44"/>
      <c r="AA88" s="84" t="str">
        <f t="shared" si="184"/>
        <v/>
      </c>
      <c r="AB88" s="84" t="str">
        <f t="shared" si="185"/>
        <v/>
      </c>
      <c r="AC88" s="84">
        <f t="shared" si="241"/>
        <v>0</v>
      </c>
      <c r="AD88" s="160" t="str">
        <f>IF($AJ$6="Indique Fecha Seguimiento","",IF(CRONOGRAMA!$E88="No Aplica","NA",IF($G88="","",IF(YEAR($G88)&lt;YEAR($AJ$6)," A ",IF(YEAR($G88)=YEAR($AJ$6),IF(MONTH($G88)&lt;=12," A ","NA"),IF(YEAR($G88)&gt;YEAR($AJ$6),"NA"))))))</f>
        <v/>
      </c>
      <c r="AE88" s="350"/>
      <c r="AF88" s="44"/>
      <c r="AG88" s="351"/>
      <c r="AH88" s="348" t="str">
        <f t="shared" si="186"/>
        <v/>
      </c>
      <c r="AI88" s="349"/>
      <c r="AJ88" s="44"/>
      <c r="AK88" s="81" t="str">
        <f t="shared" si="187"/>
        <v/>
      </c>
      <c r="AL88" s="84">
        <f t="shared" si="188"/>
        <v>0</v>
      </c>
      <c r="AM88" s="84">
        <f t="shared" si="242"/>
        <v>0</v>
      </c>
      <c r="AN88" s="592"/>
      <c r="AO88" s="602"/>
      <c r="AP88" s="603"/>
      <c r="AQ88" s="603"/>
      <c r="AR88" s="574"/>
      <c r="AS88" s="574"/>
      <c r="AT88" s="574"/>
      <c r="AU88" s="572"/>
      <c r="AV88" s="573"/>
      <c r="AW88" s="605"/>
      <c r="AX88">
        <f t="shared" si="199"/>
        <v>0</v>
      </c>
    </row>
    <row r="89" spans="1:50" ht="15.75" x14ac:dyDescent="0.25">
      <c r="A89" s="593"/>
      <c r="B89" s="591"/>
      <c r="C89" s="82" t="str">
        <f>IF('CONSOLIDACION DEL MAPA'!P89="","",'CONSOLIDACION DEL MAPA'!P89)</f>
        <v/>
      </c>
      <c r="D89" s="82" t="str">
        <f>CRONOGRAMA!D89</f>
        <v/>
      </c>
      <c r="E89" s="132" t="str">
        <f>IF(CRONOGRAMA!F89="", "",CRONOGRAMA!F89)</f>
        <v/>
      </c>
      <c r="F89" s="132" t="str">
        <f>IF(CRONOGRAMA!G89="", "",CRONOGRAMA!G89)</f>
        <v/>
      </c>
      <c r="G89" s="128" t="str">
        <f>IF(CRONOGRAMA!H89="", "",CRONOGRAMA!H89)</f>
        <v/>
      </c>
      <c r="H89" s="128" t="str">
        <f>IF(CRONOGRAMA!I89="", "",CRONOGRAMA!I89)</f>
        <v/>
      </c>
      <c r="I89" s="84">
        <f t="shared" si="179"/>
        <v>0</v>
      </c>
      <c r="J89" s="160" t="str">
        <f>IF($P$6="Indique Fecha Seguimiento","",IF(CRONOGRAMA!$E89="No Aplica","NA",IF($G89="","",IF(YEAR($G89)&lt;YEAR($P$6)," A ",IF(YEAR($G89)=YEAR($P$6),IF(MONTH($G89)&lt;=4," A ","NA"),IF(YEAR($G89)&gt;YEAR($P$6),"NA"))))))</f>
        <v/>
      </c>
      <c r="K89" s="400"/>
      <c r="L89" s="401"/>
      <c r="M89" s="400"/>
      <c r="N89" s="348" t="str">
        <f t="shared" si="180"/>
        <v/>
      </c>
      <c r="O89" s="349"/>
      <c r="P89" s="44"/>
      <c r="Q89" s="84" t="str">
        <f t="shared" si="181"/>
        <v/>
      </c>
      <c r="R89" s="84" t="str">
        <f t="shared" si="182"/>
        <v/>
      </c>
      <c r="S89" s="84">
        <f t="shared" si="240"/>
        <v>0</v>
      </c>
      <c r="T89" s="160" t="str">
        <f>IF($Z$6="Indique Fecha Seguimiento","",IF(CRONOGRAMA!$E89="No Aplica","NA",IF($G89="","",IF(YEAR($G89)&lt;YEAR($Z$6)," A ",IF(YEAR($G89)=YEAR($Z$6),IF(MONTH($G89)&lt;=8," A ","NA"),IF(YEAR($G89)&gt;YEAR($Z$6),"NA"))))))</f>
        <v/>
      </c>
      <c r="U89" s="351"/>
      <c r="V89" s="44"/>
      <c r="W89" s="351"/>
      <c r="X89" s="348" t="str">
        <f t="shared" si="183"/>
        <v/>
      </c>
      <c r="Y89" s="349"/>
      <c r="Z89" s="44"/>
      <c r="AA89" s="84" t="str">
        <f t="shared" si="184"/>
        <v/>
      </c>
      <c r="AB89" s="84" t="str">
        <f t="shared" si="185"/>
        <v/>
      </c>
      <c r="AC89" s="84">
        <f t="shared" si="241"/>
        <v>0</v>
      </c>
      <c r="AD89" s="160" t="str">
        <f>IF($AJ$6="Indique Fecha Seguimiento","",IF(CRONOGRAMA!$E89="No Aplica","NA",IF($G89="","",IF(YEAR($G89)&lt;YEAR($AJ$6)," A ",IF(YEAR($G89)=YEAR($AJ$6),IF(MONTH($G89)&lt;=12," A ","NA"),IF(YEAR($G89)&gt;YEAR($AJ$6),"NA"))))))</f>
        <v/>
      </c>
      <c r="AE89" s="350"/>
      <c r="AF89" s="44"/>
      <c r="AG89" s="351"/>
      <c r="AH89" s="348" t="str">
        <f t="shared" si="186"/>
        <v/>
      </c>
      <c r="AI89" s="349"/>
      <c r="AJ89" s="44"/>
      <c r="AK89" s="81" t="str">
        <f t="shared" si="187"/>
        <v/>
      </c>
      <c r="AL89" s="84">
        <f t="shared" si="188"/>
        <v>0</v>
      </c>
      <c r="AM89" s="84">
        <f t="shared" si="242"/>
        <v>0</v>
      </c>
      <c r="AN89" s="592"/>
      <c r="AO89" s="602"/>
      <c r="AP89" s="603"/>
      <c r="AQ89" s="603"/>
      <c r="AR89" s="574"/>
      <c r="AS89" s="574"/>
      <c r="AT89" s="574"/>
      <c r="AU89" s="572"/>
      <c r="AV89" s="573"/>
      <c r="AW89" s="605"/>
      <c r="AX89">
        <f t="shared" si="199"/>
        <v>0</v>
      </c>
    </row>
    <row r="90" spans="1:50" ht="38.25" x14ac:dyDescent="0.25">
      <c r="A90" s="593" t="str">
        <f>CRONOGRAMA!A90</f>
        <v>28G</v>
      </c>
      <c r="B90" s="591" t="str">
        <f>CRONOGRAMA!B90</f>
        <v>Evaluación Independiente. Deficiente evaluación del nivel de avance de las acciones pactadas en los planes de mejoramiento</v>
      </c>
      <c r="C90" s="82" t="str">
        <f>IF('CONSOLIDACION DEL MAPA'!P90="","",'CONSOLIDACION DEL MAPA'!P90)</f>
        <v>Asumir</v>
      </c>
      <c r="D90" s="82" t="str">
        <f>CRONOGRAMA!D90</f>
        <v>Seguir ejecutando y monitoreando los controles existentes</v>
      </c>
      <c r="E90" s="132" t="str">
        <f>IF(CRONOGRAMA!F90="", "",CRONOGRAMA!F90)</f>
        <v/>
      </c>
      <c r="F90" s="132" t="str">
        <f>IF(CRONOGRAMA!G90="", "",CRONOGRAMA!G90)</f>
        <v/>
      </c>
      <c r="G90" s="128" t="str">
        <f>IF(CRONOGRAMA!H90="", "",CRONOGRAMA!H90)</f>
        <v/>
      </c>
      <c r="H90" s="128" t="str">
        <f>IF(CRONOGRAMA!I90="", "",CRONOGRAMA!I90)</f>
        <v/>
      </c>
      <c r="I90" s="84">
        <f t="shared" ref="I90:I92" si="293">IF(G90="",0,IF(H90="",0,(H90-G90)/7))</f>
        <v>0</v>
      </c>
      <c r="J90" s="160" t="str">
        <f>IF($P$6="Indique Fecha Seguimiento","",IF(CRONOGRAMA!$E90="No Aplica","NA",IF($G90="","",IF(YEAR($G90)&lt;YEAR($P$6)," A ",IF(YEAR($G90)=YEAR($P$6),IF(MONTH($G90)&lt;=4," A ","NA"),IF(YEAR($G90)&gt;YEAR($P$6),"NA"))))))</f>
        <v>NA</v>
      </c>
      <c r="K90" s="400"/>
      <c r="L90" s="401"/>
      <c r="M90" s="400"/>
      <c r="N90" s="348" t="str">
        <f t="shared" ref="N90:N92" si="294">IF(M90="","",IF($F90=0,0,M90/$F90))</f>
        <v/>
      </c>
      <c r="O90" s="349"/>
      <c r="P90" s="44"/>
      <c r="Q90" s="84" t="str">
        <f t="shared" ref="Q90:Q92" si="295">IF(N90="","",($I90*N90))</f>
        <v/>
      </c>
      <c r="R90" s="84" t="str">
        <f t="shared" ref="R90:R92" si="296">IF(O90="SI",Q90,IF($P$6&lt;=$H90,Q90,0))</f>
        <v/>
      </c>
      <c r="S90" s="84">
        <f t="shared" si="240"/>
        <v>0</v>
      </c>
      <c r="T90" s="160" t="str">
        <f>IF($Z$6="Indique Fecha Seguimiento","",IF(CRONOGRAMA!$E90="No Aplica","NA",IF($G90="","",IF(YEAR($G90)&lt;YEAR($Z$6)," A ",IF(YEAR($G90)=YEAR($Z$6),IF(MONTH($G90)&lt;=8," A ","NA"),IF(YEAR($G90)&gt;YEAR($Z$6),"NA"))))))</f>
        <v>NA</v>
      </c>
      <c r="U90" s="351"/>
      <c r="V90" s="44"/>
      <c r="W90" s="351"/>
      <c r="X90" s="348" t="str">
        <f t="shared" ref="X90:X92" si="297">IF(W90="","",IF($F90=0,0,W90/$F90))</f>
        <v/>
      </c>
      <c r="Y90" s="349"/>
      <c r="Z90" s="44"/>
      <c r="AA90" s="84" t="str">
        <f t="shared" ref="AA90:AA92" si="298">IF(X90="","",($I90*X90))</f>
        <v/>
      </c>
      <c r="AB90" s="84" t="str">
        <f t="shared" ref="AB90:AB92" si="299">IF(N90=1,R90,IF(Y90="SI",AA90,IF($Z$6&lt;=$H90,AA90,0)))</f>
        <v/>
      </c>
      <c r="AC90" s="84">
        <f t="shared" si="241"/>
        <v>0</v>
      </c>
      <c r="AD90" s="160" t="str">
        <f>IF($AJ$6="Indique Fecha Seguimiento","",IF(CRONOGRAMA!$E90="No Aplica","NA",IF($G90="","",IF(YEAR($G90)&lt;YEAR($AJ$6)," A ",IF(YEAR($G90)=YEAR($AJ$6),IF(MONTH($G90)&lt;=12," A ","NA"),IF(YEAR($G90)&gt;YEAR($AJ$6),"NA"))))))</f>
        <v/>
      </c>
      <c r="AE90" s="350"/>
      <c r="AF90" s="44"/>
      <c r="AG90" s="351"/>
      <c r="AH90" s="348" t="str">
        <f t="shared" ref="AH90:AH92" si="300">IF(AG90="","",IF($F90=0,0,AG90/$F90))</f>
        <v/>
      </c>
      <c r="AI90" s="349"/>
      <c r="AJ90" s="44"/>
      <c r="AK90" s="81" t="str">
        <f t="shared" ref="AK90:AK92" si="301">IF(AH90="","",($I90*AH90))</f>
        <v/>
      </c>
      <c r="AL90" s="84">
        <f t="shared" ref="AL90:AL92" si="302">IF(X90=1,AB90,IF(AI90="SI",AK90,IF($AJ$6&lt;=$H90,AK90,0)))</f>
        <v>0</v>
      </c>
      <c r="AM90" s="84">
        <f t="shared" si="242"/>
        <v>0</v>
      </c>
      <c r="AN90" s="592">
        <f t="shared" ref="AN90" si="303">SUM(I90:I92)</f>
        <v>0</v>
      </c>
      <c r="AO90" s="602" t="str">
        <f t="shared" ref="AO90" si="304">IF(AND(Q90="",Q91="",Q92=""),"",SUM(Q90:Q92))</f>
        <v/>
      </c>
      <c r="AP90" s="603" t="str">
        <f t="shared" ref="AP90" si="305">IF(AND(AA90="",AA91="",AA92=""),"",SUM(AA90:AA92))</f>
        <v/>
      </c>
      <c r="AQ90" s="603" t="str">
        <f t="shared" ref="AQ90" si="306">IF(AND(AK90="",AK91="",AK92=""),"",SUM(AK90:AK92))</f>
        <v/>
      </c>
      <c r="AR90" s="574" t="str">
        <f t="shared" ref="AR90" si="307">IF(AO90="",IF($AU$6&lt;1,"",IF($AU$6&gt;=1,"NA")),IF(AO90=0,0,AO90/$AN90))</f>
        <v>NA</v>
      </c>
      <c r="AS90" s="574" t="str">
        <f t="shared" ref="AS90" si="308">IF(AP90="",IF($AU$6&lt;2,"",IF($AU$6&gt;=2,"NA")),IF(AP90=0,0,AP90/$AN90))</f>
        <v>NA</v>
      </c>
      <c r="AT90" s="574" t="str">
        <f t="shared" ref="AT90" si="309">IF(AS90&gt;=AR90,AS90,AR90)</f>
        <v>NA</v>
      </c>
      <c r="AU90" s="572" t="str">
        <f t="shared" ref="AU90" si="310">IF(AQ90="",IF($AU$6&lt;3,"",IF($AU$6&gt;=3,"NA")),IF(AQ90=0,0,AQ90/$AN90))</f>
        <v/>
      </c>
      <c r="AV90" s="573" t="str">
        <f t="shared" ref="AV90" si="311">IF($AU$6=1,AR90,IF($AU$6=2,AS90,IF($AU$6=3,AU90,"")))</f>
        <v>NA</v>
      </c>
      <c r="AW90" s="605" t="str">
        <f t="shared" ref="AW90" si="312">AV90</f>
        <v>NA</v>
      </c>
      <c r="AX90">
        <f t="shared" ref="AX90:AX92" si="313">IF($AU$6=1,P90,IF($AU$6=2,Z90,IF($AU$6=3,AJ90,"")))</f>
        <v>0</v>
      </c>
    </row>
    <row r="91" spans="1:50" ht="15.75" x14ac:dyDescent="0.25">
      <c r="A91" s="593"/>
      <c r="B91" s="591"/>
      <c r="C91" s="82" t="str">
        <f>IF('CONSOLIDACION DEL MAPA'!P91="","",'CONSOLIDACION DEL MAPA'!P91)</f>
        <v/>
      </c>
      <c r="D91" s="82" t="str">
        <f>CRONOGRAMA!D91</f>
        <v/>
      </c>
      <c r="E91" s="132" t="str">
        <f>IF(CRONOGRAMA!F91="", "",CRONOGRAMA!F91)</f>
        <v/>
      </c>
      <c r="F91" s="132" t="str">
        <f>IF(CRONOGRAMA!G91="", "",CRONOGRAMA!G91)</f>
        <v/>
      </c>
      <c r="G91" s="128" t="str">
        <f>IF(CRONOGRAMA!H91="", "",CRONOGRAMA!H91)</f>
        <v/>
      </c>
      <c r="H91" s="128" t="str">
        <f>IF(CRONOGRAMA!I91="", "",CRONOGRAMA!I91)</f>
        <v/>
      </c>
      <c r="I91" s="84">
        <f t="shared" si="293"/>
        <v>0</v>
      </c>
      <c r="J91" s="160" t="str">
        <f>IF($P$6="Indique Fecha Seguimiento","",IF(CRONOGRAMA!$E91="No Aplica","NA",IF($G91="","",IF(YEAR($G91)&lt;YEAR($P$6)," A ",IF(YEAR($G91)=YEAR($P$6),IF(MONTH($G91)&lt;=4," A ","NA"),IF(YEAR($G91)&gt;YEAR($P$6),"NA"))))))</f>
        <v/>
      </c>
      <c r="K91" s="346"/>
      <c r="L91" s="347"/>
      <c r="M91" s="346"/>
      <c r="N91" s="348" t="str">
        <f t="shared" si="294"/>
        <v/>
      </c>
      <c r="O91" s="349"/>
      <c r="P91" s="44"/>
      <c r="Q91" s="84" t="str">
        <f t="shared" si="295"/>
        <v/>
      </c>
      <c r="R91" s="84" t="str">
        <f t="shared" si="296"/>
        <v/>
      </c>
      <c r="S91" s="84">
        <f t="shared" si="240"/>
        <v>0</v>
      </c>
      <c r="T91" s="160" t="str">
        <f>IF($Z$6="Indique Fecha Seguimiento","",IF(CRONOGRAMA!$E91="No Aplica","NA",IF($G91="","",IF(YEAR($G91)&lt;YEAR($Z$6)," A ",IF(YEAR($G91)=YEAR($Z$6),IF(MONTH($G91)&lt;=8," A ","NA"),IF(YEAR($G91)&gt;YEAR($Z$6),"NA"))))))</f>
        <v/>
      </c>
      <c r="U91" s="351"/>
      <c r="V91" s="44"/>
      <c r="W91" s="351"/>
      <c r="X91" s="348" t="str">
        <f t="shared" si="297"/>
        <v/>
      </c>
      <c r="Y91" s="349"/>
      <c r="Z91" s="44"/>
      <c r="AA91" s="84" t="str">
        <f t="shared" si="298"/>
        <v/>
      </c>
      <c r="AB91" s="84" t="str">
        <f t="shared" si="299"/>
        <v/>
      </c>
      <c r="AC91" s="84">
        <f t="shared" si="241"/>
        <v>0</v>
      </c>
      <c r="AD91" s="160" t="str">
        <f>IF($AJ$6="Indique Fecha Seguimiento","",IF(CRONOGRAMA!$E91="No Aplica","NA",IF($G91="","",IF(YEAR($G91)&lt;YEAR($AJ$6)," A ",IF(YEAR($G91)=YEAR($AJ$6),IF(MONTH($G91)&lt;=12," A ","NA"),IF(YEAR($G91)&gt;YEAR($AJ$6),"NA"))))))</f>
        <v/>
      </c>
      <c r="AE91" s="350"/>
      <c r="AF91" s="44"/>
      <c r="AG91" s="351"/>
      <c r="AH91" s="348" t="str">
        <f t="shared" si="300"/>
        <v/>
      </c>
      <c r="AI91" s="349"/>
      <c r="AJ91" s="44"/>
      <c r="AK91" s="81" t="str">
        <f t="shared" si="301"/>
        <v/>
      </c>
      <c r="AL91" s="84">
        <f t="shared" si="302"/>
        <v>0</v>
      </c>
      <c r="AM91" s="84">
        <f t="shared" si="242"/>
        <v>0</v>
      </c>
      <c r="AN91" s="592"/>
      <c r="AO91" s="602"/>
      <c r="AP91" s="603"/>
      <c r="AQ91" s="603"/>
      <c r="AR91" s="574"/>
      <c r="AS91" s="574"/>
      <c r="AT91" s="574"/>
      <c r="AU91" s="572"/>
      <c r="AV91" s="573"/>
      <c r="AW91" s="605"/>
      <c r="AX91">
        <f t="shared" si="313"/>
        <v>0</v>
      </c>
    </row>
    <row r="92" spans="1:50" ht="16.5" thickBot="1" x14ac:dyDescent="0.3">
      <c r="A92" s="593"/>
      <c r="B92" s="591"/>
      <c r="C92" s="82" t="str">
        <f>IF('CONSOLIDACION DEL MAPA'!P92="","",'CONSOLIDACION DEL MAPA'!P92)</f>
        <v/>
      </c>
      <c r="D92" s="82" t="str">
        <f>CRONOGRAMA!D92</f>
        <v/>
      </c>
      <c r="E92" s="132" t="str">
        <f>IF(CRONOGRAMA!F92="", "",CRONOGRAMA!F92)</f>
        <v/>
      </c>
      <c r="F92" s="132" t="str">
        <f>IF(CRONOGRAMA!G92="", "",CRONOGRAMA!G92)</f>
        <v/>
      </c>
      <c r="G92" s="128" t="str">
        <f>IF(CRONOGRAMA!H92="", "",CRONOGRAMA!H92)</f>
        <v/>
      </c>
      <c r="H92" s="128" t="str">
        <f>IF(CRONOGRAMA!I92="", "",CRONOGRAMA!I92)</f>
        <v/>
      </c>
      <c r="I92" s="84">
        <f t="shared" si="293"/>
        <v>0</v>
      </c>
      <c r="J92" s="160" t="str">
        <f>IF($P$6="Indique Fecha Seguimiento","",IF(CRONOGRAMA!$E92="No Aplica","NA",IF($G92="","",IF(YEAR($G92)&lt;YEAR($P$6)," A ",IF(YEAR($G92)=YEAR($P$6),IF(MONTH($G92)&lt;=4," A ","NA"),IF(YEAR($G92)&gt;YEAR($P$6),"NA"))))))</f>
        <v/>
      </c>
      <c r="K92" s="346"/>
      <c r="L92" s="347"/>
      <c r="M92" s="346"/>
      <c r="N92" s="348" t="str">
        <f t="shared" si="294"/>
        <v/>
      </c>
      <c r="O92" s="349"/>
      <c r="P92" s="44"/>
      <c r="Q92" s="84" t="str">
        <f t="shared" si="295"/>
        <v/>
      </c>
      <c r="R92" s="84" t="str">
        <f t="shared" si="296"/>
        <v/>
      </c>
      <c r="S92" s="84">
        <f t="shared" si="240"/>
        <v>0</v>
      </c>
      <c r="T92" s="160" t="str">
        <f>IF($Z$6="Indique Fecha Seguimiento","",IF(CRONOGRAMA!$E92="No Aplica","NA",IF($G92="","",IF(YEAR($G92)&lt;YEAR($Z$6)," A ",IF(YEAR($G92)=YEAR($Z$6),IF(MONTH($G92)&lt;=8," A ","NA"),IF(YEAR($G92)&gt;YEAR($Z$6),"NA"))))))</f>
        <v/>
      </c>
      <c r="U92" s="351"/>
      <c r="V92" s="44"/>
      <c r="W92" s="351"/>
      <c r="X92" s="348" t="str">
        <f t="shared" si="297"/>
        <v/>
      </c>
      <c r="Y92" s="349"/>
      <c r="Z92" s="44"/>
      <c r="AA92" s="84" t="str">
        <f t="shared" si="298"/>
        <v/>
      </c>
      <c r="AB92" s="84" t="str">
        <f t="shared" si="299"/>
        <v/>
      </c>
      <c r="AC92" s="84">
        <f t="shared" si="241"/>
        <v>0</v>
      </c>
      <c r="AD92" s="160" t="str">
        <f>IF($AJ$6="Indique Fecha Seguimiento","",IF(CRONOGRAMA!$E92="No Aplica","NA",IF($G92="","",IF(YEAR($G92)&lt;YEAR($AJ$6)," A ",IF(YEAR($G92)=YEAR($AJ$6),IF(MONTH($G92)&lt;=12," A ","NA"),IF(YEAR($G92)&gt;YEAR($AJ$6),"NA"))))))</f>
        <v/>
      </c>
      <c r="AE92" s="350"/>
      <c r="AF92" s="44"/>
      <c r="AG92" s="351"/>
      <c r="AH92" s="348" t="str">
        <f t="shared" si="300"/>
        <v/>
      </c>
      <c r="AI92" s="349"/>
      <c r="AJ92" s="44"/>
      <c r="AK92" s="81" t="str">
        <f t="shared" si="301"/>
        <v/>
      </c>
      <c r="AL92" s="84">
        <f t="shared" si="302"/>
        <v>0</v>
      </c>
      <c r="AM92" s="84">
        <f t="shared" si="242"/>
        <v>0</v>
      </c>
      <c r="AN92" s="592"/>
      <c r="AO92" s="602"/>
      <c r="AP92" s="603"/>
      <c r="AQ92" s="603"/>
      <c r="AR92" s="574"/>
      <c r="AS92" s="574"/>
      <c r="AT92" s="574"/>
      <c r="AU92" s="572"/>
      <c r="AV92" s="573"/>
      <c r="AW92" s="605"/>
      <c r="AX92">
        <f t="shared" si="313"/>
        <v>0</v>
      </c>
    </row>
    <row r="93" spans="1:50" s="94" customFormat="1" ht="16.5" hidden="1" thickBot="1" x14ac:dyDescent="0.3">
      <c r="A93" s="116" t="s">
        <v>360</v>
      </c>
      <c r="B93" s="116"/>
      <c r="C93" s="116"/>
      <c r="D93" s="116"/>
      <c r="E93" s="116"/>
      <c r="F93" s="116"/>
      <c r="G93" s="116"/>
      <c r="H93" s="116"/>
      <c r="I93" s="117">
        <f>SUM(I9:I92)</f>
        <v>1067.8571428571429</v>
      </c>
      <c r="J93" s="160" t="str">
        <f>IF($P$6="Indique Fecha Seguimiento","",IF(CRONOGRAMA!$E93="No Aplica","NA",IF($G93="","",IF(YEAR($G93)&lt;YEAR($P$6),"A",IF(YEAR($G93)=YEAR($P$6),IF(MONTH($G93)&lt;=4," A ","NA"),IF(YEAR($G93)&gt;YEAR($P$6),"NA"))))))</f>
        <v/>
      </c>
      <c r="K93" s="106"/>
      <c r="O93" s="342"/>
      <c r="Q93" s="120">
        <f>SUM(Q9:Q92)</f>
        <v>186.07142857142858</v>
      </c>
      <c r="R93" s="120">
        <f>SUM(R9:R92)</f>
        <v>186.07142857142858</v>
      </c>
      <c r="S93" s="120">
        <f>SUM(S9:S92)</f>
        <v>1067.8571428571429</v>
      </c>
      <c r="T93" s="165"/>
      <c r="W93" s="143"/>
      <c r="Y93" s="342"/>
      <c r="AA93" s="338">
        <f>SUM(AA9:AA92)</f>
        <v>427.7661904761905</v>
      </c>
      <c r="AB93" s="120">
        <f>SUM(AB9:AB92)</f>
        <v>427.7661904761905</v>
      </c>
      <c r="AC93" s="120">
        <f>SUM(AC9:AC92)</f>
        <v>1067.8571428571429</v>
      </c>
      <c r="AD93" s="160"/>
      <c r="AG93" s="143"/>
      <c r="AI93" s="342"/>
      <c r="AJ93" s="81"/>
      <c r="AK93" s="121">
        <f>SUM(AK9:AK92)</f>
        <v>0</v>
      </c>
      <c r="AL93" s="120">
        <f>SUM(AL9:AL92)</f>
        <v>125.71428571428572</v>
      </c>
      <c r="AM93" s="120">
        <f>SUM(AM9:AM92)</f>
        <v>1067.8571428571429</v>
      </c>
      <c r="AR93" s="141"/>
      <c r="AS93" s="141"/>
      <c r="AT93" s="141"/>
      <c r="AU93" s="141"/>
      <c r="AV93" s="141"/>
      <c r="AW93" s="137"/>
    </row>
    <row r="94" spans="1:50" ht="16.5" customHeight="1" thickTop="1" thickBot="1" x14ac:dyDescent="0.25">
      <c r="A94" s="460" t="str">
        <f>IDENTIFICACIÓN!A37</f>
        <v>RIESGOS DE CORRUPCIÓN</v>
      </c>
      <c r="B94" s="461"/>
      <c r="C94" s="461"/>
      <c r="D94" s="461"/>
      <c r="E94" s="461"/>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461"/>
      <c r="AK94" s="461"/>
      <c r="AL94" s="461"/>
      <c r="AM94" s="461"/>
      <c r="AN94" s="461"/>
      <c r="AO94" s="461"/>
      <c r="AP94" s="461"/>
      <c r="AQ94" s="461"/>
      <c r="AR94" s="461"/>
      <c r="AS94" s="461"/>
      <c r="AT94" s="461"/>
      <c r="AU94" s="461"/>
      <c r="AV94" s="461"/>
      <c r="AW94" s="462"/>
    </row>
    <row r="95" spans="1:50" ht="102.75" thickTop="1" x14ac:dyDescent="0.25">
      <c r="A95" s="588" t="str">
        <f>CRONOGRAMA!A94</f>
        <v>1C</v>
      </c>
      <c r="B95" s="591" t="str">
        <f>CRONOGRAMA!B94</f>
        <v>Relaciones Interinstitucionales. Tráfico de Influencias</v>
      </c>
      <c r="C95" s="82" t="str">
        <f>IF('CONSOLIDACION DEL MAPA'!P94="","",'CONSOLIDACION DEL MAPA'!P94)</f>
        <v>Evitar</v>
      </c>
      <c r="D95" s="82" t="str">
        <f>CRONOGRAMA!D94</f>
        <v xml:space="preserve">Asistencia a capacitaciones (transparencia, buen gobierno, etc) organizadas por Rectoría, Talento Humano y/o contratación. </v>
      </c>
      <c r="E95" s="132" t="str">
        <f>IF(CRONOGRAMA!F94="", "",CRONOGRAMA!F94)</f>
        <v xml:space="preserve">Asistencia </v>
      </c>
      <c r="F95" s="132">
        <f>IF(CRONOGRAMA!G94="", "",CRONOGRAMA!G94)</f>
        <v>1</v>
      </c>
      <c r="G95" s="128">
        <f>IF(CRONOGRAMA!H94="", "",CRONOGRAMA!H94)</f>
        <v>42370</v>
      </c>
      <c r="H95" s="128">
        <f>IF(CRONOGRAMA!I94="", "",CRONOGRAMA!I94)</f>
        <v>42490</v>
      </c>
      <c r="I95" s="84">
        <f t="shared" ref="I95:I97" si="314">IF(G95="",0,IF(H95="",0,(H95-G95)/7))</f>
        <v>17.142857142857142</v>
      </c>
      <c r="J95" s="160" t="str">
        <f>IF($P$6="Indique Fecha Seguimiento","",IF(CRONOGRAMA!$E94="No Aplica","NA",IF($G95="","",IF(YEAR($G95)&lt;YEAR($P$6)," A ",IF(YEAR($G95)=YEAR($P$6),IF(MONTH($G95)&lt;=4," A ","NA"),IF(YEAR($G95)&gt;YEAR($P$6),"NA"))))))</f>
        <v xml:space="preserve"> A </v>
      </c>
      <c r="K95" s="400">
        <v>1</v>
      </c>
      <c r="L95" s="402" t="s">
        <v>897</v>
      </c>
      <c r="M95" s="400">
        <v>1</v>
      </c>
      <c r="N95" s="348">
        <f t="shared" ref="N95:N97" si="315">IF(M95="","",IF($F95=0,0,M95/$F95))</f>
        <v>1</v>
      </c>
      <c r="O95" s="349" t="s">
        <v>11</v>
      </c>
      <c r="P95" s="44"/>
      <c r="Q95" s="84">
        <f t="shared" ref="Q95:Q97" si="316">IF(N95="","",($I95*N95))</f>
        <v>17.142857142857142</v>
      </c>
      <c r="R95" s="84">
        <f t="shared" ref="R95:R109" si="317">IF(O95="SI",Q95,IF($P$6&lt;=$H95,Q95,0))</f>
        <v>17.142857142857142</v>
      </c>
      <c r="S95" s="84">
        <f t="shared" ref="S95:S158" si="318">$I95</f>
        <v>17.142857142857142</v>
      </c>
      <c r="T95" s="160" t="str">
        <f>IF($Z$6="Indique Fecha Seguimiento","",IF(CRONOGRAMA!$E94="No Aplica","NA",IF($G95="","",IF(YEAR($G95)&lt;YEAR($Z$6)," A ",IF(YEAR($G95)=YEAR($Z$6),IF(MONTH($G95)&lt;=8," A ","NA"),IF(YEAR($G95)&gt;YEAR($Z$6),"NA"))))))</f>
        <v xml:space="preserve"> A </v>
      </c>
      <c r="U95" s="412">
        <v>1</v>
      </c>
      <c r="V95" s="402" t="s">
        <v>939</v>
      </c>
      <c r="W95" s="351">
        <v>1</v>
      </c>
      <c r="X95" s="348">
        <f t="shared" ref="X95:X97" si="319">IF(W95="","",IF($F95=0,0,W95/$F95))</f>
        <v>1</v>
      </c>
      <c r="Y95" s="349" t="s">
        <v>11</v>
      </c>
      <c r="Z95" s="44" t="s">
        <v>940</v>
      </c>
      <c r="AA95" s="84">
        <f t="shared" ref="AA95:AA97" si="320">IF(X95="","",($I95*X95))</f>
        <v>17.142857142857142</v>
      </c>
      <c r="AB95" s="84">
        <f t="shared" ref="AB95:AB109" si="321">IF(N95=1,R95,IF(Y95="SI",AA95,IF($Z$6&lt;=$H95,AA95,0)))</f>
        <v>17.142857142857142</v>
      </c>
      <c r="AC95" s="84">
        <f t="shared" ref="AC95:AC158" si="322">$I95</f>
        <v>17.142857142857142</v>
      </c>
      <c r="AD95" s="160" t="str">
        <f>IF($AJ$6="Indique Fecha Seguimiento","",IF(CRONOGRAMA!$E94="No Aplica","NA",IF($G95="","",IF(YEAR($G95)&lt;YEAR($AJ$6)," A ",IF(YEAR($G95)=YEAR($AJ$6),IF(MONTH($G95)&lt;=12," A ","NA"),IF(YEAR($G95)&gt;YEAR($AJ$6),"NA"))))))</f>
        <v/>
      </c>
      <c r="AE95" s="350"/>
      <c r="AF95" s="44"/>
      <c r="AG95" s="351"/>
      <c r="AH95" s="348" t="str">
        <f t="shared" ref="AH95:AH97" si="323">IF(AG95="","",IF($F95=0,0,AG95/$F95))</f>
        <v/>
      </c>
      <c r="AI95" s="349"/>
      <c r="AJ95" s="44"/>
      <c r="AK95" s="81" t="str">
        <f t="shared" ref="AK95:AK97" si="324">IF(AH95="","",($I95*AH95))</f>
        <v/>
      </c>
      <c r="AL95" s="84">
        <f t="shared" ref="AL95:AL109" si="325">IF(X95=1,AB95,IF(AI95="SI",AK95,IF($AJ$6&lt;=$H95,AK95,0)))</f>
        <v>17.142857142857142</v>
      </c>
      <c r="AM95" s="84">
        <f t="shared" ref="AM95:AM158" si="326">$I95</f>
        <v>17.142857142857142</v>
      </c>
      <c r="AN95" s="592">
        <f t="shared" ref="AN95" si="327">SUM(I95:I97)</f>
        <v>17.142857142857142</v>
      </c>
      <c r="AO95" s="602">
        <f t="shared" ref="AO95" si="328">IF(AND(Q95="",Q96="",Q97=""),"",SUM(Q95:Q97))</f>
        <v>17.142857142857142</v>
      </c>
      <c r="AP95" s="603">
        <f t="shared" ref="AP95" si="329">IF(AND(AA95="",AA96="",AA97=""),"",SUM(AA95:AA97))</f>
        <v>17.142857142857142</v>
      </c>
      <c r="AQ95" s="603" t="str">
        <f t="shared" ref="AQ95" si="330">IF(AND(AK95="",AK96="",AK97=""),"",SUM(AK95:AK97))</f>
        <v/>
      </c>
      <c r="AR95" s="574">
        <f t="shared" ref="AR95:AR158" si="331">IF(AO95="",IF($AU$6&lt;1,"",IF($AU$6&gt;=1,"NA")),IF(AO95=0,0,AO95/$AN95))</f>
        <v>1</v>
      </c>
      <c r="AS95" s="574">
        <f t="shared" ref="AS95:AS158" si="332">IF(AP95="",IF($AU$6&lt;2,"",IF($AU$6&gt;=2,"NA")),IF(AP95=0,0,AP95/$AN95))</f>
        <v>1</v>
      </c>
      <c r="AT95" s="574">
        <f t="shared" ref="AT95" si="333">IF(AS95&gt;=AR95,AS95,AR95)</f>
        <v>1</v>
      </c>
      <c r="AU95" s="572" t="str">
        <f t="shared" ref="AU95:AU158" si="334">IF(AQ95="",IF($AU$6&lt;3,"",IF($AU$6&gt;=3,"NA")),IF(AQ95=0,0,AQ95/$AN95))</f>
        <v/>
      </c>
      <c r="AV95" s="573">
        <f t="shared" ref="AV95" si="335">IF($AU$6=1,AR95,IF($AU$6=2,AS95,IF($AU$6=3,AU95,"")))</f>
        <v>1</v>
      </c>
      <c r="AW95" s="605">
        <f t="shared" ref="AW95" si="336">AV95</f>
        <v>1</v>
      </c>
      <c r="AX95" t="str">
        <f t="shared" ref="AX95:AX97" si="337">IF($AU$6=1,P95,IF($AU$6=2,Z95,IF($AU$6=3,AJ95,"")))</f>
        <v>Se cumplio con la actividad definida tal como se informo en primer seguimiento</v>
      </c>
    </row>
    <row r="96" spans="1:50" ht="15.75" x14ac:dyDescent="0.25">
      <c r="A96" s="589"/>
      <c r="B96" s="591"/>
      <c r="C96" s="82" t="str">
        <f>IF('CONSOLIDACION DEL MAPA'!P95="","",'CONSOLIDACION DEL MAPA'!P95)</f>
        <v/>
      </c>
      <c r="D96" s="82" t="str">
        <f>CRONOGRAMA!D95</f>
        <v/>
      </c>
      <c r="E96" s="132" t="str">
        <f>IF(CRONOGRAMA!F95="", "",CRONOGRAMA!F95)</f>
        <v/>
      </c>
      <c r="F96" s="132" t="str">
        <f>IF(CRONOGRAMA!G95="", "",CRONOGRAMA!G95)</f>
        <v/>
      </c>
      <c r="G96" s="128" t="str">
        <f>IF(CRONOGRAMA!H95="", "",CRONOGRAMA!H95)</f>
        <v/>
      </c>
      <c r="H96" s="128" t="str">
        <f>IF(CRONOGRAMA!I95="", "",CRONOGRAMA!I95)</f>
        <v/>
      </c>
      <c r="I96" s="84">
        <f t="shared" si="314"/>
        <v>0</v>
      </c>
      <c r="J96" s="160" t="str">
        <f>IF($P$6="Indique Fecha Seguimiento","",IF(CRONOGRAMA!$E95="No Aplica","NA",IF($G96="","",IF(YEAR($G96)&lt;YEAR($P$6)," A ",IF(YEAR($G96)=YEAR($P$6),IF(MONTH($G96)&lt;=4," A ","NA"),IF(YEAR($G96)&gt;YEAR($P$6),"NA"))))))</f>
        <v/>
      </c>
      <c r="K96" s="400"/>
      <c r="L96" s="402"/>
      <c r="M96" s="400"/>
      <c r="N96" s="348" t="str">
        <f t="shared" si="315"/>
        <v/>
      </c>
      <c r="O96" s="349"/>
      <c r="P96" s="44"/>
      <c r="Q96" s="84" t="str">
        <f t="shared" si="316"/>
        <v/>
      </c>
      <c r="R96" s="84" t="str">
        <f t="shared" si="317"/>
        <v/>
      </c>
      <c r="S96" s="84">
        <f t="shared" si="318"/>
        <v>0</v>
      </c>
      <c r="T96" s="160" t="str">
        <f>IF($Z$6="Indique Fecha Seguimiento","",IF(CRONOGRAMA!$E95="No Aplica","NA",IF($G96="","",IF(YEAR($G96)&lt;YEAR($Z$6)," A ",IF(YEAR($G96)=YEAR($Z$6),IF(MONTH($G96)&lt;=8," A ","NA"),IF(YEAR($G96)&gt;YEAR($Z$6),"NA"))))))</f>
        <v/>
      </c>
      <c r="U96" s="350"/>
      <c r="V96" s="44"/>
      <c r="W96" s="351"/>
      <c r="X96" s="348" t="str">
        <f t="shared" si="319"/>
        <v/>
      </c>
      <c r="Y96" s="349"/>
      <c r="Z96" s="44"/>
      <c r="AA96" s="84" t="str">
        <f t="shared" si="320"/>
        <v/>
      </c>
      <c r="AB96" s="84" t="str">
        <f t="shared" si="321"/>
        <v/>
      </c>
      <c r="AC96" s="84">
        <f t="shared" si="322"/>
        <v>0</v>
      </c>
      <c r="AD96" s="160" t="str">
        <f>IF($AJ$6="Indique Fecha Seguimiento","",IF(CRONOGRAMA!$E95="No Aplica","NA",IF($G96="","",IF(YEAR($G96)&lt;YEAR($AJ$6)," A ",IF(YEAR($G96)=YEAR($AJ$6),IF(MONTH($G96)&lt;=12," A ","NA"),IF(YEAR($G96)&gt;YEAR($AJ$6),"NA"))))))</f>
        <v/>
      </c>
      <c r="AE96" s="350"/>
      <c r="AF96" s="44"/>
      <c r="AG96" s="351"/>
      <c r="AH96" s="348" t="str">
        <f t="shared" si="323"/>
        <v/>
      </c>
      <c r="AI96" s="349"/>
      <c r="AJ96" s="44"/>
      <c r="AK96" s="81" t="str">
        <f t="shared" si="324"/>
        <v/>
      </c>
      <c r="AL96" s="84">
        <f t="shared" si="325"/>
        <v>0</v>
      </c>
      <c r="AM96" s="84">
        <f t="shared" si="326"/>
        <v>0</v>
      </c>
      <c r="AN96" s="592"/>
      <c r="AO96" s="602"/>
      <c r="AP96" s="603"/>
      <c r="AQ96" s="603"/>
      <c r="AR96" s="574"/>
      <c r="AS96" s="574"/>
      <c r="AT96" s="574"/>
      <c r="AU96" s="572"/>
      <c r="AV96" s="573"/>
      <c r="AW96" s="605"/>
      <c r="AX96">
        <f t="shared" si="337"/>
        <v>0</v>
      </c>
    </row>
    <row r="97" spans="1:50" ht="16.5" thickBot="1" x14ac:dyDescent="0.3">
      <c r="A97" s="590"/>
      <c r="B97" s="591"/>
      <c r="C97" s="82" t="str">
        <f>IF('CONSOLIDACION DEL MAPA'!P96="","",'CONSOLIDACION DEL MAPA'!P96)</f>
        <v/>
      </c>
      <c r="D97" s="82" t="str">
        <f>CRONOGRAMA!D96</f>
        <v/>
      </c>
      <c r="E97" s="132" t="str">
        <f>IF(CRONOGRAMA!F96="", "",CRONOGRAMA!F96)</f>
        <v/>
      </c>
      <c r="F97" s="132" t="str">
        <f>IF(CRONOGRAMA!G96="", "",CRONOGRAMA!G96)</f>
        <v/>
      </c>
      <c r="G97" s="128" t="str">
        <f>IF(CRONOGRAMA!H96="", "",CRONOGRAMA!H96)</f>
        <v/>
      </c>
      <c r="H97" s="128" t="str">
        <f>IF(CRONOGRAMA!I96="", "",CRONOGRAMA!I96)</f>
        <v/>
      </c>
      <c r="I97" s="84">
        <f t="shared" si="314"/>
        <v>0</v>
      </c>
      <c r="J97" s="160" t="str">
        <f>IF($P$6="Indique Fecha Seguimiento","",IF(CRONOGRAMA!$E96="No Aplica","NA",IF($G97="","",IF(YEAR($G97)&lt;YEAR($P$6)," A ",IF(YEAR($G97)=YEAR($P$6),IF(MONTH($G97)&lt;=4," A ","NA"),IF(YEAR($G97)&gt;YEAR($P$6),"NA"))))))</f>
        <v/>
      </c>
      <c r="K97" s="400"/>
      <c r="L97" s="402"/>
      <c r="M97" s="400"/>
      <c r="N97" s="348" t="str">
        <f t="shared" si="315"/>
        <v/>
      </c>
      <c r="O97" s="349"/>
      <c r="P97" s="44"/>
      <c r="Q97" s="84" t="str">
        <f t="shared" si="316"/>
        <v/>
      </c>
      <c r="R97" s="84" t="str">
        <f t="shared" si="317"/>
        <v/>
      </c>
      <c r="S97" s="84">
        <f t="shared" si="318"/>
        <v>0</v>
      </c>
      <c r="T97" s="160" t="str">
        <f>IF($Z$6="Indique Fecha Seguimiento","",IF(CRONOGRAMA!$E96="No Aplica","NA",IF($G97="","",IF(YEAR($G97)&lt;YEAR($Z$6)," A ",IF(YEAR($G97)=YEAR($Z$6),IF(MONTH($G97)&lt;=8," A ","NA"),IF(YEAR($G97)&gt;YEAR($Z$6),"NA"))))))</f>
        <v/>
      </c>
      <c r="U97" s="350"/>
      <c r="V97" s="44"/>
      <c r="W97" s="351"/>
      <c r="X97" s="348" t="str">
        <f t="shared" si="319"/>
        <v/>
      </c>
      <c r="Y97" s="349"/>
      <c r="Z97" s="44"/>
      <c r="AA97" s="84" t="str">
        <f t="shared" si="320"/>
        <v/>
      </c>
      <c r="AB97" s="84" t="str">
        <f t="shared" si="321"/>
        <v/>
      </c>
      <c r="AC97" s="84">
        <f t="shared" si="322"/>
        <v>0</v>
      </c>
      <c r="AD97" s="160" t="str">
        <f>IF($AJ$6="Indique Fecha Seguimiento","",IF(CRONOGRAMA!$E96="No Aplica","NA",IF($G97="","",IF(YEAR($G97)&lt;YEAR($AJ$6)," A ",IF(YEAR($G97)=YEAR($AJ$6),IF(MONTH($G97)&lt;=12," A ","NA"),IF(YEAR($G97)&gt;YEAR($AJ$6),"NA"))))))</f>
        <v/>
      </c>
      <c r="AE97" s="350"/>
      <c r="AF97" s="44"/>
      <c r="AG97" s="351"/>
      <c r="AH97" s="348" t="str">
        <f t="shared" si="323"/>
        <v/>
      </c>
      <c r="AI97" s="349"/>
      <c r="AJ97" s="44"/>
      <c r="AK97" s="81" t="str">
        <f t="shared" si="324"/>
        <v/>
      </c>
      <c r="AL97" s="84">
        <f t="shared" si="325"/>
        <v>0</v>
      </c>
      <c r="AM97" s="84">
        <f t="shared" si="326"/>
        <v>0</v>
      </c>
      <c r="AN97" s="592"/>
      <c r="AO97" s="602"/>
      <c r="AP97" s="603"/>
      <c r="AQ97" s="603"/>
      <c r="AR97" s="574"/>
      <c r="AS97" s="574"/>
      <c r="AT97" s="574"/>
      <c r="AU97" s="572"/>
      <c r="AV97" s="573"/>
      <c r="AW97" s="605"/>
      <c r="AX97">
        <f t="shared" si="337"/>
        <v>0</v>
      </c>
    </row>
    <row r="98" spans="1:50" ht="39" thickTop="1" x14ac:dyDescent="0.25">
      <c r="A98" s="588" t="str">
        <f>CRONOGRAMA!A97</f>
        <v>2C</v>
      </c>
      <c r="B98" s="591" t="str">
        <f>CRONOGRAMA!B97</f>
        <v>Dirección y Planeación. Ausencia o debilidad de procesos y procedimientos para la gestión administrativa y misional</v>
      </c>
      <c r="C98" s="82" t="str">
        <f>IF('CONSOLIDACION DEL MAPA'!P97="","",'CONSOLIDACION DEL MAPA'!P97)</f>
        <v>No Establecer</v>
      </c>
      <c r="D98" s="82" t="str">
        <f>CRONOGRAMA!D97</f>
        <v>Seguir ejecutando y monitoreando los controles existentes</v>
      </c>
      <c r="E98" s="132" t="str">
        <f>IF(CRONOGRAMA!F97="", "",CRONOGRAMA!F97)</f>
        <v/>
      </c>
      <c r="F98" s="132" t="str">
        <f>IF(CRONOGRAMA!G97="", "",CRONOGRAMA!G97)</f>
        <v/>
      </c>
      <c r="G98" s="128" t="str">
        <f>IF(CRONOGRAMA!H97="", "",CRONOGRAMA!H97)</f>
        <v/>
      </c>
      <c r="H98" s="128" t="str">
        <f>IF(CRONOGRAMA!I97="", "",CRONOGRAMA!I97)</f>
        <v/>
      </c>
      <c r="I98" s="84">
        <f t="shared" ref="I98:I100" si="338">IF(G98="",0,IF(H98="",0,(H98-G98)/7))</f>
        <v>0</v>
      </c>
      <c r="J98" s="160" t="str">
        <f>IF($P$6="Indique Fecha Seguimiento","",IF(CRONOGRAMA!$E97="No Aplica","NA",IF($G98="","",IF(YEAR($G98)&lt;YEAR($P$6)," A ",IF(YEAR($G98)=YEAR($P$6),IF(MONTH($G98)&lt;=4," A ","NA"),IF(YEAR($G98)&gt;YEAR($P$6),"NA"))))))</f>
        <v>NA</v>
      </c>
      <c r="K98" s="400"/>
      <c r="L98" s="402"/>
      <c r="M98" s="400"/>
      <c r="N98" s="348" t="str">
        <f t="shared" ref="N98:N100" si="339">IF(M98="","",IF($F98=0,0,M98/$F98))</f>
        <v/>
      </c>
      <c r="O98" s="349"/>
      <c r="P98" s="44"/>
      <c r="Q98" s="84" t="str">
        <f t="shared" ref="Q98:Q100" si="340">IF(N98="","",($I98*N98))</f>
        <v/>
      </c>
      <c r="R98" s="84" t="str">
        <f t="shared" si="317"/>
        <v/>
      </c>
      <c r="S98" s="84">
        <f t="shared" si="318"/>
        <v>0</v>
      </c>
      <c r="T98" s="160" t="str">
        <f>IF($Z$6="Indique Fecha Seguimiento","",IF(CRONOGRAMA!$E97="No Aplica","NA",IF($G98="","",IF(YEAR($G98)&lt;YEAR($Z$6)," A ",IF(YEAR($G98)=YEAR($Z$6),IF(MONTH($G98)&lt;=8," A ","NA"),IF(YEAR($G98)&gt;YEAR($Z$6),"NA"))))))</f>
        <v>NA</v>
      </c>
      <c r="U98" s="350"/>
      <c r="V98" s="44"/>
      <c r="W98" s="351"/>
      <c r="X98" s="348" t="str">
        <f t="shared" ref="X98:X100" si="341">IF(W98="","",IF($F98=0,0,W98/$F98))</f>
        <v/>
      </c>
      <c r="Y98" s="349"/>
      <c r="Z98" s="44"/>
      <c r="AA98" s="84" t="str">
        <f t="shared" ref="AA98:AA100" si="342">IF(X98="","",($I98*X98))</f>
        <v/>
      </c>
      <c r="AB98" s="84" t="str">
        <f t="shared" si="321"/>
        <v/>
      </c>
      <c r="AC98" s="84">
        <f t="shared" si="322"/>
        <v>0</v>
      </c>
      <c r="AD98" s="160" t="str">
        <f>IF($AJ$6="Indique Fecha Seguimiento","",IF(CRONOGRAMA!$E97="No Aplica","NA",IF($G98="","",IF(YEAR($G98)&lt;YEAR($AJ$6)," A ",IF(YEAR($G98)=YEAR($AJ$6),IF(MONTH($G98)&lt;=12," A ","NA"),IF(YEAR($G98)&gt;YEAR($AJ$6),"NA"))))))</f>
        <v/>
      </c>
      <c r="AE98" s="350"/>
      <c r="AF98" s="44"/>
      <c r="AG98" s="351"/>
      <c r="AH98" s="348" t="str">
        <f t="shared" ref="AH98:AH100" si="343">IF(AG98="","",IF($F98=0,0,AG98/$F98))</f>
        <v/>
      </c>
      <c r="AI98" s="349"/>
      <c r="AJ98" s="44"/>
      <c r="AK98" s="81" t="str">
        <f t="shared" ref="AK98:AK100" si="344">IF(AH98="","",($I98*AH98))</f>
        <v/>
      </c>
      <c r="AL98" s="84">
        <f t="shared" si="325"/>
        <v>0</v>
      </c>
      <c r="AM98" s="84">
        <f t="shared" si="326"/>
        <v>0</v>
      </c>
      <c r="AN98" s="592">
        <f t="shared" ref="AN98" si="345">SUM(I98:I100)</f>
        <v>0</v>
      </c>
      <c r="AO98" s="602" t="str">
        <f t="shared" ref="AO98" si="346">IF(AND(Q98="",Q99="",Q100=""),"",SUM(Q98:Q100))</f>
        <v/>
      </c>
      <c r="AP98" s="603" t="str">
        <f t="shared" ref="AP98" si="347">IF(AND(AA98="",AA99="",AA100=""),"",SUM(AA98:AA100))</f>
        <v/>
      </c>
      <c r="AQ98" s="603" t="str">
        <f t="shared" ref="AQ98" si="348">IF(AND(AK98="",AK99="",AK100=""),"",SUM(AK98:AK100))</f>
        <v/>
      </c>
      <c r="AR98" s="574" t="str">
        <f t="shared" si="331"/>
        <v>NA</v>
      </c>
      <c r="AS98" s="574" t="str">
        <f t="shared" si="332"/>
        <v>NA</v>
      </c>
      <c r="AT98" s="574" t="str">
        <f t="shared" ref="AT98" si="349">IF(AS98&gt;=AR98,AS98,AR98)</f>
        <v>NA</v>
      </c>
      <c r="AU98" s="572" t="str">
        <f t="shared" si="334"/>
        <v/>
      </c>
      <c r="AV98" s="573" t="str">
        <f t="shared" ref="AV98" si="350">IF($AU$6=1,AR98,IF($AU$6=2,AS98,IF($AU$6=3,AU98,"")))</f>
        <v>NA</v>
      </c>
      <c r="AW98" s="605" t="str">
        <f t="shared" ref="AW98" si="351">AV98</f>
        <v>NA</v>
      </c>
      <c r="AX98">
        <f t="shared" ref="AX98:AX100" si="352">IF($AU$6=1,P98,IF($AU$6=2,Z98,IF($AU$6=3,AJ98,"")))</f>
        <v>0</v>
      </c>
    </row>
    <row r="99" spans="1:50" ht="15.75" x14ac:dyDescent="0.25">
      <c r="A99" s="589"/>
      <c r="B99" s="591"/>
      <c r="C99" s="82" t="str">
        <f>IF('CONSOLIDACION DEL MAPA'!P98="","",'CONSOLIDACION DEL MAPA'!P98)</f>
        <v/>
      </c>
      <c r="D99" s="82" t="str">
        <f>CRONOGRAMA!D98</f>
        <v/>
      </c>
      <c r="E99" s="132" t="str">
        <f>IF(CRONOGRAMA!F98="", "",CRONOGRAMA!F98)</f>
        <v/>
      </c>
      <c r="F99" s="132" t="str">
        <f>IF(CRONOGRAMA!G98="", "",CRONOGRAMA!G98)</f>
        <v/>
      </c>
      <c r="G99" s="128" t="str">
        <f>IF(CRONOGRAMA!H98="", "",CRONOGRAMA!H98)</f>
        <v/>
      </c>
      <c r="H99" s="128" t="str">
        <f>IF(CRONOGRAMA!I98="", "",CRONOGRAMA!I98)</f>
        <v/>
      </c>
      <c r="I99" s="84">
        <f t="shared" si="338"/>
        <v>0</v>
      </c>
      <c r="J99" s="160" t="str">
        <f>IF($P$6="Indique Fecha Seguimiento","",IF(CRONOGRAMA!$E98="No Aplica","NA",IF($G99="","",IF(YEAR($G99)&lt;YEAR($P$6)," A ",IF(YEAR($G99)=YEAR($P$6),IF(MONTH($G99)&lt;=4," A ","NA"),IF(YEAR($G99)&gt;YEAR($P$6),"NA"))))))</f>
        <v/>
      </c>
      <c r="K99" s="400"/>
      <c r="L99" s="402"/>
      <c r="M99" s="400"/>
      <c r="N99" s="348" t="str">
        <f t="shared" si="339"/>
        <v/>
      </c>
      <c r="O99" s="349"/>
      <c r="P99" s="44"/>
      <c r="Q99" s="84" t="str">
        <f t="shared" si="340"/>
        <v/>
      </c>
      <c r="R99" s="84" t="str">
        <f t="shared" si="317"/>
        <v/>
      </c>
      <c r="S99" s="84">
        <f t="shared" si="318"/>
        <v>0</v>
      </c>
      <c r="T99" s="160" t="str">
        <f>IF($Z$6="Indique Fecha Seguimiento","",IF(CRONOGRAMA!$E98="No Aplica","NA",IF($G99="","",IF(YEAR($G99)&lt;YEAR($Z$6)," A ",IF(YEAR($G99)=YEAR($Z$6),IF(MONTH($G99)&lt;=8," A ","NA"),IF(YEAR($G99)&gt;YEAR($Z$6),"NA"))))))</f>
        <v/>
      </c>
      <c r="U99" s="350"/>
      <c r="V99" s="44"/>
      <c r="W99" s="351"/>
      <c r="X99" s="348" t="str">
        <f t="shared" si="341"/>
        <v/>
      </c>
      <c r="Y99" s="349"/>
      <c r="Z99" s="44"/>
      <c r="AA99" s="84" t="str">
        <f t="shared" si="342"/>
        <v/>
      </c>
      <c r="AB99" s="84" t="str">
        <f t="shared" si="321"/>
        <v/>
      </c>
      <c r="AC99" s="84">
        <f t="shared" si="322"/>
        <v>0</v>
      </c>
      <c r="AD99" s="160" t="str">
        <f>IF($AJ$6="Indique Fecha Seguimiento","",IF(CRONOGRAMA!$E98="No Aplica","NA",IF($G99="","",IF(YEAR($G99)&lt;YEAR($AJ$6)," A ",IF(YEAR($G99)=YEAR($AJ$6),IF(MONTH($G99)&lt;=12," A ","NA"),IF(YEAR($G99)&gt;YEAR($AJ$6),"NA"))))))</f>
        <v/>
      </c>
      <c r="AE99" s="350"/>
      <c r="AF99" s="44"/>
      <c r="AG99" s="351"/>
      <c r="AH99" s="348" t="str">
        <f t="shared" si="343"/>
        <v/>
      </c>
      <c r="AI99" s="349"/>
      <c r="AJ99" s="44"/>
      <c r="AK99" s="81" t="str">
        <f t="shared" si="344"/>
        <v/>
      </c>
      <c r="AL99" s="84">
        <f t="shared" si="325"/>
        <v>0</v>
      </c>
      <c r="AM99" s="84">
        <f t="shared" si="326"/>
        <v>0</v>
      </c>
      <c r="AN99" s="592"/>
      <c r="AO99" s="602"/>
      <c r="AP99" s="603"/>
      <c r="AQ99" s="603"/>
      <c r="AR99" s="574"/>
      <c r="AS99" s="574"/>
      <c r="AT99" s="574"/>
      <c r="AU99" s="572"/>
      <c r="AV99" s="573"/>
      <c r="AW99" s="605"/>
      <c r="AX99">
        <f t="shared" si="352"/>
        <v>0</v>
      </c>
    </row>
    <row r="100" spans="1:50" ht="16.5" thickBot="1" x14ac:dyDescent="0.3">
      <c r="A100" s="590"/>
      <c r="B100" s="591"/>
      <c r="C100" s="82" t="str">
        <f>IF('CONSOLIDACION DEL MAPA'!P99="","",'CONSOLIDACION DEL MAPA'!P99)</f>
        <v/>
      </c>
      <c r="D100" s="82" t="str">
        <f>CRONOGRAMA!D99</f>
        <v/>
      </c>
      <c r="E100" s="132" t="str">
        <f>IF(CRONOGRAMA!F99="", "",CRONOGRAMA!F99)</f>
        <v/>
      </c>
      <c r="F100" s="132" t="str">
        <f>IF(CRONOGRAMA!G99="", "",CRONOGRAMA!G99)</f>
        <v/>
      </c>
      <c r="G100" s="128" t="str">
        <f>IF(CRONOGRAMA!H99="", "",CRONOGRAMA!H99)</f>
        <v/>
      </c>
      <c r="H100" s="128" t="str">
        <f>IF(CRONOGRAMA!I99="", "",CRONOGRAMA!I99)</f>
        <v/>
      </c>
      <c r="I100" s="84">
        <f t="shared" si="338"/>
        <v>0</v>
      </c>
      <c r="J100" s="160" t="str">
        <f>IF($P$6="Indique Fecha Seguimiento","",IF(CRONOGRAMA!$E99="No Aplica","NA",IF($G100="","",IF(YEAR($G100)&lt;YEAR($P$6)," A ",IF(YEAR($G100)=YEAR($P$6),IF(MONTH($G100)&lt;=4," A ","NA"),IF(YEAR($G100)&gt;YEAR($P$6),"NA"))))))</f>
        <v/>
      </c>
      <c r="K100" s="400"/>
      <c r="L100" s="402"/>
      <c r="M100" s="400"/>
      <c r="N100" s="348" t="str">
        <f t="shared" si="339"/>
        <v/>
      </c>
      <c r="O100" s="349"/>
      <c r="P100" s="44"/>
      <c r="Q100" s="84" t="str">
        <f t="shared" si="340"/>
        <v/>
      </c>
      <c r="R100" s="84" t="str">
        <f t="shared" si="317"/>
        <v/>
      </c>
      <c r="S100" s="84">
        <f t="shared" si="318"/>
        <v>0</v>
      </c>
      <c r="T100" s="160" t="str">
        <f>IF($Z$6="Indique Fecha Seguimiento","",IF(CRONOGRAMA!$E99="No Aplica","NA",IF($G100="","",IF(YEAR($G100)&lt;YEAR($Z$6)," A ",IF(YEAR($G100)=YEAR($Z$6),IF(MONTH($G100)&lt;=8," A ","NA"),IF(YEAR($G100)&gt;YEAR($Z$6),"NA"))))))</f>
        <v/>
      </c>
      <c r="U100" s="350"/>
      <c r="V100" s="44"/>
      <c r="W100" s="351"/>
      <c r="X100" s="348" t="str">
        <f t="shared" si="341"/>
        <v/>
      </c>
      <c r="Y100" s="349"/>
      <c r="Z100" s="44"/>
      <c r="AA100" s="84" t="str">
        <f t="shared" si="342"/>
        <v/>
      </c>
      <c r="AB100" s="84" t="str">
        <f t="shared" si="321"/>
        <v/>
      </c>
      <c r="AC100" s="84">
        <f t="shared" si="322"/>
        <v>0</v>
      </c>
      <c r="AD100" s="160" t="str">
        <f>IF($AJ$6="Indique Fecha Seguimiento","",IF(CRONOGRAMA!$E99="No Aplica","NA",IF($G100="","",IF(YEAR($G100)&lt;YEAR($AJ$6)," A ",IF(YEAR($G100)=YEAR($AJ$6),IF(MONTH($G100)&lt;=12," A ","NA"),IF(YEAR($G100)&gt;YEAR($AJ$6),"NA"))))))</f>
        <v/>
      </c>
      <c r="AE100" s="350"/>
      <c r="AF100" s="44"/>
      <c r="AG100" s="351"/>
      <c r="AH100" s="348" t="str">
        <f t="shared" si="343"/>
        <v/>
      </c>
      <c r="AI100" s="349"/>
      <c r="AJ100" s="44"/>
      <c r="AK100" s="81" t="str">
        <f t="shared" si="344"/>
        <v/>
      </c>
      <c r="AL100" s="84">
        <f t="shared" si="325"/>
        <v>0</v>
      </c>
      <c r="AM100" s="84">
        <f t="shared" si="326"/>
        <v>0</v>
      </c>
      <c r="AN100" s="592"/>
      <c r="AO100" s="602"/>
      <c r="AP100" s="603"/>
      <c r="AQ100" s="603"/>
      <c r="AR100" s="574"/>
      <c r="AS100" s="574"/>
      <c r="AT100" s="574"/>
      <c r="AU100" s="572"/>
      <c r="AV100" s="573"/>
      <c r="AW100" s="605"/>
      <c r="AX100">
        <f t="shared" si="352"/>
        <v>0</v>
      </c>
    </row>
    <row r="101" spans="1:50" ht="39" thickTop="1" x14ac:dyDescent="0.25">
      <c r="A101" s="588" t="str">
        <f>CRONOGRAMA!A100</f>
        <v>3C</v>
      </c>
      <c r="B101" s="591" t="str">
        <f>CRONOGRAMA!B100</f>
        <v>Dirección y Planeación. Prevaricato</v>
      </c>
      <c r="C101" s="82" t="str">
        <f>IF('CONSOLIDACION DEL MAPA'!P100="","",'CONSOLIDACION DEL MAPA'!P100)</f>
        <v>No Establecer</v>
      </c>
      <c r="D101" s="82" t="str">
        <f>CRONOGRAMA!D100</f>
        <v>Seguir ejecutando y monitoreando los controles existentes</v>
      </c>
      <c r="E101" s="132" t="str">
        <f>IF(CRONOGRAMA!F100="", "",CRONOGRAMA!F100)</f>
        <v/>
      </c>
      <c r="F101" s="132" t="str">
        <f>IF(CRONOGRAMA!G100="", "",CRONOGRAMA!G100)</f>
        <v/>
      </c>
      <c r="G101" s="128" t="str">
        <f>IF(CRONOGRAMA!H100="", "",CRONOGRAMA!H100)</f>
        <v/>
      </c>
      <c r="H101" s="128" t="str">
        <f>IF(CRONOGRAMA!I100="", "",CRONOGRAMA!I100)</f>
        <v/>
      </c>
      <c r="I101" s="84">
        <f t="shared" ref="I101:I103" si="353">IF(G101="",0,IF(H101="",0,(H101-G101)/7))</f>
        <v>0</v>
      </c>
      <c r="J101" s="160" t="str">
        <f>IF($P$6="Indique Fecha Seguimiento","",IF(CRONOGRAMA!$E100="No Aplica","NA",IF($G101="","",IF(YEAR($G101)&lt;YEAR($P$6)," A ",IF(YEAR($G101)=YEAR($P$6),IF(MONTH($G101)&lt;=4," A ","NA"),IF(YEAR($G101)&gt;YEAR($P$6),"NA"))))))</f>
        <v>NA</v>
      </c>
      <c r="K101" s="400"/>
      <c r="L101" s="402"/>
      <c r="M101" s="400"/>
      <c r="N101" s="348" t="str">
        <f t="shared" ref="N101:N103" si="354">IF(M101="","",IF($F101=0,0,M101/$F101))</f>
        <v/>
      </c>
      <c r="O101" s="349"/>
      <c r="P101" s="44"/>
      <c r="Q101" s="84" t="str">
        <f t="shared" ref="Q101:Q103" si="355">IF(N101="","",($I101*N101))</f>
        <v/>
      </c>
      <c r="R101" s="84" t="str">
        <f t="shared" si="317"/>
        <v/>
      </c>
      <c r="S101" s="84">
        <f t="shared" si="318"/>
        <v>0</v>
      </c>
      <c r="T101" s="160" t="str">
        <f>IF($Z$6="Indique Fecha Seguimiento","",IF(CRONOGRAMA!$E100="No Aplica","NA",IF($G101="","",IF(YEAR($G101)&lt;YEAR($Z$6)," A ",IF(YEAR($G101)=YEAR($Z$6),IF(MONTH($G101)&lt;=8," A ","NA"),IF(YEAR($G101)&gt;YEAR($Z$6),"NA"))))))</f>
        <v>NA</v>
      </c>
      <c r="U101" s="350"/>
      <c r="V101" s="44"/>
      <c r="W101" s="351"/>
      <c r="X101" s="348" t="str">
        <f t="shared" ref="X101:X103" si="356">IF(W101="","",IF($F101=0,0,W101/$F101))</f>
        <v/>
      </c>
      <c r="Y101" s="349"/>
      <c r="Z101" s="44"/>
      <c r="AA101" s="84" t="str">
        <f t="shared" ref="AA101:AA103" si="357">IF(X101="","",($I101*X101))</f>
        <v/>
      </c>
      <c r="AB101" s="84" t="str">
        <f t="shared" si="321"/>
        <v/>
      </c>
      <c r="AC101" s="84">
        <f t="shared" si="322"/>
        <v>0</v>
      </c>
      <c r="AD101" s="160" t="str">
        <f>IF($AJ$6="Indique Fecha Seguimiento","",IF(CRONOGRAMA!$E100="No Aplica","NA",IF($G101="","",IF(YEAR($G101)&lt;YEAR($AJ$6)," A ",IF(YEAR($G101)=YEAR($AJ$6),IF(MONTH($G101)&lt;=12," A ","NA"),IF(YEAR($G101)&gt;YEAR($AJ$6),"NA"))))))</f>
        <v/>
      </c>
      <c r="AE101" s="350"/>
      <c r="AF101" s="44"/>
      <c r="AG101" s="351"/>
      <c r="AH101" s="348" t="str">
        <f t="shared" ref="AH101:AH103" si="358">IF(AG101="","",IF($F101=0,0,AG101/$F101))</f>
        <v/>
      </c>
      <c r="AI101" s="349"/>
      <c r="AJ101" s="44"/>
      <c r="AK101" s="81" t="str">
        <f t="shared" ref="AK101:AK103" si="359">IF(AH101="","",($I101*AH101))</f>
        <v/>
      </c>
      <c r="AL101" s="84">
        <f t="shared" si="325"/>
        <v>0</v>
      </c>
      <c r="AM101" s="84">
        <f t="shared" si="326"/>
        <v>0</v>
      </c>
      <c r="AN101" s="592">
        <f t="shared" ref="AN101" si="360">SUM(I101:I103)</f>
        <v>0</v>
      </c>
      <c r="AO101" s="602" t="str">
        <f t="shared" ref="AO101" si="361">IF(AND(Q101="",Q102="",Q103=""),"",SUM(Q101:Q103))</f>
        <v/>
      </c>
      <c r="AP101" s="603" t="str">
        <f t="shared" ref="AP101" si="362">IF(AND(AA101="",AA102="",AA103=""),"",SUM(AA101:AA103))</f>
        <v/>
      </c>
      <c r="AQ101" s="603" t="str">
        <f t="shared" ref="AQ101" si="363">IF(AND(AK101="",AK102="",AK103=""),"",SUM(AK101:AK103))</f>
        <v/>
      </c>
      <c r="AR101" s="574" t="str">
        <f t="shared" si="331"/>
        <v>NA</v>
      </c>
      <c r="AS101" s="574" t="str">
        <f t="shared" si="332"/>
        <v>NA</v>
      </c>
      <c r="AT101" s="574" t="str">
        <f t="shared" ref="AT101" si="364">IF(AS101&gt;=AR101,AS101,AR101)</f>
        <v>NA</v>
      </c>
      <c r="AU101" s="572" t="str">
        <f t="shared" si="334"/>
        <v/>
      </c>
      <c r="AV101" s="573" t="str">
        <f t="shared" ref="AV101" si="365">IF($AU$6=1,AR101,IF($AU$6=2,AS101,IF($AU$6=3,AU101,"")))</f>
        <v>NA</v>
      </c>
      <c r="AW101" s="605" t="str">
        <f t="shared" ref="AW101" si="366">AV101</f>
        <v>NA</v>
      </c>
      <c r="AX101">
        <f t="shared" ref="AX101:AX103" si="367">IF($AU$6=1,P101,IF($AU$6=2,Z101,IF($AU$6=3,AJ101,"")))</f>
        <v>0</v>
      </c>
    </row>
    <row r="102" spans="1:50" ht="15.75" x14ac:dyDescent="0.25">
      <c r="A102" s="589"/>
      <c r="B102" s="591"/>
      <c r="C102" s="82" t="str">
        <f>IF('CONSOLIDACION DEL MAPA'!P101="","",'CONSOLIDACION DEL MAPA'!P101)</f>
        <v/>
      </c>
      <c r="D102" s="82" t="str">
        <f>CRONOGRAMA!D101</f>
        <v/>
      </c>
      <c r="E102" s="132" t="str">
        <f>IF(CRONOGRAMA!F101="", "",CRONOGRAMA!F101)</f>
        <v/>
      </c>
      <c r="F102" s="132" t="str">
        <f>IF(CRONOGRAMA!G101="", "",CRONOGRAMA!G101)</f>
        <v/>
      </c>
      <c r="G102" s="128" t="str">
        <f>IF(CRONOGRAMA!H101="", "",CRONOGRAMA!H101)</f>
        <v/>
      </c>
      <c r="H102" s="128" t="str">
        <f>IF(CRONOGRAMA!I101="", "",CRONOGRAMA!I101)</f>
        <v/>
      </c>
      <c r="I102" s="84">
        <f t="shared" si="353"/>
        <v>0</v>
      </c>
      <c r="J102" s="160" t="str">
        <f>IF($P$6="Indique Fecha Seguimiento","",IF(CRONOGRAMA!$E101="No Aplica","NA",IF($G102="","",IF(YEAR($G102)&lt;YEAR($P$6)," A ",IF(YEAR($G102)=YEAR($P$6),IF(MONTH($G102)&lt;=4," A ","NA"),IF(YEAR($G102)&gt;YEAR($P$6),"NA"))))))</f>
        <v/>
      </c>
      <c r="K102" s="400"/>
      <c r="L102" s="402"/>
      <c r="M102" s="400"/>
      <c r="N102" s="348" t="str">
        <f t="shared" si="354"/>
        <v/>
      </c>
      <c r="O102" s="349"/>
      <c r="P102" s="44"/>
      <c r="Q102" s="84" t="str">
        <f t="shared" si="355"/>
        <v/>
      </c>
      <c r="R102" s="84" t="str">
        <f t="shared" si="317"/>
        <v/>
      </c>
      <c r="S102" s="84">
        <f t="shared" si="318"/>
        <v>0</v>
      </c>
      <c r="T102" s="160" t="str">
        <f>IF($Z$6="Indique Fecha Seguimiento","",IF(CRONOGRAMA!$E101="No Aplica","NA",IF($G102="","",IF(YEAR($G102)&lt;YEAR($Z$6)," A ",IF(YEAR($G102)=YEAR($Z$6),IF(MONTH($G102)&lt;=8," A ","NA"),IF(YEAR($G102)&gt;YEAR($Z$6),"NA"))))))</f>
        <v/>
      </c>
      <c r="U102" s="350"/>
      <c r="V102" s="44"/>
      <c r="W102" s="351"/>
      <c r="X102" s="348" t="str">
        <f t="shared" si="356"/>
        <v/>
      </c>
      <c r="Y102" s="349"/>
      <c r="Z102" s="44"/>
      <c r="AA102" s="84" t="str">
        <f t="shared" si="357"/>
        <v/>
      </c>
      <c r="AB102" s="84" t="str">
        <f t="shared" si="321"/>
        <v/>
      </c>
      <c r="AC102" s="84">
        <f t="shared" si="322"/>
        <v>0</v>
      </c>
      <c r="AD102" s="160" t="str">
        <f>IF($AJ$6="Indique Fecha Seguimiento","",IF(CRONOGRAMA!$E101="No Aplica","NA",IF($G102="","",IF(YEAR($G102)&lt;YEAR($AJ$6)," A ",IF(YEAR($G102)=YEAR($AJ$6),IF(MONTH($G102)&lt;=12," A ","NA"),IF(YEAR($G102)&gt;YEAR($AJ$6),"NA"))))))</f>
        <v/>
      </c>
      <c r="AE102" s="350"/>
      <c r="AF102" s="44"/>
      <c r="AG102" s="351"/>
      <c r="AH102" s="348" t="str">
        <f t="shared" si="358"/>
        <v/>
      </c>
      <c r="AI102" s="349"/>
      <c r="AJ102" s="44"/>
      <c r="AK102" s="81" t="str">
        <f t="shared" si="359"/>
        <v/>
      </c>
      <c r="AL102" s="84">
        <f t="shared" si="325"/>
        <v>0</v>
      </c>
      <c r="AM102" s="84">
        <f t="shared" si="326"/>
        <v>0</v>
      </c>
      <c r="AN102" s="592"/>
      <c r="AO102" s="602"/>
      <c r="AP102" s="603"/>
      <c r="AQ102" s="603"/>
      <c r="AR102" s="574"/>
      <c r="AS102" s="574"/>
      <c r="AT102" s="574"/>
      <c r="AU102" s="572"/>
      <c r="AV102" s="573"/>
      <c r="AW102" s="605"/>
      <c r="AX102">
        <f t="shared" si="367"/>
        <v>0</v>
      </c>
    </row>
    <row r="103" spans="1:50" ht="16.5" thickBot="1" x14ac:dyDescent="0.3">
      <c r="A103" s="590"/>
      <c r="B103" s="591"/>
      <c r="C103" s="82" t="str">
        <f>IF('CONSOLIDACION DEL MAPA'!P102="","",'CONSOLIDACION DEL MAPA'!P102)</f>
        <v/>
      </c>
      <c r="D103" s="82" t="str">
        <f>CRONOGRAMA!D102</f>
        <v/>
      </c>
      <c r="E103" s="132" t="str">
        <f>IF(CRONOGRAMA!F102="", "",CRONOGRAMA!F102)</f>
        <v/>
      </c>
      <c r="F103" s="132" t="str">
        <f>IF(CRONOGRAMA!G102="", "",CRONOGRAMA!G102)</f>
        <v/>
      </c>
      <c r="G103" s="128" t="str">
        <f>IF(CRONOGRAMA!H102="", "",CRONOGRAMA!H102)</f>
        <v/>
      </c>
      <c r="H103" s="128" t="str">
        <f>IF(CRONOGRAMA!I102="", "",CRONOGRAMA!I102)</f>
        <v/>
      </c>
      <c r="I103" s="84">
        <f t="shared" si="353"/>
        <v>0</v>
      </c>
      <c r="J103" s="160" t="str">
        <f>IF($P$6="Indique Fecha Seguimiento","",IF(CRONOGRAMA!$E102="No Aplica","NA",IF($G103="","",IF(YEAR($G103)&lt;YEAR($P$6)," A ",IF(YEAR($G103)=YEAR($P$6),IF(MONTH($G103)&lt;=4," A ","NA"),IF(YEAR($G103)&gt;YEAR($P$6),"NA"))))))</f>
        <v/>
      </c>
      <c r="K103" s="400"/>
      <c r="L103" s="402"/>
      <c r="M103" s="400"/>
      <c r="N103" s="348" t="str">
        <f t="shared" si="354"/>
        <v/>
      </c>
      <c r="O103" s="349"/>
      <c r="P103" s="44"/>
      <c r="Q103" s="84" t="str">
        <f t="shared" si="355"/>
        <v/>
      </c>
      <c r="R103" s="84" t="str">
        <f t="shared" si="317"/>
        <v/>
      </c>
      <c r="S103" s="84">
        <f t="shared" si="318"/>
        <v>0</v>
      </c>
      <c r="T103" s="160" t="str">
        <f>IF($Z$6="Indique Fecha Seguimiento","",IF(CRONOGRAMA!$E102="No Aplica","NA",IF($G103="","",IF(YEAR($G103)&lt;YEAR($Z$6)," A ",IF(YEAR($G103)=YEAR($Z$6),IF(MONTH($G103)&lt;=8," A ","NA"),IF(YEAR($G103)&gt;YEAR($Z$6),"NA"))))))</f>
        <v/>
      </c>
      <c r="U103" s="350"/>
      <c r="V103" s="44"/>
      <c r="W103" s="351"/>
      <c r="X103" s="348" t="str">
        <f t="shared" si="356"/>
        <v/>
      </c>
      <c r="Y103" s="349"/>
      <c r="Z103" s="44"/>
      <c r="AA103" s="84" t="str">
        <f t="shared" si="357"/>
        <v/>
      </c>
      <c r="AB103" s="84" t="str">
        <f t="shared" si="321"/>
        <v/>
      </c>
      <c r="AC103" s="84">
        <f t="shared" si="322"/>
        <v>0</v>
      </c>
      <c r="AD103" s="160" t="str">
        <f>IF($AJ$6="Indique Fecha Seguimiento","",IF(CRONOGRAMA!$E102="No Aplica","NA",IF($G103="","",IF(YEAR($G103)&lt;YEAR($AJ$6)," A ",IF(YEAR($G103)=YEAR($AJ$6),IF(MONTH($G103)&lt;=12," A ","NA"),IF(YEAR($G103)&gt;YEAR($AJ$6),"NA"))))))</f>
        <v/>
      </c>
      <c r="AE103" s="350"/>
      <c r="AF103" s="44"/>
      <c r="AG103" s="351"/>
      <c r="AH103" s="348" t="str">
        <f t="shared" si="358"/>
        <v/>
      </c>
      <c r="AI103" s="349"/>
      <c r="AJ103" s="44"/>
      <c r="AK103" s="81" t="str">
        <f t="shared" si="359"/>
        <v/>
      </c>
      <c r="AL103" s="84">
        <f t="shared" si="325"/>
        <v>0</v>
      </c>
      <c r="AM103" s="84">
        <f t="shared" si="326"/>
        <v>0</v>
      </c>
      <c r="AN103" s="592"/>
      <c r="AO103" s="602"/>
      <c r="AP103" s="603"/>
      <c r="AQ103" s="603"/>
      <c r="AR103" s="574"/>
      <c r="AS103" s="574"/>
      <c r="AT103" s="574"/>
      <c r="AU103" s="572"/>
      <c r="AV103" s="573"/>
      <c r="AW103" s="605"/>
      <c r="AX103">
        <f t="shared" si="367"/>
        <v>0</v>
      </c>
    </row>
    <row r="104" spans="1:50" ht="39" thickTop="1" x14ac:dyDescent="0.25">
      <c r="A104" s="588" t="str">
        <f>CRONOGRAMA!A103</f>
        <v>4C</v>
      </c>
      <c r="B104" s="591" t="str">
        <f>CRONOGRAMA!B103</f>
        <v>Dirección y Planeación. Malversación de Recursos</v>
      </c>
      <c r="C104" s="82" t="str">
        <f>IF('CONSOLIDACION DEL MAPA'!P103="","",'CONSOLIDACION DEL MAPA'!P103)</f>
        <v>No Establecer</v>
      </c>
      <c r="D104" s="82" t="str">
        <f>CRONOGRAMA!D103</f>
        <v>Seguir ejecutando y monitoreando los controles existentes</v>
      </c>
      <c r="E104" s="132" t="str">
        <f>IF(CRONOGRAMA!F103="", "",CRONOGRAMA!F103)</f>
        <v/>
      </c>
      <c r="F104" s="132" t="str">
        <f>IF(CRONOGRAMA!G103="", "",CRONOGRAMA!G103)</f>
        <v/>
      </c>
      <c r="G104" s="128" t="str">
        <f>IF(CRONOGRAMA!H103="", "",CRONOGRAMA!H103)</f>
        <v/>
      </c>
      <c r="H104" s="128" t="str">
        <f>IF(CRONOGRAMA!I103="", "",CRONOGRAMA!I103)</f>
        <v/>
      </c>
      <c r="I104" s="84">
        <f t="shared" ref="I104:I106" si="368">IF(G104="",0,IF(H104="",0,(H104-G104)/7))</f>
        <v>0</v>
      </c>
      <c r="J104" s="160" t="str">
        <f>IF($P$6="Indique Fecha Seguimiento","",IF(CRONOGRAMA!$E103="No Aplica","NA",IF($G104="","",IF(YEAR($G104)&lt;YEAR($P$6)," A ",IF(YEAR($G104)=YEAR($P$6),IF(MONTH($G104)&lt;=4," A ","NA"),IF(YEAR($G104)&gt;YEAR($P$6),"NA"))))))</f>
        <v>NA</v>
      </c>
      <c r="K104" s="400"/>
      <c r="L104" s="402"/>
      <c r="M104" s="400"/>
      <c r="N104" s="348" t="str">
        <f t="shared" ref="N104:N106" si="369">IF(M104="","",IF($F104=0,0,M104/$F104))</f>
        <v/>
      </c>
      <c r="O104" s="349"/>
      <c r="P104" s="44"/>
      <c r="Q104" s="84" t="str">
        <f t="shared" ref="Q104:Q106" si="370">IF(N104="","",($I104*N104))</f>
        <v/>
      </c>
      <c r="R104" s="84" t="str">
        <f t="shared" si="317"/>
        <v/>
      </c>
      <c r="S104" s="84">
        <f t="shared" si="318"/>
        <v>0</v>
      </c>
      <c r="T104" s="160" t="str">
        <f>IF($Z$6="Indique Fecha Seguimiento","",IF(CRONOGRAMA!$E103="No Aplica","NA",IF($G104="","",IF(YEAR($G104)&lt;YEAR($Z$6)," A ",IF(YEAR($G104)=YEAR($Z$6),IF(MONTH($G104)&lt;=8," A ","NA"),IF(YEAR($G104)&gt;YEAR($Z$6),"NA"))))))</f>
        <v>NA</v>
      </c>
      <c r="U104" s="350"/>
      <c r="V104" s="44"/>
      <c r="W104" s="351"/>
      <c r="X104" s="348" t="str">
        <f t="shared" ref="X104:X106" si="371">IF(W104="","",IF($F104=0,0,W104/$F104))</f>
        <v/>
      </c>
      <c r="Y104" s="349"/>
      <c r="Z104" s="44"/>
      <c r="AA104" s="84" t="str">
        <f t="shared" ref="AA104:AA106" si="372">IF(X104="","",($I104*X104))</f>
        <v/>
      </c>
      <c r="AB104" s="84" t="str">
        <f t="shared" si="321"/>
        <v/>
      </c>
      <c r="AC104" s="84">
        <f t="shared" si="322"/>
        <v>0</v>
      </c>
      <c r="AD104" s="160" t="str">
        <f>IF($AJ$6="Indique Fecha Seguimiento","",IF(CRONOGRAMA!$E103="No Aplica","NA",IF($G104="","",IF(YEAR($G104)&lt;YEAR($AJ$6)," A ",IF(YEAR($G104)=YEAR($AJ$6),IF(MONTH($G104)&lt;=12," A ","NA"),IF(YEAR($G104)&gt;YEAR($AJ$6),"NA"))))))</f>
        <v/>
      </c>
      <c r="AE104" s="350"/>
      <c r="AF104" s="44"/>
      <c r="AG104" s="351"/>
      <c r="AH104" s="348" t="str">
        <f t="shared" ref="AH104:AH106" si="373">IF(AG104="","",IF($F104=0,0,AG104/$F104))</f>
        <v/>
      </c>
      <c r="AI104" s="349"/>
      <c r="AJ104" s="44"/>
      <c r="AK104" s="81" t="str">
        <f t="shared" ref="AK104:AK106" si="374">IF(AH104="","",($I104*AH104))</f>
        <v/>
      </c>
      <c r="AL104" s="84">
        <f t="shared" si="325"/>
        <v>0</v>
      </c>
      <c r="AM104" s="84">
        <f t="shared" si="326"/>
        <v>0</v>
      </c>
      <c r="AN104" s="592">
        <f t="shared" ref="AN104" si="375">SUM(I104:I106)</f>
        <v>0</v>
      </c>
      <c r="AO104" s="602" t="str">
        <f t="shared" ref="AO104" si="376">IF(AND(Q104="",Q105="",Q106=""),"",SUM(Q104:Q106))</f>
        <v/>
      </c>
      <c r="AP104" s="603" t="str">
        <f t="shared" ref="AP104" si="377">IF(AND(AA104="",AA105="",AA106=""),"",SUM(AA104:AA106))</f>
        <v/>
      </c>
      <c r="AQ104" s="603" t="str">
        <f t="shared" ref="AQ104" si="378">IF(AND(AK104="",AK105="",AK106=""),"",SUM(AK104:AK106))</f>
        <v/>
      </c>
      <c r="AR104" s="574" t="str">
        <f t="shared" si="331"/>
        <v>NA</v>
      </c>
      <c r="AS104" s="574" t="str">
        <f t="shared" si="332"/>
        <v>NA</v>
      </c>
      <c r="AT104" s="574" t="str">
        <f t="shared" ref="AT104" si="379">IF(AS104&gt;=AR104,AS104,AR104)</f>
        <v>NA</v>
      </c>
      <c r="AU104" s="572" t="str">
        <f t="shared" si="334"/>
        <v/>
      </c>
      <c r="AV104" s="573" t="str">
        <f t="shared" ref="AV104" si="380">IF($AU$6=1,AR104,IF($AU$6=2,AS104,IF($AU$6=3,AU104,"")))</f>
        <v>NA</v>
      </c>
      <c r="AW104" s="605" t="str">
        <f t="shared" ref="AW104" si="381">AV104</f>
        <v>NA</v>
      </c>
      <c r="AX104">
        <f t="shared" ref="AX104:AX106" si="382">IF($AU$6=1,P104,IF($AU$6=2,Z104,IF($AU$6=3,AJ104,"")))</f>
        <v>0</v>
      </c>
    </row>
    <row r="105" spans="1:50" ht="15.75" x14ac:dyDescent="0.25">
      <c r="A105" s="589"/>
      <c r="B105" s="591"/>
      <c r="C105" s="82" t="str">
        <f>IF('CONSOLIDACION DEL MAPA'!P104="","",'CONSOLIDACION DEL MAPA'!P104)</f>
        <v/>
      </c>
      <c r="D105" s="82" t="str">
        <f>CRONOGRAMA!D104</f>
        <v/>
      </c>
      <c r="E105" s="132" t="str">
        <f>IF(CRONOGRAMA!F104="", "",CRONOGRAMA!F104)</f>
        <v/>
      </c>
      <c r="F105" s="132" t="str">
        <f>IF(CRONOGRAMA!G104="", "",CRONOGRAMA!G104)</f>
        <v/>
      </c>
      <c r="G105" s="128" t="str">
        <f>IF(CRONOGRAMA!H104="", "",CRONOGRAMA!H104)</f>
        <v/>
      </c>
      <c r="H105" s="128" t="str">
        <f>IF(CRONOGRAMA!I104="", "",CRONOGRAMA!I104)</f>
        <v/>
      </c>
      <c r="I105" s="84">
        <f t="shared" si="368"/>
        <v>0</v>
      </c>
      <c r="J105" s="160" t="str">
        <f>IF($P$6="Indique Fecha Seguimiento","",IF(CRONOGRAMA!$E104="No Aplica","NA",IF($G105="","",IF(YEAR($G105)&lt;YEAR($P$6)," A ",IF(YEAR($G105)=YEAR($P$6),IF(MONTH($G105)&lt;=4," A ","NA"),IF(YEAR($G105)&gt;YEAR($P$6),"NA"))))))</f>
        <v/>
      </c>
      <c r="K105" s="400"/>
      <c r="L105" s="402"/>
      <c r="M105" s="400"/>
      <c r="N105" s="348" t="str">
        <f t="shared" si="369"/>
        <v/>
      </c>
      <c r="O105" s="349" t="s">
        <v>11</v>
      </c>
      <c r="P105" s="44"/>
      <c r="Q105" s="84" t="str">
        <f t="shared" si="370"/>
        <v/>
      </c>
      <c r="R105" s="84" t="str">
        <f t="shared" si="317"/>
        <v/>
      </c>
      <c r="S105" s="84">
        <f t="shared" si="318"/>
        <v>0</v>
      </c>
      <c r="T105" s="160" t="str">
        <f>IF($Z$6="Indique Fecha Seguimiento","",IF(CRONOGRAMA!$E104="No Aplica","NA",IF($G105="","",IF(YEAR($G105)&lt;YEAR($Z$6)," A ",IF(YEAR($G105)=YEAR($Z$6),IF(MONTH($G105)&lt;=8," A ","NA"),IF(YEAR($G105)&gt;YEAR($Z$6),"NA"))))))</f>
        <v/>
      </c>
      <c r="U105" s="350"/>
      <c r="V105" s="44"/>
      <c r="W105" s="351"/>
      <c r="X105" s="348" t="str">
        <f t="shared" si="371"/>
        <v/>
      </c>
      <c r="Y105" s="349"/>
      <c r="Z105" s="44"/>
      <c r="AA105" s="84" t="str">
        <f t="shared" si="372"/>
        <v/>
      </c>
      <c r="AB105" s="84" t="str">
        <f t="shared" si="321"/>
        <v/>
      </c>
      <c r="AC105" s="84">
        <f t="shared" si="322"/>
        <v>0</v>
      </c>
      <c r="AD105" s="160" t="str">
        <f>IF($AJ$6="Indique Fecha Seguimiento","",IF(CRONOGRAMA!$E104="No Aplica","NA",IF($G105="","",IF(YEAR($G105)&lt;YEAR($AJ$6)," A ",IF(YEAR($G105)=YEAR($AJ$6),IF(MONTH($G105)&lt;=12," A ","NA"),IF(YEAR($G105)&gt;YEAR($AJ$6),"NA"))))))</f>
        <v/>
      </c>
      <c r="AE105" s="350"/>
      <c r="AF105" s="44"/>
      <c r="AG105" s="351"/>
      <c r="AH105" s="348" t="str">
        <f t="shared" si="373"/>
        <v/>
      </c>
      <c r="AI105" s="349"/>
      <c r="AJ105" s="44"/>
      <c r="AK105" s="81" t="str">
        <f t="shared" si="374"/>
        <v/>
      </c>
      <c r="AL105" s="84">
        <f t="shared" si="325"/>
        <v>0</v>
      </c>
      <c r="AM105" s="84">
        <f t="shared" si="326"/>
        <v>0</v>
      </c>
      <c r="AN105" s="592"/>
      <c r="AO105" s="602"/>
      <c r="AP105" s="603"/>
      <c r="AQ105" s="603"/>
      <c r="AR105" s="574"/>
      <c r="AS105" s="574"/>
      <c r="AT105" s="574"/>
      <c r="AU105" s="572"/>
      <c r="AV105" s="573"/>
      <c r="AW105" s="605"/>
      <c r="AX105">
        <f t="shared" si="382"/>
        <v>0</v>
      </c>
    </row>
    <row r="106" spans="1:50" ht="16.5" thickBot="1" x14ac:dyDescent="0.3">
      <c r="A106" s="590"/>
      <c r="B106" s="591"/>
      <c r="C106" s="82" t="str">
        <f>IF('CONSOLIDACION DEL MAPA'!P105="","",'CONSOLIDACION DEL MAPA'!P105)</f>
        <v/>
      </c>
      <c r="D106" s="82" t="str">
        <f>CRONOGRAMA!D105</f>
        <v/>
      </c>
      <c r="E106" s="132" t="str">
        <f>IF(CRONOGRAMA!F105="", "",CRONOGRAMA!F105)</f>
        <v/>
      </c>
      <c r="F106" s="132" t="str">
        <f>IF(CRONOGRAMA!G105="", "",CRONOGRAMA!G105)</f>
        <v/>
      </c>
      <c r="G106" s="128" t="str">
        <f>IF(CRONOGRAMA!H105="", "",CRONOGRAMA!H105)</f>
        <v/>
      </c>
      <c r="H106" s="128" t="str">
        <f>IF(CRONOGRAMA!I105="", "",CRONOGRAMA!I105)</f>
        <v/>
      </c>
      <c r="I106" s="84">
        <f t="shared" si="368"/>
        <v>0</v>
      </c>
      <c r="J106" s="160" t="str">
        <f>IF($P$6="Indique Fecha Seguimiento","",IF(CRONOGRAMA!$E105="No Aplica","NA",IF($G106="","",IF(YEAR($G106)&lt;YEAR($P$6)," A ",IF(YEAR($G106)=YEAR($P$6),IF(MONTH($G106)&lt;=4," A ","NA"),IF(YEAR($G106)&gt;YEAR($P$6),"NA"))))))</f>
        <v/>
      </c>
      <c r="K106" s="400"/>
      <c r="L106" s="402"/>
      <c r="M106" s="400"/>
      <c r="N106" s="348" t="str">
        <f t="shared" si="369"/>
        <v/>
      </c>
      <c r="O106" s="349" t="s">
        <v>11</v>
      </c>
      <c r="P106" s="44"/>
      <c r="Q106" s="84" t="str">
        <f t="shared" si="370"/>
        <v/>
      </c>
      <c r="R106" s="84" t="str">
        <f t="shared" si="317"/>
        <v/>
      </c>
      <c r="S106" s="84">
        <f t="shared" si="318"/>
        <v>0</v>
      </c>
      <c r="T106" s="160" t="str">
        <f>IF($Z$6="Indique Fecha Seguimiento","",IF(CRONOGRAMA!$E105="No Aplica","NA",IF($G106="","",IF(YEAR($G106)&lt;YEAR($Z$6)," A ",IF(YEAR($G106)=YEAR($Z$6),IF(MONTH($G106)&lt;=8," A ","NA"),IF(YEAR($G106)&gt;YEAR($Z$6),"NA"))))))</f>
        <v/>
      </c>
      <c r="U106" s="350"/>
      <c r="V106" s="44"/>
      <c r="W106" s="351"/>
      <c r="X106" s="348" t="str">
        <f t="shared" si="371"/>
        <v/>
      </c>
      <c r="Y106" s="349"/>
      <c r="Z106" s="44"/>
      <c r="AA106" s="84" t="str">
        <f t="shared" si="372"/>
        <v/>
      </c>
      <c r="AB106" s="84" t="str">
        <f t="shared" si="321"/>
        <v/>
      </c>
      <c r="AC106" s="84">
        <f t="shared" si="322"/>
        <v>0</v>
      </c>
      <c r="AD106" s="160" t="str">
        <f>IF($AJ$6="Indique Fecha Seguimiento","",IF(CRONOGRAMA!$E105="No Aplica","NA",IF($G106="","",IF(YEAR($G106)&lt;YEAR($AJ$6)," A ",IF(YEAR($G106)=YEAR($AJ$6),IF(MONTH($G106)&lt;=12," A ","NA"),IF(YEAR($G106)&gt;YEAR($AJ$6),"NA"))))))</f>
        <v/>
      </c>
      <c r="AE106" s="350"/>
      <c r="AF106" s="44"/>
      <c r="AG106" s="351"/>
      <c r="AH106" s="348" t="str">
        <f t="shared" si="373"/>
        <v/>
      </c>
      <c r="AI106" s="349"/>
      <c r="AJ106" s="44"/>
      <c r="AK106" s="81" t="str">
        <f t="shared" si="374"/>
        <v/>
      </c>
      <c r="AL106" s="84">
        <f t="shared" si="325"/>
        <v>0</v>
      </c>
      <c r="AM106" s="84">
        <f t="shared" si="326"/>
        <v>0</v>
      </c>
      <c r="AN106" s="592"/>
      <c r="AO106" s="602"/>
      <c r="AP106" s="603"/>
      <c r="AQ106" s="603"/>
      <c r="AR106" s="574"/>
      <c r="AS106" s="574"/>
      <c r="AT106" s="574"/>
      <c r="AU106" s="572"/>
      <c r="AV106" s="573"/>
      <c r="AW106" s="605"/>
      <c r="AX106">
        <f t="shared" si="382"/>
        <v>0</v>
      </c>
    </row>
    <row r="107" spans="1:50" ht="128.25" thickTop="1" x14ac:dyDescent="0.25">
      <c r="A107" s="588" t="str">
        <f>CRONOGRAMA!A106</f>
        <v>5C</v>
      </c>
      <c r="B107" s="591" t="str">
        <f>CRONOGRAMA!B106</f>
        <v>Acreditación. Deficiencias en el manejo documental y de archivo</v>
      </c>
      <c r="C107" s="82" t="str">
        <f>IF('CONSOLIDACION DEL MAPA'!P106="","",'CONSOLIDACION DEL MAPA'!P106)</f>
        <v>Reducir</v>
      </c>
      <c r="D107" s="82" t="str">
        <f>CRONOGRAMA!D106</f>
        <v>Cumplimiento de metas acordes con el plan de trabajo.</v>
      </c>
      <c r="E107" s="132" t="str">
        <f>IF(CRONOGRAMA!F106="", "",CRONOGRAMA!F106)</f>
        <v>Comunicaciones</v>
      </c>
      <c r="F107" s="132">
        <f>IF(CRONOGRAMA!G106="", "",CRONOGRAMA!G106)</f>
        <v>1</v>
      </c>
      <c r="G107" s="128">
        <f>IF(CRONOGRAMA!H106="", "",CRONOGRAMA!H106)</f>
        <v>42383</v>
      </c>
      <c r="H107" s="128">
        <f>IF(CRONOGRAMA!I106="", "",CRONOGRAMA!I106)</f>
        <v>42720</v>
      </c>
      <c r="I107" s="84">
        <f t="shared" ref="I107:I109" si="383">IF(G107="",0,IF(H107="",0,(H107-G107)/7))</f>
        <v>48.142857142857146</v>
      </c>
      <c r="J107" s="160" t="str">
        <f>IF($P$6="Indique Fecha Seguimiento","",IF(CRONOGRAMA!$E106="No Aplica","NA",IF($G107="","",IF(YEAR($G107)&lt;YEAR($P$6)," A ",IF(YEAR($G107)=YEAR($P$6),IF(MONTH($G107)&lt;=4," A ","NA"),IF(YEAR($G107)&gt;YEAR($P$6),"NA"))))))</f>
        <v xml:space="preserve"> A </v>
      </c>
      <c r="K107" s="400">
        <v>1</v>
      </c>
      <c r="L107" s="402" t="s">
        <v>898</v>
      </c>
      <c r="M107" s="400">
        <v>1</v>
      </c>
      <c r="N107" s="348">
        <f t="shared" ref="N107:N109" si="384">IF(M107="","",IF($F107=0,0,M107/$F107))</f>
        <v>1</v>
      </c>
      <c r="O107" s="349" t="s">
        <v>11</v>
      </c>
      <c r="P107" s="44"/>
      <c r="Q107" s="84">
        <f t="shared" ref="Q107:Q109" si="385">IF(N107="","",($I107*N107))</f>
        <v>48.142857142857146</v>
      </c>
      <c r="R107" s="84">
        <f t="shared" si="317"/>
        <v>48.142857142857146</v>
      </c>
      <c r="S107" s="84">
        <f t="shared" si="318"/>
        <v>48.142857142857146</v>
      </c>
      <c r="T107" s="160" t="str">
        <f>IF($Z$6="Indique Fecha Seguimiento","",IF(CRONOGRAMA!$E106="No Aplica","NA",IF($G107="","",IF(YEAR($G107)&lt;YEAR($Z$6)," A ",IF(YEAR($G107)=YEAR($Z$6),IF(MONTH($G107)&lt;=8," A ","NA"),IF(YEAR($G107)&gt;YEAR($Z$6),"NA"))))))</f>
        <v xml:space="preserve"> A </v>
      </c>
      <c r="U107" s="350">
        <v>1</v>
      </c>
      <c r="V107" s="44" t="s">
        <v>939</v>
      </c>
      <c r="W107" s="351">
        <v>1</v>
      </c>
      <c r="X107" s="348">
        <f t="shared" ref="X107:X109" si="386">IF(W107="","",IF($F107=0,0,W107/$F107))</f>
        <v>1</v>
      </c>
      <c r="Y107" s="349" t="s">
        <v>11</v>
      </c>
      <c r="Z107" s="44" t="s">
        <v>940</v>
      </c>
      <c r="AA107" s="84">
        <f t="shared" ref="AA107:AA109" si="387">IF(X107="","",($I107*X107))</f>
        <v>48.142857142857146</v>
      </c>
      <c r="AB107" s="84">
        <f t="shared" si="321"/>
        <v>48.142857142857146</v>
      </c>
      <c r="AC107" s="84">
        <f t="shared" si="322"/>
        <v>48.142857142857146</v>
      </c>
      <c r="AD107" s="160" t="str">
        <f>IF($AJ$6="Indique Fecha Seguimiento","",IF(CRONOGRAMA!$E106="No Aplica","NA",IF($G107="","",IF(YEAR($G107)&lt;YEAR($AJ$6)," A ",IF(YEAR($G107)=YEAR($AJ$6),IF(MONTH($G107)&lt;=12," A ","NA"),IF(YEAR($G107)&gt;YEAR($AJ$6),"NA"))))))</f>
        <v/>
      </c>
      <c r="AE107" s="350"/>
      <c r="AF107" s="44"/>
      <c r="AG107" s="351"/>
      <c r="AH107" s="348" t="str">
        <f t="shared" ref="AH107:AH109" si="388">IF(AG107="","",IF($F107=0,0,AG107/$F107))</f>
        <v/>
      </c>
      <c r="AI107" s="349"/>
      <c r="AJ107" s="44"/>
      <c r="AK107" s="81" t="str">
        <f t="shared" ref="AK107:AK109" si="389">IF(AH107="","",($I107*AH107))</f>
        <v/>
      </c>
      <c r="AL107" s="84">
        <f t="shared" si="325"/>
        <v>48.142857142857146</v>
      </c>
      <c r="AM107" s="84">
        <f t="shared" si="326"/>
        <v>48.142857142857146</v>
      </c>
      <c r="AN107" s="592">
        <f t="shared" ref="AN107" si="390">SUM(I107:I109)</f>
        <v>48.142857142857146</v>
      </c>
      <c r="AO107" s="602">
        <f t="shared" ref="AO107" si="391">IF(AND(Q107="",Q108="",Q109=""),"",SUM(Q107:Q109))</f>
        <v>48.142857142857146</v>
      </c>
      <c r="AP107" s="603">
        <f t="shared" ref="AP107" si="392">IF(AND(AA107="",AA108="",AA109=""),"",SUM(AA107:AA109))</f>
        <v>48.142857142857146</v>
      </c>
      <c r="AQ107" s="603" t="str">
        <f t="shared" ref="AQ107" si="393">IF(AND(AK107="",AK108="",AK109=""),"",SUM(AK107:AK109))</f>
        <v/>
      </c>
      <c r="AR107" s="574">
        <f t="shared" si="331"/>
        <v>1</v>
      </c>
      <c r="AS107" s="574">
        <f t="shared" si="332"/>
        <v>1</v>
      </c>
      <c r="AT107" s="574">
        <f t="shared" ref="AT107" si="394">IF(AS107&gt;=AR107,AS107,AR107)</f>
        <v>1</v>
      </c>
      <c r="AU107" s="572" t="str">
        <f t="shared" si="334"/>
        <v/>
      </c>
      <c r="AV107" s="573">
        <f t="shared" ref="AV107" si="395">IF($AU$6=1,AR107,IF($AU$6=2,AS107,IF($AU$6=3,AU107,"")))</f>
        <v>1</v>
      </c>
      <c r="AW107" s="605">
        <f t="shared" ref="AW107" si="396">AV107</f>
        <v>1</v>
      </c>
      <c r="AX107" t="str">
        <f t="shared" ref="AX107:AX109" si="397">IF($AU$6=1,P107,IF($AU$6=2,Z107,IF($AU$6=3,AJ107,"")))</f>
        <v>Se cumplio con la actividad definida tal como se informo en primer seguimiento</v>
      </c>
    </row>
    <row r="108" spans="1:50" ht="15.75" x14ac:dyDescent="0.25">
      <c r="A108" s="589"/>
      <c r="B108" s="591"/>
      <c r="C108" s="82" t="str">
        <f>IF('CONSOLIDACION DEL MAPA'!P107="","",'CONSOLIDACION DEL MAPA'!P107)</f>
        <v/>
      </c>
      <c r="D108" s="82" t="str">
        <f>CRONOGRAMA!D107</f>
        <v/>
      </c>
      <c r="E108" s="132" t="str">
        <f>IF(CRONOGRAMA!F107="", "",CRONOGRAMA!F107)</f>
        <v/>
      </c>
      <c r="F108" s="132" t="str">
        <f>IF(CRONOGRAMA!G107="", "",CRONOGRAMA!G107)</f>
        <v/>
      </c>
      <c r="G108" s="128" t="str">
        <f>IF(CRONOGRAMA!H107="", "",CRONOGRAMA!H107)</f>
        <v/>
      </c>
      <c r="H108" s="128" t="str">
        <f>IF(CRONOGRAMA!I107="", "",CRONOGRAMA!I107)</f>
        <v/>
      </c>
      <c r="I108" s="84">
        <f t="shared" si="383"/>
        <v>0</v>
      </c>
      <c r="J108" s="160" t="str">
        <f>IF($P$6="Indique Fecha Seguimiento","",IF(CRONOGRAMA!$E107="No Aplica","NA",IF($G108="","",IF(YEAR($G108)&lt;YEAR($P$6)," A ",IF(YEAR($G108)=YEAR($P$6),IF(MONTH($G108)&lt;=4," A ","NA"),IF(YEAR($G108)&gt;YEAR($P$6),"NA"))))))</f>
        <v/>
      </c>
      <c r="K108" s="400"/>
      <c r="L108" s="402"/>
      <c r="M108" s="400"/>
      <c r="N108" s="348" t="str">
        <f t="shared" si="384"/>
        <v/>
      </c>
      <c r="O108" s="349"/>
      <c r="P108" s="44"/>
      <c r="Q108" s="84" t="str">
        <f t="shared" si="385"/>
        <v/>
      </c>
      <c r="R108" s="84" t="str">
        <f t="shared" si="317"/>
        <v/>
      </c>
      <c r="S108" s="84">
        <f t="shared" si="318"/>
        <v>0</v>
      </c>
      <c r="T108" s="160" t="str">
        <f>IF($Z$6="Indique Fecha Seguimiento","",IF(CRONOGRAMA!$E107="No Aplica","NA",IF($G108="","",IF(YEAR($G108)&lt;YEAR($Z$6)," A ",IF(YEAR($G108)=YEAR($Z$6),IF(MONTH($G108)&lt;=8," A ","NA"),IF(YEAR($G108)&gt;YEAR($Z$6),"NA"))))))</f>
        <v/>
      </c>
      <c r="U108" s="350"/>
      <c r="V108" s="44"/>
      <c r="W108" s="351"/>
      <c r="X108" s="348" t="str">
        <f t="shared" si="386"/>
        <v/>
      </c>
      <c r="Y108" s="349"/>
      <c r="Z108" s="44"/>
      <c r="AA108" s="84" t="str">
        <f t="shared" si="387"/>
        <v/>
      </c>
      <c r="AB108" s="84" t="str">
        <f t="shared" si="321"/>
        <v/>
      </c>
      <c r="AC108" s="84">
        <f t="shared" si="322"/>
        <v>0</v>
      </c>
      <c r="AD108" s="160" t="str">
        <f>IF($AJ$6="Indique Fecha Seguimiento","",IF(CRONOGRAMA!$E107="No Aplica","NA",IF($G108="","",IF(YEAR($G108)&lt;YEAR($AJ$6)," A ",IF(YEAR($G108)=YEAR($AJ$6),IF(MONTH($G108)&lt;=12," A ","NA"),IF(YEAR($G108)&gt;YEAR($AJ$6),"NA"))))))</f>
        <v/>
      </c>
      <c r="AE108" s="350"/>
      <c r="AF108" s="44"/>
      <c r="AG108" s="351"/>
      <c r="AH108" s="348" t="str">
        <f t="shared" si="388"/>
        <v/>
      </c>
      <c r="AI108" s="349"/>
      <c r="AJ108" s="44"/>
      <c r="AK108" s="81" t="str">
        <f t="shared" si="389"/>
        <v/>
      </c>
      <c r="AL108" s="84">
        <f t="shared" si="325"/>
        <v>0</v>
      </c>
      <c r="AM108" s="84">
        <f t="shared" si="326"/>
        <v>0</v>
      </c>
      <c r="AN108" s="592"/>
      <c r="AO108" s="602"/>
      <c r="AP108" s="603"/>
      <c r="AQ108" s="603"/>
      <c r="AR108" s="574"/>
      <c r="AS108" s="574"/>
      <c r="AT108" s="574"/>
      <c r="AU108" s="572"/>
      <c r="AV108" s="573"/>
      <c r="AW108" s="605"/>
      <c r="AX108">
        <f t="shared" si="397"/>
        <v>0</v>
      </c>
    </row>
    <row r="109" spans="1:50" ht="16.5" thickBot="1" x14ac:dyDescent="0.3">
      <c r="A109" s="590"/>
      <c r="B109" s="591"/>
      <c r="C109" s="82" t="str">
        <f>IF('CONSOLIDACION DEL MAPA'!P108="","",'CONSOLIDACION DEL MAPA'!P108)</f>
        <v/>
      </c>
      <c r="D109" s="82" t="str">
        <f>CRONOGRAMA!D108</f>
        <v/>
      </c>
      <c r="E109" s="132" t="str">
        <f>IF(CRONOGRAMA!F108="", "",CRONOGRAMA!F108)</f>
        <v/>
      </c>
      <c r="F109" s="132" t="str">
        <f>IF(CRONOGRAMA!G108="", "",CRONOGRAMA!G108)</f>
        <v/>
      </c>
      <c r="G109" s="128" t="str">
        <f>IF(CRONOGRAMA!H108="", "",CRONOGRAMA!H108)</f>
        <v/>
      </c>
      <c r="H109" s="128" t="str">
        <f>IF(CRONOGRAMA!I108="", "",CRONOGRAMA!I108)</f>
        <v/>
      </c>
      <c r="I109" s="84">
        <f t="shared" si="383"/>
        <v>0</v>
      </c>
      <c r="J109" s="160" t="str">
        <f>IF($P$6="Indique Fecha Seguimiento","",IF(CRONOGRAMA!$E108="No Aplica","NA",IF($G109="","",IF(YEAR($G109)&lt;YEAR($P$6)," A ",IF(YEAR($G109)=YEAR($P$6),IF(MONTH($G109)&lt;=4," A ","NA"),IF(YEAR($G109)&gt;YEAR($P$6),"NA"))))))</f>
        <v/>
      </c>
      <c r="K109" s="400"/>
      <c r="L109" s="402"/>
      <c r="M109" s="400"/>
      <c r="N109" s="348" t="str">
        <f t="shared" si="384"/>
        <v/>
      </c>
      <c r="O109" s="349"/>
      <c r="P109" s="44"/>
      <c r="Q109" s="84" t="str">
        <f t="shared" si="385"/>
        <v/>
      </c>
      <c r="R109" s="84" t="str">
        <f t="shared" si="317"/>
        <v/>
      </c>
      <c r="S109" s="84">
        <f t="shared" si="318"/>
        <v>0</v>
      </c>
      <c r="T109" s="160" t="str">
        <f>IF($Z$6="Indique Fecha Seguimiento","",IF(CRONOGRAMA!$E108="No Aplica","NA",IF($G109="","",IF(YEAR($G109)&lt;YEAR($Z$6)," A ",IF(YEAR($G109)=YEAR($Z$6),IF(MONTH($G109)&lt;=8," A ","NA"),IF(YEAR($G109)&gt;YEAR($Z$6),"NA"))))))</f>
        <v/>
      </c>
      <c r="U109" s="350"/>
      <c r="V109" s="44"/>
      <c r="W109" s="351"/>
      <c r="X109" s="348" t="str">
        <f t="shared" si="386"/>
        <v/>
      </c>
      <c r="Y109" s="349"/>
      <c r="Z109" s="44"/>
      <c r="AA109" s="84" t="str">
        <f t="shared" si="387"/>
        <v/>
      </c>
      <c r="AB109" s="84" t="str">
        <f t="shared" si="321"/>
        <v/>
      </c>
      <c r="AC109" s="84">
        <f t="shared" si="322"/>
        <v>0</v>
      </c>
      <c r="AD109" s="160" t="str">
        <f>IF($AJ$6="Indique Fecha Seguimiento","",IF(CRONOGRAMA!$E108="No Aplica","NA",IF($G109="","",IF(YEAR($G109)&lt;YEAR($AJ$6)," A ",IF(YEAR($G109)=YEAR($AJ$6),IF(MONTH($G109)&lt;=12," A ","NA"),IF(YEAR($G109)&gt;YEAR($AJ$6),"NA"))))))</f>
        <v/>
      </c>
      <c r="AE109" s="350"/>
      <c r="AF109" s="44"/>
      <c r="AG109" s="351"/>
      <c r="AH109" s="348" t="str">
        <f t="shared" si="388"/>
        <v/>
      </c>
      <c r="AI109" s="349"/>
      <c r="AJ109" s="44"/>
      <c r="AK109" s="81" t="str">
        <f t="shared" si="389"/>
        <v/>
      </c>
      <c r="AL109" s="84">
        <f t="shared" si="325"/>
        <v>0</v>
      </c>
      <c r="AM109" s="84">
        <f t="shared" si="326"/>
        <v>0</v>
      </c>
      <c r="AN109" s="592"/>
      <c r="AO109" s="602"/>
      <c r="AP109" s="603"/>
      <c r="AQ109" s="603"/>
      <c r="AR109" s="574"/>
      <c r="AS109" s="574"/>
      <c r="AT109" s="574"/>
      <c r="AU109" s="572"/>
      <c r="AV109" s="573"/>
      <c r="AW109" s="605"/>
      <c r="AX109">
        <f t="shared" si="397"/>
        <v>0</v>
      </c>
    </row>
    <row r="110" spans="1:50" ht="128.25" thickTop="1" x14ac:dyDescent="0.25">
      <c r="A110" s="588" t="str">
        <f>CRONOGRAMA!A109</f>
        <v>6C</v>
      </c>
      <c r="B110" s="591" t="str">
        <f>CRONOGRAMA!B109</f>
        <v>Acreditación. Concentración de información de determinadas actividades o procesos en una persona</v>
      </c>
      <c r="C110" s="82" t="str">
        <f>IF('CONSOLIDACION DEL MAPA'!P109="","",'CONSOLIDACION DEL MAPA'!P109)</f>
        <v>Reducir</v>
      </c>
      <c r="D110" s="82" t="str">
        <f>CRONOGRAMA!D109</f>
        <v>Cumplimiento de metas acordes con el plan de trabajo.</v>
      </c>
      <c r="E110" s="132" t="str">
        <f>IF(CRONOGRAMA!F109="", "",CRONOGRAMA!F109)</f>
        <v>Comunicaciones</v>
      </c>
      <c r="F110" s="132">
        <f>IF(CRONOGRAMA!G109="", "",CRONOGRAMA!G109)</f>
        <v>1</v>
      </c>
      <c r="G110" s="128">
        <f>IF(CRONOGRAMA!H109="", "",CRONOGRAMA!H109)</f>
        <v>42383</v>
      </c>
      <c r="H110" s="128">
        <f>IF(CRONOGRAMA!I109="", "",CRONOGRAMA!I109)</f>
        <v>42720</v>
      </c>
      <c r="I110" s="84">
        <f t="shared" ref="I110:I148" si="398">IF(G110="",0,IF(H110="",0,(H110-G110)/7))</f>
        <v>48.142857142857146</v>
      </c>
      <c r="J110" s="160" t="str">
        <f>IF($P$6="Indique Fecha Seguimiento","",IF(CRONOGRAMA!$E109="No Aplica","NA",IF($G110="","",IF(YEAR($G110)&lt;YEAR($P$6)," A ",IF(YEAR($G110)=YEAR($P$6),IF(MONTH($G110)&lt;=4," A ","NA"),IF(YEAR($G110)&gt;YEAR($P$6),"NA"))))))</f>
        <v xml:space="preserve"> A </v>
      </c>
      <c r="K110" s="400">
        <v>1</v>
      </c>
      <c r="L110" s="402" t="s">
        <v>898</v>
      </c>
      <c r="M110" s="400">
        <v>1</v>
      </c>
      <c r="N110" s="348">
        <f t="shared" ref="N110:N148" si="399">IF(M110="","",IF($F110=0,0,M110/$F110))</f>
        <v>1</v>
      </c>
      <c r="O110" s="349" t="s">
        <v>11</v>
      </c>
      <c r="P110" s="44"/>
      <c r="Q110" s="84">
        <f t="shared" ref="Q110:Q148" si="400">IF(N110="","",($I110*N110))</f>
        <v>48.142857142857146</v>
      </c>
      <c r="R110" s="84">
        <f t="shared" ref="R110:R148" si="401">IF(O110="SI",Q110,IF($P$6&lt;=$H110,Q110,0))</f>
        <v>48.142857142857146</v>
      </c>
      <c r="S110" s="84">
        <f t="shared" si="318"/>
        <v>48.142857142857146</v>
      </c>
      <c r="T110" s="160" t="str">
        <f>IF($Z$6="Indique Fecha Seguimiento","",IF(CRONOGRAMA!$E109="No Aplica","NA",IF($G110="","",IF(YEAR($G110)&lt;YEAR($Z$6)," A ",IF(YEAR($G110)=YEAR($Z$6),IF(MONTH($G110)&lt;=8," A ","NA"),IF(YEAR($G110)&gt;YEAR($Z$6),"NA"))))))</f>
        <v xml:space="preserve"> A </v>
      </c>
      <c r="U110" s="350">
        <v>1</v>
      </c>
      <c r="V110" s="44" t="s">
        <v>939</v>
      </c>
      <c r="W110" s="351">
        <v>1</v>
      </c>
      <c r="X110" s="348">
        <f t="shared" ref="X110:X148" si="402">IF(W110="","",IF($F110=0,0,W110/$F110))</f>
        <v>1</v>
      </c>
      <c r="Y110" s="349" t="s">
        <v>11</v>
      </c>
      <c r="Z110" s="44" t="s">
        <v>940</v>
      </c>
      <c r="AA110" s="84">
        <f t="shared" ref="AA110:AA148" si="403">IF(X110="","",($I110*X110))</f>
        <v>48.142857142857146</v>
      </c>
      <c r="AB110" s="84">
        <f t="shared" ref="AB110:AB148" si="404">IF(N110=1,R110,IF(Y110="SI",AA110,IF($Z$6&lt;=$H110,AA110,0)))</f>
        <v>48.142857142857146</v>
      </c>
      <c r="AC110" s="84">
        <f t="shared" si="322"/>
        <v>48.142857142857146</v>
      </c>
      <c r="AD110" s="160" t="str">
        <f>IF($AJ$6="Indique Fecha Seguimiento","",IF(CRONOGRAMA!$E109="No Aplica","NA",IF($G110="","",IF(YEAR($G110)&lt;YEAR($AJ$6)," A ",IF(YEAR($G110)=YEAR($AJ$6),IF(MONTH($G110)&lt;=12," A ","NA"),IF(YEAR($G110)&gt;YEAR($AJ$6),"NA"))))))</f>
        <v/>
      </c>
      <c r="AE110" s="350"/>
      <c r="AF110" s="44"/>
      <c r="AG110" s="351"/>
      <c r="AH110" s="348" t="str">
        <f t="shared" ref="AH110:AH148" si="405">IF(AG110="","",IF($F110=0,0,AG110/$F110))</f>
        <v/>
      </c>
      <c r="AI110" s="349"/>
      <c r="AJ110" s="44"/>
      <c r="AK110" s="81" t="str">
        <f t="shared" ref="AK110:AK148" si="406">IF(AH110="","",($I110*AH110))</f>
        <v/>
      </c>
      <c r="AL110" s="84">
        <f t="shared" ref="AL110:AL148" si="407">IF(X110=1,AB110,IF(AI110="SI",AK110,IF($AJ$6&lt;=$H110,AK110,0)))</f>
        <v>48.142857142857146</v>
      </c>
      <c r="AM110" s="84">
        <f t="shared" si="326"/>
        <v>48.142857142857146</v>
      </c>
      <c r="AN110" s="592">
        <f t="shared" ref="AN110" si="408">SUM(I110:I112)</f>
        <v>48.142857142857146</v>
      </c>
      <c r="AO110" s="602">
        <f t="shared" ref="AO110" si="409">IF(AND(Q110="",Q111="",Q112=""),"",SUM(Q110:Q112))</f>
        <v>48.142857142857146</v>
      </c>
      <c r="AP110" s="603">
        <f t="shared" ref="AP110" si="410">IF(AND(AA110="",AA111="",AA112=""),"",SUM(AA110:AA112))</f>
        <v>48.142857142857146</v>
      </c>
      <c r="AQ110" s="603" t="str">
        <f t="shared" ref="AQ110" si="411">IF(AND(AK110="",AK111="",AK112=""),"",SUM(AK110:AK112))</f>
        <v/>
      </c>
      <c r="AR110" s="574">
        <f t="shared" si="331"/>
        <v>1</v>
      </c>
      <c r="AS110" s="574">
        <f t="shared" si="332"/>
        <v>1</v>
      </c>
      <c r="AT110" s="574">
        <f t="shared" ref="AT110" si="412">IF(AS110&gt;=AR110,AS110,AR110)</f>
        <v>1</v>
      </c>
      <c r="AU110" s="572" t="str">
        <f t="shared" si="334"/>
        <v/>
      </c>
      <c r="AV110" s="573">
        <f t="shared" ref="AV110" si="413">IF($AU$6=1,AR110,IF($AU$6=2,AS110,IF($AU$6=3,AU110,"")))</f>
        <v>1</v>
      </c>
      <c r="AW110" s="605">
        <f t="shared" ref="AW110" si="414">AV110</f>
        <v>1</v>
      </c>
      <c r="AX110" t="str">
        <f t="shared" ref="AX110:AX148" si="415">IF($AU$6=1,P110,IF($AU$6=2,Z110,IF($AU$6=3,AJ110,"")))</f>
        <v>Se cumplio con la actividad definida tal como se informo en primer seguimiento</v>
      </c>
    </row>
    <row r="111" spans="1:50" ht="15.75" x14ac:dyDescent="0.25">
      <c r="A111" s="589"/>
      <c r="B111" s="591"/>
      <c r="C111" s="82" t="str">
        <f>IF('CONSOLIDACION DEL MAPA'!P110="","",'CONSOLIDACION DEL MAPA'!P110)</f>
        <v/>
      </c>
      <c r="D111" s="82" t="str">
        <f>CRONOGRAMA!D110</f>
        <v/>
      </c>
      <c r="E111" s="132" t="str">
        <f>IF(CRONOGRAMA!F110="", "",CRONOGRAMA!F110)</f>
        <v/>
      </c>
      <c r="F111" s="132" t="str">
        <f>IF(CRONOGRAMA!G110="", "",CRONOGRAMA!G110)</f>
        <v/>
      </c>
      <c r="G111" s="128" t="str">
        <f>IF(CRONOGRAMA!H110="", "",CRONOGRAMA!H110)</f>
        <v/>
      </c>
      <c r="H111" s="128" t="str">
        <f>IF(CRONOGRAMA!I110="", "",CRONOGRAMA!I110)</f>
        <v/>
      </c>
      <c r="I111" s="84">
        <f t="shared" si="398"/>
        <v>0</v>
      </c>
      <c r="J111" s="160" t="str">
        <f>IF($P$6="Indique Fecha Seguimiento","",IF(CRONOGRAMA!$E110="No Aplica","NA",IF($G111="","",IF(YEAR($G111)&lt;YEAR($P$6)," A ",IF(YEAR($G111)=YEAR($P$6),IF(MONTH($G111)&lt;=4," A ","NA"),IF(YEAR($G111)&gt;YEAR($P$6),"NA"))))))</f>
        <v/>
      </c>
      <c r="K111" s="400"/>
      <c r="L111" s="402"/>
      <c r="M111" s="400"/>
      <c r="N111" s="348" t="str">
        <f t="shared" si="399"/>
        <v/>
      </c>
      <c r="O111" s="349"/>
      <c r="P111" s="44"/>
      <c r="Q111" s="84" t="str">
        <f t="shared" si="400"/>
        <v/>
      </c>
      <c r="R111" s="84" t="str">
        <f t="shared" si="401"/>
        <v/>
      </c>
      <c r="S111" s="84">
        <f t="shared" si="318"/>
        <v>0</v>
      </c>
      <c r="T111" s="160" t="str">
        <f>IF($Z$6="Indique Fecha Seguimiento","",IF(CRONOGRAMA!$E110="No Aplica","NA",IF($G111="","",IF(YEAR($G111)&lt;YEAR($Z$6)," A ",IF(YEAR($G111)=YEAR($Z$6),IF(MONTH($G111)&lt;=8," A ","NA"),IF(YEAR($G111)&gt;YEAR($Z$6),"NA"))))))</f>
        <v/>
      </c>
      <c r="U111" s="350"/>
      <c r="V111" s="44"/>
      <c r="W111" s="351"/>
      <c r="X111" s="348" t="str">
        <f t="shared" si="402"/>
        <v/>
      </c>
      <c r="Y111" s="349"/>
      <c r="Z111" s="44"/>
      <c r="AA111" s="84" t="str">
        <f t="shared" si="403"/>
        <v/>
      </c>
      <c r="AB111" s="84" t="str">
        <f t="shared" si="404"/>
        <v/>
      </c>
      <c r="AC111" s="84">
        <f t="shared" si="322"/>
        <v>0</v>
      </c>
      <c r="AD111" s="160" t="str">
        <f>IF($AJ$6="Indique Fecha Seguimiento","",IF(CRONOGRAMA!$E110="No Aplica","NA",IF($G111="","",IF(YEAR($G111)&lt;YEAR($AJ$6)," A ",IF(YEAR($G111)=YEAR($AJ$6),IF(MONTH($G111)&lt;=12," A ","NA"),IF(YEAR($G111)&gt;YEAR($AJ$6),"NA"))))))</f>
        <v/>
      </c>
      <c r="AE111" s="350"/>
      <c r="AF111" s="44"/>
      <c r="AG111" s="351"/>
      <c r="AH111" s="348" t="str">
        <f t="shared" si="405"/>
        <v/>
      </c>
      <c r="AI111" s="349"/>
      <c r="AJ111" s="44"/>
      <c r="AK111" s="81" t="str">
        <f t="shared" si="406"/>
        <v/>
      </c>
      <c r="AL111" s="84">
        <f t="shared" si="407"/>
        <v>0</v>
      </c>
      <c r="AM111" s="84">
        <f t="shared" si="326"/>
        <v>0</v>
      </c>
      <c r="AN111" s="592"/>
      <c r="AO111" s="602"/>
      <c r="AP111" s="603"/>
      <c r="AQ111" s="603"/>
      <c r="AR111" s="574"/>
      <c r="AS111" s="574"/>
      <c r="AT111" s="574"/>
      <c r="AU111" s="572"/>
      <c r="AV111" s="573"/>
      <c r="AW111" s="605"/>
      <c r="AX111">
        <f t="shared" si="415"/>
        <v>0</v>
      </c>
    </row>
    <row r="112" spans="1:50" ht="16.5" thickBot="1" x14ac:dyDescent="0.3">
      <c r="A112" s="590"/>
      <c r="B112" s="591"/>
      <c r="C112" s="82" t="str">
        <f>IF('CONSOLIDACION DEL MAPA'!P111="","",'CONSOLIDACION DEL MAPA'!P111)</f>
        <v/>
      </c>
      <c r="D112" s="82" t="str">
        <f>CRONOGRAMA!D111</f>
        <v/>
      </c>
      <c r="E112" s="132" t="str">
        <f>IF(CRONOGRAMA!F111="", "",CRONOGRAMA!F111)</f>
        <v/>
      </c>
      <c r="F112" s="132" t="str">
        <f>IF(CRONOGRAMA!G111="", "",CRONOGRAMA!G111)</f>
        <v/>
      </c>
      <c r="G112" s="128" t="str">
        <f>IF(CRONOGRAMA!H111="", "",CRONOGRAMA!H111)</f>
        <v/>
      </c>
      <c r="H112" s="128" t="str">
        <f>IF(CRONOGRAMA!I111="", "",CRONOGRAMA!I111)</f>
        <v/>
      </c>
      <c r="I112" s="84">
        <f t="shared" si="398"/>
        <v>0</v>
      </c>
      <c r="J112" s="160" t="str">
        <f>IF($P$6="Indique Fecha Seguimiento","",IF(CRONOGRAMA!$E111="No Aplica","NA",IF($G112="","",IF(YEAR($G112)&lt;YEAR($P$6)," A ",IF(YEAR($G112)=YEAR($P$6),IF(MONTH($G112)&lt;=4," A ","NA"),IF(YEAR($G112)&gt;YEAR($P$6),"NA"))))))</f>
        <v/>
      </c>
      <c r="K112" s="400"/>
      <c r="L112" s="402"/>
      <c r="M112" s="400"/>
      <c r="N112" s="348" t="str">
        <f t="shared" si="399"/>
        <v/>
      </c>
      <c r="O112" s="349"/>
      <c r="P112" s="44"/>
      <c r="Q112" s="84" t="str">
        <f t="shared" si="400"/>
        <v/>
      </c>
      <c r="R112" s="84" t="str">
        <f t="shared" si="401"/>
        <v/>
      </c>
      <c r="S112" s="84">
        <f t="shared" si="318"/>
        <v>0</v>
      </c>
      <c r="T112" s="160" t="str">
        <f>IF($Z$6="Indique Fecha Seguimiento","",IF(CRONOGRAMA!$E111="No Aplica","NA",IF($G112="","",IF(YEAR($G112)&lt;YEAR($Z$6)," A ",IF(YEAR($G112)=YEAR($Z$6),IF(MONTH($G112)&lt;=8," A ","NA"),IF(YEAR($G112)&gt;YEAR($Z$6),"NA"))))))</f>
        <v/>
      </c>
      <c r="U112" s="350"/>
      <c r="V112" s="44"/>
      <c r="W112" s="351"/>
      <c r="X112" s="348" t="str">
        <f t="shared" si="402"/>
        <v/>
      </c>
      <c r="Y112" s="349"/>
      <c r="Z112" s="44"/>
      <c r="AA112" s="84" t="str">
        <f t="shared" si="403"/>
        <v/>
      </c>
      <c r="AB112" s="84" t="str">
        <f t="shared" si="404"/>
        <v/>
      </c>
      <c r="AC112" s="84">
        <f t="shared" si="322"/>
        <v>0</v>
      </c>
      <c r="AD112" s="160" t="str">
        <f>IF($AJ$6="Indique Fecha Seguimiento","",IF(CRONOGRAMA!$E111="No Aplica","NA",IF($G112="","",IF(YEAR($G112)&lt;YEAR($AJ$6)," A ",IF(YEAR($G112)=YEAR($AJ$6),IF(MONTH($G112)&lt;=12," A ","NA"),IF(YEAR($G112)&gt;YEAR($AJ$6),"NA"))))))</f>
        <v/>
      </c>
      <c r="AE112" s="350"/>
      <c r="AF112" s="44"/>
      <c r="AG112" s="351"/>
      <c r="AH112" s="348" t="str">
        <f t="shared" si="405"/>
        <v/>
      </c>
      <c r="AI112" s="349"/>
      <c r="AJ112" s="44"/>
      <c r="AK112" s="81" t="str">
        <f t="shared" si="406"/>
        <v/>
      </c>
      <c r="AL112" s="84">
        <f t="shared" si="407"/>
        <v>0</v>
      </c>
      <c r="AM112" s="84">
        <f t="shared" si="326"/>
        <v>0</v>
      </c>
      <c r="AN112" s="592"/>
      <c r="AO112" s="602"/>
      <c r="AP112" s="603"/>
      <c r="AQ112" s="603"/>
      <c r="AR112" s="574"/>
      <c r="AS112" s="574"/>
      <c r="AT112" s="574"/>
      <c r="AU112" s="572"/>
      <c r="AV112" s="573"/>
      <c r="AW112" s="605"/>
      <c r="AX112">
        <f t="shared" si="415"/>
        <v>0</v>
      </c>
    </row>
    <row r="113" spans="1:50" ht="39" thickTop="1" x14ac:dyDescent="0.25">
      <c r="A113" s="588" t="str">
        <f>CRONOGRAMA!A112</f>
        <v>7C</v>
      </c>
      <c r="B113" s="591" t="str">
        <f>CRONOGRAMA!B112</f>
        <v>Gestión de la Calidad. Concentración de información de determinadas actividades o procesos en una persona</v>
      </c>
      <c r="C113" s="82" t="str">
        <f>IF('CONSOLIDACION DEL MAPA'!P112="","",'CONSOLIDACION DEL MAPA'!P112)</f>
        <v>No Establecer</v>
      </c>
      <c r="D113" s="82" t="str">
        <f>CRONOGRAMA!D112</f>
        <v>Seguir ejecutando y monitoreando los controles existentes</v>
      </c>
      <c r="E113" s="132" t="str">
        <f>IF(CRONOGRAMA!F112="", "",CRONOGRAMA!F112)</f>
        <v/>
      </c>
      <c r="F113" s="132" t="str">
        <f>IF(CRONOGRAMA!G112="", "",CRONOGRAMA!G112)</f>
        <v/>
      </c>
      <c r="G113" s="128" t="str">
        <f>IF(CRONOGRAMA!H112="", "",CRONOGRAMA!H112)</f>
        <v/>
      </c>
      <c r="H113" s="128" t="str">
        <f>IF(CRONOGRAMA!I112="", "",CRONOGRAMA!I112)</f>
        <v/>
      </c>
      <c r="I113" s="84">
        <f t="shared" si="398"/>
        <v>0</v>
      </c>
      <c r="J113" s="160" t="str">
        <f>IF($P$6="Indique Fecha Seguimiento","",IF(CRONOGRAMA!$E112="No Aplica","NA",IF($G113="","",IF(YEAR($G113)&lt;YEAR($P$6)," A ",IF(YEAR($G113)=YEAR($P$6),IF(MONTH($G113)&lt;=4," A ","NA"),IF(YEAR($G113)&gt;YEAR($P$6),"NA"))))))</f>
        <v>NA</v>
      </c>
      <c r="K113" s="400"/>
      <c r="L113" s="402"/>
      <c r="M113" s="400"/>
      <c r="N113" s="348" t="str">
        <f t="shared" si="399"/>
        <v/>
      </c>
      <c r="O113" s="349"/>
      <c r="P113" s="44"/>
      <c r="Q113" s="84" t="str">
        <f t="shared" si="400"/>
        <v/>
      </c>
      <c r="R113" s="84" t="str">
        <f t="shared" si="401"/>
        <v/>
      </c>
      <c r="S113" s="84">
        <f t="shared" si="318"/>
        <v>0</v>
      </c>
      <c r="T113" s="160" t="str">
        <f>IF($Z$6="Indique Fecha Seguimiento","",IF(CRONOGRAMA!$E112="No Aplica","NA",IF($G113="","",IF(YEAR($G113)&lt;YEAR($Z$6)," A ",IF(YEAR($G113)=YEAR($Z$6),IF(MONTH($G113)&lt;=8," A ","NA"),IF(YEAR($G113)&gt;YEAR($Z$6),"NA"))))))</f>
        <v>NA</v>
      </c>
      <c r="U113" s="350"/>
      <c r="V113" s="44"/>
      <c r="W113" s="351"/>
      <c r="X113" s="348" t="str">
        <f t="shared" si="402"/>
        <v/>
      </c>
      <c r="Y113" s="349"/>
      <c r="Z113" s="44"/>
      <c r="AA113" s="84" t="str">
        <f t="shared" si="403"/>
        <v/>
      </c>
      <c r="AB113" s="84" t="str">
        <f t="shared" si="404"/>
        <v/>
      </c>
      <c r="AC113" s="84">
        <f t="shared" si="322"/>
        <v>0</v>
      </c>
      <c r="AD113" s="160" t="str">
        <f>IF($AJ$6="Indique Fecha Seguimiento","",IF(CRONOGRAMA!$E112="No Aplica","NA",IF($G113="","",IF(YEAR($G113)&lt;YEAR($AJ$6)," A ",IF(YEAR($G113)=YEAR($AJ$6),IF(MONTH($G113)&lt;=12," A ","NA"),IF(YEAR($G113)&gt;YEAR($AJ$6),"NA"))))))</f>
        <v/>
      </c>
      <c r="AE113" s="350"/>
      <c r="AF113" s="44"/>
      <c r="AG113" s="351"/>
      <c r="AH113" s="348" t="str">
        <f t="shared" si="405"/>
        <v/>
      </c>
      <c r="AI113" s="349"/>
      <c r="AJ113" s="44"/>
      <c r="AK113" s="81" t="str">
        <f t="shared" si="406"/>
        <v/>
      </c>
      <c r="AL113" s="84">
        <f t="shared" si="407"/>
        <v>0</v>
      </c>
      <c r="AM113" s="84">
        <f t="shared" si="326"/>
        <v>0</v>
      </c>
      <c r="AN113" s="592">
        <f t="shared" ref="AN113" si="416">SUM(I113:I115)</f>
        <v>0</v>
      </c>
      <c r="AO113" s="602" t="str">
        <f t="shared" ref="AO113" si="417">IF(AND(Q113="",Q114="",Q115=""),"",SUM(Q113:Q115))</f>
        <v/>
      </c>
      <c r="AP113" s="603" t="str">
        <f t="shared" ref="AP113" si="418">IF(AND(AA113="",AA114="",AA115=""),"",SUM(AA113:AA115))</f>
        <v/>
      </c>
      <c r="AQ113" s="603" t="str">
        <f t="shared" ref="AQ113" si="419">IF(AND(AK113="",AK114="",AK115=""),"",SUM(AK113:AK115))</f>
        <v/>
      </c>
      <c r="AR113" s="574" t="str">
        <f t="shared" si="331"/>
        <v>NA</v>
      </c>
      <c r="AS113" s="574" t="str">
        <f t="shared" si="332"/>
        <v>NA</v>
      </c>
      <c r="AT113" s="574" t="str">
        <f t="shared" ref="AT113" si="420">IF(AS113&gt;=AR113,AS113,AR113)</f>
        <v>NA</v>
      </c>
      <c r="AU113" s="572" t="str">
        <f t="shared" si="334"/>
        <v/>
      </c>
      <c r="AV113" s="573" t="str">
        <f t="shared" ref="AV113" si="421">IF($AU$6=1,AR113,IF($AU$6=2,AS113,IF($AU$6=3,AU113,"")))</f>
        <v>NA</v>
      </c>
      <c r="AW113" s="605" t="str">
        <f t="shared" ref="AW113" si="422">AV113</f>
        <v>NA</v>
      </c>
      <c r="AX113">
        <f t="shared" si="415"/>
        <v>0</v>
      </c>
    </row>
    <row r="114" spans="1:50" ht="15.75" x14ac:dyDescent="0.25">
      <c r="A114" s="589"/>
      <c r="B114" s="591"/>
      <c r="C114" s="82" t="str">
        <f>IF('CONSOLIDACION DEL MAPA'!P113="","",'CONSOLIDACION DEL MAPA'!P113)</f>
        <v/>
      </c>
      <c r="D114" s="82" t="str">
        <f>CRONOGRAMA!D113</f>
        <v/>
      </c>
      <c r="E114" s="132" t="str">
        <f>IF(CRONOGRAMA!F113="", "",CRONOGRAMA!F113)</f>
        <v/>
      </c>
      <c r="F114" s="132" t="str">
        <f>IF(CRONOGRAMA!G113="", "",CRONOGRAMA!G113)</f>
        <v/>
      </c>
      <c r="G114" s="128" t="str">
        <f>IF(CRONOGRAMA!H113="", "",CRONOGRAMA!H113)</f>
        <v/>
      </c>
      <c r="H114" s="128" t="str">
        <f>IF(CRONOGRAMA!I113="", "",CRONOGRAMA!I113)</f>
        <v/>
      </c>
      <c r="I114" s="84">
        <f t="shared" si="398"/>
        <v>0</v>
      </c>
      <c r="J114" s="160" t="str">
        <f>IF($P$6="Indique Fecha Seguimiento","",IF(CRONOGRAMA!$E113="No Aplica","NA",IF($G114="","",IF(YEAR($G114)&lt;YEAR($P$6)," A ",IF(YEAR($G114)=YEAR($P$6),IF(MONTH($G114)&lt;=4," A ","NA"),IF(YEAR($G114)&gt;YEAR($P$6),"NA"))))))</f>
        <v/>
      </c>
      <c r="K114" s="400"/>
      <c r="L114" s="402"/>
      <c r="M114" s="400"/>
      <c r="N114" s="348" t="str">
        <f t="shared" si="399"/>
        <v/>
      </c>
      <c r="O114" s="349"/>
      <c r="P114" s="44"/>
      <c r="Q114" s="84" t="str">
        <f t="shared" si="400"/>
        <v/>
      </c>
      <c r="R114" s="84" t="str">
        <f t="shared" si="401"/>
        <v/>
      </c>
      <c r="S114" s="84">
        <f t="shared" si="318"/>
        <v>0</v>
      </c>
      <c r="T114" s="160" t="str">
        <f>IF($Z$6="Indique Fecha Seguimiento","",IF(CRONOGRAMA!$E113="No Aplica","NA",IF($G114="","",IF(YEAR($G114)&lt;YEAR($Z$6)," A ",IF(YEAR($G114)=YEAR($Z$6),IF(MONTH($G114)&lt;=8," A ","NA"),IF(YEAR($G114)&gt;YEAR($Z$6),"NA"))))))</f>
        <v/>
      </c>
      <c r="U114" s="350"/>
      <c r="V114" s="44"/>
      <c r="W114" s="351"/>
      <c r="X114" s="348" t="str">
        <f t="shared" si="402"/>
        <v/>
      </c>
      <c r="Y114" s="349"/>
      <c r="Z114" s="44"/>
      <c r="AA114" s="84" t="str">
        <f t="shared" si="403"/>
        <v/>
      </c>
      <c r="AB114" s="84" t="str">
        <f t="shared" si="404"/>
        <v/>
      </c>
      <c r="AC114" s="84">
        <f t="shared" si="322"/>
        <v>0</v>
      </c>
      <c r="AD114" s="160" t="str">
        <f>IF($AJ$6="Indique Fecha Seguimiento","",IF(CRONOGRAMA!$E113="No Aplica","NA",IF($G114="","",IF(YEAR($G114)&lt;YEAR($AJ$6)," A ",IF(YEAR($G114)=YEAR($AJ$6),IF(MONTH($G114)&lt;=12," A ","NA"),IF(YEAR($G114)&gt;YEAR($AJ$6),"NA"))))))</f>
        <v/>
      </c>
      <c r="AE114" s="350"/>
      <c r="AF114" s="44"/>
      <c r="AG114" s="351"/>
      <c r="AH114" s="348" t="str">
        <f t="shared" si="405"/>
        <v/>
      </c>
      <c r="AI114" s="349"/>
      <c r="AJ114" s="44"/>
      <c r="AK114" s="81" t="str">
        <f t="shared" si="406"/>
        <v/>
      </c>
      <c r="AL114" s="84">
        <f t="shared" si="407"/>
        <v>0</v>
      </c>
      <c r="AM114" s="84">
        <f t="shared" si="326"/>
        <v>0</v>
      </c>
      <c r="AN114" s="592"/>
      <c r="AO114" s="602"/>
      <c r="AP114" s="603"/>
      <c r="AQ114" s="603"/>
      <c r="AR114" s="574"/>
      <c r="AS114" s="574"/>
      <c r="AT114" s="574"/>
      <c r="AU114" s="572"/>
      <c r="AV114" s="573"/>
      <c r="AW114" s="605"/>
      <c r="AX114">
        <f t="shared" si="415"/>
        <v>0</v>
      </c>
    </row>
    <row r="115" spans="1:50" ht="16.5" thickBot="1" x14ac:dyDescent="0.3">
      <c r="A115" s="590"/>
      <c r="B115" s="591"/>
      <c r="C115" s="82" t="str">
        <f>IF('CONSOLIDACION DEL MAPA'!P114="","",'CONSOLIDACION DEL MAPA'!P114)</f>
        <v/>
      </c>
      <c r="D115" s="82" t="str">
        <f>CRONOGRAMA!D114</f>
        <v/>
      </c>
      <c r="E115" s="132" t="str">
        <f>IF(CRONOGRAMA!F114="", "",CRONOGRAMA!F114)</f>
        <v/>
      </c>
      <c r="F115" s="132" t="str">
        <f>IF(CRONOGRAMA!G114="", "",CRONOGRAMA!G114)</f>
        <v/>
      </c>
      <c r="G115" s="128" t="str">
        <f>IF(CRONOGRAMA!H114="", "",CRONOGRAMA!H114)</f>
        <v/>
      </c>
      <c r="H115" s="128" t="str">
        <f>IF(CRONOGRAMA!I114="", "",CRONOGRAMA!I114)</f>
        <v/>
      </c>
      <c r="I115" s="84">
        <f t="shared" si="398"/>
        <v>0</v>
      </c>
      <c r="J115" s="160" t="str">
        <f>IF($P$6="Indique Fecha Seguimiento","",IF(CRONOGRAMA!$E114="No Aplica","NA",IF($G115="","",IF(YEAR($G115)&lt;YEAR($P$6)," A ",IF(YEAR($G115)=YEAR($P$6),IF(MONTH($G115)&lt;=4," A ","NA"),IF(YEAR($G115)&gt;YEAR($P$6),"NA"))))))</f>
        <v/>
      </c>
      <c r="K115" s="400"/>
      <c r="L115" s="402"/>
      <c r="M115" s="400"/>
      <c r="N115" s="348" t="str">
        <f t="shared" si="399"/>
        <v/>
      </c>
      <c r="O115" s="349"/>
      <c r="P115" s="44"/>
      <c r="Q115" s="84" t="str">
        <f t="shared" si="400"/>
        <v/>
      </c>
      <c r="R115" s="84" t="str">
        <f t="shared" si="401"/>
        <v/>
      </c>
      <c r="S115" s="84">
        <f t="shared" si="318"/>
        <v>0</v>
      </c>
      <c r="T115" s="160" t="str">
        <f>IF($Z$6="Indique Fecha Seguimiento","",IF(CRONOGRAMA!$E114="No Aplica","NA",IF($G115="","",IF(YEAR($G115)&lt;YEAR($Z$6)," A ",IF(YEAR($G115)=YEAR($Z$6),IF(MONTH($G115)&lt;=8," A ","NA"),IF(YEAR($G115)&gt;YEAR($Z$6),"NA"))))))</f>
        <v/>
      </c>
      <c r="U115" s="350"/>
      <c r="V115" s="44"/>
      <c r="W115" s="351"/>
      <c r="X115" s="348" t="str">
        <f t="shared" si="402"/>
        <v/>
      </c>
      <c r="Y115" s="349"/>
      <c r="Z115" s="44"/>
      <c r="AA115" s="84" t="str">
        <f t="shared" si="403"/>
        <v/>
      </c>
      <c r="AB115" s="84" t="str">
        <f t="shared" si="404"/>
        <v/>
      </c>
      <c r="AC115" s="84">
        <f t="shared" si="322"/>
        <v>0</v>
      </c>
      <c r="AD115" s="160" t="str">
        <f>IF($AJ$6="Indique Fecha Seguimiento","",IF(CRONOGRAMA!$E114="No Aplica","NA",IF($G115="","",IF(YEAR($G115)&lt;YEAR($AJ$6)," A ",IF(YEAR($G115)=YEAR($AJ$6),IF(MONTH($G115)&lt;=12," A ","NA"),IF(YEAR($G115)&gt;YEAR($AJ$6),"NA"))))))</f>
        <v/>
      </c>
      <c r="AE115" s="350"/>
      <c r="AF115" s="44"/>
      <c r="AG115" s="351"/>
      <c r="AH115" s="348" t="str">
        <f t="shared" si="405"/>
        <v/>
      </c>
      <c r="AI115" s="349"/>
      <c r="AJ115" s="44"/>
      <c r="AK115" s="81" t="str">
        <f t="shared" si="406"/>
        <v/>
      </c>
      <c r="AL115" s="84">
        <f t="shared" si="407"/>
        <v>0</v>
      </c>
      <c r="AM115" s="84">
        <f t="shared" si="326"/>
        <v>0</v>
      </c>
      <c r="AN115" s="592"/>
      <c r="AO115" s="602"/>
      <c r="AP115" s="603"/>
      <c r="AQ115" s="603"/>
      <c r="AR115" s="574"/>
      <c r="AS115" s="574"/>
      <c r="AT115" s="574"/>
      <c r="AU115" s="572"/>
      <c r="AV115" s="573"/>
      <c r="AW115" s="605"/>
      <c r="AX115">
        <f t="shared" si="415"/>
        <v>0</v>
      </c>
    </row>
    <row r="116" spans="1:50" ht="39" thickTop="1" x14ac:dyDescent="0.25">
      <c r="A116" s="588" t="str">
        <f>CRONOGRAMA!A115</f>
        <v>8C</v>
      </c>
      <c r="B116" s="591" t="str">
        <f>CRONOGRAMA!B115</f>
        <v>Gestión de la Calidad. Deficiencias en el  manejo documental y de archivo</v>
      </c>
      <c r="C116" s="82" t="str">
        <f>IF('CONSOLIDACION DEL MAPA'!P115="","",'CONSOLIDACION DEL MAPA'!P115)</f>
        <v>No Establecer</v>
      </c>
      <c r="D116" s="82" t="str">
        <f>CRONOGRAMA!D115</f>
        <v>Seguir ejecutando y monitoreando los controles existentes</v>
      </c>
      <c r="E116" s="132" t="str">
        <f>IF(CRONOGRAMA!F115="", "",CRONOGRAMA!F115)</f>
        <v/>
      </c>
      <c r="F116" s="132" t="str">
        <f>IF(CRONOGRAMA!G115="", "",CRONOGRAMA!G115)</f>
        <v/>
      </c>
      <c r="G116" s="128" t="str">
        <f>IF(CRONOGRAMA!H115="", "",CRONOGRAMA!H115)</f>
        <v/>
      </c>
      <c r="H116" s="128" t="str">
        <f>IF(CRONOGRAMA!I115="", "",CRONOGRAMA!I115)</f>
        <v/>
      </c>
      <c r="I116" s="84">
        <f t="shared" si="398"/>
        <v>0</v>
      </c>
      <c r="J116" s="160" t="str">
        <f>IF($P$6="Indique Fecha Seguimiento","",IF(CRONOGRAMA!$E115="No Aplica","NA",IF($G116="","",IF(YEAR($G116)&lt;YEAR($P$6)," A ",IF(YEAR($G116)=YEAR($P$6),IF(MONTH($G116)&lt;=4," A ","NA"),IF(YEAR($G116)&gt;YEAR($P$6),"NA"))))))</f>
        <v>NA</v>
      </c>
      <c r="K116" s="400"/>
      <c r="L116" s="402"/>
      <c r="M116" s="400"/>
      <c r="N116" s="348" t="str">
        <f t="shared" si="399"/>
        <v/>
      </c>
      <c r="O116" s="349"/>
      <c r="P116" s="44"/>
      <c r="Q116" s="84" t="str">
        <f t="shared" si="400"/>
        <v/>
      </c>
      <c r="R116" s="84" t="str">
        <f t="shared" si="401"/>
        <v/>
      </c>
      <c r="S116" s="84">
        <f t="shared" si="318"/>
        <v>0</v>
      </c>
      <c r="T116" s="160" t="str">
        <f>IF($Z$6="Indique Fecha Seguimiento","",IF(CRONOGRAMA!$E115="No Aplica","NA",IF($G116="","",IF(YEAR($G116)&lt;YEAR($Z$6)," A ",IF(YEAR($G116)=YEAR($Z$6),IF(MONTH($G116)&lt;=8," A ","NA"),IF(YEAR($G116)&gt;YEAR($Z$6),"NA"))))))</f>
        <v>NA</v>
      </c>
      <c r="U116" s="350"/>
      <c r="V116" s="44"/>
      <c r="W116" s="351"/>
      <c r="X116" s="348" t="str">
        <f t="shared" si="402"/>
        <v/>
      </c>
      <c r="Y116" s="349"/>
      <c r="Z116" s="44"/>
      <c r="AA116" s="84" t="str">
        <f t="shared" si="403"/>
        <v/>
      </c>
      <c r="AB116" s="84" t="str">
        <f t="shared" si="404"/>
        <v/>
      </c>
      <c r="AC116" s="84">
        <f t="shared" si="322"/>
        <v>0</v>
      </c>
      <c r="AD116" s="160" t="str">
        <f>IF($AJ$6="Indique Fecha Seguimiento","",IF(CRONOGRAMA!$E115="No Aplica","NA",IF($G116="","",IF(YEAR($G116)&lt;YEAR($AJ$6)," A ",IF(YEAR($G116)=YEAR($AJ$6),IF(MONTH($G116)&lt;=12," A ","NA"),IF(YEAR($G116)&gt;YEAR($AJ$6),"NA"))))))</f>
        <v/>
      </c>
      <c r="AE116" s="350"/>
      <c r="AF116" s="44"/>
      <c r="AG116" s="351"/>
      <c r="AH116" s="348" t="str">
        <f t="shared" si="405"/>
        <v/>
      </c>
      <c r="AI116" s="349"/>
      <c r="AJ116" s="44"/>
      <c r="AK116" s="81" t="str">
        <f t="shared" si="406"/>
        <v/>
      </c>
      <c r="AL116" s="84">
        <f t="shared" si="407"/>
        <v>0</v>
      </c>
      <c r="AM116" s="84">
        <f t="shared" si="326"/>
        <v>0</v>
      </c>
      <c r="AN116" s="592">
        <f t="shared" ref="AN116" si="423">SUM(I116:I118)</f>
        <v>0</v>
      </c>
      <c r="AO116" s="602" t="str">
        <f t="shared" ref="AO116" si="424">IF(AND(Q116="",Q117="",Q118=""),"",SUM(Q116:Q118))</f>
        <v/>
      </c>
      <c r="AP116" s="603" t="str">
        <f t="shared" ref="AP116" si="425">IF(AND(AA116="",AA117="",AA118=""),"",SUM(AA116:AA118))</f>
        <v/>
      </c>
      <c r="AQ116" s="603" t="str">
        <f t="shared" ref="AQ116" si="426">IF(AND(AK116="",AK117="",AK118=""),"",SUM(AK116:AK118))</f>
        <v/>
      </c>
      <c r="AR116" s="574" t="str">
        <f t="shared" si="331"/>
        <v>NA</v>
      </c>
      <c r="AS116" s="574" t="str">
        <f t="shared" si="332"/>
        <v>NA</v>
      </c>
      <c r="AT116" s="574" t="str">
        <f t="shared" ref="AT116" si="427">IF(AS116&gt;=AR116,AS116,AR116)</f>
        <v>NA</v>
      </c>
      <c r="AU116" s="572" t="str">
        <f t="shared" si="334"/>
        <v/>
      </c>
      <c r="AV116" s="573" t="str">
        <f t="shared" ref="AV116" si="428">IF($AU$6=1,AR116,IF($AU$6=2,AS116,IF($AU$6=3,AU116,"")))</f>
        <v>NA</v>
      </c>
      <c r="AW116" s="605" t="str">
        <f t="shared" ref="AW116" si="429">AV116</f>
        <v>NA</v>
      </c>
      <c r="AX116">
        <f t="shared" si="415"/>
        <v>0</v>
      </c>
    </row>
    <row r="117" spans="1:50" ht="15.75" x14ac:dyDescent="0.25">
      <c r="A117" s="589"/>
      <c r="B117" s="591"/>
      <c r="C117" s="82" t="str">
        <f>IF('CONSOLIDACION DEL MAPA'!P116="","",'CONSOLIDACION DEL MAPA'!P116)</f>
        <v/>
      </c>
      <c r="D117" s="82" t="str">
        <f>CRONOGRAMA!D116</f>
        <v/>
      </c>
      <c r="E117" s="132" t="str">
        <f>IF(CRONOGRAMA!F116="", "",CRONOGRAMA!F116)</f>
        <v/>
      </c>
      <c r="F117" s="132" t="str">
        <f>IF(CRONOGRAMA!G116="", "",CRONOGRAMA!G116)</f>
        <v/>
      </c>
      <c r="G117" s="128" t="str">
        <f>IF(CRONOGRAMA!H116="", "",CRONOGRAMA!H116)</f>
        <v/>
      </c>
      <c r="H117" s="128" t="str">
        <f>IF(CRONOGRAMA!I116="", "",CRONOGRAMA!I116)</f>
        <v/>
      </c>
      <c r="I117" s="84">
        <f t="shared" si="398"/>
        <v>0</v>
      </c>
      <c r="J117" s="160" t="str">
        <f>IF($P$6="Indique Fecha Seguimiento","",IF(CRONOGRAMA!$E116="No Aplica","NA",IF($G117="","",IF(YEAR($G117)&lt;YEAR($P$6)," A ",IF(YEAR($G117)=YEAR($P$6),IF(MONTH($G117)&lt;=4," A ","NA"),IF(YEAR($G117)&gt;YEAR($P$6),"NA"))))))</f>
        <v/>
      </c>
      <c r="K117" s="400"/>
      <c r="L117" s="402"/>
      <c r="M117" s="400"/>
      <c r="N117" s="348" t="str">
        <f t="shared" si="399"/>
        <v/>
      </c>
      <c r="O117" s="349"/>
      <c r="P117" s="44"/>
      <c r="Q117" s="84" t="str">
        <f t="shared" si="400"/>
        <v/>
      </c>
      <c r="R117" s="84" t="str">
        <f t="shared" si="401"/>
        <v/>
      </c>
      <c r="S117" s="84">
        <f t="shared" si="318"/>
        <v>0</v>
      </c>
      <c r="T117" s="160" t="str">
        <f>IF($Z$6="Indique Fecha Seguimiento","",IF(CRONOGRAMA!$E116="No Aplica","NA",IF($G117="","",IF(YEAR($G117)&lt;YEAR($Z$6)," A ",IF(YEAR($G117)=YEAR($Z$6),IF(MONTH($G117)&lt;=8," A ","NA"),IF(YEAR($G117)&gt;YEAR($Z$6),"NA"))))))</f>
        <v/>
      </c>
      <c r="U117" s="350"/>
      <c r="V117" s="44"/>
      <c r="W117" s="351"/>
      <c r="X117" s="348" t="str">
        <f t="shared" si="402"/>
        <v/>
      </c>
      <c r="Y117" s="349"/>
      <c r="Z117" s="44"/>
      <c r="AA117" s="84" t="str">
        <f t="shared" si="403"/>
        <v/>
      </c>
      <c r="AB117" s="84" t="str">
        <f t="shared" si="404"/>
        <v/>
      </c>
      <c r="AC117" s="84">
        <f t="shared" si="322"/>
        <v>0</v>
      </c>
      <c r="AD117" s="160" t="str">
        <f>IF($AJ$6="Indique Fecha Seguimiento","",IF(CRONOGRAMA!$E116="No Aplica","NA",IF($G117="","",IF(YEAR($G117)&lt;YEAR($AJ$6)," A ",IF(YEAR($G117)=YEAR($AJ$6),IF(MONTH($G117)&lt;=12," A ","NA"),IF(YEAR($G117)&gt;YEAR($AJ$6),"NA"))))))</f>
        <v/>
      </c>
      <c r="AE117" s="350"/>
      <c r="AF117" s="44"/>
      <c r="AG117" s="351"/>
      <c r="AH117" s="348" t="str">
        <f t="shared" si="405"/>
        <v/>
      </c>
      <c r="AI117" s="349"/>
      <c r="AJ117" s="44"/>
      <c r="AK117" s="81" t="str">
        <f t="shared" si="406"/>
        <v/>
      </c>
      <c r="AL117" s="84">
        <f t="shared" si="407"/>
        <v>0</v>
      </c>
      <c r="AM117" s="84">
        <f t="shared" si="326"/>
        <v>0</v>
      </c>
      <c r="AN117" s="592"/>
      <c r="AO117" s="602"/>
      <c r="AP117" s="603"/>
      <c r="AQ117" s="603"/>
      <c r="AR117" s="574"/>
      <c r="AS117" s="574"/>
      <c r="AT117" s="574"/>
      <c r="AU117" s="572"/>
      <c r="AV117" s="573"/>
      <c r="AW117" s="605"/>
      <c r="AX117">
        <f t="shared" si="415"/>
        <v>0</v>
      </c>
    </row>
    <row r="118" spans="1:50" ht="16.5" thickBot="1" x14ac:dyDescent="0.3">
      <c r="A118" s="590"/>
      <c r="B118" s="591"/>
      <c r="C118" s="82" t="str">
        <f>IF('CONSOLIDACION DEL MAPA'!P117="","",'CONSOLIDACION DEL MAPA'!P117)</f>
        <v/>
      </c>
      <c r="D118" s="82" t="str">
        <f>CRONOGRAMA!D117</f>
        <v/>
      </c>
      <c r="E118" s="132" t="str">
        <f>IF(CRONOGRAMA!F117="", "",CRONOGRAMA!F117)</f>
        <v/>
      </c>
      <c r="F118" s="132" t="str">
        <f>IF(CRONOGRAMA!G117="", "",CRONOGRAMA!G117)</f>
        <v/>
      </c>
      <c r="G118" s="128" t="str">
        <f>IF(CRONOGRAMA!H117="", "",CRONOGRAMA!H117)</f>
        <v/>
      </c>
      <c r="H118" s="128" t="str">
        <f>IF(CRONOGRAMA!I117="", "",CRONOGRAMA!I117)</f>
        <v/>
      </c>
      <c r="I118" s="84">
        <f t="shared" si="398"/>
        <v>0</v>
      </c>
      <c r="J118" s="160" t="str">
        <f>IF($P$6="Indique Fecha Seguimiento","",IF(CRONOGRAMA!$E117="No Aplica","NA",IF($G118="","",IF(YEAR($G118)&lt;YEAR($P$6)," A ",IF(YEAR($G118)=YEAR($P$6),IF(MONTH($G118)&lt;=4," A ","NA"),IF(YEAR($G118)&gt;YEAR($P$6),"NA"))))))</f>
        <v/>
      </c>
      <c r="K118" s="400"/>
      <c r="L118" s="402"/>
      <c r="M118" s="400"/>
      <c r="N118" s="348" t="str">
        <f t="shared" si="399"/>
        <v/>
      </c>
      <c r="O118" s="349"/>
      <c r="P118" s="44"/>
      <c r="Q118" s="84" t="str">
        <f t="shared" si="400"/>
        <v/>
      </c>
      <c r="R118" s="84" t="str">
        <f t="shared" si="401"/>
        <v/>
      </c>
      <c r="S118" s="84">
        <f t="shared" si="318"/>
        <v>0</v>
      </c>
      <c r="T118" s="160" t="str">
        <f>IF($Z$6="Indique Fecha Seguimiento","",IF(CRONOGRAMA!$E117="No Aplica","NA",IF($G118="","",IF(YEAR($G118)&lt;YEAR($Z$6)," A ",IF(YEAR($G118)=YEAR($Z$6),IF(MONTH($G118)&lt;=8," A ","NA"),IF(YEAR($G118)&gt;YEAR($Z$6),"NA"))))))</f>
        <v/>
      </c>
      <c r="U118" s="350"/>
      <c r="V118" s="44"/>
      <c r="W118" s="351"/>
      <c r="X118" s="348" t="str">
        <f t="shared" si="402"/>
        <v/>
      </c>
      <c r="Y118" s="349"/>
      <c r="Z118" s="44"/>
      <c r="AA118" s="84" t="str">
        <f t="shared" si="403"/>
        <v/>
      </c>
      <c r="AB118" s="84" t="str">
        <f t="shared" si="404"/>
        <v/>
      </c>
      <c r="AC118" s="84">
        <f t="shared" si="322"/>
        <v>0</v>
      </c>
      <c r="AD118" s="160" t="str">
        <f>IF($AJ$6="Indique Fecha Seguimiento","",IF(CRONOGRAMA!$E117="No Aplica","NA",IF($G118="","",IF(YEAR($G118)&lt;YEAR($AJ$6)," A ",IF(YEAR($G118)=YEAR($AJ$6),IF(MONTH($G118)&lt;=12," A ","NA"),IF(YEAR($G118)&gt;YEAR($AJ$6),"NA"))))))</f>
        <v/>
      </c>
      <c r="AE118" s="350"/>
      <c r="AF118" s="44"/>
      <c r="AG118" s="351"/>
      <c r="AH118" s="348" t="str">
        <f t="shared" si="405"/>
        <v/>
      </c>
      <c r="AI118" s="349"/>
      <c r="AJ118" s="44"/>
      <c r="AK118" s="81" t="str">
        <f t="shared" si="406"/>
        <v/>
      </c>
      <c r="AL118" s="84">
        <f t="shared" si="407"/>
        <v>0</v>
      </c>
      <c r="AM118" s="84">
        <f t="shared" si="326"/>
        <v>0</v>
      </c>
      <c r="AN118" s="592"/>
      <c r="AO118" s="602"/>
      <c r="AP118" s="603"/>
      <c r="AQ118" s="603"/>
      <c r="AR118" s="574"/>
      <c r="AS118" s="574"/>
      <c r="AT118" s="574"/>
      <c r="AU118" s="572"/>
      <c r="AV118" s="573"/>
      <c r="AW118" s="605"/>
      <c r="AX118">
        <f t="shared" si="415"/>
        <v>0</v>
      </c>
    </row>
    <row r="119" spans="1:50" ht="39" thickTop="1" x14ac:dyDescent="0.25">
      <c r="A119" s="588" t="str">
        <f>CRONOGRAMA!A118</f>
        <v>9C</v>
      </c>
      <c r="B119" s="591" t="str">
        <f>CRONOGRAMA!B118</f>
        <v>Comunicaciones Concentración de información de determinadas actividades o procesos en una persona</v>
      </c>
      <c r="C119" s="82" t="str">
        <f>IF('CONSOLIDACION DEL MAPA'!P118="","",'CONSOLIDACION DEL MAPA'!P118)</f>
        <v>No Establecer</v>
      </c>
      <c r="D119" s="82" t="str">
        <f>CRONOGRAMA!D118</f>
        <v>Seguir ejecutando y monitoreando los controles existentes</v>
      </c>
      <c r="E119" s="132" t="str">
        <f>IF(CRONOGRAMA!F118="", "",CRONOGRAMA!F118)</f>
        <v/>
      </c>
      <c r="F119" s="132" t="str">
        <f>IF(CRONOGRAMA!G118="", "",CRONOGRAMA!G118)</f>
        <v/>
      </c>
      <c r="G119" s="128" t="str">
        <f>IF(CRONOGRAMA!H118="", "",CRONOGRAMA!H118)</f>
        <v/>
      </c>
      <c r="H119" s="128" t="str">
        <f>IF(CRONOGRAMA!I118="", "",CRONOGRAMA!I118)</f>
        <v/>
      </c>
      <c r="I119" s="84">
        <f t="shared" si="398"/>
        <v>0</v>
      </c>
      <c r="J119" s="160" t="str">
        <f>IF($P$6="Indique Fecha Seguimiento","",IF(CRONOGRAMA!$E118="No Aplica","NA",IF($G119="","",IF(YEAR($G119)&lt;YEAR($P$6)," A ",IF(YEAR($G119)=YEAR($P$6),IF(MONTH($G119)&lt;=4," A ","NA"),IF(YEAR($G119)&gt;YEAR($P$6),"NA"))))))</f>
        <v>NA</v>
      </c>
      <c r="K119" s="400"/>
      <c r="L119" s="402"/>
      <c r="M119" s="400"/>
      <c r="N119" s="348" t="str">
        <f t="shared" si="399"/>
        <v/>
      </c>
      <c r="O119" s="349"/>
      <c r="P119" s="44"/>
      <c r="Q119" s="84" t="str">
        <f t="shared" si="400"/>
        <v/>
      </c>
      <c r="R119" s="84" t="str">
        <f t="shared" si="401"/>
        <v/>
      </c>
      <c r="S119" s="84">
        <f t="shared" si="318"/>
        <v>0</v>
      </c>
      <c r="T119" s="160" t="str">
        <f>IF($Z$6="Indique Fecha Seguimiento","",IF(CRONOGRAMA!$E118="No Aplica","NA",IF($G119="","",IF(YEAR($G119)&lt;YEAR($Z$6)," A ",IF(YEAR($G119)=YEAR($Z$6),IF(MONTH($G119)&lt;=8," A ","NA"),IF(YEAR($G119)&gt;YEAR($Z$6),"NA"))))))</f>
        <v>NA</v>
      </c>
      <c r="U119" s="350"/>
      <c r="V119" s="44"/>
      <c r="W119" s="351"/>
      <c r="X119" s="348" t="str">
        <f t="shared" si="402"/>
        <v/>
      </c>
      <c r="Y119" s="349"/>
      <c r="Z119" s="44"/>
      <c r="AA119" s="84" t="str">
        <f t="shared" si="403"/>
        <v/>
      </c>
      <c r="AB119" s="84" t="str">
        <f t="shared" si="404"/>
        <v/>
      </c>
      <c r="AC119" s="84">
        <f t="shared" si="322"/>
        <v>0</v>
      </c>
      <c r="AD119" s="160" t="str">
        <f>IF($AJ$6="Indique Fecha Seguimiento","",IF(CRONOGRAMA!$E118="No Aplica","NA",IF($G119="","",IF(YEAR($G119)&lt;YEAR($AJ$6)," A ",IF(YEAR($G119)=YEAR($AJ$6),IF(MONTH($G119)&lt;=12," A ","NA"),IF(YEAR($G119)&gt;YEAR($AJ$6),"NA"))))))</f>
        <v/>
      </c>
      <c r="AE119" s="350"/>
      <c r="AF119" s="44"/>
      <c r="AG119" s="351"/>
      <c r="AH119" s="348" t="str">
        <f t="shared" si="405"/>
        <v/>
      </c>
      <c r="AI119" s="349"/>
      <c r="AJ119" s="44"/>
      <c r="AK119" s="81" t="str">
        <f t="shared" si="406"/>
        <v/>
      </c>
      <c r="AL119" s="84">
        <f t="shared" si="407"/>
        <v>0</v>
      </c>
      <c r="AM119" s="84">
        <f t="shared" si="326"/>
        <v>0</v>
      </c>
      <c r="AN119" s="592">
        <f t="shared" ref="AN119" si="430">SUM(I119:I121)</f>
        <v>0</v>
      </c>
      <c r="AO119" s="602" t="str">
        <f t="shared" ref="AO119" si="431">IF(AND(Q119="",Q120="",Q121=""),"",SUM(Q119:Q121))</f>
        <v/>
      </c>
      <c r="AP119" s="603" t="str">
        <f t="shared" ref="AP119" si="432">IF(AND(AA119="",AA120="",AA121=""),"",SUM(AA119:AA121))</f>
        <v/>
      </c>
      <c r="AQ119" s="603" t="str">
        <f t="shared" ref="AQ119" si="433">IF(AND(AK119="",AK120="",AK121=""),"",SUM(AK119:AK121))</f>
        <v/>
      </c>
      <c r="AR119" s="574" t="str">
        <f t="shared" si="331"/>
        <v>NA</v>
      </c>
      <c r="AS119" s="574" t="str">
        <f t="shared" si="332"/>
        <v>NA</v>
      </c>
      <c r="AT119" s="574" t="str">
        <f t="shared" ref="AT119" si="434">IF(AS119&gt;=AR119,AS119,AR119)</f>
        <v>NA</v>
      </c>
      <c r="AU119" s="572" t="str">
        <f t="shared" si="334"/>
        <v/>
      </c>
      <c r="AV119" s="573" t="str">
        <f t="shared" ref="AV119" si="435">IF($AU$6=1,AR119,IF($AU$6=2,AS119,IF($AU$6=3,AU119,"")))</f>
        <v>NA</v>
      </c>
      <c r="AW119" s="605" t="str">
        <f t="shared" ref="AW119" si="436">AV119</f>
        <v>NA</v>
      </c>
      <c r="AX119">
        <f t="shared" si="415"/>
        <v>0</v>
      </c>
    </row>
    <row r="120" spans="1:50" ht="15.75" x14ac:dyDescent="0.25">
      <c r="A120" s="589"/>
      <c r="B120" s="591"/>
      <c r="C120" s="82" t="str">
        <f>IF('CONSOLIDACION DEL MAPA'!P119="","",'CONSOLIDACION DEL MAPA'!P119)</f>
        <v/>
      </c>
      <c r="D120" s="82" t="str">
        <f>CRONOGRAMA!D119</f>
        <v/>
      </c>
      <c r="E120" s="132" t="str">
        <f>IF(CRONOGRAMA!F119="", "",CRONOGRAMA!F119)</f>
        <v/>
      </c>
      <c r="F120" s="132" t="str">
        <f>IF(CRONOGRAMA!G119="", "",CRONOGRAMA!G119)</f>
        <v/>
      </c>
      <c r="G120" s="128" t="str">
        <f>IF(CRONOGRAMA!H119="", "",CRONOGRAMA!H119)</f>
        <v/>
      </c>
      <c r="H120" s="128" t="str">
        <f>IF(CRONOGRAMA!I119="", "",CRONOGRAMA!I119)</f>
        <v/>
      </c>
      <c r="I120" s="84">
        <f t="shared" si="398"/>
        <v>0</v>
      </c>
      <c r="J120" s="160" t="str">
        <f>IF($P$6="Indique Fecha Seguimiento","",IF(CRONOGRAMA!$E119="No Aplica","NA",IF($G120="","",IF(YEAR($G120)&lt;YEAR($P$6)," A ",IF(YEAR($G120)=YEAR($P$6),IF(MONTH($G120)&lt;=4," A ","NA"),IF(YEAR($G120)&gt;YEAR($P$6),"NA"))))))</f>
        <v/>
      </c>
      <c r="K120" s="400"/>
      <c r="L120" s="402"/>
      <c r="M120" s="400"/>
      <c r="N120" s="348" t="str">
        <f t="shared" si="399"/>
        <v/>
      </c>
      <c r="O120" s="349"/>
      <c r="P120" s="44"/>
      <c r="Q120" s="84" t="str">
        <f t="shared" si="400"/>
        <v/>
      </c>
      <c r="R120" s="84" t="str">
        <f t="shared" si="401"/>
        <v/>
      </c>
      <c r="S120" s="84">
        <f t="shared" si="318"/>
        <v>0</v>
      </c>
      <c r="T120" s="160" t="str">
        <f>IF($Z$6="Indique Fecha Seguimiento","",IF(CRONOGRAMA!$E119="No Aplica","NA",IF($G120="","",IF(YEAR($G120)&lt;YEAR($Z$6)," A ",IF(YEAR($G120)=YEAR($Z$6),IF(MONTH($G120)&lt;=8," A ","NA"),IF(YEAR($G120)&gt;YEAR($Z$6),"NA"))))))</f>
        <v/>
      </c>
      <c r="U120" s="350"/>
      <c r="V120" s="44"/>
      <c r="W120" s="351"/>
      <c r="X120" s="348" t="str">
        <f t="shared" si="402"/>
        <v/>
      </c>
      <c r="Y120" s="349"/>
      <c r="Z120" s="44"/>
      <c r="AA120" s="84" t="str">
        <f t="shared" si="403"/>
        <v/>
      </c>
      <c r="AB120" s="84" t="str">
        <f t="shared" si="404"/>
        <v/>
      </c>
      <c r="AC120" s="84">
        <f t="shared" si="322"/>
        <v>0</v>
      </c>
      <c r="AD120" s="160" t="str">
        <f>IF($AJ$6="Indique Fecha Seguimiento","",IF(CRONOGRAMA!$E119="No Aplica","NA",IF($G120="","",IF(YEAR($G120)&lt;YEAR($AJ$6)," A ",IF(YEAR($G120)=YEAR($AJ$6),IF(MONTH($G120)&lt;=12," A ","NA"),IF(YEAR($G120)&gt;YEAR($AJ$6),"NA"))))))</f>
        <v/>
      </c>
      <c r="AE120" s="350"/>
      <c r="AF120" s="44"/>
      <c r="AG120" s="351"/>
      <c r="AH120" s="348" t="str">
        <f t="shared" si="405"/>
        <v/>
      </c>
      <c r="AI120" s="349"/>
      <c r="AJ120" s="44"/>
      <c r="AK120" s="81" t="str">
        <f t="shared" si="406"/>
        <v/>
      </c>
      <c r="AL120" s="84">
        <f t="shared" si="407"/>
        <v>0</v>
      </c>
      <c r="AM120" s="84">
        <f t="shared" si="326"/>
        <v>0</v>
      </c>
      <c r="AN120" s="592"/>
      <c r="AO120" s="602"/>
      <c r="AP120" s="603"/>
      <c r="AQ120" s="603"/>
      <c r="AR120" s="574"/>
      <c r="AS120" s="574"/>
      <c r="AT120" s="574"/>
      <c r="AU120" s="572"/>
      <c r="AV120" s="573"/>
      <c r="AW120" s="605"/>
      <c r="AX120">
        <f t="shared" si="415"/>
        <v>0</v>
      </c>
    </row>
    <row r="121" spans="1:50" ht="16.5" thickBot="1" x14ac:dyDescent="0.3">
      <c r="A121" s="590"/>
      <c r="B121" s="591"/>
      <c r="C121" s="82" t="str">
        <f>IF('CONSOLIDACION DEL MAPA'!P120="","",'CONSOLIDACION DEL MAPA'!P120)</f>
        <v/>
      </c>
      <c r="D121" s="82" t="str">
        <f>CRONOGRAMA!D120</f>
        <v/>
      </c>
      <c r="E121" s="132" t="str">
        <f>IF(CRONOGRAMA!F120="", "",CRONOGRAMA!F120)</f>
        <v/>
      </c>
      <c r="F121" s="132" t="str">
        <f>IF(CRONOGRAMA!G120="", "",CRONOGRAMA!G120)</f>
        <v/>
      </c>
      <c r="G121" s="128" t="str">
        <f>IF(CRONOGRAMA!H120="", "",CRONOGRAMA!H120)</f>
        <v/>
      </c>
      <c r="H121" s="128" t="str">
        <f>IF(CRONOGRAMA!I120="", "",CRONOGRAMA!I120)</f>
        <v/>
      </c>
      <c r="I121" s="84">
        <f t="shared" si="398"/>
        <v>0</v>
      </c>
      <c r="J121" s="160" t="str">
        <f>IF($P$6="Indique Fecha Seguimiento","",IF(CRONOGRAMA!$E120="No Aplica","NA",IF($G121="","",IF(YEAR($G121)&lt;YEAR($P$6)," A ",IF(YEAR($G121)=YEAR($P$6),IF(MONTH($G121)&lt;=4," A ","NA"),IF(YEAR($G121)&gt;YEAR($P$6),"NA"))))))</f>
        <v/>
      </c>
      <c r="K121" s="400"/>
      <c r="L121" s="402"/>
      <c r="M121" s="400"/>
      <c r="N121" s="348" t="str">
        <f t="shared" si="399"/>
        <v/>
      </c>
      <c r="O121" s="349"/>
      <c r="P121" s="44"/>
      <c r="Q121" s="84" t="str">
        <f t="shared" si="400"/>
        <v/>
      </c>
      <c r="R121" s="84" t="str">
        <f t="shared" si="401"/>
        <v/>
      </c>
      <c r="S121" s="84">
        <f t="shared" si="318"/>
        <v>0</v>
      </c>
      <c r="T121" s="160" t="str">
        <f>IF($Z$6="Indique Fecha Seguimiento","",IF(CRONOGRAMA!$E120="No Aplica","NA",IF($G121="","",IF(YEAR($G121)&lt;YEAR($Z$6)," A ",IF(YEAR($G121)=YEAR($Z$6),IF(MONTH($G121)&lt;=8," A ","NA"),IF(YEAR($G121)&gt;YEAR($Z$6),"NA"))))))</f>
        <v/>
      </c>
      <c r="U121" s="350"/>
      <c r="V121" s="44"/>
      <c r="W121" s="351"/>
      <c r="X121" s="348" t="str">
        <f t="shared" si="402"/>
        <v/>
      </c>
      <c r="Y121" s="349"/>
      <c r="Z121" s="44"/>
      <c r="AA121" s="84" t="str">
        <f t="shared" si="403"/>
        <v/>
      </c>
      <c r="AB121" s="84" t="str">
        <f t="shared" si="404"/>
        <v/>
      </c>
      <c r="AC121" s="84">
        <f t="shared" si="322"/>
        <v>0</v>
      </c>
      <c r="AD121" s="160" t="str">
        <f>IF($AJ$6="Indique Fecha Seguimiento","",IF(CRONOGRAMA!$E120="No Aplica","NA",IF($G121="","",IF(YEAR($G121)&lt;YEAR($AJ$6)," A ",IF(YEAR($G121)=YEAR($AJ$6),IF(MONTH($G121)&lt;=12," A ","NA"),IF(YEAR($G121)&gt;YEAR($AJ$6),"NA"))))))</f>
        <v/>
      </c>
      <c r="AE121" s="350"/>
      <c r="AF121" s="44"/>
      <c r="AG121" s="351"/>
      <c r="AH121" s="348" t="str">
        <f t="shared" si="405"/>
        <v/>
      </c>
      <c r="AI121" s="349"/>
      <c r="AJ121" s="44"/>
      <c r="AK121" s="81" t="str">
        <f t="shared" si="406"/>
        <v/>
      </c>
      <c r="AL121" s="84">
        <f t="shared" si="407"/>
        <v>0</v>
      </c>
      <c r="AM121" s="84">
        <f t="shared" si="326"/>
        <v>0</v>
      </c>
      <c r="AN121" s="592"/>
      <c r="AO121" s="602"/>
      <c r="AP121" s="603"/>
      <c r="AQ121" s="603"/>
      <c r="AR121" s="574"/>
      <c r="AS121" s="574"/>
      <c r="AT121" s="574"/>
      <c r="AU121" s="572"/>
      <c r="AV121" s="573"/>
      <c r="AW121" s="605"/>
      <c r="AX121">
        <f t="shared" si="415"/>
        <v>0</v>
      </c>
    </row>
    <row r="122" spans="1:50" ht="64.5" thickTop="1" x14ac:dyDescent="0.25">
      <c r="A122" s="588" t="str">
        <f>CRONOGRAMA!A121</f>
        <v>10C</v>
      </c>
      <c r="B122" s="591" t="str">
        <f>CRONOGRAMA!B121</f>
        <v xml:space="preserve">Gestión Academica. Ausencia de canales de comunicación
</v>
      </c>
      <c r="C122" s="82" t="str">
        <f>IF('CONSOLIDACION DEL MAPA'!P121="","",'CONSOLIDACION DEL MAPA'!P121)</f>
        <v>Reducir</v>
      </c>
      <c r="D122" s="82" t="str">
        <f>CRONOGRAMA!D121</f>
        <v>Mejorar la selección del personal para que su permanencia sea mayor en el desarrollo de su cargo.</v>
      </c>
      <c r="E122" s="132" t="str">
        <f>IF(CRONOGRAMA!F121="", "",CRONOGRAMA!F121)</f>
        <v>Revisión de procesos de selección de personal</v>
      </c>
      <c r="F122" s="132">
        <f>IF(CRONOGRAMA!G121="", "",CRONOGRAMA!G121)</f>
        <v>1</v>
      </c>
      <c r="G122" s="128">
        <f>IF(CRONOGRAMA!H121="", "",CRONOGRAMA!H121)</f>
        <v>42576</v>
      </c>
      <c r="H122" s="128">
        <f>IF(CRONOGRAMA!I121="", "",CRONOGRAMA!I121)</f>
        <v>42941</v>
      </c>
      <c r="I122" s="84">
        <f t="shared" si="398"/>
        <v>52.142857142857146</v>
      </c>
      <c r="J122" s="160" t="str">
        <f>IF($P$6="Indique Fecha Seguimiento","",IF(CRONOGRAMA!$E121="No Aplica","NA",IF($G122="","",IF(YEAR($G122)&lt;YEAR($P$6)," A ",IF(YEAR($G122)=YEAR($P$6),IF(MONTH($G122)&lt;=4," A ","NA"),IF(YEAR($G122)&gt;YEAR($P$6),"NA"))))))</f>
        <v>NA</v>
      </c>
      <c r="K122" s="400"/>
      <c r="L122" s="402"/>
      <c r="M122" s="400"/>
      <c r="N122" s="348" t="str">
        <f t="shared" si="399"/>
        <v/>
      </c>
      <c r="O122" s="349"/>
      <c r="P122" s="44"/>
      <c r="Q122" s="84" t="str">
        <f t="shared" si="400"/>
        <v/>
      </c>
      <c r="R122" s="84" t="str">
        <f t="shared" si="401"/>
        <v/>
      </c>
      <c r="S122" s="84">
        <f t="shared" si="318"/>
        <v>52.142857142857146</v>
      </c>
      <c r="T122" s="160" t="str">
        <f>IF($Z$6="Indique Fecha Seguimiento","",IF(CRONOGRAMA!$E121="No Aplica","NA",IF($G122="","",IF(YEAR($G122)&lt;YEAR($Z$6)," A ",IF(YEAR($G122)=YEAR($Z$6),IF(MONTH($G122)&lt;=8," A ","NA"),IF(YEAR($G122)&gt;YEAR($Z$6),"NA"))))))</f>
        <v xml:space="preserve"> A </v>
      </c>
      <c r="U122" s="419">
        <v>0.02</v>
      </c>
      <c r="V122" s="420" t="s">
        <v>965</v>
      </c>
      <c r="W122" s="351">
        <v>0.02</v>
      </c>
      <c r="X122" s="348">
        <f t="shared" si="402"/>
        <v>0.02</v>
      </c>
      <c r="Y122" s="349" t="s">
        <v>353</v>
      </c>
      <c r="Z122" s="44" t="str">
        <f>V122</f>
        <v>Reuniones internas para revisión de procesos de selección de personal</v>
      </c>
      <c r="AA122" s="84">
        <f t="shared" si="403"/>
        <v>1.0428571428571429</v>
      </c>
      <c r="AB122" s="84">
        <f t="shared" si="404"/>
        <v>1.0428571428571429</v>
      </c>
      <c r="AC122" s="84">
        <f t="shared" si="322"/>
        <v>52.142857142857146</v>
      </c>
      <c r="AD122" s="160" t="str">
        <f>IF($AJ$6="Indique Fecha Seguimiento","",IF(CRONOGRAMA!$E121="No Aplica","NA",IF($G122="","",IF(YEAR($G122)&lt;YEAR($AJ$6)," A ",IF(YEAR($G122)=YEAR($AJ$6),IF(MONTH($G122)&lt;=12," A ","NA"),IF(YEAR($G122)&gt;YEAR($AJ$6),"NA"))))))</f>
        <v/>
      </c>
      <c r="AE122" s="350"/>
      <c r="AF122" s="44"/>
      <c r="AG122" s="351"/>
      <c r="AH122" s="348" t="str">
        <f t="shared" si="405"/>
        <v/>
      </c>
      <c r="AI122" s="349"/>
      <c r="AJ122" s="44"/>
      <c r="AK122" s="81" t="str">
        <f t="shared" si="406"/>
        <v/>
      </c>
      <c r="AL122" s="84">
        <f t="shared" si="407"/>
        <v>0</v>
      </c>
      <c r="AM122" s="84">
        <f t="shared" si="326"/>
        <v>52.142857142857146</v>
      </c>
      <c r="AN122" s="592">
        <f t="shared" ref="AN122" si="437">SUM(I122:I124)</f>
        <v>52.142857142857146</v>
      </c>
      <c r="AO122" s="602" t="str">
        <f t="shared" ref="AO122" si="438">IF(AND(Q122="",Q123="",Q124=""),"",SUM(Q122:Q124))</f>
        <v/>
      </c>
      <c r="AP122" s="603">
        <f t="shared" ref="AP122" si="439">IF(AND(AA122="",AA123="",AA124=""),"",SUM(AA122:AA124))</f>
        <v>1.0428571428571429</v>
      </c>
      <c r="AQ122" s="603" t="str">
        <f t="shared" ref="AQ122" si="440">IF(AND(AK122="",AK123="",AK124=""),"",SUM(AK122:AK124))</f>
        <v/>
      </c>
      <c r="AR122" s="574" t="str">
        <f t="shared" si="331"/>
        <v>NA</v>
      </c>
      <c r="AS122" s="574">
        <f t="shared" si="332"/>
        <v>0.02</v>
      </c>
      <c r="AT122" s="574" t="str">
        <f t="shared" ref="AT122" si="441">IF(AS122&gt;=AR122,AS122,AR122)</f>
        <v>NA</v>
      </c>
      <c r="AU122" s="572" t="str">
        <f t="shared" si="334"/>
        <v/>
      </c>
      <c r="AV122" s="573">
        <f t="shared" ref="AV122" si="442">IF($AU$6=1,AR122,IF($AU$6=2,AS122,IF($AU$6=3,AU122,"")))</f>
        <v>0.02</v>
      </c>
      <c r="AW122" s="605">
        <f t="shared" ref="AW122" si="443">AV122</f>
        <v>0.02</v>
      </c>
      <c r="AX122" t="str">
        <f t="shared" si="415"/>
        <v>Reuniones internas para revisión de procesos de selección de personal</v>
      </c>
    </row>
    <row r="123" spans="1:50" ht="15.75" x14ac:dyDescent="0.25">
      <c r="A123" s="589"/>
      <c r="B123" s="591"/>
      <c r="C123" s="82" t="str">
        <f>IF('CONSOLIDACION DEL MAPA'!P122="","",'CONSOLIDACION DEL MAPA'!P122)</f>
        <v/>
      </c>
      <c r="D123" s="82" t="str">
        <f>CRONOGRAMA!D122</f>
        <v/>
      </c>
      <c r="E123" s="132" t="str">
        <f>IF(CRONOGRAMA!F122="", "",CRONOGRAMA!F122)</f>
        <v/>
      </c>
      <c r="F123" s="132" t="str">
        <f>IF(CRONOGRAMA!G122="", "",CRONOGRAMA!G122)</f>
        <v/>
      </c>
      <c r="G123" s="128" t="str">
        <f>IF(CRONOGRAMA!H122="", "",CRONOGRAMA!H122)</f>
        <v/>
      </c>
      <c r="H123" s="128" t="str">
        <f>IF(CRONOGRAMA!I122="", "",CRONOGRAMA!I122)</f>
        <v/>
      </c>
      <c r="I123" s="84">
        <f t="shared" si="398"/>
        <v>0</v>
      </c>
      <c r="J123" s="160" t="str">
        <f>IF($P$6="Indique Fecha Seguimiento","",IF(CRONOGRAMA!$E122="No Aplica","NA",IF($G123="","",IF(YEAR($G123)&lt;YEAR($P$6)," A ",IF(YEAR($G123)=YEAR($P$6),IF(MONTH($G123)&lt;=4," A ","NA"),IF(YEAR($G123)&gt;YEAR($P$6),"NA"))))))</f>
        <v/>
      </c>
      <c r="K123" s="400"/>
      <c r="L123" s="402"/>
      <c r="M123" s="400"/>
      <c r="N123" s="348" t="str">
        <f t="shared" si="399"/>
        <v/>
      </c>
      <c r="O123" s="349"/>
      <c r="P123" s="44"/>
      <c r="Q123" s="84" t="str">
        <f t="shared" si="400"/>
        <v/>
      </c>
      <c r="R123" s="84" t="str">
        <f t="shared" si="401"/>
        <v/>
      </c>
      <c r="S123" s="84">
        <f t="shared" si="318"/>
        <v>0</v>
      </c>
      <c r="T123" s="160" t="str">
        <f>IF($Z$6="Indique Fecha Seguimiento","",IF(CRONOGRAMA!$E122="No Aplica","NA",IF($G123="","",IF(YEAR($G123)&lt;YEAR($Z$6)," A ",IF(YEAR($G123)=YEAR($Z$6),IF(MONTH($G123)&lt;=8," A ","NA"),IF(YEAR($G123)&gt;YEAR($Z$6),"NA"))))))</f>
        <v/>
      </c>
      <c r="U123" s="350"/>
      <c r="V123" s="44"/>
      <c r="W123" s="351"/>
      <c r="X123" s="348" t="str">
        <f t="shared" si="402"/>
        <v/>
      </c>
      <c r="Y123" s="349"/>
      <c r="Z123" s="44"/>
      <c r="AA123" s="84" t="str">
        <f t="shared" si="403"/>
        <v/>
      </c>
      <c r="AB123" s="84" t="str">
        <f t="shared" si="404"/>
        <v/>
      </c>
      <c r="AC123" s="84">
        <f t="shared" si="322"/>
        <v>0</v>
      </c>
      <c r="AD123" s="160" t="str">
        <f>IF($AJ$6="Indique Fecha Seguimiento","",IF(CRONOGRAMA!$E122="No Aplica","NA",IF($G123="","",IF(YEAR($G123)&lt;YEAR($AJ$6)," A ",IF(YEAR($G123)=YEAR($AJ$6),IF(MONTH($G123)&lt;=12," A ","NA"),IF(YEAR($G123)&gt;YEAR($AJ$6),"NA"))))))</f>
        <v/>
      </c>
      <c r="AE123" s="350"/>
      <c r="AF123" s="44"/>
      <c r="AG123" s="351"/>
      <c r="AH123" s="348" t="str">
        <f t="shared" si="405"/>
        <v/>
      </c>
      <c r="AI123" s="349"/>
      <c r="AJ123" s="44"/>
      <c r="AK123" s="81" t="str">
        <f t="shared" si="406"/>
        <v/>
      </c>
      <c r="AL123" s="84">
        <f t="shared" si="407"/>
        <v>0</v>
      </c>
      <c r="AM123" s="84">
        <f t="shared" si="326"/>
        <v>0</v>
      </c>
      <c r="AN123" s="592"/>
      <c r="AO123" s="602"/>
      <c r="AP123" s="603"/>
      <c r="AQ123" s="603"/>
      <c r="AR123" s="574"/>
      <c r="AS123" s="574"/>
      <c r="AT123" s="574"/>
      <c r="AU123" s="572"/>
      <c r="AV123" s="573"/>
      <c r="AW123" s="605"/>
      <c r="AX123">
        <f t="shared" si="415"/>
        <v>0</v>
      </c>
    </row>
    <row r="124" spans="1:50" ht="16.5" thickBot="1" x14ac:dyDescent="0.3">
      <c r="A124" s="590"/>
      <c r="B124" s="591"/>
      <c r="C124" s="82" t="str">
        <f>IF('CONSOLIDACION DEL MAPA'!P123="","",'CONSOLIDACION DEL MAPA'!P123)</f>
        <v/>
      </c>
      <c r="D124" s="82" t="str">
        <f>CRONOGRAMA!D123</f>
        <v/>
      </c>
      <c r="E124" s="132" t="str">
        <f>IF(CRONOGRAMA!F123="", "",CRONOGRAMA!F123)</f>
        <v/>
      </c>
      <c r="F124" s="132" t="str">
        <f>IF(CRONOGRAMA!G123="", "",CRONOGRAMA!G123)</f>
        <v/>
      </c>
      <c r="G124" s="128" t="str">
        <f>IF(CRONOGRAMA!H123="", "",CRONOGRAMA!H123)</f>
        <v/>
      </c>
      <c r="H124" s="128" t="str">
        <f>IF(CRONOGRAMA!I123="", "",CRONOGRAMA!I123)</f>
        <v/>
      </c>
      <c r="I124" s="84">
        <f t="shared" si="398"/>
        <v>0</v>
      </c>
      <c r="J124" s="160" t="str">
        <f>IF($P$6="Indique Fecha Seguimiento","",IF(CRONOGRAMA!$E123="No Aplica","NA",IF($G124="","",IF(YEAR($G124)&lt;YEAR($P$6)," A ",IF(YEAR($G124)=YEAR($P$6),IF(MONTH($G124)&lt;=4," A ","NA"),IF(YEAR($G124)&gt;YEAR($P$6),"NA"))))))</f>
        <v/>
      </c>
      <c r="K124" s="400"/>
      <c r="L124" s="402"/>
      <c r="M124" s="400"/>
      <c r="N124" s="348" t="str">
        <f t="shared" si="399"/>
        <v/>
      </c>
      <c r="O124" s="349"/>
      <c r="P124" s="44"/>
      <c r="Q124" s="84" t="str">
        <f t="shared" si="400"/>
        <v/>
      </c>
      <c r="R124" s="84" t="str">
        <f t="shared" si="401"/>
        <v/>
      </c>
      <c r="S124" s="84">
        <f t="shared" si="318"/>
        <v>0</v>
      </c>
      <c r="T124" s="160" t="str">
        <f>IF($Z$6="Indique Fecha Seguimiento","",IF(CRONOGRAMA!$E123="No Aplica","NA",IF($G124="","",IF(YEAR($G124)&lt;YEAR($Z$6)," A ",IF(YEAR($G124)=YEAR($Z$6),IF(MONTH($G124)&lt;=8," A ","NA"),IF(YEAR($G124)&gt;YEAR($Z$6),"NA"))))))</f>
        <v/>
      </c>
      <c r="U124" s="350"/>
      <c r="V124" s="44"/>
      <c r="W124" s="351"/>
      <c r="X124" s="348" t="str">
        <f t="shared" si="402"/>
        <v/>
      </c>
      <c r="Y124" s="349"/>
      <c r="Z124" s="44"/>
      <c r="AA124" s="84" t="str">
        <f t="shared" si="403"/>
        <v/>
      </c>
      <c r="AB124" s="84" t="str">
        <f t="shared" si="404"/>
        <v/>
      </c>
      <c r="AC124" s="84">
        <f t="shared" si="322"/>
        <v>0</v>
      </c>
      <c r="AD124" s="160" t="str">
        <f>IF($AJ$6="Indique Fecha Seguimiento","",IF(CRONOGRAMA!$E123="No Aplica","NA",IF($G124="","",IF(YEAR($G124)&lt;YEAR($AJ$6)," A ",IF(YEAR($G124)=YEAR($AJ$6),IF(MONTH($G124)&lt;=12," A ","NA"),IF(YEAR($G124)&gt;YEAR($AJ$6),"NA"))))))</f>
        <v/>
      </c>
      <c r="AE124" s="350"/>
      <c r="AF124" s="44"/>
      <c r="AG124" s="351"/>
      <c r="AH124" s="348" t="str">
        <f t="shared" si="405"/>
        <v/>
      </c>
      <c r="AI124" s="349"/>
      <c r="AJ124" s="44"/>
      <c r="AK124" s="81" t="str">
        <f t="shared" si="406"/>
        <v/>
      </c>
      <c r="AL124" s="84">
        <f t="shared" si="407"/>
        <v>0</v>
      </c>
      <c r="AM124" s="84">
        <f t="shared" si="326"/>
        <v>0</v>
      </c>
      <c r="AN124" s="592"/>
      <c r="AO124" s="602"/>
      <c r="AP124" s="603"/>
      <c r="AQ124" s="603"/>
      <c r="AR124" s="574"/>
      <c r="AS124" s="574"/>
      <c r="AT124" s="574"/>
      <c r="AU124" s="572"/>
      <c r="AV124" s="573"/>
      <c r="AW124" s="605"/>
      <c r="AX124">
        <f t="shared" si="415"/>
        <v>0</v>
      </c>
    </row>
    <row r="125" spans="1:50" ht="51.75" thickTop="1" x14ac:dyDescent="0.25">
      <c r="A125" s="588" t="str">
        <f>CRONOGRAMA!A124</f>
        <v>11C</v>
      </c>
      <c r="B125" s="591" t="str">
        <f>CRONOGRAMA!B124</f>
        <v>Gestión Academica. Concentración de información de determinadas actividades o procesos en una persona</v>
      </c>
      <c r="C125" s="82" t="str">
        <f>IF('CONSOLIDACION DEL MAPA'!P124="","",'CONSOLIDACION DEL MAPA'!P124)</f>
        <v>Reducir</v>
      </c>
      <c r="D125" s="82" t="str">
        <f>CRONOGRAMA!D124</f>
        <v>Desarrollar talleres de trabajo en equipo y gestión del conocimiento</v>
      </c>
      <c r="E125" s="132" t="str">
        <f>IF(CRONOGRAMA!F124="", "",CRONOGRAMA!F124)</f>
        <v>Acta de realización de talleres</v>
      </c>
      <c r="F125" s="132">
        <f>IF(CRONOGRAMA!G124="", "",CRONOGRAMA!G124)</f>
        <v>3</v>
      </c>
      <c r="G125" s="128">
        <f>IF(CRONOGRAMA!H124="", "",CRONOGRAMA!H124)</f>
        <v>42576</v>
      </c>
      <c r="H125" s="128">
        <f>IF(CRONOGRAMA!I124="", "",CRONOGRAMA!I124)</f>
        <v>42941</v>
      </c>
      <c r="I125" s="84">
        <f t="shared" si="398"/>
        <v>52.142857142857146</v>
      </c>
      <c r="J125" s="160" t="str">
        <f>IF($P$6="Indique Fecha Seguimiento","",IF(CRONOGRAMA!$E124="No Aplica","NA",IF($G125="","",IF(YEAR($G125)&lt;YEAR($P$6)," A ",IF(YEAR($G125)=YEAR($P$6),IF(MONTH($G125)&lt;=4," A ","NA"),IF(YEAR($G125)&gt;YEAR($P$6),"NA"))))))</f>
        <v>NA</v>
      </c>
      <c r="K125" s="400"/>
      <c r="L125" s="402"/>
      <c r="M125" s="400"/>
      <c r="N125" s="348" t="str">
        <f t="shared" si="399"/>
        <v/>
      </c>
      <c r="O125" s="349"/>
      <c r="P125" s="44"/>
      <c r="Q125" s="84" t="str">
        <f t="shared" si="400"/>
        <v/>
      </c>
      <c r="R125" s="84" t="str">
        <f t="shared" si="401"/>
        <v/>
      </c>
      <c r="S125" s="84">
        <f t="shared" si="318"/>
        <v>52.142857142857146</v>
      </c>
      <c r="T125" s="160" t="str">
        <f>IF($Z$6="Indique Fecha Seguimiento","",IF(CRONOGRAMA!$E124="No Aplica","NA",IF($G125="","",IF(YEAR($G125)&lt;YEAR($Z$6)," A ",IF(YEAR($G125)=YEAR($Z$6),IF(MONTH($G125)&lt;=8," A ","NA"),IF(YEAR($G125)&gt;YEAR($Z$6),"NA"))))))</f>
        <v xml:space="preserve"> A </v>
      </c>
      <c r="U125" s="419">
        <v>0.02</v>
      </c>
      <c r="V125" s="420" t="s">
        <v>966</v>
      </c>
      <c r="W125" s="351">
        <v>0.05</v>
      </c>
      <c r="X125" s="348">
        <f t="shared" si="402"/>
        <v>1.6666666666666666E-2</v>
      </c>
      <c r="Y125" s="349" t="s">
        <v>353</v>
      </c>
      <c r="Z125" s="44" t="str">
        <f>V125</f>
        <v>Reuniones internas del grupo de trabajo de la vicerrectoria para mejorar procesos internos</v>
      </c>
      <c r="AA125" s="84">
        <f t="shared" si="403"/>
        <v>0.86904761904761907</v>
      </c>
      <c r="AB125" s="84">
        <f t="shared" si="404"/>
        <v>0.86904761904761907</v>
      </c>
      <c r="AC125" s="84">
        <f t="shared" si="322"/>
        <v>52.142857142857146</v>
      </c>
      <c r="AD125" s="160" t="str">
        <f>IF($AJ$6="Indique Fecha Seguimiento","",IF(CRONOGRAMA!$E124="No Aplica","NA",IF($G125="","",IF(YEAR($G125)&lt;YEAR($AJ$6)," A ",IF(YEAR($G125)=YEAR($AJ$6),IF(MONTH($G125)&lt;=12," A ","NA"),IF(YEAR($G125)&gt;YEAR($AJ$6),"NA"))))))</f>
        <v/>
      </c>
      <c r="AE125" s="350"/>
      <c r="AF125" s="44"/>
      <c r="AG125" s="351"/>
      <c r="AH125" s="348" t="str">
        <f t="shared" si="405"/>
        <v/>
      </c>
      <c r="AI125" s="349"/>
      <c r="AJ125" s="44"/>
      <c r="AK125" s="81" t="str">
        <f t="shared" si="406"/>
        <v/>
      </c>
      <c r="AL125" s="84">
        <f t="shared" si="407"/>
        <v>0</v>
      </c>
      <c r="AM125" s="84">
        <f t="shared" si="326"/>
        <v>52.142857142857146</v>
      </c>
      <c r="AN125" s="592">
        <f t="shared" ref="AN125" si="444">SUM(I125:I127)</f>
        <v>52.142857142857146</v>
      </c>
      <c r="AO125" s="602" t="str">
        <f t="shared" ref="AO125" si="445">IF(AND(Q125="",Q126="",Q127=""),"",SUM(Q125:Q127))</f>
        <v/>
      </c>
      <c r="AP125" s="603">
        <f t="shared" ref="AP125" si="446">IF(AND(AA125="",AA126="",AA127=""),"",SUM(AA125:AA127))</f>
        <v>0.86904761904761907</v>
      </c>
      <c r="AQ125" s="603" t="str">
        <f t="shared" ref="AQ125" si="447">IF(AND(AK125="",AK126="",AK127=""),"",SUM(AK125:AK127))</f>
        <v/>
      </c>
      <c r="AR125" s="574" t="str">
        <f t="shared" si="331"/>
        <v>NA</v>
      </c>
      <c r="AS125" s="574">
        <f t="shared" si="332"/>
        <v>1.6666666666666666E-2</v>
      </c>
      <c r="AT125" s="574" t="str">
        <f t="shared" ref="AT125" si="448">IF(AS125&gt;=AR125,AS125,AR125)</f>
        <v>NA</v>
      </c>
      <c r="AU125" s="572" t="str">
        <f t="shared" si="334"/>
        <v/>
      </c>
      <c r="AV125" s="573">
        <f t="shared" ref="AV125" si="449">IF($AU$6=1,AR125,IF($AU$6=2,AS125,IF($AU$6=3,AU125,"")))</f>
        <v>1.6666666666666666E-2</v>
      </c>
      <c r="AW125" s="605">
        <f t="shared" ref="AW125" si="450">AV125</f>
        <v>1.6666666666666666E-2</v>
      </c>
      <c r="AX125" t="str">
        <f t="shared" si="415"/>
        <v>Reuniones internas del grupo de trabajo de la vicerrectoria para mejorar procesos internos</v>
      </c>
    </row>
    <row r="126" spans="1:50" ht="15.75" x14ac:dyDescent="0.25">
      <c r="A126" s="589"/>
      <c r="B126" s="591"/>
      <c r="C126" s="82" t="str">
        <f>IF('CONSOLIDACION DEL MAPA'!P125="","",'CONSOLIDACION DEL MAPA'!P125)</f>
        <v/>
      </c>
      <c r="D126" s="82" t="str">
        <f>CRONOGRAMA!D125</f>
        <v/>
      </c>
      <c r="E126" s="132" t="str">
        <f>IF(CRONOGRAMA!F125="", "",CRONOGRAMA!F125)</f>
        <v/>
      </c>
      <c r="F126" s="132" t="str">
        <f>IF(CRONOGRAMA!G125="", "",CRONOGRAMA!G125)</f>
        <v/>
      </c>
      <c r="G126" s="128" t="str">
        <f>IF(CRONOGRAMA!H125="", "",CRONOGRAMA!H125)</f>
        <v/>
      </c>
      <c r="H126" s="128" t="str">
        <f>IF(CRONOGRAMA!I125="", "",CRONOGRAMA!I125)</f>
        <v/>
      </c>
      <c r="I126" s="84">
        <f t="shared" si="398"/>
        <v>0</v>
      </c>
      <c r="J126" s="160" t="str">
        <f>IF($P$6="Indique Fecha Seguimiento","",IF(CRONOGRAMA!$E125="No Aplica","NA",IF($G126="","",IF(YEAR($G126)&lt;YEAR($P$6)," A ",IF(YEAR($G126)=YEAR($P$6),IF(MONTH($G126)&lt;=4," A ","NA"),IF(YEAR($G126)&gt;YEAR($P$6),"NA"))))))</f>
        <v/>
      </c>
      <c r="K126" s="400"/>
      <c r="L126" s="402"/>
      <c r="M126" s="400"/>
      <c r="N126" s="348" t="str">
        <f t="shared" si="399"/>
        <v/>
      </c>
      <c r="O126" s="349"/>
      <c r="P126" s="44"/>
      <c r="Q126" s="84" t="str">
        <f t="shared" si="400"/>
        <v/>
      </c>
      <c r="R126" s="84" t="str">
        <f t="shared" si="401"/>
        <v/>
      </c>
      <c r="S126" s="84">
        <f t="shared" si="318"/>
        <v>0</v>
      </c>
      <c r="T126" s="160" t="str">
        <f>IF($Z$6="Indique Fecha Seguimiento","",IF(CRONOGRAMA!$E125="No Aplica","NA",IF($G126="","",IF(YEAR($G126)&lt;YEAR($Z$6)," A ",IF(YEAR($G126)=YEAR($Z$6),IF(MONTH($G126)&lt;=8," A ","NA"),IF(YEAR($G126)&gt;YEAR($Z$6),"NA"))))))</f>
        <v/>
      </c>
      <c r="U126" s="350"/>
      <c r="V126" s="44"/>
      <c r="W126" s="351"/>
      <c r="X126" s="348" t="str">
        <f t="shared" si="402"/>
        <v/>
      </c>
      <c r="Y126" s="349"/>
      <c r="Z126" s="44"/>
      <c r="AA126" s="84" t="str">
        <f t="shared" si="403"/>
        <v/>
      </c>
      <c r="AB126" s="84" t="str">
        <f t="shared" si="404"/>
        <v/>
      </c>
      <c r="AC126" s="84">
        <f t="shared" si="322"/>
        <v>0</v>
      </c>
      <c r="AD126" s="160" t="str">
        <f>IF($AJ$6="Indique Fecha Seguimiento","",IF(CRONOGRAMA!$E125="No Aplica","NA",IF($G126="","",IF(YEAR($G126)&lt;YEAR($AJ$6)," A ",IF(YEAR($G126)=YEAR($AJ$6),IF(MONTH($G126)&lt;=12," A ","NA"),IF(YEAR($G126)&gt;YEAR($AJ$6),"NA"))))))</f>
        <v/>
      </c>
      <c r="AE126" s="350"/>
      <c r="AF126" s="44"/>
      <c r="AG126" s="351"/>
      <c r="AH126" s="348" t="str">
        <f t="shared" si="405"/>
        <v/>
      </c>
      <c r="AI126" s="349"/>
      <c r="AJ126" s="44"/>
      <c r="AK126" s="81" t="str">
        <f t="shared" si="406"/>
        <v/>
      </c>
      <c r="AL126" s="84">
        <f t="shared" si="407"/>
        <v>0</v>
      </c>
      <c r="AM126" s="84">
        <f t="shared" si="326"/>
        <v>0</v>
      </c>
      <c r="AN126" s="592"/>
      <c r="AO126" s="602"/>
      <c r="AP126" s="603"/>
      <c r="AQ126" s="603"/>
      <c r="AR126" s="574"/>
      <c r="AS126" s="574"/>
      <c r="AT126" s="574"/>
      <c r="AU126" s="572"/>
      <c r="AV126" s="573"/>
      <c r="AW126" s="605"/>
      <c r="AX126">
        <f t="shared" si="415"/>
        <v>0</v>
      </c>
    </row>
    <row r="127" spans="1:50" ht="16.5" thickBot="1" x14ac:dyDescent="0.3">
      <c r="A127" s="590"/>
      <c r="B127" s="591"/>
      <c r="C127" s="82" t="str">
        <f>IF('CONSOLIDACION DEL MAPA'!P126="","",'CONSOLIDACION DEL MAPA'!P126)</f>
        <v/>
      </c>
      <c r="D127" s="82" t="str">
        <f>CRONOGRAMA!D126</f>
        <v/>
      </c>
      <c r="E127" s="132" t="str">
        <f>IF(CRONOGRAMA!F126="", "",CRONOGRAMA!F126)</f>
        <v/>
      </c>
      <c r="F127" s="132" t="str">
        <f>IF(CRONOGRAMA!G126="", "",CRONOGRAMA!G126)</f>
        <v/>
      </c>
      <c r="G127" s="128" t="str">
        <f>IF(CRONOGRAMA!H126="", "",CRONOGRAMA!H126)</f>
        <v/>
      </c>
      <c r="H127" s="128" t="str">
        <f>IF(CRONOGRAMA!I126="", "",CRONOGRAMA!I126)</f>
        <v/>
      </c>
      <c r="I127" s="84">
        <f t="shared" si="398"/>
        <v>0</v>
      </c>
      <c r="J127" s="160" t="str">
        <f>IF($P$6="Indique Fecha Seguimiento","",IF(CRONOGRAMA!$E126="No Aplica","NA",IF($G127="","",IF(YEAR($G127)&lt;YEAR($P$6)," A ",IF(YEAR($G127)=YEAR($P$6),IF(MONTH($G127)&lt;=4," A ","NA"),IF(YEAR($G127)&gt;YEAR($P$6),"NA"))))))</f>
        <v/>
      </c>
      <c r="K127" s="400"/>
      <c r="L127" s="402"/>
      <c r="M127" s="400"/>
      <c r="N127" s="348" t="str">
        <f t="shared" si="399"/>
        <v/>
      </c>
      <c r="O127" s="349"/>
      <c r="P127" s="44"/>
      <c r="Q127" s="84" t="str">
        <f t="shared" si="400"/>
        <v/>
      </c>
      <c r="R127" s="84" t="str">
        <f t="shared" si="401"/>
        <v/>
      </c>
      <c r="S127" s="84">
        <f t="shared" si="318"/>
        <v>0</v>
      </c>
      <c r="T127" s="160" t="str">
        <f>IF($Z$6="Indique Fecha Seguimiento","",IF(CRONOGRAMA!$E126="No Aplica","NA",IF($G127="","",IF(YEAR($G127)&lt;YEAR($Z$6)," A ",IF(YEAR($G127)=YEAR($Z$6),IF(MONTH($G127)&lt;=8," A ","NA"),IF(YEAR($G127)&gt;YEAR($Z$6),"NA"))))))</f>
        <v/>
      </c>
      <c r="U127" s="350"/>
      <c r="V127" s="44"/>
      <c r="W127" s="351"/>
      <c r="X127" s="348" t="str">
        <f t="shared" si="402"/>
        <v/>
      </c>
      <c r="Y127" s="349"/>
      <c r="Z127" s="44"/>
      <c r="AA127" s="84" t="str">
        <f t="shared" si="403"/>
        <v/>
      </c>
      <c r="AB127" s="84" t="str">
        <f t="shared" si="404"/>
        <v/>
      </c>
      <c r="AC127" s="84">
        <f t="shared" si="322"/>
        <v>0</v>
      </c>
      <c r="AD127" s="160" t="str">
        <f>IF($AJ$6="Indique Fecha Seguimiento","",IF(CRONOGRAMA!$E126="No Aplica","NA",IF($G127="","",IF(YEAR($G127)&lt;YEAR($AJ$6)," A ",IF(YEAR($G127)=YEAR($AJ$6),IF(MONTH($G127)&lt;=12," A ","NA"),IF(YEAR($G127)&gt;YEAR($AJ$6),"NA"))))))</f>
        <v/>
      </c>
      <c r="AE127" s="350"/>
      <c r="AF127" s="44"/>
      <c r="AG127" s="351"/>
      <c r="AH127" s="348" t="str">
        <f t="shared" si="405"/>
        <v/>
      </c>
      <c r="AI127" s="349"/>
      <c r="AJ127" s="44"/>
      <c r="AK127" s="81" t="str">
        <f t="shared" si="406"/>
        <v/>
      </c>
      <c r="AL127" s="84">
        <f t="shared" si="407"/>
        <v>0</v>
      </c>
      <c r="AM127" s="84">
        <f t="shared" si="326"/>
        <v>0</v>
      </c>
      <c r="AN127" s="592"/>
      <c r="AO127" s="602"/>
      <c r="AP127" s="603"/>
      <c r="AQ127" s="603"/>
      <c r="AR127" s="574"/>
      <c r="AS127" s="574"/>
      <c r="AT127" s="574"/>
      <c r="AU127" s="572"/>
      <c r="AV127" s="573"/>
      <c r="AW127" s="605"/>
      <c r="AX127">
        <f t="shared" si="415"/>
        <v>0</v>
      </c>
    </row>
    <row r="128" spans="1:50" ht="48" thickTop="1" x14ac:dyDescent="0.25">
      <c r="A128" s="588" t="str">
        <f>CRONOGRAMA!A127</f>
        <v>12C</v>
      </c>
      <c r="B128" s="591" t="str">
        <f>CRONOGRAMA!B127</f>
        <v>Gestión Academica. Deficiencias en el manejo documental y de archivo</v>
      </c>
      <c r="C128" s="82" t="str">
        <f>IF('CONSOLIDACION DEL MAPA'!P127="","",'CONSOLIDACION DEL MAPA'!P127)</f>
        <v>Reducir</v>
      </c>
      <c r="D128" s="82" t="str">
        <f>CRONOGRAMA!D127</f>
        <v>Desarrollar talleres gestión documental</v>
      </c>
      <c r="E128" s="132" t="str">
        <f>IF(CRONOGRAMA!F127="", "",CRONOGRAMA!F127)</f>
        <v>Acta de realización de talleres</v>
      </c>
      <c r="F128" s="132">
        <f>IF(CRONOGRAMA!G127="", "",CRONOGRAMA!G127)</f>
        <v>2</v>
      </c>
      <c r="G128" s="128">
        <f>IF(CRONOGRAMA!H127="", "",CRONOGRAMA!H127)</f>
        <v>42576</v>
      </c>
      <c r="H128" s="128">
        <f>IF(CRONOGRAMA!I127="", "",CRONOGRAMA!I127)</f>
        <v>42941</v>
      </c>
      <c r="I128" s="84">
        <f t="shared" si="398"/>
        <v>52.142857142857146</v>
      </c>
      <c r="J128" s="160" t="str">
        <f>IF($P$6="Indique Fecha Seguimiento","",IF(CRONOGRAMA!$E127="No Aplica","NA",IF($G128="","",IF(YEAR($G128)&lt;YEAR($P$6)," A ",IF(YEAR($G128)=YEAR($P$6),IF(MONTH($G128)&lt;=4," A ","NA"),IF(YEAR($G128)&gt;YEAR($P$6),"NA"))))))</f>
        <v>NA</v>
      </c>
      <c r="K128" s="400"/>
      <c r="L128" s="402"/>
      <c r="M128" s="400"/>
      <c r="N128" s="348" t="str">
        <f t="shared" si="399"/>
        <v/>
      </c>
      <c r="O128" s="349"/>
      <c r="P128" s="44"/>
      <c r="Q128" s="84" t="str">
        <f t="shared" si="400"/>
        <v/>
      </c>
      <c r="R128" s="84" t="str">
        <f t="shared" si="401"/>
        <v/>
      </c>
      <c r="S128" s="84">
        <f t="shared" si="318"/>
        <v>52.142857142857146</v>
      </c>
      <c r="T128" s="160" t="str">
        <f>IF($Z$6="Indique Fecha Seguimiento","",IF(CRONOGRAMA!$E127="No Aplica","NA",IF($G128="","",IF(YEAR($G128)&lt;YEAR($Z$6)," A ",IF(YEAR($G128)=YEAR($Z$6),IF(MONTH($G128)&lt;=8," A ","NA"),IF(YEAR($G128)&gt;YEAR($Z$6),"NA"))))))</f>
        <v xml:space="preserve"> A </v>
      </c>
      <c r="U128" s="419">
        <v>0.02</v>
      </c>
      <c r="V128" s="420" t="s">
        <v>967</v>
      </c>
      <c r="W128" s="351">
        <v>0.04</v>
      </c>
      <c r="X128" s="348">
        <f t="shared" si="402"/>
        <v>0.02</v>
      </c>
      <c r="Y128" s="349" t="s">
        <v>353</v>
      </c>
      <c r="Z128" s="44" t="str">
        <f>V128</f>
        <v>Reuniones internas para revisión de procesos de gestión documental</v>
      </c>
      <c r="AA128" s="84">
        <f t="shared" si="403"/>
        <v>1.0428571428571429</v>
      </c>
      <c r="AB128" s="84">
        <f t="shared" si="404"/>
        <v>1.0428571428571429</v>
      </c>
      <c r="AC128" s="84">
        <f t="shared" si="322"/>
        <v>52.142857142857146</v>
      </c>
      <c r="AD128" s="160" t="str">
        <f>IF($AJ$6="Indique Fecha Seguimiento","",IF(CRONOGRAMA!$E127="No Aplica","NA",IF($G128="","",IF(YEAR($G128)&lt;YEAR($AJ$6)," A ",IF(YEAR($G128)=YEAR($AJ$6),IF(MONTH($G128)&lt;=12," A ","NA"),IF(YEAR($G128)&gt;YEAR($AJ$6),"NA"))))))</f>
        <v/>
      </c>
      <c r="AE128" s="350"/>
      <c r="AF128" s="44"/>
      <c r="AG128" s="351"/>
      <c r="AH128" s="348" t="str">
        <f t="shared" si="405"/>
        <v/>
      </c>
      <c r="AI128" s="349"/>
      <c r="AJ128" s="44"/>
      <c r="AK128" s="81" t="str">
        <f t="shared" si="406"/>
        <v/>
      </c>
      <c r="AL128" s="84">
        <f t="shared" si="407"/>
        <v>0</v>
      </c>
      <c r="AM128" s="84">
        <f t="shared" si="326"/>
        <v>52.142857142857146</v>
      </c>
      <c r="AN128" s="592">
        <f t="shared" ref="AN128" si="451">SUM(I128:I130)</f>
        <v>52.142857142857146</v>
      </c>
      <c r="AO128" s="602" t="str">
        <f t="shared" ref="AO128" si="452">IF(AND(Q128="",Q129="",Q130=""),"",SUM(Q128:Q130))</f>
        <v/>
      </c>
      <c r="AP128" s="603">
        <f t="shared" ref="AP128" si="453">IF(AND(AA128="",AA129="",AA130=""),"",SUM(AA128:AA130))</f>
        <v>1.0428571428571429</v>
      </c>
      <c r="AQ128" s="603" t="str">
        <f t="shared" ref="AQ128" si="454">IF(AND(AK128="",AK129="",AK130=""),"",SUM(AK128:AK130))</f>
        <v/>
      </c>
      <c r="AR128" s="574" t="str">
        <f t="shared" si="331"/>
        <v>NA</v>
      </c>
      <c r="AS128" s="574">
        <f t="shared" si="332"/>
        <v>0.02</v>
      </c>
      <c r="AT128" s="574" t="str">
        <f t="shared" ref="AT128" si="455">IF(AS128&gt;=AR128,AS128,AR128)</f>
        <v>NA</v>
      </c>
      <c r="AU128" s="572" t="str">
        <f t="shared" si="334"/>
        <v/>
      </c>
      <c r="AV128" s="573">
        <f t="shared" ref="AV128" si="456">IF($AU$6=1,AR128,IF($AU$6=2,AS128,IF($AU$6=3,AU128,"")))</f>
        <v>0.02</v>
      </c>
      <c r="AW128" s="605">
        <f t="shared" ref="AW128" si="457">AV128</f>
        <v>0.02</v>
      </c>
      <c r="AX128" t="str">
        <f t="shared" si="415"/>
        <v>Reuniones internas para revisión de procesos de gestión documental</v>
      </c>
    </row>
    <row r="129" spans="1:50" ht="15.75" x14ac:dyDescent="0.25">
      <c r="A129" s="589"/>
      <c r="B129" s="591"/>
      <c r="C129" s="82" t="str">
        <f>IF('CONSOLIDACION DEL MAPA'!P128="","",'CONSOLIDACION DEL MAPA'!P128)</f>
        <v/>
      </c>
      <c r="D129" s="82" t="str">
        <f>CRONOGRAMA!D128</f>
        <v/>
      </c>
      <c r="E129" s="132" t="str">
        <f>IF(CRONOGRAMA!F128="", "",CRONOGRAMA!F128)</f>
        <v/>
      </c>
      <c r="F129" s="132" t="str">
        <f>IF(CRONOGRAMA!G128="", "",CRONOGRAMA!G128)</f>
        <v/>
      </c>
      <c r="G129" s="128" t="str">
        <f>IF(CRONOGRAMA!H128="", "",CRONOGRAMA!H128)</f>
        <v/>
      </c>
      <c r="H129" s="128" t="str">
        <f>IF(CRONOGRAMA!I128="", "",CRONOGRAMA!I128)</f>
        <v/>
      </c>
      <c r="I129" s="84">
        <f t="shared" si="398"/>
        <v>0</v>
      </c>
      <c r="J129" s="160" t="str">
        <f>IF($P$6="Indique Fecha Seguimiento","",IF(CRONOGRAMA!$E128="No Aplica","NA",IF($G129="","",IF(YEAR($G129)&lt;YEAR($P$6)," A ",IF(YEAR($G129)=YEAR($P$6),IF(MONTH($G129)&lt;=4," A ","NA"),IF(YEAR($G129)&gt;YEAR($P$6),"NA"))))))</f>
        <v/>
      </c>
      <c r="K129" s="400"/>
      <c r="L129" s="402"/>
      <c r="M129" s="400"/>
      <c r="N129" s="348" t="str">
        <f t="shared" si="399"/>
        <v/>
      </c>
      <c r="O129" s="349"/>
      <c r="P129" s="44"/>
      <c r="Q129" s="84" t="str">
        <f t="shared" si="400"/>
        <v/>
      </c>
      <c r="R129" s="84" t="str">
        <f t="shared" si="401"/>
        <v/>
      </c>
      <c r="S129" s="84">
        <f t="shared" si="318"/>
        <v>0</v>
      </c>
      <c r="T129" s="160" t="str">
        <f>IF($Z$6="Indique Fecha Seguimiento","",IF(CRONOGRAMA!$E128="No Aplica","NA",IF($G129="","",IF(YEAR($G129)&lt;YEAR($Z$6)," A ",IF(YEAR($G129)=YEAR($Z$6),IF(MONTH($G129)&lt;=8," A ","NA"),IF(YEAR($G129)&gt;YEAR($Z$6),"NA"))))))</f>
        <v/>
      </c>
      <c r="U129" s="350"/>
      <c r="V129" s="44"/>
      <c r="W129" s="351"/>
      <c r="X129" s="348" t="str">
        <f t="shared" si="402"/>
        <v/>
      </c>
      <c r="Y129" s="349"/>
      <c r="Z129" s="44"/>
      <c r="AA129" s="84" t="str">
        <f t="shared" si="403"/>
        <v/>
      </c>
      <c r="AB129" s="84" t="str">
        <f t="shared" si="404"/>
        <v/>
      </c>
      <c r="AC129" s="84">
        <f t="shared" si="322"/>
        <v>0</v>
      </c>
      <c r="AD129" s="160" t="str">
        <f>IF($AJ$6="Indique Fecha Seguimiento","",IF(CRONOGRAMA!$E128="No Aplica","NA",IF($G129="","",IF(YEAR($G129)&lt;YEAR($AJ$6)," A ",IF(YEAR($G129)=YEAR($AJ$6),IF(MONTH($G129)&lt;=12," A ","NA"),IF(YEAR($G129)&gt;YEAR($AJ$6),"NA"))))))</f>
        <v/>
      </c>
      <c r="AE129" s="350"/>
      <c r="AF129" s="44"/>
      <c r="AG129" s="351"/>
      <c r="AH129" s="348" t="str">
        <f t="shared" si="405"/>
        <v/>
      </c>
      <c r="AI129" s="349"/>
      <c r="AJ129" s="44"/>
      <c r="AK129" s="81" t="str">
        <f t="shared" si="406"/>
        <v/>
      </c>
      <c r="AL129" s="84">
        <f t="shared" si="407"/>
        <v>0</v>
      </c>
      <c r="AM129" s="84">
        <f t="shared" si="326"/>
        <v>0</v>
      </c>
      <c r="AN129" s="592"/>
      <c r="AO129" s="602"/>
      <c r="AP129" s="603"/>
      <c r="AQ129" s="603"/>
      <c r="AR129" s="574"/>
      <c r="AS129" s="574"/>
      <c r="AT129" s="574"/>
      <c r="AU129" s="572"/>
      <c r="AV129" s="573"/>
      <c r="AW129" s="605"/>
      <c r="AX129">
        <f t="shared" si="415"/>
        <v>0</v>
      </c>
    </row>
    <row r="130" spans="1:50" ht="16.5" thickBot="1" x14ac:dyDescent="0.3">
      <c r="A130" s="590"/>
      <c r="B130" s="591"/>
      <c r="C130" s="82" t="str">
        <f>IF('CONSOLIDACION DEL MAPA'!P129="","",'CONSOLIDACION DEL MAPA'!P129)</f>
        <v/>
      </c>
      <c r="D130" s="82" t="str">
        <f>CRONOGRAMA!D129</f>
        <v/>
      </c>
      <c r="E130" s="132" t="str">
        <f>IF(CRONOGRAMA!F129="", "",CRONOGRAMA!F129)</f>
        <v/>
      </c>
      <c r="F130" s="132" t="str">
        <f>IF(CRONOGRAMA!G129="", "",CRONOGRAMA!G129)</f>
        <v/>
      </c>
      <c r="G130" s="128" t="str">
        <f>IF(CRONOGRAMA!H129="", "",CRONOGRAMA!H129)</f>
        <v/>
      </c>
      <c r="H130" s="128" t="str">
        <f>IF(CRONOGRAMA!I129="", "",CRONOGRAMA!I129)</f>
        <v/>
      </c>
      <c r="I130" s="84">
        <f t="shared" si="398"/>
        <v>0</v>
      </c>
      <c r="J130" s="160" t="str">
        <f>IF($P$6="Indique Fecha Seguimiento","",IF(CRONOGRAMA!$E129="No Aplica","NA",IF($G130="","",IF(YEAR($G130)&lt;YEAR($P$6)," A ",IF(YEAR($G130)=YEAR($P$6),IF(MONTH($G130)&lt;=4," A ","NA"),IF(YEAR($G130)&gt;YEAR($P$6),"NA"))))))</f>
        <v/>
      </c>
      <c r="K130" s="400"/>
      <c r="L130" s="402"/>
      <c r="M130" s="400"/>
      <c r="N130" s="348" t="str">
        <f t="shared" si="399"/>
        <v/>
      </c>
      <c r="O130" s="349"/>
      <c r="P130" s="44"/>
      <c r="Q130" s="84" t="str">
        <f t="shared" si="400"/>
        <v/>
      </c>
      <c r="R130" s="84" t="str">
        <f t="shared" si="401"/>
        <v/>
      </c>
      <c r="S130" s="84">
        <f t="shared" si="318"/>
        <v>0</v>
      </c>
      <c r="T130" s="160" t="str">
        <f>IF($Z$6="Indique Fecha Seguimiento","",IF(CRONOGRAMA!$E129="No Aplica","NA",IF($G130="","",IF(YEAR($G130)&lt;YEAR($Z$6)," A ",IF(YEAR($G130)=YEAR($Z$6),IF(MONTH($G130)&lt;=8," A ","NA"),IF(YEAR($G130)&gt;YEAR($Z$6),"NA"))))))</f>
        <v/>
      </c>
      <c r="U130" s="350"/>
      <c r="V130" s="44"/>
      <c r="W130" s="351"/>
      <c r="X130" s="348" t="str">
        <f t="shared" si="402"/>
        <v/>
      </c>
      <c r="Y130" s="349"/>
      <c r="Z130" s="44"/>
      <c r="AA130" s="84" t="str">
        <f t="shared" si="403"/>
        <v/>
      </c>
      <c r="AB130" s="84" t="str">
        <f t="shared" si="404"/>
        <v/>
      </c>
      <c r="AC130" s="84">
        <f t="shared" si="322"/>
        <v>0</v>
      </c>
      <c r="AD130" s="160" t="str">
        <f>IF($AJ$6="Indique Fecha Seguimiento","",IF(CRONOGRAMA!$E129="No Aplica","NA",IF($G130="","",IF(YEAR($G130)&lt;YEAR($AJ$6)," A ",IF(YEAR($G130)=YEAR($AJ$6),IF(MONTH($G130)&lt;=12," A ","NA"),IF(YEAR($G130)&gt;YEAR($AJ$6),"NA"))))))</f>
        <v/>
      </c>
      <c r="AE130" s="350"/>
      <c r="AF130" s="44"/>
      <c r="AG130" s="351"/>
      <c r="AH130" s="348" t="str">
        <f t="shared" si="405"/>
        <v/>
      </c>
      <c r="AI130" s="349"/>
      <c r="AJ130" s="44"/>
      <c r="AK130" s="81" t="str">
        <f t="shared" si="406"/>
        <v/>
      </c>
      <c r="AL130" s="84">
        <f t="shared" si="407"/>
        <v>0</v>
      </c>
      <c r="AM130" s="84">
        <f t="shared" si="326"/>
        <v>0</v>
      </c>
      <c r="AN130" s="592"/>
      <c r="AO130" s="602"/>
      <c r="AP130" s="603"/>
      <c r="AQ130" s="603"/>
      <c r="AR130" s="574"/>
      <c r="AS130" s="574"/>
      <c r="AT130" s="574"/>
      <c r="AU130" s="572"/>
      <c r="AV130" s="573"/>
      <c r="AW130" s="605"/>
      <c r="AX130">
        <f t="shared" si="415"/>
        <v>0</v>
      </c>
    </row>
    <row r="131" spans="1:50" ht="64.5" thickTop="1" x14ac:dyDescent="0.25">
      <c r="A131" s="588" t="str">
        <f>CRONOGRAMA!A130</f>
        <v>13C</v>
      </c>
      <c r="B131" s="591" t="str">
        <f>CRONOGRAMA!B130</f>
        <v>Gestión de Investigación. Vulnerabilidad en el manejo de la información de la actividad investigativa</v>
      </c>
      <c r="C131" s="82" t="str">
        <f>IF('CONSOLIDACION DEL MAPA'!P130="","",'CONSOLIDACION DEL MAPA'!P130)</f>
        <v>Reducir</v>
      </c>
      <c r="D131" s="82" t="str">
        <f>CRONOGRAMA!D130</f>
        <v>Desarrollo e Implementación del Sistema de Información de la Vicerrectoría de investigación</v>
      </c>
      <c r="E131" s="132" t="str">
        <f>IF(CRONOGRAMA!F130="", "",CRONOGRAMA!F130)</f>
        <v>Actas de entrega de claves a usuarios</v>
      </c>
      <c r="F131" s="132">
        <f>IF(CRONOGRAMA!G130="", "",CRONOGRAMA!G130)</f>
        <v>1</v>
      </c>
      <c r="G131" s="128">
        <f>IF(CRONOGRAMA!H130="", "",CRONOGRAMA!H130)</f>
        <v>42388</v>
      </c>
      <c r="H131" s="128">
        <f>IF(CRONOGRAMA!I130="", "",CRONOGRAMA!I130)</f>
        <v>42723</v>
      </c>
      <c r="I131" s="84">
        <f t="shared" si="398"/>
        <v>47.857142857142854</v>
      </c>
      <c r="J131" s="160" t="str">
        <f>IF($P$6="Indique Fecha Seguimiento","",IF(CRONOGRAMA!$E130="No Aplica","NA",IF($G131="","",IF(YEAR($G131)&lt;YEAR($P$6)," A ",IF(YEAR($G131)=YEAR($P$6),IF(MONTH($G131)&lt;=4," A ","NA"),IF(YEAR($G131)&gt;YEAR($P$6),"NA"))))))</f>
        <v xml:space="preserve"> A </v>
      </c>
      <c r="K131" s="400">
        <v>0.2</v>
      </c>
      <c r="L131" s="402" t="s">
        <v>899</v>
      </c>
      <c r="M131" s="400">
        <v>0.2</v>
      </c>
      <c r="N131" s="348">
        <f t="shared" si="399"/>
        <v>0.2</v>
      </c>
      <c r="O131" s="349" t="s">
        <v>353</v>
      </c>
      <c r="P131" s="44"/>
      <c r="Q131" s="84">
        <f t="shared" si="400"/>
        <v>9.5714285714285712</v>
      </c>
      <c r="R131" s="84">
        <f t="shared" si="401"/>
        <v>9.5714285714285712</v>
      </c>
      <c r="S131" s="84">
        <f t="shared" si="318"/>
        <v>47.857142857142854</v>
      </c>
      <c r="T131" s="160" t="str">
        <f>IF($Z$6="Indique Fecha Seguimiento","",IF(CRONOGRAMA!$E130="No Aplica","NA",IF($G131="","",IF(YEAR($G131)&lt;YEAR($Z$6)," A ",IF(YEAR($G131)=YEAR($Z$6),IF(MONTH($G131)&lt;=8," A ","NA"),IF(YEAR($G131)&gt;YEAR($Z$6),"NA"))))))</f>
        <v xml:space="preserve"> A </v>
      </c>
      <c r="U131" s="408">
        <v>0.25</v>
      </c>
      <c r="V131" s="44" t="s">
        <v>928</v>
      </c>
      <c r="W131" s="351">
        <v>0.25</v>
      </c>
      <c r="X131" s="348">
        <f t="shared" si="402"/>
        <v>0.25</v>
      </c>
      <c r="Y131" s="349" t="s">
        <v>353</v>
      </c>
      <c r="Z131" s="44" t="s">
        <v>925</v>
      </c>
      <c r="AA131" s="84">
        <f t="shared" si="403"/>
        <v>11.964285714285714</v>
      </c>
      <c r="AB131" s="84">
        <f t="shared" si="404"/>
        <v>11.964285714285714</v>
      </c>
      <c r="AC131" s="84">
        <f t="shared" si="322"/>
        <v>47.857142857142854</v>
      </c>
      <c r="AD131" s="160" t="str">
        <f>IF($AJ$6="Indique Fecha Seguimiento","",IF(CRONOGRAMA!$E130="No Aplica","NA",IF($G131="","",IF(YEAR($G131)&lt;YEAR($AJ$6)," A ",IF(YEAR($G131)=YEAR($AJ$6),IF(MONTH($G131)&lt;=12," A ","NA"),IF(YEAR($G131)&gt;YEAR($AJ$6),"NA"))))))</f>
        <v/>
      </c>
      <c r="AE131" s="350"/>
      <c r="AF131" s="44"/>
      <c r="AG131" s="351"/>
      <c r="AH131" s="348" t="str">
        <f t="shared" si="405"/>
        <v/>
      </c>
      <c r="AI131" s="349"/>
      <c r="AJ131" s="44"/>
      <c r="AK131" s="81" t="str">
        <f t="shared" si="406"/>
        <v/>
      </c>
      <c r="AL131" s="84">
        <f t="shared" si="407"/>
        <v>0</v>
      </c>
      <c r="AM131" s="84">
        <f t="shared" si="326"/>
        <v>47.857142857142854</v>
      </c>
      <c r="AN131" s="592">
        <f t="shared" ref="AN131" si="458">SUM(I131:I133)</f>
        <v>47.857142857142854</v>
      </c>
      <c r="AO131" s="602">
        <f t="shared" ref="AO131" si="459">IF(AND(Q131="",Q132="",Q133=""),"",SUM(Q131:Q133))</f>
        <v>9.5714285714285712</v>
      </c>
      <c r="AP131" s="603">
        <f t="shared" ref="AP131" si="460">IF(AND(AA131="",AA132="",AA133=""),"",SUM(AA131:AA133))</f>
        <v>11.964285714285714</v>
      </c>
      <c r="AQ131" s="603" t="str">
        <f t="shared" ref="AQ131" si="461">IF(AND(AK131="",AK132="",AK133=""),"",SUM(AK131:AK133))</f>
        <v/>
      </c>
      <c r="AR131" s="574">
        <f t="shared" si="331"/>
        <v>0.2</v>
      </c>
      <c r="AS131" s="574">
        <f t="shared" si="332"/>
        <v>0.25</v>
      </c>
      <c r="AT131" s="574">
        <f t="shared" ref="AT131" si="462">IF(AS131&gt;=AR131,AS131,AR131)</f>
        <v>0.25</v>
      </c>
      <c r="AU131" s="572" t="str">
        <f t="shared" si="334"/>
        <v/>
      </c>
      <c r="AV131" s="573">
        <f t="shared" ref="AV131" si="463">IF($AU$6=1,AR131,IF($AU$6=2,AS131,IF($AU$6=3,AU131,"")))</f>
        <v>0.25</v>
      </c>
      <c r="AW131" s="605">
        <f t="shared" ref="AW131" si="464">AV131</f>
        <v>0.25</v>
      </c>
      <c r="AX131" t="str">
        <f t="shared" si="415"/>
        <v>En proceso de recolección de actas de entrega de claves por los profesores</v>
      </c>
    </row>
    <row r="132" spans="1:50" ht="15.75" x14ac:dyDescent="0.25">
      <c r="A132" s="589"/>
      <c r="B132" s="591"/>
      <c r="C132" s="82" t="str">
        <f>IF('CONSOLIDACION DEL MAPA'!P131="","",'CONSOLIDACION DEL MAPA'!P131)</f>
        <v/>
      </c>
      <c r="D132" s="82" t="str">
        <f>CRONOGRAMA!D131</f>
        <v/>
      </c>
      <c r="E132" s="132" t="str">
        <f>IF(CRONOGRAMA!F131="", "",CRONOGRAMA!F131)</f>
        <v/>
      </c>
      <c r="F132" s="132" t="str">
        <f>IF(CRONOGRAMA!G131="", "",CRONOGRAMA!G131)</f>
        <v/>
      </c>
      <c r="G132" s="128" t="str">
        <f>IF(CRONOGRAMA!H131="", "",CRONOGRAMA!H131)</f>
        <v/>
      </c>
      <c r="H132" s="128" t="str">
        <f>IF(CRONOGRAMA!I131="", "",CRONOGRAMA!I131)</f>
        <v/>
      </c>
      <c r="I132" s="84">
        <f t="shared" si="398"/>
        <v>0</v>
      </c>
      <c r="J132" s="160" t="str">
        <f>IF($P$6="Indique Fecha Seguimiento","",IF(CRONOGRAMA!$E131="No Aplica","NA",IF($G132="","",IF(YEAR($G132)&lt;YEAR($P$6)," A ",IF(YEAR($G132)=YEAR($P$6),IF(MONTH($G132)&lt;=4," A ","NA"),IF(YEAR($G132)&gt;YEAR($P$6),"NA"))))))</f>
        <v/>
      </c>
      <c r="K132" s="400"/>
      <c r="L132" s="402"/>
      <c r="M132" s="400"/>
      <c r="N132" s="348" t="str">
        <f t="shared" si="399"/>
        <v/>
      </c>
      <c r="O132" s="349"/>
      <c r="P132" s="44"/>
      <c r="Q132" s="84" t="str">
        <f t="shared" si="400"/>
        <v/>
      </c>
      <c r="R132" s="84" t="str">
        <f t="shared" si="401"/>
        <v/>
      </c>
      <c r="S132" s="84">
        <f t="shared" si="318"/>
        <v>0</v>
      </c>
      <c r="T132" s="160" t="str">
        <f>IF($Z$6="Indique Fecha Seguimiento","",IF(CRONOGRAMA!$E131="No Aplica","NA",IF($G132="","",IF(YEAR($G132)&lt;YEAR($Z$6)," A ",IF(YEAR($G132)=YEAR($Z$6),IF(MONTH($G132)&lt;=8," A ","NA"),IF(YEAR($G132)&gt;YEAR($Z$6),"NA"))))))</f>
        <v/>
      </c>
      <c r="U132" s="346"/>
      <c r="V132" s="44"/>
      <c r="W132" s="351"/>
      <c r="X132" s="348" t="str">
        <f t="shared" si="402"/>
        <v/>
      </c>
      <c r="Y132" s="349"/>
      <c r="Z132" s="44"/>
      <c r="AA132" s="84" t="str">
        <f t="shared" si="403"/>
        <v/>
      </c>
      <c r="AB132" s="84" t="str">
        <f t="shared" si="404"/>
        <v/>
      </c>
      <c r="AC132" s="84">
        <f t="shared" si="322"/>
        <v>0</v>
      </c>
      <c r="AD132" s="160" t="str">
        <f>IF($AJ$6="Indique Fecha Seguimiento","",IF(CRONOGRAMA!$E131="No Aplica","NA",IF($G132="","",IF(YEAR($G132)&lt;YEAR($AJ$6)," A ",IF(YEAR($G132)=YEAR($AJ$6),IF(MONTH($G132)&lt;=12," A ","NA"),IF(YEAR($G132)&gt;YEAR($AJ$6),"NA"))))))</f>
        <v/>
      </c>
      <c r="AE132" s="350"/>
      <c r="AF132" s="44"/>
      <c r="AG132" s="351"/>
      <c r="AH132" s="348" t="str">
        <f t="shared" si="405"/>
        <v/>
      </c>
      <c r="AI132" s="349"/>
      <c r="AJ132" s="44"/>
      <c r="AK132" s="81" t="str">
        <f t="shared" si="406"/>
        <v/>
      </c>
      <c r="AL132" s="84">
        <f t="shared" si="407"/>
        <v>0</v>
      </c>
      <c r="AM132" s="84">
        <f t="shared" si="326"/>
        <v>0</v>
      </c>
      <c r="AN132" s="592"/>
      <c r="AO132" s="602"/>
      <c r="AP132" s="603"/>
      <c r="AQ132" s="603"/>
      <c r="AR132" s="574"/>
      <c r="AS132" s="574"/>
      <c r="AT132" s="574"/>
      <c r="AU132" s="572"/>
      <c r="AV132" s="573"/>
      <c r="AW132" s="605"/>
      <c r="AX132">
        <f t="shared" si="415"/>
        <v>0</v>
      </c>
    </row>
    <row r="133" spans="1:50" ht="16.5" thickBot="1" x14ac:dyDescent="0.3">
      <c r="A133" s="590"/>
      <c r="B133" s="591"/>
      <c r="C133" s="82" t="str">
        <f>IF('CONSOLIDACION DEL MAPA'!P132="","",'CONSOLIDACION DEL MAPA'!P132)</f>
        <v/>
      </c>
      <c r="D133" s="82" t="str">
        <f>CRONOGRAMA!D132</f>
        <v/>
      </c>
      <c r="E133" s="132" t="str">
        <f>IF(CRONOGRAMA!F132="", "",CRONOGRAMA!F132)</f>
        <v/>
      </c>
      <c r="F133" s="132" t="str">
        <f>IF(CRONOGRAMA!G132="", "",CRONOGRAMA!G132)</f>
        <v/>
      </c>
      <c r="G133" s="128" t="str">
        <f>IF(CRONOGRAMA!H132="", "",CRONOGRAMA!H132)</f>
        <v/>
      </c>
      <c r="H133" s="128" t="str">
        <f>IF(CRONOGRAMA!I132="", "",CRONOGRAMA!I132)</f>
        <v/>
      </c>
      <c r="I133" s="84">
        <f t="shared" si="398"/>
        <v>0</v>
      </c>
      <c r="J133" s="160" t="str">
        <f>IF($P$6="Indique Fecha Seguimiento","",IF(CRONOGRAMA!$E132="No Aplica","NA",IF($G133="","",IF(YEAR($G133)&lt;YEAR($P$6)," A ",IF(YEAR($G133)=YEAR($P$6),IF(MONTH($G133)&lt;=4," A ","NA"),IF(YEAR($G133)&gt;YEAR($P$6),"NA"))))))</f>
        <v/>
      </c>
      <c r="K133" s="400"/>
      <c r="L133" s="402"/>
      <c r="M133" s="400"/>
      <c r="N133" s="348" t="str">
        <f t="shared" si="399"/>
        <v/>
      </c>
      <c r="O133" s="349"/>
      <c r="P133" s="44"/>
      <c r="Q133" s="84" t="str">
        <f t="shared" si="400"/>
        <v/>
      </c>
      <c r="R133" s="84" t="str">
        <f t="shared" si="401"/>
        <v/>
      </c>
      <c r="S133" s="84">
        <f t="shared" si="318"/>
        <v>0</v>
      </c>
      <c r="T133" s="160" t="str">
        <f>IF($Z$6="Indique Fecha Seguimiento","",IF(CRONOGRAMA!$E132="No Aplica","NA",IF($G133="","",IF(YEAR($G133)&lt;YEAR($Z$6)," A ",IF(YEAR($G133)=YEAR($Z$6),IF(MONTH($G133)&lt;=8," A ","NA"),IF(YEAR($G133)&gt;YEAR($Z$6),"NA"))))))</f>
        <v/>
      </c>
      <c r="U133" s="346"/>
      <c r="V133" s="44"/>
      <c r="W133" s="351"/>
      <c r="X133" s="348" t="str">
        <f t="shared" si="402"/>
        <v/>
      </c>
      <c r="Y133" s="349"/>
      <c r="Z133" s="44"/>
      <c r="AA133" s="84" t="str">
        <f t="shared" si="403"/>
        <v/>
      </c>
      <c r="AB133" s="84" t="str">
        <f t="shared" si="404"/>
        <v/>
      </c>
      <c r="AC133" s="84">
        <f t="shared" si="322"/>
        <v>0</v>
      </c>
      <c r="AD133" s="160" t="str">
        <f>IF($AJ$6="Indique Fecha Seguimiento","",IF(CRONOGRAMA!$E132="No Aplica","NA",IF($G133="","",IF(YEAR($G133)&lt;YEAR($AJ$6)," A ",IF(YEAR($G133)=YEAR($AJ$6),IF(MONTH($G133)&lt;=12," A ","NA"),IF(YEAR($G133)&gt;YEAR($AJ$6),"NA"))))))</f>
        <v/>
      </c>
      <c r="AE133" s="350"/>
      <c r="AF133" s="44"/>
      <c r="AG133" s="351"/>
      <c r="AH133" s="348" t="str">
        <f t="shared" si="405"/>
        <v/>
      </c>
      <c r="AI133" s="349"/>
      <c r="AJ133" s="44"/>
      <c r="AK133" s="81" t="str">
        <f t="shared" si="406"/>
        <v/>
      </c>
      <c r="AL133" s="84">
        <f t="shared" si="407"/>
        <v>0</v>
      </c>
      <c r="AM133" s="84">
        <f t="shared" si="326"/>
        <v>0</v>
      </c>
      <c r="AN133" s="592"/>
      <c r="AO133" s="602"/>
      <c r="AP133" s="603"/>
      <c r="AQ133" s="603"/>
      <c r="AR133" s="574"/>
      <c r="AS133" s="574"/>
      <c r="AT133" s="574"/>
      <c r="AU133" s="572"/>
      <c r="AV133" s="573"/>
      <c r="AW133" s="605"/>
      <c r="AX133">
        <f t="shared" si="415"/>
        <v>0</v>
      </c>
    </row>
    <row r="134" spans="1:50" ht="95.25" thickTop="1" x14ac:dyDescent="0.25">
      <c r="A134" s="588" t="str">
        <f>CRONOGRAMA!A133</f>
        <v>14C</v>
      </c>
      <c r="B134" s="591" t="str">
        <f>CRONOGRAMA!B133</f>
        <v>Gestión de Investigación. Violación de la propiedad Intelectual.</v>
      </c>
      <c r="C134" s="82" t="str">
        <f>IF('CONSOLIDACION DEL MAPA'!P133="","",'CONSOLIDACION DEL MAPA'!P133)</f>
        <v>Reducir</v>
      </c>
      <c r="D134" s="82" t="str">
        <f>CRONOGRAMA!D133</f>
        <v>Programa de capacitación en Propiedad Intelectual</v>
      </c>
      <c r="E134" s="132" t="str">
        <f>IF(CRONOGRAMA!F133="", "",CRONOGRAMA!F133)</f>
        <v>Capacitaciones realizadas en Prop. Intelectual</v>
      </c>
      <c r="F134" s="132">
        <f>IF(CRONOGRAMA!G133="", "",CRONOGRAMA!G133)</f>
        <v>4</v>
      </c>
      <c r="G134" s="128">
        <f>IF(CRONOGRAMA!H133="", "",CRONOGRAMA!H133)</f>
        <v>42388</v>
      </c>
      <c r="H134" s="128">
        <f>IF(CRONOGRAMA!I133="", "",CRONOGRAMA!I133)</f>
        <v>42723</v>
      </c>
      <c r="I134" s="84">
        <f t="shared" si="398"/>
        <v>47.857142857142854</v>
      </c>
      <c r="J134" s="160" t="str">
        <f>IF($P$6="Indique Fecha Seguimiento","",IF(CRONOGRAMA!$E133="No Aplica","NA",IF($G134="","",IF(YEAR($G134)&lt;YEAR($P$6)," A ",IF(YEAR($G134)=YEAR($P$6),IF(MONTH($G134)&lt;=4," A ","NA"),IF(YEAR($G134)&gt;YEAR($P$6),"NA"))))))</f>
        <v xml:space="preserve"> A </v>
      </c>
      <c r="K134" s="400">
        <v>2</v>
      </c>
      <c r="L134" s="402" t="s">
        <v>900</v>
      </c>
      <c r="M134" s="400">
        <v>2</v>
      </c>
      <c r="N134" s="348">
        <f t="shared" si="399"/>
        <v>0.5</v>
      </c>
      <c r="O134" s="349" t="s">
        <v>353</v>
      </c>
      <c r="P134" s="44"/>
      <c r="Q134" s="84">
        <f t="shared" si="400"/>
        <v>23.928571428571427</v>
      </c>
      <c r="R134" s="84">
        <f t="shared" si="401"/>
        <v>23.928571428571427</v>
      </c>
      <c r="S134" s="84">
        <f t="shared" si="318"/>
        <v>47.857142857142854</v>
      </c>
      <c r="T134" s="160" t="str">
        <f>IF($Z$6="Indique Fecha Seguimiento","",IF(CRONOGRAMA!$E133="No Aplica","NA",IF($G134="","",IF(YEAR($G134)&lt;YEAR($Z$6)," A ",IF(YEAR($G134)=YEAR($Z$6),IF(MONTH($G134)&lt;=8," A ","NA"),IF(YEAR($G134)&gt;YEAR($Z$6),"NA"))))))</f>
        <v xml:space="preserve"> A </v>
      </c>
      <c r="U134" s="346">
        <v>2</v>
      </c>
      <c r="V134" s="44" t="s">
        <v>900</v>
      </c>
      <c r="W134" s="351">
        <v>2</v>
      </c>
      <c r="X134" s="348">
        <f t="shared" si="402"/>
        <v>0.5</v>
      </c>
      <c r="Y134" s="349" t="s">
        <v>353</v>
      </c>
      <c r="Z134" s="44" t="s">
        <v>926</v>
      </c>
      <c r="AA134" s="84">
        <f t="shared" si="403"/>
        <v>23.928571428571427</v>
      </c>
      <c r="AB134" s="84">
        <f t="shared" si="404"/>
        <v>23.928571428571427</v>
      </c>
      <c r="AC134" s="84">
        <f t="shared" si="322"/>
        <v>47.857142857142854</v>
      </c>
      <c r="AD134" s="160" t="str">
        <f>IF($AJ$6="Indique Fecha Seguimiento","",IF(CRONOGRAMA!$E133="No Aplica","NA",IF($G134="","",IF(YEAR($G134)&lt;YEAR($AJ$6)," A ",IF(YEAR($G134)=YEAR($AJ$6),IF(MONTH($G134)&lt;=12," A ","NA"),IF(YEAR($G134)&gt;YEAR($AJ$6),"NA"))))))</f>
        <v/>
      </c>
      <c r="AE134" s="350"/>
      <c r="AF134" s="44"/>
      <c r="AG134" s="351"/>
      <c r="AH134" s="348" t="str">
        <f t="shared" si="405"/>
        <v/>
      </c>
      <c r="AI134" s="349"/>
      <c r="AJ134" s="44"/>
      <c r="AK134" s="81" t="str">
        <f t="shared" si="406"/>
        <v/>
      </c>
      <c r="AL134" s="84">
        <f t="shared" si="407"/>
        <v>0</v>
      </c>
      <c r="AM134" s="84">
        <f t="shared" si="326"/>
        <v>47.857142857142854</v>
      </c>
      <c r="AN134" s="592">
        <f t="shared" ref="AN134" si="465">SUM(I134:I136)</f>
        <v>95.714285714285708</v>
      </c>
      <c r="AO134" s="602">
        <f t="shared" ref="AO134" si="466">IF(AND(Q134="",Q135="",Q136=""),"",SUM(Q134:Q136))</f>
        <v>71.785714285714278</v>
      </c>
      <c r="AP134" s="603">
        <f t="shared" ref="AP134" si="467">IF(AND(AA134="",AA135="",AA136=""),"",SUM(AA134:AA136))</f>
        <v>71.785714285714278</v>
      </c>
      <c r="AQ134" s="603" t="str">
        <f t="shared" ref="AQ134" si="468">IF(AND(AK134="",AK135="",AK136=""),"",SUM(AK134:AK136))</f>
        <v/>
      </c>
      <c r="AR134" s="574">
        <f t="shared" si="331"/>
        <v>0.75</v>
      </c>
      <c r="AS134" s="574">
        <f t="shared" si="332"/>
        <v>0.75</v>
      </c>
      <c r="AT134" s="574">
        <f t="shared" ref="AT134" si="469">IF(AS134&gt;=AR134,AS134,AR134)</f>
        <v>0.75</v>
      </c>
      <c r="AU134" s="572" t="str">
        <f t="shared" si="334"/>
        <v/>
      </c>
      <c r="AV134" s="573">
        <f t="shared" ref="AV134" si="470">IF($AU$6=1,AR134,IF($AU$6=2,AS134,IF($AU$6=3,AU134,"")))</f>
        <v>0.75</v>
      </c>
      <c r="AW134" s="605">
        <f t="shared" ref="AW134" si="471">AV134</f>
        <v>0.75</v>
      </c>
      <c r="AX134" t="str">
        <f t="shared" si="415"/>
        <v>Dos capacitaciones, dirigida a abogados de la universidad y a la comunidad en general</v>
      </c>
    </row>
    <row r="135" spans="1:50" ht="63" x14ac:dyDescent="0.25">
      <c r="A135" s="589"/>
      <c r="B135" s="591"/>
      <c r="C135" s="82" t="str">
        <f>IF('CONSOLIDACION DEL MAPA'!P134="","",'CONSOLIDACION DEL MAPA'!P134)</f>
        <v>Reducir</v>
      </c>
      <c r="D135" s="82" t="str">
        <f>CRONOGRAMA!D134</f>
        <v>Aprobación del Reglamento de PI</v>
      </c>
      <c r="E135" s="132" t="str">
        <f>IF(CRONOGRAMA!F134="", "",CRONOGRAMA!F134)</f>
        <v>Reglamento de PI enviado a Jurídica para revisión</v>
      </c>
      <c r="F135" s="132">
        <f>IF(CRONOGRAMA!G134="", "",CRONOGRAMA!G134)</f>
        <v>1</v>
      </c>
      <c r="G135" s="128">
        <f>IF(CRONOGRAMA!H134="", "",CRONOGRAMA!H134)</f>
        <v>42388</v>
      </c>
      <c r="H135" s="128">
        <f>IF(CRONOGRAMA!I134="", "",CRONOGRAMA!I134)</f>
        <v>42723</v>
      </c>
      <c r="I135" s="84">
        <f t="shared" si="398"/>
        <v>47.857142857142854</v>
      </c>
      <c r="J135" s="160" t="str">
        <f>IF($P$6="Indique Fecha Seguimiento","",IF(CRONOGRAMA!$E134="No Aplica","NA",IF($G135="","",IF(YEAR($G135)&lt;YEAR($P$6)," A ",IF(YEAR($G135)=YEAR($P$6),IF(MONTH($G135)&lt;=4," A ","NA"),IF(YEAR($G135)&gt;YEAR($P$6),"NA"))))))</f>
        <v xml:space="preserve"> A </v>
      </c>
      <c r="K135" s="400">
        <v>1</v>
      </c>
      <c r="L135" s="402" t="s">
        <v>901</v>
      </c>
      <c r="M135" s="400">
        <v>1</v>
      </c>
      <c r="N135" s="348">
        <f t="shared" si="399"/>
        <v>1</v>
      </c>
      <c r="O135" s="349" t="s">
        <v>11</v>
      </c>
      <c r="P135" s="44"/>
      <c r="Q135" s="84">
        <f t="shared" si="400"/>
        <v>47.857142857142854</v>
      </c>
      <c r="R135" s="84">
        <f t="shared" si="401"/>
        <v>47.857142857142854</v>
      </c>
      <c r="S135" s="84">
        <f t="shared" si="318"/>
        <v>47.857142857142854</v>
      </c>
      <c r="T135" s="160" t="str">
        <f>IF($Z$6="Indique Fecha Seguimiento","",IF(CRONOGRAMA!$E134="No Aplica","NA",IF($G135="","",IF(YEAR($G135)&lt;YEAR($Z$6)," A ",IF(YEAR($G135)=YEAR($Z$6),IF(MONTH($G135)&lt;=8," A ","NA"),IF(YEAR($G135)&gt;YEAR($Z$6),"NA"))))))</f>
        <v xml:space="preserve"> A </v>
      </c>
      <c r="U135" s="346">
        <v>1</v>
      </c>
      <c r="V135" s="44" t="s">
        <v>901</v>
      </c>
      <c r="W135" s="351">
        <v>1</v>
      </c>
      <c r="X135" s="348">
        <f t="shared" si="402"/>
        <v>1</v>
      </c>
      <c r="Y135" s="349" t="s">
        <v>11</v>
      </c>
      <c r="Z135" s="44" t="s">
        <v>927</v>
      </c>
      <c r="AA135" s="84">
        <f t="shared" si="403"/>
        <v>47.857142857142854</v>
      </c>
      <c r="AB135" s="84">
        <f t="shared" si="404"/>
        <v>47.857142857142854</v>
      </c>
      <c r="AC135" s="84">
        <f t="shared" si="322"/>
        <v>47.857142857142854</v>
      </c>
      <c r="AD135" s="160" t="str">
        <f>IF($AJ$6="Indique Fecha Seguimiento","",IF(CRONOGRAMA!$E134="No Aplica","NA",IF($G135="","",IF(YEAR($G135)&lt;YEAR($AJ$6)," A ",IF(YEAR($G135)=YEAR($AJ$6),IF(MONTH($G135)&lt;=12," A ","NA"),IF(YEAR($G135)&gt;YEAR($AJ$6),"NA"))))))</f>
        <v/>
      </c>
      <c r="AE135" s="350"/>
      <c r="AF135" s="44"/>
      <c r="AG135" s="351"/>
      <c r="AH135" s="348" t="str">
        <f t="shared" si="405"/>
        <v/>
      </c>
      <c r="AI135" s="349"/>
      <c r="AJ135" s="44"/>
      <c r="AK135" s="81" t="str">
        <f t="shared" si="406"/>
        <v/>
      </c>
      <c r="AL135" s="84">
        <f t="shared" si="407"/>
        <v>47.857142857142854</v>
      </c>
      <c r="AM135" s="84">
        <f t="shared" si="326"/>
        <v>47.857142857142854</v>
      </c>
      <c r="AN135" s="592"/>
      <c r="AO135" s="602"/>
      <c r="AP135" s="603"/>
      <c r="AQ135" s="603"/>
      <c r="AR135" s="574"/>
      <c r="AS135" s="574"/>
      <c r="AT135" s="574"/>
      <c r="AU135" s="572"/>
      <c r="AV135" s="573"/>
      <c r="AW135" s="605"/>
      <c r="AX135" t="str">
        <f t="shared" si="415"/>
        <v>Aprobada revisión por juridica. En revisión y aprobación por Rectoria</v>
      </c>
    </row>
    <row r="136" spans="1:50" ht="16.5" thickBot="1" x14ac:dyDescent="0.3">
      <c r="A136" s="590"/>
      <c r="B136" s="591"/>
      <c r="C136" s="82" t="str">
        <f>IF('CONSOLIDACION DEL MAPA'!P135="","",'CONSOLIDACION DEL MAPA'!P135)</f>
        <v/>
      </c>
      <c r="D136" s="82" t="str">
        <f>CRONOGRAMA!D135</f>
        <v/>
      </c>
      <c r="E136" s="132" t="str">
        <f>IF(CRONOGRAMA!F135="", "",CRONOGRAMA!F135)</f>
        <v/>
      </c>
      <c r="F136" s="132" t="str">
        <f>IF(CRONOGRAMA!G135="", "",CRONOGRAMA!G135)</f>
        <v/>
      </c>
      <c r="G136" s="128" t="str">
        <f>IF(CRONOGRAMA!H135="", "",CRONOGRAMA!H135)</f>
        <v/>
      </c>
      <c r="H136" s="128" t="str">
        <f>IF(CRONOGRAMA!I135="", "",CRONOGRAMA!I135)</f>
        <v/>
      </c>
      <c r="I136" s="84">
        <f t="shared" si="398"/>
        <v>0</v>
      </c>
      <c r="J136" s="160" t="str">
        <f>IF($P$6="Indique Fecha Seguimiento","",IF(CRONOGRAMA!$E135="No Aplica","NA",IF($G136="","",IF(YEAR($G136)&lt;YEAR($P$6)," A ",IF(YEAR($G136)=YEAR($P$6),IF(MONTH($G136)&lt;=4," A ","NA"),IF(YEAR($G136)&gt;YEAR($P$6),"NA"))))))</f>
        <v/>
      </c>
      <c r="K136" s="400"/>
      <c r="L136" s="402"/>
      <c r="M136" s="400"/>
      <c r="N136" s="348" t="str">
        <f t="shared" si="399"/>
        <v/>
      </c>
      <c r="O136" s="349"/>
      <c r="P136" s="44"/>
      <c r="Q136" s="84" t="str">
        <f t="shared" si="400"/>
        <v/>
      </c>
      <c r="R136" s="84" t="str">
        <f t="shared" si="401"/>
        <v/>
      </c>
      <c r="S136" s="84">
        <f t="shared" si="318"/>
        <v>0</v>
      </c>
      <c r="T136" s="160" t="str">
        <f>IF($Z$6="Indique Fecha Seguimiento","",IF(CRONOGRAMA!$E135="No Aplica","NA",IF($G136="","",IF(YEAR($G136)&lt;YEAR($Z$6)," A ",IF(YEAR($G136)=YEAR($Z$6),IF(MONTH($G136)&lt;=8," A ","NA"),IF(YEAR($G136)&gt;YEAR($Z$6),"NA"))))))</f>
        <v/>
      </c>
      <c r="U136" s="350"/>
      <c r="V136" s="44"/>
      <c r="W136" s="351"/>
      <c r="X136" s="348" t="str">
        <f t="shared" si="402"/>
        <v/>
      </c>
      <c r="Y136" s="349"/>
      <c r="Z136" s="44"/>
      <c r="AA136" s="84" t="str">
        <f t="shared" si="403"/>
        <v/>
      </c>
      <c r="AB136" s="84" t="str">
        <f t="shared" si="404"/>
        <v/>
      </c>
      <c r="AC136" s="84">
        <f t="shared" si="322"/>
        <v>0</v>
      </c>
      <c r="AD136" s="160" t="str">
        <f>IF($AJ$6="Indique Fecha Seguimiento","",IF(CRONOGRAMA!$E135="No Aplica","NA",IF($G136="","",IF(YEAR($G136)&lt;YEAR($AJ$6)," A ",IF(YEAR($G136)=YEAR($AJ$6),IF(MONTH($G136)&lt;=12," A ","NA"),IF(YEAR($G136)&gt;YEAR($AJ$6),"NA"))))))</f>
        <v/>
      </c>
      <c r="AE136" s="350"/>
      <c r="AF136" s="44"/>
      <c r="AG136" s="351"/>
      <c r="AH136" s="348" t="str">
        <f t="shared" si="405"/>
        <v/>
      </c>
      <c r="AI136" s="349"/>
      <c r="AJ136" s="44"/>
      <c r="AK136" s="81" t="str">
        <f t="shared" si="406"/>
        <v/>
      </c>
      <c r="AL136" s="84">
        <f t="shared" si="407"/>
        <v>0</v>
      </c>
      <c r="AM136" s="84">
        <f t="shared" si="326"/>
        <v>0</v>
      </c>
      <c r="AN136" s="592"/>
      <c r="AO136" s="602"/>
      <c r="AP136" s="603"/>
      <c r="AQ136" s="603"/>
      <c r="AR136" s="574"/>
      <c r="AS136" s="574"/>
      <c r="AT136" s="574"/>
      <c r="AU136" s="572"/>
      <c r="AV136" s="573"/>
      <c r="AW136" s="605"/>
      <c r="AX136">
        <f t="shared" si="415"/>
        <v>0</v>
      </c>
    </row>
    <row r="137" spans="1:50" ht="51.75" thickTop="1" x14ac:dyDescent="0.25">
      <c r="A137" s="588" t="str">
        <f>CRONOGRAMA!A136</f>
        <v>15C</v>
      </c>
      <c r="B137" s="591" t="str">
        <f>CRONOGRAMA!B136</f>
        <v>Gestión de Extensión y Proyección Social. Desviación o uso indebido de recursos, que impidan la ejecución de los proyectos y actividades misionales de la vicerrectoria de extensión y proyección social</v>
      </c>
      <c r="C137" s="82" t="str">
        <f>IF('CONSOLIDACION DEL MAPA'!P136="","",'CONSOLIDACION DEL MAPA'!P136)</f>
        <v>Reducir</v>
      </c>
      <c r="D137" s="82" t="str">
        <f>CRONOGRAMA!D136</f>
        <v>Implementación de sistema de información</v>
      </c>
      <c r="E137" s="132" t="str">
        <f>IF(CRONOGRAMA!F136="", "",CRONOGRAMA!F136)</f>
        <v>Informes</v>
      </c>
      <c r="F137" s="132">
        <f>IF(CRONOGRAMA!G136="", "",CRONOGRAMA!G136)</f>
        <v>1</v>
      </c>
      <c r="G137" s="128">
        <f>IF(CRONOGRAMA!H136="", "",CRONOGRAMA!H136)</f>
        <v>42430</v>
      </c>
      <c r="H137" s="128">
        <f>IF(CRONOGRAMA!I136="", "",CRONOGRAMA!I136)</f>
        <v>42531</v>
      </c>
      <c r="I137" s="84">
        <f t="shared" si="398"/>
        <v>14.428571428571429</v>
      </c>
      <c r="J137" s="160" t="str">
        <f>IF($P$6="Indique Fecha Seguimiento","",IF(CRONOGRAMA!$E136="No Aplica","NA",IF($G137="","",IF(YEAR($G137)&lt;YEAR($P$6)," A ",IF(YEAR($G137)=YEAR($P$6),IF(MONTH($G137)&lt;=4," A ","NA"),IF(YEAR($G137)&gt;YEAR($P$6),"NA"))))))</f>
        <v xml:space="preserve"> A </v>
      </c>
      <c r="K137" s="400">
        <v>33.299999999999997</v>
      </c>
      <c r="L137" s="402" t="s">
        <v>902</v>
      </c>
      <c r="M137" s="400">
        <v>0</v>
      </c>
      <c r="N137" s="348">
        <f t="shared" si="399"/>
        <v>0</v>
      </c>
      <c r="O137" s="349" t="s">
        <v>353</v>
      </c>
      <c r="P137" s="44" t="s">
        <v>918</v>
      </c>
      <c r="Q137" s="84">
        <f t="shared" si="400"/>
        <v>0</v>
      </c>
      <c r="R137" s="84">
        <f t="shared" si="401"/>
        <v>0</v>
      </c>
      <c r="S137" s="84">
        <f t="shared" si="318"/>
        <v>14.428571428571429</v>
      </c>
      <c r="T137" s="160" t="str">
        <f>IF($Z$6="Indique Fecha Seguimiento","",IF(CRONOGRAMA!$E136="No Aplica","NA",IF($G137="","",IF(YEAR($G137)&lt;YEAR($Z$6)," A ",IF(YEAR($G137)=YEAR($Z$6),IF(MONTH($G137)&lt;=8," A ","NA"),IF(YEAR($G137)&gt;YEAR($Z$6),"NA"))))))</f>
        <v xml:space="preserve"> A </v>
      </c>
      <c r="U137" s="400">
        <v>66.599999999999994</v>
      </c>
      <c r="V137" s="402" t="s">
        <v>934</v>
      </c>
      <c r="W137" s="351">
        <v>0.6</v>
      </c>
      <c r="X137" s="348">
        <f t="shared" si="402"/>
        <v>0.6</v>
      </c>
      <c r="Y137" s="349" t="s">
        <v>10</v>
      </c>
      <c r="Z137" s="402" t="s">
        <v>929</v>
      </c>
      <c r="AA137" s="84">
        <f t="shared" si="403"/>
        <v>8.6571428571428566</v>
      </c>
      <c r="AB137" s="84">
        <f t="shared" si="404"/>
        <v>0</v>
      </c>
      <c r="AC137" s="84">
        <f t="shared" si="322"/>
        <v>14.428571428571429</v>
      </c>
      <c r="AD137" s="160" t="str">
        <f>IF($AJ$6="Indique Fecha Seguimiento","",IF(CRONOGRAMA!$E136="No Aplica","NA",IF($G137="","",IF(YEAR($G137)&lt;YEAR($AJ$6)," A ",IF(YEAR($G137)=YEAR($AJ$6),IF(MONTH($G137)&lt;=12," A ","NA"),IF(YEAR($G137)&gt;YEAR($AJ$6),"NA"))))))</f>
        <v/>
      </c>
      <c r="AE137" s="350"/>
      <c r="AF137" s="44"/>
      <c r="AG137" s="351"/>
      <c r="AH137" s="348" t="str">
        <f t="shared" si="405"/>
        <v/>
      </c>
      <c r="AI137" s="349"/>
      <c r="AJ137" s="44"/>
      <c r="AK137" s="81" t="str">
        <f t="shared" si="406"/>
        <v/>
      </c>
      <c r="AL137" s="84">
        <f t="shared" si="407"/>
        <v>0</v>
      </c>
      <c r="AM137" s="84">
        <f t="shared" si="326"/>
        <v>14.428571428571429</v>
      </c>
      <c r="AN137" s="592">
        <f t="shared" ref="AN137" si="472">SUM(I137:I139)</f>
        <v>14.428571428571429</v>
      </c>
      <c r="AO137" s="602">
        <f t="shared" ref="AO137" si="473">IF(AND(Q137="",Q138="",Q139=""),"",SUM(Q137:Q139))</f>
        <v>0</v>
      </c>
      <c r="AP137" s="603">
        <f t="shared" ref="AP137" si="474">IF(AND(AA137="",AA138="",AA139=""),"",SUM(AA137:AA139))</f>
        <v>8.6571428571428566</v>
      </c>
      <c r="AQ137" s="603" t="str">
        <f t="shared" ref="AQ137" si="475">IF(AND(AK137="",AK138="",AK139=""),"",SUM(AK137:AK139))</f>
        <v/>
      </c>
      <c r="AR137" s="574">
        <f t="shared" si="331"/>
        <v>0</v>
      </c>
      <c r="AS137" s="574">
        <f t="shared" si="332"/>
        <v>0.6</v>
      </c>
      <c r="AT137" s="574">
        <f t="shared" ref="AT137" si="476">IF(AS137&gt;=AR137,AS137,AR137)</f>
        <v>0.6</v>
      </c>
      <c r="AU137" s="572" t="str">
        <f t="shared" si="334"/>
        <v/>
      </c>
      <c r="AV137" s="573">
        <f t="shared" ref="AV137" si="477">IF($AU$6=1,AR137,IF($AU$6=2,AS137,IF($AU$6=3,AU137,"")))</f>
        <v>0.6</v>
      </c>
      <c r="AW137" s="605">
        <f t="shared" ref="AW137" si="478">AV137</f>
        <v>0.6</v>
      </c>
      <c r="AX137" t="str">
        <f t="shared" si="415"/>
        <v>Se dio inicio a la construcción del modulo de diseño y desarrollo de proyctos</v>
      </c>
    </row>
    <row r="138" spans="1:50" ht="15.75" x14ac:dyDescent="0.25">
      <c r="A138" s="589"/>
      <c r="B138" s="591"/>
      <c r="C138" s="82" t="str">
        <f>IF('CONSOLIDACION DEL MAPA'!P137="","",'CONSOLIDACION DEL MAPA'!P137)</f>
        <v/>
      </c>
      <c r="D138" s="82" t="str">
        <f>CRONOGRAMA!D137</f>
        <v/>
      </c>
      <c r="E138" s="132" t="str">
        <f>IF(CRONOGRAMA!F137="", "",CRONOGRAMA!F137)</f>
        <v/>
      </c>
      <c r="F138" s="132" t="str">
        <f>IF(CRONOGRAMA!G137="", "",CRONOGRAMA!G137)</f>
        <v/>
      </c>
      <c r="G138" s="128" t="str">
        <f>IF(CRONOGRAMA!H137="", "",CRONOGRAMA!H137)</f>
        <v/>
      </c>
      <c r="H138" s="128" t="str">
        <f>IF(CRONOGRAMA!I137="", "",CRONOGRAMA!I137)</f>
        <v/>
      </c>
      <c r="I138" s="84">
        <f t="shared" si="398"/>
        <v>0</v>
      </c>
      <c r="J138" s="160" t="str">
        <f>IF($P$6="Indique Fecha Seguimiento","",IF(CRONOGRAMA!$E137="No Aplica","NA",IF($G138="","",IF(YEAR($G138)&lt;YEAR($P$6)," A ",IF(YEAR($G138)=YEAR($P$6),IF(MONTH($G138)&lt;=4," A ","NA"),IF(YEAR($G138)&gt;YEAR($P$6),"NA"))))))</f>
        <v/>
      </c>
      <c r="K138" s="400"/>
      <c r="L138" s="402"/>
      <c r="M138" s="400"/>
      <c r="N138" s="348" t="str">
        <f t="shared" si="399"/>
        <v/>
      </c>
      <c r="O138" s="349"/>
      <c r="P138" s="44"/>
      <c r="Q138" s="84" t="str">
        <f t="shared" si="400"/>
        <v/>
      </c>
      <c r="R138" s="84" t="str">
        <f t="shared" si="401"/>
        <v/>
      </c>
      <c r="S138" s="84">
        <f t="shared" si="318"/>
        <v>0</v>
      </c>
      <c r="T138" s="160" t="str">
        <f>IF($Z$6="Indique Fecha Seguimiento","",IF(CRONOGRAMA!$E137="No Aplica","NA",IF($G138="","",IF(YEAR($G138)&lt;YEAR($Z$6)," A ",IF(YEAR($G138)=YEAR($Z$6),IF(MONTH($G138)&lt;=8," A ","NA"),IF(YEAR($G138)&gt;YEAR($Z$6),"NA"))))))</f>
        <v/>
      </c>
      <c r="U138" s="400"/>
      <c r="V138" s="402"/>
      <c r="W138" s="351"/>
      <c r="X138" s="348" t="str">
        <f t="shared" si="402"/>
        <v/>
      </c>
      <c r="Y138" s="349"/>
      <c r="Z138" s="402"/>
      <c r="AA138" s="84" t="str">
        <f t="shared" si="403"/>
        <v/>
      </c>
      <c r="AB138" s="84" t="str">
        <f t="shared" si="404"/>
        <v/>
      </c>
      <c r="AC138" s="84">
        <f t="shared" si="322"/>
        <v>0</v>
      </c>
      <c r="AD138" s="160" t="str">
        <f>IF($AJ$6="Indique Fecha Seguimiento","",IF(CRONOGRAMA!$E137="No Aplica","NA",IF($G138="","",IF(YEAR($G138)&lt;YEAR($AJ$6)," A ",IF(YEAR($G138)=YEAR($AJ$6),IF(MONTH($G138)&lt;=12," A ","NA"),IF(YEAR($G138)&gt;YEAR($AJ$6),"NA"))))))</f>
        <v/>
      </c>
      <c r="AE138" s="350"/>
      <c r="AF138" s="44"/>
      <c r="AG138" s="351"/>
      <c r="AH138" s="348" t="str">
        <f t="shared" si="405"/>
        <v/>
      </c>
      <c r="AI138" s="349"/>
      <c r="AJ138" s="44"/>
      <c r="AK138" s="81" t="str">
        <f t="shared" si="406"/>
        <v/>
      </c>
      <c r="AL138" s="84">
        <f t="shared" si="407"/>
        <v>0</v>
      </c>
      <c r="AM138" s="84">
        <f t="shared" si="326"/>
        <v>0</v>
      </c>
      <c r="AN138" s="592"/>
      <c r="AO138" s="602"/>
      <c r="AP138" s="603"/>
      <c r="AQ138" s="603"/>
      <c r="AR138" s="574"/>
      <c r="AS138" s="574"/>
      <c r="AT138" s="574"/>
      <c r="AU138" s="572"/>
      <c r="AV138" s="573"/>
      <c r="AW138" s="605"/>
      <c r="AX138">
        <f t="shared" si="415"/>
        <v>0</v>
      </c>
    </row>
    <row r="139" spans="1:50" ht="16.5" thickBot="1" x14ac:dyDescent="0.3">
      <c r="A139" s="590"/>
      <c r="B139" s="591"/>
      <c r="C139" s="82" t="str">
        <f>IF('CONSOLIDACION DEL MAPA'!P138="","",'CONSOLIDACION DEL MAPA'!P138)</f>
        <v/>
      </c>
      <c r="D139" s="82" t="str">
        <f>CRONOGRAMA!D138</f>
        <v/>
      </c>
      <c r="E139" s="132" t="str">
        <f>IF(CRONOGRAMA!F138="", "",CRONOGRAMA!F138)</f>
        <v/>
      </c>
      <c r="F139" s="132" t="str">
        <f>IF(CRONOGRAMA!G138="", "",CRONOGRAMA!G138)</f>
        <v/>
      </c>
      <c r="G139" s="128" t="str">
        <f>IF(CRONOGRAMA!H138="", "",CRONOGRAMA!H138)</f>
        <v/>
      </c>
      <c r="H139" s="128" t="str">
        <f>IF(CRONOGRAMA!I138="", "",CRONOGRAMA!I138)</f>
        <v/>
      </c>
      <c r="I139" s="84">
        <f t="shared" si="398"/>
        <v>0</v>
      </c>
      <c r="J139" s="160" t="str">
        <f>IF($P$6="Indique Fecha Seguimiento","",IF(CRONOGRAMA!$E138="No Aplica","NA",IF($G139="","",IF(YEAR($G139)&lt;YEAR($P$6)," A ",IF(YEAR($G139)=YEAR($P$6),IF(MONTH($G139)&lt;=4," A ","NA"),IF(YEAR($G139)&gt;YEAR($P$6),"NA"))))))</f>
        <v/>
      </c>
      <c r="K139" s="400"/>
      <c r="L139" s="402"/>
      <c r="M139" s="400"/>
      <c r="N139" s="348" t="str">
        <f t="shared" si="399"/>
        <v/>
      </c>
      <c r="O139" s="349"/>
      <c r="P139" s="44"/>
      <c r="Q139" s="84" t="str">
        <f t="shared" si="400"/>
        <v/>
      </c>
      <c r="R139" s="84" t="str">
        <f t="shared" si="401"/>
        <v/>
      </c>
      <c r="S139" s="84">
        <f t="shared" si="318"/>
        <v>0</v>
      </c>
      <c r="T139" s="160" t="str">
        <f>IF($Z$6="Indique Fecha Seguimiento","",IF(CRONOGRAMA!$E138="No Aplica","NA",IF($G139="","",IF(YEAR($G139)&lt;YEAR($Z$6)," A ",IF(YEAR($G139)=YEAR($Z$6),IF(MONTH($G139)&lt;=8," A ","NA"),IF(YEAR($G139)&gt;YEAR($Z$6),"NA"))))))</f>
        <v/>
      </c>
      <c r="U139" s="400"/>
      <c r="V139" s="402"/>
      <c r="W139" s="351"/>
      <c r="X139" s="348" t="str">
        <f t="shared" si="402"/>
        <v/>
      </c>
      <c r="Y139" s="349"/>
      <c r="Z139" s="402"/>
      <c r="AA139" s="84" t="str">
        <f t="shared" si="403"/>
        <v/>
      </c>
      <c r="AB139" s="84" t="str">
        <f t="shared" si="404"/>
        <v/>
      </c>
      <c r="AC139" s="84">
        <f t="shared" si="322"/>
        <v>0</v>
      </c>
      <c r="AD139" s="160" t="str">
        <f>IF($AJ$6="Indique Fecha Seguimiento","",IF(CRONOGRAMA!$E138="No Aplica","NA",IF($G139="","",IF(YEAR($G139)&lt;YEAR($AJ$6)," A ",IF(YEAR($G139)=YEAR($AJ$6),IF(MONTH($G139)&lt;=12," A ","NA"),IF(YEAR($G139)&gt;YEAR($AJ$6),"NA"))))))</f>
        <v/>
      </c>
      <c r="AE139" s="350"/>
      <c r="AF139" s="44"/>
      <c r="AG139" s="351"/>
      <c r="AH139" s="348" t="str">
        <f t="shared" si="405"/>
        <v/>
      </c>
      <c r="AI139" s="349"/>
      <c r="AJ139" s="44"/>
      <c r="AK139" s="81" t="str">
        <f t="shared" si="406"/>
        <v/>
      </c>
      <c r="AL139" s="84">
        <f t="shared" si="407"/>
        <v>0</v>
      </c>
      <c r="AM139" s="84">
        <f t="shared" si="326"/>
        <v>0</v>
      </c>
      <c r="AN139" s="592"/>
      <c r="AO139" s="602"/>
      <c r="AP139" s="603"/>
      <c r="AQ139" s="603"/>
      <c r="AR139" s="574"/>
      <c r="AS139" s="574"/>
      <c r="AT139" s="574"/>
      <c r="AU139" s="572"/>
      <c r="AV139" s="573"/>
      <c r="AW139" s="605"/>
      <c r="AX139">
        <f t="shared" si="415"/>
        <v>0</v>
      </c>
    </row>
    <row r="140" spans="1:50" ht="64.5" customHeight="1" thickTop="1" x14ac:dyDescent="0.25">
      <c r="A140" s="588" t="str">
        <f>CRONOGRAMA!A139</f>
        <v>16C</v>
      </c>
      <c r="B140" s="591" t="str">
        <f>CRONOGRAMA!B139</f>
        <v xml:space="preserve">Gestión de Extensión y Proyección Social. Concentración de la información en una persona. </v>
      </c>
      <c r="C140" s="82" t="str">
        <f>IF('CONSOLIDACION DEL MAPA'!P139="","",'CONSOLIDACION DEL MAPA'!P139)</f>
        <v>Evitar</v>
      </c>
      <c r="D140" s="82" t="str">
        <f>CRONOGRAMA!D139</f>
        <v>Socialización de los resultados de las actividades realizadas y por realizar.</v>
      </c>
      <c r="E140" s="132" t="str">
        <f>IF(CRONOGRAMA!F139="", "",CRONOGRAMA!F139)</f>
        <v>Comunicados y registros</v>
      </c>
      <c r="F140" s="132">
        <f>IF(CRONOGRAMA!G139="", "",CRONOGRAMA!G139)</f>
        <v>1</v>
      </c>
      <c r="G140" s="128">
        <f>IF(CRONOGRAMA!H139="", "",CRONOGRAMA!H139)</f>
        <v>42398</v>
      </c>
      <c r="H140" s="128">
        <f>IF(CRONOGRAMA!I139="", "",CRONOGRAMA!I139)</f>
        <v>42704</v>
      </c>
      <c r="I140" s="84">
        <f t="shared" si="398"/>
        <v>43.714285714285715</v>
      </c>
      <c r="J140" s="160" t="str">
        <f>IF($P$6="Indique Fecha Seguimiento","",IF(CRONOGRAMA!$E139="No Aplica","NA",IF($G140="","",IF(YEAR($G140)&lt;YEAR($P$6)," A ",IF(YEAR($G140)=YEAR($P$6),IF(MONTH($G140)&lt;=4," A ","NA"),IF(YEAR($G140)&gt;YEAR($P$6),"NA"))))))</f>
        <v xml:space="preserve"> A </v>
      </c>
      <c r="K140" s="400">
        <v>0.33300000000000002</v>
      </c>
      <c r="L140" s="402" t="s">
        <v>903</v>
      </c>
      <c r="M140" s="400">
        <v>0</v>
      </c>
      <c r="N140" s="348">
        <f t="shared" si="399"/>
        <v>0</v>
      </c>
      <c r="O140" s="349" t="s">
        <v>353</v>
      </c>
      <c r="P140" s="44" t="s">
        <v>918</v>
      </c>
      <c r="Q140" s="84">
        <f t="shared" si="400"/>
        <v>0</v>
      </c>
      <c r="R140" s="84">
        <f t="shared" si="401"/>
        <v>0</v>
      </c>
      <c r="S140" s="84">
        <f t="shared" si="318"/>
        <v>43.714285714285715</v>
      </c>
      <c r="T140" s="160" t="str">
        <f>IF($Z$6="Indique Fecha Seguimiento","",IF(CRONOGRAMA!$E139="No Aplica","NA",IF($G140="","",IF(YEAR($G140)&lt;YEAR($Z$6)," A ",IF(YEAR($G140)=YEAR($Z$6),IF(MONTH($G140)&lt;=8," A ","NA"),IF(YEAR($G140)&gt;YEAR($Z$6),"NA"))))))</f>
        <v xml:space="preserve"> A </v>
      </c>
      <c r="U140" s="409">
        <v>0.66600000000000004</v>
      </c>
      <c r="V140" s="402" t="s">
        <v>903</v>
      </c>
      <c r="W140" s="351">
        <v>0.6</v>
      </c>
      <c r="X140" s="348">
        <f t="shared" si="402"/>
        <v>0.6</v>
      </c>
      <c r="Y140" s="349" t="s">
        <v>353</v>
      </c>
      <c r="Z140" s="402" t="s">
        <v>930</v>
      </c>
      <c r="AA140" s="84">
        <f t="shared" si="403"/>
        <v>26.228571428571428</v>
      </c>
      <c r="AB140" s="84">
        <f t="shared" si="404"/>
        <v>26.228571428571428</v>
      </c>
      <c r="AC140" s="84">
        <f t="shared" si="322"/>
        <v>43.714285714285715</v>
      </c>
      <c r="AD140" s="160" t="str">
        <f>IF($AJ$6="Indique Fecha Seguimiento","",IF(CRONOGRAMA!$E139="No Aplica","NA",IF($G140="","",IF(YEAR($G140)&lt;YEAR($AJ$6)," A ",IF(YEAR($G140)=YEAR($AJ$6),IF(MONTH($G140)&lt;=12," A ","NA"),IF(YEAR($G140)&gt;YEAR($AJ$6),"NA"))))))</f>
        <v/>
      </c>
      <c r="AE140" s="350"/>
      <c r="AF140" s="44"/>
      <c r="AG140" s="351"/>
      <c r="AH140" s="348" t="str">
        <f t="shared" si="405"/>
        <v/>
      </c>
      <c r="AI140" s="349"/>
      <c r="AJ140" s="44"/>
      <c r="AK140" s="81" t="str">
        <f t="shared" si="406"/>
        <v/>
      </c>
      <c r="AL140" s="84">
        <f t="shared" si="407"/>
        <v>0</v>
      </c>
      <c r="AM140" s="84">
        <f t="shared" si="326"/>
        <v>43.714285714285715</v>
      </c>
      <c r="AN140" s="592">
        <f t="shared" ref="AN140" si="479">SUM(I140:I142)</f>
        <v>43.714285714285715</v>
      </c>
      <c r="AO140" s="602">
        <f t="shared" ref="AO140" si="480">IF(AND(Q140="",Q141="",Q142=""),"",SUM(Q140:Q142))</f>
        <v>0</v>
      </c>
      <c r="AP140" s="603">
        <f t="shared" ref="AP140" si="481">IF(AND(AA140="",AA141="",AA142=""),"",SUM(AA140:AA142))</f>
        <v>26.228571428571428</v>
      </c>
      <c r="AQ140" s="603" t="str">
        <f t="shared" ref="AQ140" si="482">IF(AND(AK140="",AK141="",AK142=""),"",SUM(AK140:AK142))</f>
        <v/>
      </c>
      <c r="AR140" s="574">
        <f t="shared" si="331"/>
        <v>0</v>
      </c>
      <c r="AS140" s="574">
        <f t="shared" si="332"/>
        <v>0.6</v>
      </c>
      <c r="AT140" s="574">
        <f t="shared" ref="AT140" si="483">IF(AS140&gt;=AR140,AS140,AR140)</f>
        <v>0.6</v>
      </c>
      <c r="AU140" s="572" t="str">
        <f t="shared" si="334"/>
        <v/>
      </c>
      <c r="AV140" s="573">
        <f t="shared" ref="AV140" si="484">IF($AU$6=1,AR140,IF($AU$6=2,AS140,IF($AU$6=3,AU140,"")))</f>
        <v>0.6</v>
      </c>
      <c r="AW140" s="605">
        <f t="shared" ref="AW140" si="485">AV140</f>
        <v>0.6</v>
      </c>
      <c r="AX140" t="str">
        <f t="shared" si="415"/>
        <v xml:space="preserve">Los informes son socializados </v>
      </c>
    </row>
    <row r="141" spans="1:50" ht="15.75" x14ac:dyDescent="0.25">
      <c r="A141" s="589"/>
      <c r="B141" s="591"/>
      <c r="C141" s="82" t="str">
        <f>IF('CONSOLIDACION DEL MAPA'!P140="","",'CONSOLIDACION DEL MAPA'!P140)</f>
        <v/>
      </c>
      <c r="D141" s="82" t="str">
        <f>CRONOGRAMA!D140</f>
        <v/>
      </c>
      <c r="E141" s="132" t="str">
        <f>IF(CRONOGRAMA!F140="", "",CRONOGRAMA!F140)</f>
        <v/>
      </c>
      <c r="F141" s="132" t="str">
        <f>IF(CRONOGRAMA!G140="", "",CRONOGRAMA!G140)</f>
        <v/>
      </c>
      <c r="G141" s="128" t="str">
        <f>IF(CRONOGRAMA!H140="", "",CRONOGRAMA!H140)</f>
        <v/>
      </c>
      <c r="H141" s="128" t="str">
        <f>IF(CRONOGRAMA!I140="", "",CRONOGRAMA!I140)</f>
        <v/>
      </c>
      <c r="I141" s="84">
        <f t="shared" si="398"/>
        <v>0</v>
      </c>
      <c r="J141" s="160" t="str">
        <f>IF($P$6="Indique Fecha Seguimiento","",IF(CRONOGRAMA!$E140="No Aplica","NA",IF($G141="","",IF(YEAR($G141)&lt;YEAR($P$6)," A ",IF(YEAR($G141)=YEAR($P$6),IF(MONTH($G141)&lt;=4," A ","NA"),IF(YEAR($G141)&gt;YEAR($P$6),"NA"))))))</f>
        <v/>
      </c>
      <c r="K141" s="400"/>
      <c r="L141" s="402"/>
      <c r="M141" s="400"/>
      <c r="N141" s="348" t="str">
        <f t="shared" si="399"/>
        <v/>
      </c>
      <c r="O141" s="349"/>
      <c r="P141" s="44"/>
      <c r="Q141" s="84" t="str">
        <f t="shared" si="400"/>
        <v/>
      </c>
      <c r="R141" s="84" t="str">
        <f t="shared" si="401"/>
        <v/>
      </c>
      <c r="S141" s="84">
        <f t="shared" si="318"/>
        <v>0</v>
      </c>
      <c r="T141" s="160" t="str">
        <f>IF($Z$6="Indique Fecha Seguimiento","",IF(CRONOGRAMA!$E140="No Aplica","NA",IF($G141="","",IF(YEAR($G141)&lt;YEAR($Z$6)," A ",IF(YEAR($G141)=YEAR($Z$6),IF(MONTH($G141)&lt;=8," A ","NA"),IF(YEAR($G141)&gt;YEAR($Z$6),"NA"))))))</f>
        <v/>
      </c>
      <c r="U141" s="400"/>
      <c r="V141" s="402"/>
      <c r="W141" s="351"/>
      <c r="X141" s="348" t="str">
        <f t="shared" si="402"/>
        <v/>
      </c>
      <c r="Y141" s="349"/>
      <c r="Z141" s="402"/>
      <c r="AA141" s="84" t="str">
        <f t="shared" si="403"/>
        <v/>
      </c>
      <c r="AB141" s="84" t="str">
        <f t="shared" si="404"/>
        <v/>
      </c>
      <c r="AC141" s="84">
        <f t="shared" si="322"/>
        <v>0</v>
      </c>
      <c r="AD141" s="160" t="str">
        <f>IF($AJ$6="Indique Fecha Seguimiento","",IF(CRONOGRAMA!$E140="No Aplica","NA",IF($G141="","",IF(YEAR($G141)&lt;YEAR($AJ$6)," A ",IF(YEAR($G141)=YEAR($AJ$6),IF(MONTH($G141)&lt;=12," A ","NA"),IF(YEAR($G141)&gt;YEAR($AJ$6),"NA"))))))</f>
        <v/>
      </c>
      <c r="AE141" s="350"/>
      <c r="AF141" s="44"/>
      <c r="AG141" s="351"/>
      <c r="AH141" s="348" t="str">
        <f t="shared" si="405"/>
        <v/>
      </c>
      <c r="AI141" s="349"/>
      <c r="AJ141" s="44"/>
      <c r="AK141" s="81" t="str">
        <f t="shared" si="406"/>
        <v/>
      </c>
      <c r="AL141" s="84">
        <f t="shared" si="407"/>
        <v>0</v>
      </c>
      <c r="AM141" s="84">
        <f t="shared" si="326"/>
        <v>0</v>
      </c>
      <c r="AN141" s="592"/>
      <c r="AO141" s="602"/>
      <c r="AP141" s="603"/>
      <c r="AQ141" s="603"/>
      <c r="AR141" s="574"/>
      <c r="AS141" s="574"/>
      <c r="AT141" s="574"/>
      <c r="AU141" s="572"/>
      <c r="AV141" s="573"/>
      <c r="AW141" s="605"/>
      <c r="AX141">
        <f t="shared" si="415"/>
        <v>0</v>
      </c>
    </row>
    <row r="142" spans="1:50" ht="16.5" thickBot="1" x14ac:dyDescent="0.3">
      <c r="A142" s="590"/>
      <c r="B142" s="591"/>
      <c r="C142" s="82" t="str">
        <f>IF('CONSOLIDACION DEL MAPA'!P141="","",'CONSOLIDACION DEL MAPA'!P141)</f>
        <v/>
      </c>
      <c r="D142" s="82" t="str">
        <f>CRONOGRAMA!D141</f>
        <v/>
      </c>
      <c r="E142" s="132" t="str">
        <f>IF(CRONOGRAMA!F141="", "",CRONOGRAMA!F141)</f>
        <v/>
      </c>
      <c r="F142" s="132" t="str">
        <f>IF(CRONOGRAMA!G141="", "",CRONOGRAMA!G141)</f>
        <v/>
      </c>
      <c r="G142" s="128" t="str">
        <f>IF(CRONOGRAMA!H141="", "",CRONOGRAMA!H141)</f>
        <v/>
      </c>
      <c r="H142" s="128" t="str">
        <f>IF(CRONOGRAMA!I141="", "",CRONOGRAMA!I141)</f>
        <v/>
      </c>
      <c r="I142" s="84">
        <f t="shared" si="398"/>
        <v>0</v>
      </c>
      <c r="J142" s="160" t="str">
        <f>IF($P$6="Indique Fecha Seguimiento","",IF(CRONOGRAMA!$E141="No Aplica","NA",IF($G142="","",IF(YEAR($G142)&lt;YEAR($P$6)," A ",IF(YEAR($G142)=YEAR($P$6),IF(MONTH($G142)&lt;=4," A ","NA"),IF(YEAR($G142)&gt;YEAR($P$6),"NA"))))))</f>
        <v/>
      </c>
      <c r="K142" s="400"/>
      <c r="L142" s="402"/>
      <c r="M142" s="400"/>
      <c r="N142" s="348" t="str">
        <f t="shared" si="399"/>
        <v/>
      </c>
      <c r="O142" s="349"/>
      <c r="P142" s="44"/>
      <c r="Q142" s="84" t="str">
        <f t="shared" si="400"/>
        <v/>
      </c>
      <c r="R142" s="84" t="str">
        <f t="shared" si="401"/>
        <v/>
      </c>
      <c r="S142" s="84">
        <f t="shared" si="318"/>
        <v>0</v>
      </c>
      <c r="T142" s="160" t="str">
        <f>IF($Z$6="Indique Fecha Seguimiento","",IF(CRONOGRAMA!$E141="No Aplica","NA",IF($G142="","",IF(YEAR($G142)&lt;YEAR($Z$6)," A ",IF(YEAR($G142)=YEAR($Z$6),IF(MONTH($G142)&lt;=8," A ","NA"),IF(YEAR($G142)&gt;YEAR($Z$6),"NA"))))))</f>
        <v/>
      </c>
      <c r="U142" s="400"/>
      <c r="V142" s="402"/>
      <c r="W142" s="351"/>
      <c r="X142" s="348" t="str">
        <f t="shared" si="402"/>
        <v/>
      </c>
      <c r="Y142" s="349"/>
      <c r="Z142" s="402"/>
      <c r="AA142" s="84" t="str">
        <f t="shared" si="403"/>
        <v/>
      </c>
      <c r="AB142" s="84" t="str">
        <f t="shared" si="404"/>
        <v/>
      </c>
      <c r="AC142" s="84">
        <f t="shared" si="322"/>
        <v>0</v>
      </c>
      <c r="AD142" s="160" t="str">
        <f>IF($AJ$6="Indique Fecha Seguimiento","",IF(CRONOGRAMA!$E141="No Aplica","NA",IF($G142="","",IF(YEAR($G142)&lt;YEAR($AJ$6)," A ",IF(YEAR($G142)=YEAR($AJ$6),IF(MONTH($G142)&lt;=12," A ","NA"),IF(YEAR($G142)&gt;YEAR($AJ$6),"NA"))))))</f>
        <v/>
      </c>
      <c r="AE142" s="350"/>
      <c r="AF142" s="44"/>
      <c r="AG142" s="351"/>
      <c r="AH142" s="348" t="str">
        <f t="shared" si="405"/>
        <v/>
      </c>
      <c r="AI142" s="349"/>
      <c r="AJ142" s="44"/>
      <c r="AK142" s="81" t="str">
        <f t="shared" si="406"/>
        <v/>
      </c>
      <c r="AL142" s="84">
        <f t="shared" si="407"/>
        <v>0</v>
      </c>
      <c r="AM142" s="84">
        <f t="shared" si="326"/>
        <v>0</v>
      </c>
      <c r="AN142" s="592"/>
      <c r="AO142" s="602"/>
      <c r="AP142" s="603"/>
      <c r="AQ142" s="603"/>
      <c r="AR142" s="574"/>
      <c r="AS142" s="574"/>
      <c r="AT142" s="574"/>
      <c r="AU142" s="572"/>
      <c r="AV142" s="573"/>
      <c r="AW142" s="605"/>
      <c r="AX142">
        <f t="shared" si="415"/>
        <v>0</v>
      </c>
    </row>
    <row r="143" spans="1:50" ht="51.75" thickTop="1" x14ac:dyDescent="0.25">
      <c r="A143" s="588" t="str">
        <f>CRONOGRAMA!A142</f>
        <v>17C</v>
      </c>
      <c r="B143" s="591" t="str">
        <f>CRONOGRAMA!B142</f>
        <v xml:space="preserve">Gestión de Extensión y Proyección Social. Inadecuada ejecución de los recursos asignados </v>
      </c>
      <c r="C143" s="82" t="str">
        <f>IF('CONSOLIDACION DEL MAPA'!P142="","",'CONSOLIDACION DEL MAPA'!P142)</f>
        <v>Evitar</v>
      </c>
      <c r="D143" s="82" t="str">
        <f>CRONOGRAMA!D142</f>
        <v>Divulgación de los resultados de los proyectos</v>
      </c>
      <c r="E143" s="132" t="str">
        <f>IF(CRONOGRAMA!F142="", "",CRONOGRAMA!F142)</f>
        <v>Informes
Encuestas de satisfacción del usuario</v>
      </c>
      <c r="F143" s="132">
        <f>IF(CRONOGRAMA!G142="", "",CRONOGRAMA!G142)</f>
        <v>1</v>
      </c>
      <c r="G143" s="128">
        <f>IF(CRONOGRAMA!H142="", "",CRONOGRAMA!H142)</f>
        <v>42398</v>
      </c>
      <c r="H143" s="128">
        <f>IF(CRONOGRAMA!I142="", "",CRONOGRAMA!I142)</f>
        <v>42704</v>
      </c>
      <c r="I143" s="84">
        <f t="shared" si="398"/>
        <v>43.714285714285715</v>
      </c>
      <c r="J143" s="160" t="str">
        <f>IF($P$6="Indique Fecha Seguimiento","",IF(CRONOGRAMA!$E142="No Aplica","NA",IF($G143="","",IF(YEAR($G143)&lt;YEAR($P$6)," A ",IF(YEAR($G143)=YEAR($P$6),IF(MONTH($G143)&lt;=4," A ","NA"),IF(YEAR($G143)&gt;YEAR($P$6),"NA"))))))</f>
        <v xml:space="preserve"> A </v>
      </c>
      <c r="K143" s="400">
        <v>0.33300000000000002</v>
      </c>
      <c r="L143" s="402" t="s">
        <v>904</v>
      </c>
      <c r="M143" s="400">
        <v>0</v>
      </c>
      <c r="N143" s="348">
        <f t="shared" si="399"/>
        <v>0</v>
      </c>
      <c r="O143" s="349" t="s">
        <v>353</v>
      </c>
      <c r="P143" s="44" t="s">
        <v>918</v>
      </c>
      <c r="Q143" s="84">
        <f t="shared" si="400"/>
        <v>0</v>
      </c>
      <c r="R143" s="84">
        <f t="shared" si="401"/>
        <v>0</v>
      </c>
      <c r="S143" s="84">
        <f t="shared" si="318"/>
        <v>43.714285714285715</v>
      </c>
      <c r="T143" s="160" t="str">
        <f>IF($Z$6="Indique Fecha Seguimiento","",IF(CRONOGRAMA!$E142="No Aplica","NA",IF($G143="","",IF(YEAR($G143)&lt;YEAR($Z$6)," A ",IF(YEAR($G143)=YEAR($Z$6),IF(MONTH($G143)&lt;=8," A ","NA"),IF(YEAR($G143)&gt;YEAR($Z$6),"NA"))))))</f>
        <v xml:space="preserve"> A </v>
      </c>
      <c r="U143" s="409">
        <v>0.66600000000000004</v>
      </c>
      <c r="V143" s="402" t="s">
        <v>904</v>
      </c>
      <c r="W143" s="351">
        <v>0.6</v>
      </c>
      <c r="X143" s="348">
        <f t="shared" si="402"/>
        <v>0.6</v>
      </c>
      <c r="Y143" s="349" t="s">
        <v>353</v>
      </c>
      <c r="Z143" s="402" t="s">
        <v>931</v>
      </c>
      <c r="AA143" s="84">
        <f t="shared" si="403"/>
        <v>26.228571428571428</v>
      </c>
      <c r="AB143" s="84">
        <f t="shared" si="404"/>
        <v>26.228571428571428</v>
      </c>
      <c r="AC143" s="84">
        <f t="shared" si="322"/>
        <v>43.714285714285715</v>
      </c>
      <c r="AD143" s="160" t="str">
        <f>IF($AJ$6="Indique Fecha Seguimiento","",IF(CRONOGRAMA!$E142="No Aplica","NA",IF($G143="","",IF(YEAR($G143)&lt;YEAR($AJ$6)," A ",IF(YEAR($G143)=YEAR($AJ$6),IF(MONTH($G143)&lt;=12," A ","NA"),IF(YEAR($G143)&gt;YEAR($AJ$6),"NA"))))))</f>
        <v/>
      </c>
      <c r="AE143" s="350"/>
      <c r="AF143" s="44"/>
      <c r="AG143" s="351"/>
      <c r="AH143" s="348" t="str">
        <f t="shared" si="405"/>
        <v/>
      </c>
      <c r="AI143" s="349"/>
      <c r="AJ143" s="44"/>
      <c r="AK143" s="81" t="str">
        <f t="shared" si="406"/>
        <v/>
      </c>
      <c r="AL143" s="84">
        <f t="shared" si="407"/>
        <v>0</v>
      </c>
      <c r="AM143" s="84">
        <f t="shared" si="326"/>
        <v>43.714285714285715</v>
      </c>
      <c r="AN143" s="592">
        <f t="shared" ref="AN143" si="486">SUM(I143:I145)</f>
        <v>43.714285714285715</v>
      </c>
      <c r="AO143" s="602">
        <f t="shared" ref="AO143" si="487">IF(AND(Q143="",Q144="",Q145=""),"",SUM(Q143:Q145))</f>
        <v>0</v>
      </c>
      <c r="AP143" s="603">
        <f t="shared" ref="AP143" si="488">IF(AND(AA143="",AA144="",AA145=""),"",SUM(AA143:AA145))</f>
        <v>26.228571428571428</v>
      </c>
      <c r="AQ143" s="603" t="str">
        <f t="shared" ref="AQ143" si="489">IF(AND(AK143="",AK144="",AK145=""),"",SUM(AK143:AK145))</f>
        <v/>
      </c>
      <c r="AR143" s="574">
        <f t="shared" si="331"/>
        <v>0</v>
      </c>
      <c r="AS143" s="574">
        <f t="shared" si="332"/>
        <v>0.6</v>
      </c>
      <c r="AT143" s="574">
        <f t="shared" ref="AT143" si="490">IF(AS143&gt;=AR143,AS143,AR143)</f>
        <v>0.6</v>
      </c>
      <c r="AU143" s="572" t="str">
        <f t="shared" si="334"/>
        <v/>
      </c>
      <c r="AV143" s="573">
        <f t="shared" ref="AV143" si="491">IF($AU$6=1,AR143,IF($AU$6=2,AS143,IF($AU$6=3,AU143,"")))</f>
        <v>0.6</v>
      </c>
      <c r="AW143" s="605">
        <f t="shared" ref="AW143" si="492">AV143</f>
        <v>0.6</v>
      </c>
      <c r="AX143" t="str">
        <f t="shared" si="415"/>
        <v>Se realizan encuestas de satisfacción</v>
      </c>
    </row>
    <row r="144" spans="1:50" ht="15.75" x14ac:dyDescent="0.25">
      <c r="A144" s="589"/>
      <c r="B144" s="591"/>
      <c r="C144" s="82" t="str">
        <f>IF('CONSOLIDACION DEL MAPA'!P143="","",'CONSOLIDACION DEL MAPA'!P143)</f>
        <v/>
      </c>
      <c r="D144" s="82" t="str">
        <f>CRONOGRAMA!D143</f>
        <v/>
      </c>
      <c r="E144" s="132" t="str">
        <f>IF(CRONOGRAMA!F143="", "",CRONOGRAMA!F143)</f>
        <v/>
      </c>
      <c r="F144" s="132" t="str">
        <f>IF(CRONOGRAMA!G143="", "",CRONOGRAMA!G143)</f>
        <v/>
      </c>
      <c r="G144" s="128" t="str">
        <f>IF(CRONOGRAMA!H143="", "",CRONOGRAMA!H143)</f>
        <v/>
      </c>
      <c r="H144" s="128" t="str">
        <f>IF(CRONOGRAMA!I143="", "",CRONOGRAMA!I143)</f>
        <v/>
      </c>
      <c r="I144" s="84">
        <f t="shared" si="398"/>
        <v>0</v>
      </c>
      <c r="J144" s="160" t="str">
        <f>IF($P$6="Indique Fecha Seguimiento","",IF(CRONOGRAMA!$E143="No Aplica","NA",IF($G144="","",IF(YEAR($G144)&lt;YEAR($P$6)," A ",IF(YEAR($G144)=YEAR($P$6),IF(MONTH($G144)&lt;=4," A ","NA"),IF(YEAR($G144)&gt;YEAR($P$6),"NA"))))))</f>
        <v/>
      </c>
      <c r="K144" s="400"/>
      <c r="L144" s="402"/>
      <c r="M144" s="400"/>
      <c r="N144" s="348" t="str">
        <f t="shared" si="399"/>
        <v/>
      </c>
      <c r="O144" s="349"/>
      <c r="P144" s="44"/>
      <c r="Q144" s="84" t="str">
        <f t="shared" si="400"/>
        <v/>
      </c>
      <c r="R144" s="84" t="str">
        <f t="shared" si="401"/>
        <v/>
      </c>
      <c r="S144" s="84">
        <f t="shared" si="318"/>
        <v>0</v>
      </c>
      <c r="T144" s="160" t="str">
        <f>IF($Z$6="Indique Fecha Seguimiento","",IF(CRONOGRAMA!$E143="No Aplica","NA",IF($G144="","",IF(YEAR($G144)&lt;YEAR($Z$6)," A ",IF(YEAR($G144)=YEAR($Z$6),IF(MONTH($G144)&lt;=8," A ","NA"),IF(YEAR($G144)&gt;YEAR($Z$6),"NA"))))))</f>
        <v/>
      </c>
      <c r="U144" s="409"/>
      <c r="V144" s="402"/>
      <c r="W144" s="351"/>
      <c r="X144" s="348" t="str">
        <f t="shared" si="402"/>
        <v/>
      </c>
      <c r="Y144" s="349"/>
      <c r="Z144" s="402"/>
      <c r="AA144" s="84" t="str">
        <f t="shared" si="403"/>
        <v/>
      </c>
      <c r="AB144" s="84" t="str">
        <f t="shared" si="404"/>
        <v/>
      </c>
      <c r="AC144" s="84">
        <f t="shared" si="322"/>
        <v>0</v>
      </c>
      <c r="AD144" s="160" t="str">
        <f>IF($AJ$6="Indique Fecha Seguimiento","",IF(CRONOGRAMA!$E143="No Aplica","NA",IF($G144="","",IF(YEAR($G144)&lt;YEAR($AJ$6)," A ",IF(YEAR($G144)=YEAR($AJ$6),IF(MONTH($G144)&lt;=12," A ","NA"),IF(YEAR($G144)&gt;YEAR($AJ$6),"NA"))))))</f>
        <v/>
      </c>
      <c r="AE144" s="350"/>
      <c r="AF144" s="44"/>
      <c r="AG144" s="351"/>
      <c r="AH144" s="348" t="str">
        <f t="shared" si="405"/>
        <v/>
      </c>
      <c r="AI144" s="349"/>
      <c r="AJ144" s="44"/>
      <c r="AK144" s="81" t="str">
        <f t="shared" si="406"/>
        <v/>
      </c>
      <c r="AL144" s="84">
        <f t="shared" si="407"/>
        <v>0</v>
      </c>
      <c r="AM144" s="84">
        <f t="shared" si="326"/>
        <v>0</v>
      </c>
      <c r="AN144" s="592"/>
      <c r="AO144" s="602"/>
      <c r="AP144" s="603"/>
      <c r="AQ144" s="603"/>
      <c r="AR144" s="574"/>
      <c r="AS144" s="574"/>
      <c r="AT144" s="574"/>
      <c r="AU144" s="572"/>
      <c r="AV144" s="573"/>
      <c r="AW144" s="605"/>
      <c r="AX144">
        <f t="shared" si="415"/>
        <v>0</v>
      </c>
    </row>
    <row r="145" spans="1:50" ht="16.5" thickBot="1" x14ac:dyDescent="0.3">
      <c r="A145" s="590"/>
      <c r="B145" s="591"/>
      <c r="C145" s="82" t="str">
        <f>IF('CONSOLIDACION DEL MAPA'!P144="","",'CONSOLIDACION DEL MAPA'!P144)</f>
        <v/>
      </c>
      <c r="D145" s="82" t="str">
        <f>CRONOGRAMA!D144</f>
        <v/>
      </c>
      <c r="E145" s="132" t="str">
        <f>IF(CRONOGRAMA!F144="", "",CRONOGRAMA!F144)</f>
        <v/>
      </c>
      <c r="F145" s="132" t="str">
        <f>IF(CRONOGRAMA!G144="", "",CRONOGRAMA!G144)</f>
        <v/>
      </c>
      <c r="G145" s="128" t="str">
        <f>IF(CRONOGRAMA!H144="", "",CRONOGRAMA!H144)</f>
        <v/>
      </c>
      <c r="H145" s="128" t="str">
        <f>IF(CRONOGRAMA!I144="", "",CRONOGRAMA!I144)</f>
        <v/>
      </c>
      <c r="I145" s="84">
        <f t="shared" si="398"/>
        <v>0</v>
      </c>
      <c r="J145" s="160" t="str">
        <f>IF($P$6="Indique Fecha Seguimiento","",IF(CRONOGRAMA!$E144="No Aplica","NA",IF($G145="","",IF(YEAR($G145)&lt;YEAR($P$6)," A ",IF(YEAR($G145)=YEAR($P$6),IF(MONTH($G145)&lt;=4," A ","NA"),IF(YEAR($G145)&gt;YEAR($P$6),"NA"))))))</f>
        <v/>
      </c>
      <c r="K145" s="400"/>
      <c r="L145" s="402"/>
      <c r="M145" s="400"/>
      <c r="N145" s="348" t="str">
        <f t="shared" si="399"/>
        <v/>
      </c>
      <c r="O145" s="349"/>
      <c r="P145" s="44"/>
      <c r="Q145" s="84" t="str">
        <f t="shared" si="400"/>
        <v/>
      </c>
      <c r="R145" s="84" t="str">
        <f t="shared" si="401"/>
        <v/>
      </c>
      <c r="S145" s="84">
        <f t="shared" si="318"/>
        <v>0</v>
      </c>
      <c r="T145" s="160" t="str">
        <f>IF($Z$6="Indique Fecha Seguimiento","",IF(CRONOGRAMA!$E144="No Aplica","NA",IF($G145="","",IF(YEAR($G145)&lt;YEAR($Z$6)," A ",IF(YEAR($G145)=YEAR($Z$6),IF(MONTH($G145)&lt;=8," A ","NA"),IF(YEAR($G145)&gt;YEAR($Z$6),"NA"))))))</f>
        <v/>
      </c>
      <c r="U145" s="409"/>
      <c r="V145" s="402"/>
      <c r="W145" s="351"/>
      <c r="X145" s="348" t="str">
        <f t="shared" si="402"/>
        <v/>
      </c>
      <c r="Y145" s="349"/>
      <c r="Z145" s="402"/>
      <c r="AA145" s="84" t="str">
        <f t="shared" si="403"/>
        <v/>
      </c>
      <c r="AB145" s="84" t="str">
        <f t="shared" si="404"/>
        <v/>
      </c>
      <c r="AC145" s="84">
        <f t="shared" si="322"/>
        <v>0</v>
      </c>
      <c r="AD145" s="160" t="str">
        <f>IF($AJ$6="Indique Fecha Seguimiento","",IF(CRONOGRAMA!$E144="No Aplica","NA",IF($G145="","",IF(YEAR($G145)&lt;YEAR($AJ$6)," A ",IF(YEAR($G145)=YEAR($AJ$6),IF(MONTH($G145)&lt;=12," A ","NA"),IF(YEAR($G145)&gt;YEAR($AJ$6),"NA"))))))</f>
        <v/>
      </c>
      <c r="AE145" s="350"/>
      <c r="AF145" s="44"/>
      <c r="AG145" s="351"/>
      <c r="AH145" s="348" t="str">
        <f t="shared" si="405"/>
        <v/>
      </c>
      <c r="AI145" s="349"/>
      <c r="AJ145" s="44"/>
      <c r="AK145" s="81" t="str">
        <f t="shared" si="406"/>
        <v/>
      </c>
      <c r="AL145" s="84">
        <f t="shared" si="407"/>
        <v>0</v>
      </c>
      <c r="AM145" s="84">
        <f t="shared" si="326"/>
        <v>0</v>
      </c>
      <c r="AN145" s="592"/>
      <c r="AO145" s="602"/>
      <c r="AP145" s="603"/>
      <c r="AQ145" s="603"/>
      <c r="AR145" s="574"/>
      <c r="AS145" s="574"/>
      <c r="AT145" s="574"/>
      <c r="AU145" s="572"/>
      <c r="AV145" s="573"/>
      <c r="AW145" s="605"/>
      <c r="AX145">
        <f t="shared" si="415"/>
        <v>0</v>
      </c>
    </row>
    <row r="146" spans="1:50" ht="48" thickTop="1" x14ac:dyDescent="0.25">
      <c r="A146" s="588" t="str">
        <f>CRONOGRAMA!A145</f>
        <v>18C</v>
      </c>
      <c r="B146" s="591" t="str">
        <f>CRONOGRAMA!B145</f>
        <v>Gestión de Extensión y Proyección Social. Extralimitación de funciones.</v>
      </c>
      <c r="C146" s="82" t="str">
        <f>IF('CONSOLIDACION DEL MAPA'!P145="","",'CONSOLIDACION DEL MAPA'!P145)</f>
        <v>Evitar</v>
      </c>
      <c r="D146" s="82" t="str">
        <f>CRONOGRAMA!D145</f>
        <v>Establecer mecanismos eficientes de control.</v>
      </c>
      <c r="E146" s="132" t="str">
        <f>IF(CRONOGRAMA!F145="", "",CRONOGRAMA!F145)</f>
        <v>Informes</v>
      </c>
      <c r="F146" s="132">
        <f>IF(CRONOGRAMA!G145="", "",CRONOGRAMA!G145)</f>
        <v>1</v>
      </c>
      <c r="G146" s="128">
        <f>IF(CRONOGRAMA!H145="", "",CRONOGRAMA!H145)</f>
        <v>42398</v>
      </c>
      <c r="H146" s="128">
        <f>IF(CRONOGRAMA!I145="", "",CRONOGRAMA!I145)</f>
        <v>42704</v>
      </c>
      <c r="I146" s="84">
        <f t="shared" si="398"/>
        <v>43.714285714285715</v>
      </c>
      <c r="J146" s="160" t="str">
        <f>IF($P$6="Indique Fecha Seguimiento","",IF(CRONOGRAMA!$E145="No Aplica","NA",IF($G146="","",IF(YEAR($G146)&lt;YEAR($P$6)," A ",IF(YEAR($G146)=YEAR($P$6),IF(MONTH($G146)&lt;=4," A ","NA"),IF(YEAR($G146)&gt;YEAR($P$6),"NA"))))))</f>
        <v xml:space="preserve"> A </v>
      </c>
      <c r="K146" s="400">
        <v>0.33300000000000002</v>
      </c>
      <c r="L146" s="402" t="s">
        <v>890</v>
      </c>
      <c r="M146" s="400">
        <v>0</v>
      </c>
      <c r="N146" s="348">
        <f t="shared" si="399"/>
        <v>0</v>
      </c>
      <c r="O146" s="349" t="s">
        <v>353</v>
      </c>
      <c r="P146" s="44" t="s">
        <v>918</v>
      </c>
      <c r="Q146" s="84">
        <f t="shared" si="400"/>
        <v>0</v>
      </c>
      <c r="R146" s="84">
        <f t="shared" si="401"/>
        <v>0</v>
      </c>
      <c r="S146" s="84">
        <f t="shared" si="318"/>
        <v>43.714285714285715</v>
      </c>
      <c r="T146" s="160" t="str">
        <f>IF($Z$6="Indique Fecha Seguimiento","",IF(CRONOGRAMA!$E145="No Aplica","NA",IF($G146="","",IF(YEAR($G146)&lt;YEAR($Z$6)," A ",IF(YEAR($G146)=YEAR($Z$6),IF(MONTH($G146)&lt;=8," A ","NA"),IF(YEAR($G146)&gt;YEAR($Z$6),"NA"))))))</f>
        <v xml:space="preserve"> A </v>
      </c>
      <c r="U146" s="409">
        <v>0.66600000000000004</v>
      </c>
      <c r="V146" s="402" t="s">
        <v>890</v>
      </c>
      <c r="W146" s="351">
        <v>0.6</v>
      </c>
      <c r="X146" s="348">
        <f t="shared" si="402"/>
        <v>0.6</v>
      </c>
      <c r="Y146" s="349" t="s">
        <v>353</v>
      </c>
      <c r="Z146" s="402" t="s">
        <v>932</v>
      </c>
      <c r="AA146" s="84">
        <f t="shared" si="403"/>
        <v>26.228571428571428</v>
      </c>
      <c r="AB146" s="84">
        <f t="shared" si="404"/>
        <v>26.228571428571428</v>
      </c>
      <c r="AC146" s="84">
        <f t="shared" si="322"/>
        <v>43.714285714285715</v>
      </c>
      <c r="AD146" s="160" t="str">
        <f>IF($AJ$6="Indique Fecha Seguimiento","",IF(CRONOGRAMA!$E145="No Aplica","NA",IF($G146="","",IF(YEAR($G146)&lt;YEAR($AJ$6)," A ",IF(YEAR($G146)=YEAR($AJ$6),IF(MONTH($G146)&lt;=12," A ","NA"),IF(YEAR($G146)&gt;YEAR($AJ$6),"NA"))))))</f>
        <v/>
      </c>
      <c r="AE146" s="350"/>
      <c r="AF146" s="44"/>
      <c r="AG146" s="351"/>
      <c r="AH146" s="348" t="str">
        <f t="shared" si="405"/>
        <v/>
      </c>
      <c r="AI146" s="349"/>
      <c r="AJ146" s="44"/>
      <c r="AK146" s="81" t="str">
        <f t="shared" si="406"/>
        <v/>
      </c>
      <c r="AL146" s="84">
        <f t="shared" si="407"/>
        <v>0</v>
      </c>
      <c r="AM146" s="84">
        <f t="shared" si="326"/>
        <v>43.714285714285715</v>
      </c>
      <c r="AN146" s="592">
        <f t="shared" ref="AN146" si="493">SUM(I146:I148)</f>
        <v>43.714285714285715</v>
      </c>
      <c r="AO146" s="602">
        <f t="shared" ref="AO146" si="494">IF(AND(Q146="",Q147="",Q148=""),"",SUM(Q146:Q148))</f>
        <v>0</v>
      </c>
      <c r="AP146" s="603">
        <f t="shared" ref="AP146" si="495">IF(AND(AA146="",AA147="",AA148=""),"",SUM(AA146:AA148))</f>
        <v>26.228571428571428</v>
      </c>
      <c r="AQ146" s="603" t="str">
        <f t="shared" ref="AQ146" si="496">IF(AND(AK146="",AK147="",AK148=""),"",SUM(AK146:AK148))</f>
        <v/>
      </c>
      <c r="AR146" s="574">
        <f t="shared" si="331"/>
        <v>0</v>
      </c>
      <c r="AS146" s="574">
        <f t="shared" si="332"/>
        <v>0.6</v>
      </c>
      <c r="AT146" s="574">
        <f t="shared" ref="AT146" si="497">IF(AS146&gt;=AR146,AS146,AR146)</f>
        <v>0.6</v>
      </c>
      <c r="AU146" s="572" t="str">
        <f t="shared" si="334"/>
        <v/>
      </c>
      <c r="AV146" s="573">
        <f t="shared" ref="AV146" si="498">IF($AU$6=1,AR146,IF($AU$6=2,AS146,IF($AU$6=3,AU146,"")))</f>
        <v>0.6</v>
      </c>
      <c r="AW146" s="605">
        <f t="shared" ref="AW146" si="499">AV146</f>
        <v>0.6</v>
      </c>
      <c r="AX146" t="str">
        <f t="shared" si="415"/>
        <v>Se siguen ejecutando los controles</v>
      </c>
    </row>
    <row r="147" spans="1:50" ht="15.75" x14ac:dyDescent="0.25">
      <c r="A147" s="589"/>
      <c r="B147" s="591"/>
      <c r="C147" s="82" t="str">
        <f>IF('CONSOLIDACION DEL MAPA'!P146="","",'CONSOLIDACION DEL MAPA'!P146)</f>
        <v/>
      </c>
      <c r="D147" s="82" t="str">
        <f>CRONOGRAMA!D146</f>
        <v/>
      </c>
      <c r="E147" s="132" t="str">
        <f>IF(CRONOGRAMA!F146="", "",CRONOGRAMA!F146)</f>
        <v/>
      </c>
      <c r="F147" s="132" t="str">
        <f>IF(CRONOGRAMA!G146="", "",CRONOGRAMA!G146)</f>
        <v/>
      </c>
      <c r="G147" s="128" t="str">
        <f>IF(CRONOGRAMA!H146="", "",CRONOGRAMA!H146)</f>
        <v/>
      </c>
      <c r="H147" s="128" t="str">
        <f>IF(CRONOGRAMA!I146="", "",CRONOGRAMA!I146)</f>
        <v/>
      </c>
      <c r="I147" s="84">
        <f t="shared" si="398"/>
        <v>0</v>
      </c>
      <c r="J147" s="160" t="str">
        <f>IF($P$6="Indique Fecha Seguimiento","",IF(CRONOGRAMA!$E146="No Aplica","NA",IF($G147="","",IF(YEAR($G147)&lt;YEAR($P$6)," A ",IF(YEAR($G147)=YEAR($P$6),IF(MONTH($G147)&lt;=4," A ","NA"),IF(YEAR($G147)&gt;YEAR($P$6),"NA"))))))</f>
        <v/>
      </c>
      <c r="K147" s="400"/>
      <c r="L147" s="402"/>
      <c r="M147" s="400"/>
      <c r="N147" s="348" t="str">
        <f t="shared" si="399"/>
        <v/>
      </c>
      <c r="O147" s="349"/>
      <c r="P147" s="44"/>
      <c r="Q147" s="84" t="str">
        <f t="shared" si="400"/>
        <v/>
      </c>
      <c r="R147" s="84" t="str">
        <f t="shared" si="401"/>
        <v/>
      </c>
      <c r="S147" s="84">
        <f t="shared" si="318"/>
        <v>0</v>
      </c>
      <c r="T147" s="160" t="str">
        <f>IF($Z$6="Indique Fecha Seguimiento","",IF(CRONOGRAMA!$E146="No Aplica","NA",IF($G147="","",IF(YEAR($G147)&lt;YEAR($Z$6)," A ",IF(YEAR($G147)=YEAR($Z$6),IF(MONTH($G147)&lt;=8," A ","NA"),IF(YEAR($G147)&gt;YEAR($Z$6),"NA"))))))</f>
        <v/>
      </c>
      <c r="U147" s="409"/>
      <c r="V147" s="402"/>
      <c r="W147" s="351"/>
      <c r="X147" s="348" t="str">
        <f t="shared" si="402"/>
        <v/>
      </c>
      <c r="Y147" s="349"/>
      <c r="Z147" s="402"/>
      <c r="AA147" s="84" t="str">
        <f t="shared" si="403"/>
        <v/>
      </c>
      <c r="AB147" s="84" t="str">
        <f t="shared" si="404"/>
        <v/>
      </c>
      <c r="AC147" s="84">
        <f t="shared" si="322"/>
        <v>0</v>
      </c>
      <c r="AD147" s="160" t="str">
        <f>IF($AJ$6="Indique Fecha Seguimiento","",IF(CRONOGRAMA!$E146="No Aplica","NA",IF($G147="","",IF(YEAR($G147)&lt;YEAR($AJ$6)," A ",IF(YEAR($G147)=YEAR($AJ$6),IF(MONTH($G147)&lt;=12," A ","NA"),IF(YEAR($G147)&gt;YEAR($AJ$6),"NA"))))))</f>
        <v/>
      </c>
      <c r="AE147" s="350"/>
      <c r="AF147" s="44"/>
      <c r="AG147" s="351"/>
      <c r="AH147" s="348" t="str">
        <f t="shared" si="405"/>
        <v/>
      </c>
      <c r="AI147" s="349"/>
      <c r="AJ147" s="44"/>
      <c r="AK147" s="81" t="str">
        <f t="shared" si="406"/>
        <v/>
      </c>
      <c r="AL147" s="84">
        <f t="shared" si="407"/>
        <v>0</v>
      </c>
      <c r="AM147" s="84">
        <f t="shared" si="326"/>
        <v>0</v>
      </c>
      <c r="AN147" s="592"/>
      <c r="AO147" s="602"/>
      <c r="AP147" s="603"/>
      <c r="AQ147" s="603"/>
      <c r="AR147" s="574"/>
      <c r="AS147" s="574"/>
      <c r="AT147" s="574"/>
      <c r="AU147" s="572"/>
      <c r="AV147" s="573"/>
      <c r="AW147" s="605"/>
      <c r="AX147">
        <f t="shared" si="415"/>
        <v>0</v>
      </c>
    </row>
    <row r="148" spans="1:50" ht="16.5" thickBot="1" x14ac:dyDescent="0.3">
      <c r="A148" s="590"/>
      <c r="B148" s="591"/>
      <c r="C148" s="82" t="str">
        <f>IF('CONSOLIDACION DEL MAPA'!P147="","",'CONSOLIDACION DEL MAPA'!P147)</f>
        <v/>
      </c>
      <c r="D148" s="82" t="str">
        <f>CRONOGRAMA!D147</f>
        <v/>
      </c>
      <c r="E148" s="132" t="str">
        <f>IF(CRONOGRAMA!F147="", "",CRONOGRAMA!F147)</f>
        <v/>
      </c>
      <c r="F148" s="132" t="str">
        <f>IF(CRONOGRAMA!G147="", "",CRONOGRAMA!G147)</f>
        <v/>
      </c>
      <c r="G148" s="128" t="str">
        <f>IF(CRONOGRAMA!H147="", "",CRONOGRAMA!H147)</f>
        <v/>
      </c>
      <c r="H148" s="128" t="str">
        <f>IF(CRONOGRAMA!I147="", "",CRONOGRAMA!I147)</f>
        <v/>
      </c>
      <c r="I148" s="84">
        <f t="shared" si="398"/>
        <v>0</v>
      </c>
      <c r="J148" s="160" t="str">
        <f>IF($P$6="Indique Fecha Seguimiento","",IF(CRONOGRAMA!$E147="No Aplica","NA",IF($G148="","",IF(YEAR($G148)&lt;YEAR($P$6)," A ",IF(YEAR($G148)=YEAR($P$6),IF(MONTH($G148)&lt;=4," A ","NA"),IF(YEAR($G148)&gt;YEAR($P$6),"NA"))))))</f>
        <v/>
      </c>
      <c r="K148" s="400"/>
      <c r="L148" s="402"/>
      <c r="M148" s="400"/>
      <c r="N148" s="348" t="str">
        <f t="shared" si="399"/>
        <v/>
      </c>
      <c r="O148" s="349"/>
      <c r="P148" s="44"/>
      <c r="Q148" s="84" t="str">
        <f t="shared" si="400"/>
        <v/>
      </c>
      <c r="R148" s="84" t="str">
        <f t="shared" si="401"/>
        <v/>
      </c>
      <c r="S148" s="84">
        <f t="shared" si="318"/>
        <v>0</v>
      </c>
      <c r="T148" s="160" t="str">
        <f>IF($Z$6="Indique Fecha Seguimiento","",IF(CRONOGRAMA!$E147="No Aplica","NA",IF($G148="","",IF(YEAR($G148)&lt;YEAR($Z$6)," A ",IF(YEAR($G148)=YEAR($Z$6),IF(MONTH($G148)&lt;=8," A ","NA"),IF(YEAR($G148)&gt;YEAR($Z$6),"NA"))))))</f>
        <v/>
      </c>
      <c r="U148" s="409"/>
      <c r="V148" s="402"/>
      <c r="W148" s="351"/>
      <c r="X148" s="348" t="str">
        <f t="shared" si="402"/>
        <v/>
      </c>
      <c r="Y148" s="349"/>
      <c r="Z148" s="402"/>
      <c r="AA148" s="84" t="str">
        <f t="shared" si="403"/>
        <v/>
      </c>
      <c r="AB148" s="84" t="str">
        <f t="shared" si="404"/>
        <v/>
      </c>
      <c r="AC148" s="84">
        <f t="shared" si="322"/>
        <v>0</v>
      </c>
      <c r="AD148" s="160" t="str">
        <f>IF($AJ$6="Indique Fecha Seguimiento","",IF(CRONOGRAMA!$E147="No Aplica","NA",IF($G148="","",IF(YEAR($G148)&lt;YEAR($AJ$6)," A ",IF(YEAR($G148)=YEAR($AJ$6),IF(MONTH($G148)&lt;=12," A ","NA"),IF(YEAR($G148)&gt;YEAR($AJ$6),"NA"))))))</f>
        <v/>
      </c>
      <c r="AE148" s="350"/>
      <c r="AF148" s="44"/>
      <c r="AG148" s="351"/>
      <c r="AH148" s="348" t="str">
        <f t="shared" si="405"/>
        <v/>
      </c>
      <c r="AI148" s="349"/>
      <c r="AJ148" s="44"/>
      <c r="AK148" s="81" t="str">
        <f t="shared" si="406"/>
        <v/>
      </c>
      <c r="AL148" s="84">
        <f t="shared" si="407"/>
        <v>0</v>
      </c>
      <c r="AM148" s="84">
        <f t="shared" si="326"/>
        <v>0</v>
      </c>
      <c r="AN148" s="592"/>
      <c r="AO148" s="602"/>
      <c r="AP148" s="603"/>
      <c r="AQ148" s="603"/>
      <c r="AR148" s="574"/>
      <c r="AS148" s="574"/>
      <c r="AT148" s="574"/>
      <c r="AU148" s="572"/>
      <c r="AV148" s="573"/>
      <c r="AW148" s="605"/>
      <c r="AX148">
        <f t="shared" si="415"/>
        <v>0</v>
      </c>
    </row>
    <row r="149" spans="1:50" ht="51.75" thickTop="1" x14ac:dyDescent="0.25">
      <c r="A149" s="588" t="str">
        <f>CRONOGRAMA!A148</f>
        <v>19C</v>
      </c>
      <c r="B149" s="591" t="str">
        <f>CRONOGRAMA!B148</f>
        <v>Gestión de Extensión y Proyección Social. Omisión de la ley para beneficio propio.</v>
      </c>
      <c r="C149" s="82" t="str">
        <f>IF('CONSOLIDACION DEL MAPA'!P148="","",'CONSOLIDACION DEL MAPA'!P148)</f>
        <v>Evitar</v>
      </c>
      <c r="D149" s="82" t="str">
        <f>CRONOGRAMA!D148</f>
        <v>Solicitud de asesoría legal suficiente.</v>
      </c>
      <c r="E149" s="132" t="str">
        <f>IF(CRONOGRAMA!F148="", "",CRONOGRAMA!F148)</f>
        <v>Comunicados y registros</v>
      </c>
      <c r="F149" s="132">
        <f>IF(CRONOGRAMA!G148="", "",CRONOGRAMA!G148)</f>
        <v>1</v>
      </c>
      <c r="G149" s="128">
        <f>IF(CRONOGRAMA!H148="", "",CRONOGRAMA!H148)</f>
        <v>42398</v>
      </c>
      <c r="H149" s="128">
        <f>IF(CRONOGRAMA!I148="", "",CRONOGRAMA!I148)</f>
        <v>42704</v>
      </c>
      <c r="I149" s="84">
        <f t="shared" ref="I149:I196" si="500">IF(G149="",0,IF(H149="",0,(H149-G149)/7))</f>
        <v>43.714285714285715</v>
      </c>
      <c r="J149" s="160" t="str">
        <f>IF($P$6="Indique Fecha Seguimiento","",IF(CRONOGRAMA!$E148="No Aplica","NA",IF($G149="","",IF(YEAR($G149)&lt;YEAR($P$6)," A ",IF(YEAR($G149)=YEAR($P$6),IF(MONTH($G149)&lt;=4," A ","NA"),IF(YEAR($G149)&gt;YEAR($P$6),"NA"))))))</f>
        <v xml:space="preserve"> A </v>
      </c>
      <c r="K149" s="400">
        <v>0.33300000000000002</v>
      </c>
      <c r="L149" s="402" t="s">
        <v>905</v>
      </c>
      <c r="M149" s="400">
        <v>0</v>
      </c>
      <c r="N149" s="348">
        <f t="shared" ref="N149:N196" si="501">IF(M149="","",IF($F149=0,0,M149/$F149))</f>
        <v>0</v>
      </c>
      <c r="O149" s="349" t="s">
        <v>353</v>
      </c>
      <c r="P149" s="44" t="s">
        <v>918</v>
      </c>
      <c r="Q149" s="84">
        <f t="shared" ref="Q149:Q196" si="502">IF(N149="","",($I149*N149))</f>
        <v>0</v>
      </c>
      <c r="R149" s="84">
        <f t="shared" ref="R149:R196" si="503">IF(O149="SI",Q149,IF($P$6&lt;=$H149,Q149,0))</f>
        <v>0</v>
      </c>
      <c r="S149" s="84">
        <f t="shared" si="318"/>
        <v>43.714285714285715</v>
      </c>
      <c r="T149" s="160" t="str">
        <f>IF($Z$6="Indique Fecha Seguimiento","",IF(CRONOGRAMA!$E148="No Aplica","NA",IF($G149="","",IF(YEAR($G149)&lt;YEAR($Z$6)," A ",IF(YEAR($G149)=YEAR($Z$6),IF(MONTH($G149)&lt;=8," A ","NA"),IF(YEAR($G149)&gt;YEAR($Z$6),"NA"))))))</f>
        <v xml:space="preserve"> A </v>
      </c>
      <c r="U149" s="409">
        <v>0.66600000000000004</v>
      </c>
      <c r="V149" s="402" t="s">
        <v>905</v>
      </c>
      <c r="W149" s="351">
        <v>0.6</v>
      </c>
      <c r="X149" s="348">
        <f t="shared" ref="X149:X196" si="504">IF(W149="","",IF($F149=0,0,W149/$F149))</f>
        <v>0.6</v>
      </c>
      <c r="Y149" s="349" t="s">
        <v>353</v>
      </c>
      <c r="Z149" s="402" t="s">
        <v>933</v>
      </c>
      <c r="AA149" s="84">
        <f t="shared" ref="AA149:AA196" si="505">IF(X149="","",($I149*X149))</f>
        <v>26.228571428571428</v>
      </c>
      <c r="AB149" s="84">
        <f t="shared" ref="AB149:AB196" si="506">IF(N149=1,R149,IF(Y149="SI",AA149,IF($Z$6&lt;=$H149,AA149,0)))</f>
        <v>26.228571428571428</v>
      </c>
      <c r="AC149" s="84">
        <f t="shared" si="322"/>
        <v>43.714285714285715</v>
      </c>
      <c r="AD149" s="160" t="str">
        <f>IF($AJ$6="Indique Fecha Seguimiento","",IF(CRONOGRAMA!$E148="No Aplica","NA",IF($G149="","",IF(YEAR($G149)&lt;YEAR($AJ$6)," A ",IF(YEAR($G149)=YEAR($AJ$6),IF(MONTH($G149)&lt;=12," A ","NA"),IF(YEAR($G149)&gt;YEAR($AJ$6),"NA"))))))</f>
        <v/>
      </c>
      <c r="AE149" s="350"/>
      <c r="AF149" s="44"/>
      <c r="AG149" s="351"/>
      <c r="AH149" s="348" t="str">
        <f t="shared" ref="AH149:AH196" si="507">IF(AG149="","",IF($F149=0,0,AG149/$F149))</f>
        <v/>
      </c>
      <c r="AI149" s="349"/>
      <c r="AJ149" s="44"/>
      <c r="AK149" s="81" t="str">
        <f t="shared" ref="AK149:AK196" si="508">IF(AH149="","",($I149*AH149))</f>
        <v/>
      </c>
      <c r="AL149" s="84">
        <f t="shared" ref="AL149:AL196" si="509">IF(X149=1,AB149,IF(AI149="SI",AK149,IF($AJ$6&lt;=$H149,AK149,0)))</f>
        <v>0</v>
      </c>
      <c r="AM149" s="84">
        <f t="shared" si="326"/>
        <v>43.714285714285715</v>
      </c>
      <c r="AN149" s="592">
        <f t="shared" ref="AN149" si="510">SUM(I149:I151)</f>
        <v>43.714285714285715</v>
      </c>
      <c r="AO149" s="602">
        <f t="shared" ref="AO149" si="511">IF(AND(Q149="",Q150="",Q151=""),"",SUM(Q149:Q151))</f>
        <v>0</v>
      </c>
      <c r="AP149" s="603">
        <f t="shared" ref="AP149" si="512">IF(AND(AA149="",AA150="",AA151=""),"",SUM(AA149:AA151))</f>
        <v>26.228571428571428</v>
      </c>
      <c r="AQ149" s="603" t="str">
        <f t="shared" ref="AQ149" si="513">IF(AND(AK149="",AK150="",AK151=""),"",SUM(AK149:AK151))</f>
        <v/>
      </c>
      <c r="AR149" s="574">
        <f t="shared" si="331"/>
        <v>0</v>
      </c>
      <c r="AS149" s="574">
        <f t="shared" si="332"/>
        <v>0.6</v>
      </c>
      <c r="AT149" s="574">
        <f t="shared" ref="AT149" si="514">IF(AS149&gt;=AR149,AS149,AR149)</f>
        <v>0.6</v>
      </c>
      <c r="AU149" s="572" t="str">
        <f t="shared" si="334"/>
        <v/>
      </c>
      <c r="AV149" s="573">
        <f t="shared" ref="AV149" si="515">IF($AU$6=1,AR149,IF($AU$6=2,AS149,IF($AU$6=3,AU149,"")))</f>
        <v>0.6</v>
      </c>
      <c r="AW149" s="605">
        <f t="shared" ref="AW149" si="516">AV149</f>
        <v>0.6</v>
      </c>
      <c r="AX149" t="str">
        <f t="shared" ref="AX149:AX196" si="517">IF($AU$6=1,P149,IF($AU$6=2,Z149,IF($AU$6=3,AJ149,"")))</f>
        <v>Existe acompañamiento y asesoramiento jurídico</v>
      </c>
    </row>
    <row r="150" spans="1:50" ht="15.75" x14ac:dyDescent="0.25">
      <c r="A150" s="589"/>
      <c r="B150" s="591"/>
      <c r="C150" s="82" t="str">
        <f>IF('CONSOLIDACION DEL MAPA'!P149="","",'CONSOLIDACION DEL MAPA'!P149)</f>
        <v/>
      </c>
      <c r="D150" s="82" t="str">
        <f>CRONOGRAMA!D149</f>
        <v/>
      </c>
      <c r="E150" s="132" t="str">
        <f>IF(CRONOGRAMA!F149="", "",CRONOGRAMA!F149)</f>
        <v/>
      </c>
      <c r="F150" s="132" t="str">
        <f>IF(CRONOGRAMA!G149="", "",CRONOGRAMA!G149)</f>
        <v/>
      </c>
      <c r="G150" s="128" t="str">
        <f>IF(CRONOGRAMA!H149="", "",CRONOGRAMA!H149)</f>
        <v/>
      </c>
      <c r="H150" s="128" t="str">
        <f>IF(CRONOGRAMA!I149="", "",CRONOGRAMA!I149)</f>
        <v/>
      </c>
      <c r="I150" s="84">
        <f t="shared" si="500"/>
        <v>0</v>
      </c>
      <c r="J150" s="160" t="str">
        <f>IF($P$6="Indique Fecha Seguimiento","",IF(CRONOGRAMA!$E149="No Aplica","NA",IF($G150="","",IF(YEAR($G150)&lt;YEAR($P$6)," A ",IF(YEAR($G150)=YEAR($P$6),IF(MONTH($G150)&lt;=4," A ","NA"),IF(YEAR($G150)&gt;YEAR($P$6),"NA"))))))</f>
        <v/>
      </c>
      <c r="K150" s="400"/>
      <c r="L150" s="402"/>
      <c r="M150" s="400"/>
      <c r="N150" s="348" t="str">
        <f t="shared" si="501"/>
        <v/>
      </c>
      <c r="O150" s="349"/>
      <c r="P150" s="44"/>
      <c r="Q150" s="84" t="str">
        <f t="shared" si="502"/>
        <v/>
      </c>
      <c r="R150" s="84" t="str">
        <f t="shared" si="503"/>
        <v/>
      </c>
      <c r="S150" s="84">
        <f t="shared" si="318"/>
        <v>0</v>
      </c>
      <c r="T150" s="160" t="str">
        <f>IF($Z$6="Indique Fecha Seguimiento","",IF(CRONOGRAMA!$E149="No Aplica","NA",IF($G150="","",IF(YEAR($G150)&lt;YEAR($Z$6)," A ",IF(YEAR($G150)=YEAR($Z$6),IF(MONTH($G150)&lt;=8," A ","NA"),IF(YEAR($G150)&gt;YEAR($Z$6),"NA"))))))</f>
        <v/>
      </c>
      <c r="U150" s="350"/>
      <c r="V150" s="44"/>
      <c r="W150" s="351"/>
      <c r="X150" s="348" t="str">
        <f t="shared" si="504"/>
        <v/>
      </c>
      <c r="Y150" s="349"/>
      <c r="Z150" s="44"/>
      <c r="AA150" s="84" t="str">
        <f t="shared" si="505"/>
        <v/>
      </c>
      <c r="AB150" s="84" t="str">
        <f t="shared" si="506"/>
        <v/>
      </c>
      <c r="AC150" s="84">
        <f t="shared" si="322"/>
        <v>0</v>
      </c>
      <c r="AD150" s="160" t="str">
        <f>IF($AJ$6="Indique Fecha Seguimiento","",IF(CRONOGRAMA!$E149="No Aplica","NA",IF($G150="","",IF(YEAR($G150)&lt;YEAR($AJ$6)," A ",IF(YEAR($G150)=YEAR($AJ$6),IF(MONTH($G150)&lt;=12," A ","NA"),IF(YEAR($G150)&gt;YEAR($AJ$6),"NA"))))))</f>
        <v/>
      </c>
      <c r="AE150" s="350"/>
      <c r="AF150" s="44"/>
      <c r="AG150" s="351"/>
      <c r="AH150" s="348" t="str">
        <f t="shared" si="507"/>
        <v/>
      </c>
      <c r="AI150" s="349"/>
      <c r="AJ150" s="44"/>
      <c r="AK150" s="81" t="str">
        <f t="shared" si="508"/>
        <v/>
      </c>
      <c r="AL150" s="84">
        <f t="shared" si="509"/>
        <v>0</v>
      </c>
      <c r="AM150" s="84">
        <f t="shared" si="326"/>
        <v>0</v>
      </c>
      <c r="AN150" s="592"/>
      <c r="AO150" s="602"/>
      <c r="AP150" s="603"/>
      <c r="AQ150" s="603"/>
      <c r="AR150" s="574"/>
      <c r="AS150" s="574"/>
      <c r="AT150" s="574"/>
      <c r="AU150" s="572"/>
      <c r="AV150" s="573"/>
      <c r="AW150" s="605"/>
      <c r="AX150">
        <f t="shared" si="517"/>
        <v>0</v>
      </c>
    </row>
    <row r="151" spans="1:50" ht="16.5" thickBot="1" x14ac:dyDescent="0.3">
      <c r="A151" s="590"/>
      <c r="B151" s="591"/>
      <c r="C151" s="82" t="str">
        <f>IF('CONSOLIDACION DEL MAPA'!P150="","",'CONSOLIDACION DEL MAPA'!P150)</f>
        <v/>
      </c>
      <c r="D151" s="82" t="str">
        <f>CRONOGRAMA!D150</f>
        <v/>
      </c>
      <c r="E151" s="132" t="str">
        <f>IF(CRONOGRAMA!F150="", "",CRONOGRAMA!F150)</f>
        <v/>
      </c>
      <c r="F151" s="132" t="str">
        <f>IF(CRONOGRAMA!G150="", "",CRONOGRAMA!G150)</f>
        <v/>
      </c>
      <c r="G151" s="128" t="str">
        <f>IF(CRONOGRAMA!H150="", "",CRONOGRAMA!H150)</f>
        <v/>
      </c>
      <c r="H151" s="128" t="str">
        <f>IF(CRONOGRAMA!I150="", "",CRONOGRAMA!I150)</f>
        <v/>
      </c>
      <c r="I151" s="84">
        <f t="shared" si="500"/>
        <v>0</v>
      </c>
      <c r="J151" s="160" t="str">
        <f>IF($P$6="Indique Fecha Seguimiento","",IF(CRONOGRAMA!$E150="No Aplica","NA",IF($G151="","",IF(YEAR($G151)&lt;YEAR($P$6)," A ",IF(YEAR($G151)=YEAR($P$6),IF(MONTH($G151)&lt;=4," A ","NA"),IF(YEAR($G151)&gt;YEAR($P$6),"NA"))))))</f>
        <v/>
      </c>
      <c r="K151" s="400"/>
      <c r="L151" s="402"/>
      <c r="M151" s="400"/>
      <c r="N151" s="348" t="str">
        <f t="shared" si="501"/>
        <v/>
      </c>
      <c r="O151" s="349"/>
      <c r="P151" s="44"/>
      <c r="Q151" s="84" t="str">
        <f t="shared" si="502"/>
        <v/>
      </c>
      <c r="R151" s="84" t="str">
        <f t="shared" si="503"/>
        <v/>
      </c>
      <c r="S151" s="84">
        <f t="shared" si="318"/>
        <v>0</v>
      </c>
      <c r="T151" s="160" t="str">
        <f>IF($Z$6="Indique Fecha Seguimiento","",IF(CRONOGRAMA!$E150="No Aplica","NA",IF($G151="","",IF(YEAR($G151)&lt;YEAR($Z$6)," A ",IF(YEAR($G151)=YEAR($Z$6),IF(MONTH($G151)&lt;=8," A ","NA"),IF(YEAR($G151)&gt;YEAR($Z$6),"NA"))))))</f>
        <v/>
      </c>
      <c r="U151" s="350"/>
      <c r="V151" s="44"/>
      <c r="W151" s="351"/>
      <c r="X151" s="348" t="str">
        <f t="shared" si="504"/>
        <v/>
      </c>
      <c r="Y151" s="349"/>
      <c r="Z151" s="44"/>
      <c r="AA151" s="84" t="str">
        <f t="shared" si="505"/>
        <v/>
      </c>
      <c r="AB151" s="84" t="str">
        <f t="shared" si="506"/>
        <v/>
      </c>
      <c r="AC151" s="84">
        <f t="shared" si="322"/>
        <v>0</v>
      </c>
      <c r="AD151" s="160" t="str">
        <f>IF($AJ$6="Indique Fecha Seguimiento","",IF(CRONOGRAMA!$E150="No Aplica","NA",IF($G151="","",IF(YEAR($G151)&lt;YEAR($AJ$6)," A ",IF(YEAR($G151)=YEAR($AJ$6),IF(MONTH($G151)&lt;=12," A ","NA"),IF(YEAR($G151)&gt;YEAR($AJ$6),"NA"))))))</f>
        <v/>
      </c>
      <c r="AE151" s="350"/>
      <c r="AF151" s="44"/>
      <c r="AG151" s="351"/>
      <c r="AH151" s="348" t="str">
        <f t="shared" si="507"/>
        <v/>
      </c>
      <c r="AI151" s="349"/>
      <c r="AJ151" s="44"/>
      <c r="AK151" s="81" t="str">
        <f t="shared" si="508"/>
        <v/>
      </c>
      <c r="AL151" s="84">
        <f t="shared" si="509"/>
        <v>0</v>
      </c>
      <c r="AM151" s="84">
        <f t="shared" si="326"/>
        <v>0</v>
      </c>
      <c r="AN151" s="592"/>
      <c r="AO151" s="602"/>
      <c r="AP151" s="603"/>
      <c r="AQ151" s="603"/>
      <c r="AR151" s="574"/>
      <c r="AS151" s="574"/>
      <c r="AT151" s="574"/>
      <c r="AU151" s="572"/>
      <c r="AV151" s="573"/>
      <c r="AW151" s="605"/>
      <c r="AX151">
        <f t="shared" si="517"/>
        <v>0</v>
      </c>
    </row>
    <row r="152" spans="1:50" ht="39" thickTop="1" x14ac:dyDescent="0.25">
      <c r="A152" s="588" t="str">
        <f>CRONOGRAMA!A151</f>
        <v>20C</v>
      </c>
      <c r="B152" s="591" t="str">
        <f>CRONOGRAMA!B151</f>
        <v>Gestión de Contratación. Pliegos de condiciones hechos a la medida de una firma en particular.</v>
      </c>
      <c r="C152" s="82" t="str">
        <f>IF('CONSOLIDACION DEL MAPA'!P151="","",'CONSOLIDACION DEL MAPA'!P151)</f>
        <v>No Establecer</v>
      </c>
      <c r="D152" s="82" t="str">
        <f>CRONOGRAMA!D151</f>
        <v>Seguir ejecutando y monitoreando los controles existentes</v>
      </c>
      <c r="E152" s="132" t="str">
        <f>IF(CRONOGRAMA!F151="", "",CRONOGRAMA!F151)</f>
        <v/>
      </c>
      <c r="F152" s="132" t="str">
        <f>IF(CRONOGRAMA!G151="", "",CRONOGRAMA!G151)</f>
        <v/>
      </c>
      <c r="G152" s="128" t="str">
        <f>IF(CRONOGRAMA!H151="", "",CRONOGRAMA!H151)</f>
        <v/>
      </c>
      <c r="H152" s="128" t="str">
        <f>IF(CRONOGRAMA!I151="", "",CRONOGRAMA!I151)</f>
        <v/>
      </c>
      <c r="I152" s="84">
        <f t="shared" si="500"/>
        <v>0</v>
      </c>
      <c r="J152" s="160" t="str">
        <f>IF($P$6="Indique Fecha Seguimiento","",IF(CRONOGRAMA!$E151="No Aplica","NA",IF($G152="","",IF(YEAR($G152)&lt;YEAR($P$6)," A ",IF(YEAR($G152)=YEAR($P$6),IF(MONTH($G152)&lt;=4," A ","NA"),IF(YEAR($G152)&gt;YEAR($P$6),"NA"))))))</f>
        <v>NA</v>
      </c>
      <c r="K152" s="400"/>
      <c r="L152" s="402"/>
      <c r="M152" s="400"/>
      <c r="N152" s="348" t="str">
        <f t="shared" si="501"/>
        <v/>
      </c>
      <c r="O152" s="349"/>
      <c r="P152" s="44"/>
      <c r="Q152" s="84" t="str">
        <f t="shared" si="502"/>
        <v/>
      </c>
      <c r="R152" s="84" t="str">
        <f t="shared" si="503"/>
        <v/>
      </c>
      <c r="S152" s="84">
        <f t="shared" si="318"/>
        <v>0</v>
      </c>
      <c r="T152" s="160" t="str">
        <f>IF($Z$6="Indique Fecha Seguimiento","",IF(CRONOGRAMA!$E151="No Aplica","NA",IF($G152="","",IF(YEAR($G152)&lt;YEAR($Z$6)," A ",IF(YEAR($G152)=YEAR($Z$6),IF(MONTH($G152)&lt;=8," A ","NA"),IF(YEAR($G152)&gt;YEAR($Z$6),"NA"))))))</f>
        <v>NA</v>
      </c>
      <c r="U152" s="350"/>
      <c r="V152" s="44"/>
      <c r="W152" s="351"/>
      <c r="X152" s="348" t="str">
        <f t="shared" si="504"/>
        <v/>
      </c>
      <c r="Y152" s="349"/>
      <c r="Z152" s="44"/>
      <c r="AA152" s="84" t="str">
        <f t="shared" si="505"/>
        <v/>
      </c>
      <c r="AB152" s="84" t="str">
        <f t="shared" si="506"/>
        <v/>
      </c>
      <c r="AC152" s="84">
        <f t="shared" si="322"/>
        <v>0</v>
      </c>
      <c r="AD152" s="160" t="str">
        <f>IF($AJ$6="Indique Fecha Seguimiento","",IF(CRONOGRAMA!$E151="No Aplica","NA",IF($G152="","",IF(YEAR($G152)&lt;YEAR($AJ$6)," A ",IF(YEAR($G152)=YEAR($AJ$6),IF(MONTH($G152)&lt;=12," A ","NA"),IF(YEAR($G152)&gt;YEAR($AJ$6),"NA"))))))</f>
        <v/>
      </c>
      <c r="AE152" s="350"/>
      <c r="AF152" s="44"/>
      <c r="AG152" s="351"/>
      <c r="AH152" s="348" t="str">
        <f t="shared" si="507"/>
        <v/>
      </c>
      <c r="AI152" s="349"/>
      <c r="AJ152" s="44"/>
      <c r="AK152" s="81" t="str">
        <f t="shared" si="508"/>
        <v/>
      </c>
      <c r="AL152" s="84">
        <f t="shared" si="509"/>
        <v>0</v>
      </c>
      <c r="AM152" s="84">
        <f t="shared" si="326"/>
        <v>0</v>
      </c>
      <c r="AN152" s="592">
        <f t="shared" ref="AN152" si="518">SUM(I152:I154)</f>
        <v>0</v>
      </c>
      <c r="AO152" s="602" t="str">
        <f t="shared" ref="AO152" si="519">IF(AND(Q152="",Q153="",Q154=""),"",SUM(Q152:Q154))</f>
        <v/>
      </c>
      <c r="AP152" s="603" t="str">
        <f t="shared" ref="AP152" si="520">IF(AND(AA152="",AA153="",AA154=""),"",SUM(AA152:AA154))</f>
        <v/>
      </c>
      <c r="AQ152" s="603" t="str">
        <f t="shared" ref="AQ152" si="521">IF(AND(AK152="",AK153="",AK154=""),"",SUM(AK152:AK154))</f>
        <v/>
      </c>
      <c r="AR152" s="574" t="str">
        <f t="shared" si="331"/>
        <v>NA</v>
      </c>
      <c r="AS152" s="574" t="str">
        <f t="shared" si="332"/>
        <v>NA</v>
      </c>
      <c r="AT152" s="574" t="str">
        <f t="shared" ref="AT152" si="522">IF(AS152&gt;=AR152,AS152,AR152)</f>
        <v>NA</v>
      </c>
      <c r="AU152" s="572" t="str">
        <f t="shared" si="334"/>
        <v/>
      </c>
      <c r="AV152" s="573" t="str">
        <f t="shared" ref="AV152" si="523">IF($AU$6=1,AR152,IF($AU$6=2,AS152,IF($AU$6=3,AU152,"")))</f>
        <v>NA</v>
      </c>
      <c r="AW152" s="605" t="str">
        <f t="shared" ref="AW152" si="524">AV152</f>
        <v>NA</v>
      </c>
      <c r="AX152">
        <f t="shared" si="517"/>
        <v>0</v>
      </c>
    </row>
    <row r="153" spans="1:50" ht="15.75" x14ac:dyDescent="0.25">
      <c r="A153" s="589"/>
      <c r="B153" s="591"/>
      <c r="C153" s="82" t="str">
        <f>IF('CONSOLIDACION DEL MAPA'!P152="","",'CONSOLIDACION DEL MAPA'!P152)</f>
        <v/>
      </c>
      <c r="D153" s="82" t="str">
        <f>CRONOGRAMA!D152</f>
        <v/>
      </c>
      <c r="E153" s="132" t="str">
        <f>IF(CRONOGRAMA!F152="", "",CRONOGRAMA!F152)</f>
        <v/>
      </c>
      <c r="F153" s="132" t="str">
        <f>IF(CRONOGRAMA!G152="", "",CRONOGRAMA!G152)</f>
        <v/>
      </c>
      <c r="G153" s="128" t="str">
        <f>IF(CRONOGRAMA!H152="", "",CRONOGRAMA!H152)</f>
        <v/>
      </c>
      <c r="H153" s="128" t="str">
        <f>IF(CRONOGRAMA!I152="", "",CRONOGRAMA!I152)</f>
        <v/>
      </c>
      <c r="I153" s="84">
        <f t="shared" si="500"/>
        <v>0</v>
      </c>
      <c r="J153" s="160" t="str">
        <f>IF($P$6="Indique Fecha Seguimiento","",IF(CRONOGRAMA!$E152="No Aplica","NA",IF($G153="","",IF(YEAR($G153)&lt;YEAR($P$6)," A ",IF(YEAR($G153)=YEAR($P$6),IF(MONTH($G153)&lt;=4," A ","NA"),IF(YEAR($G153)&gt;YEAR($P$6),"NA"))))))</f>
        <v/>
      </c>
      <c r="K153" s="400"/>
      <c r="L153" s="402"/>
      <c r="M153" s="400"/>
      <c r="N153" s="348" t="str">
        <f t="shared" si="501"/>
        <v/>
      </c>
      <c r="O153" s="349"/>
      <c r="P153" s="44"/>
      <c r="Q153" s="84" t="str">
        <f t="shared" si="502"/>
        <v/>
      </c>
      <c r="R153" s="84" t="str">
        <f t="shared" si="503"/>
        <v/>
      </c>
      <c r="S153" s="84">
        <f t="shared" si="318"/>
        <v>0</v>
      </c>
      <c r="T153" s="160" t="str">
        <f>IF($Z$6="Indique Fecha Seguimiento","",IF(CRONOGRAMA!$E152="No Aplica","NA",IF($G153="","",IF(YEAR($G153)&lt;YEAR($Z$6)," A ",IF(YEAR($G153)=YEAR($Z$6),IF(MONTH($G153)&lt;=8," A ","NA"),IF(YEAR($G153)&gt;YEAR($Z$6),"NA"))))))</f>
        <v/>
      </c>
      <c r="U153" s="350"/>
      <c r="V153" s="44"/>
      <c r="W153" s="351"/>
      <c r="X153" s="348" t="str">
        <f t="shared" si="504"/>
        <v/>
      </c>
      <c r="Y153" s="349"/>
      <c r="Z153" s="44"/>
      <c r="AA153" s="84" t="str">
        <f t="shared" si="505"/>
        <v/>
      </c>
      <c r="AB153" s="84" t="str">
        <f t="shared" si="506"/>
        <v/>
      </c>
      <c r="AC153" s="84">
        <f t="shared" si="322"/>
        <v>0</v>
      </c>
      <c r="AD153" s="160" t="str">
        <f>IF($AJ$6="Indique Fecha Seguimiento","",IF(CRONOGRAMA!$E152="No Aplica","NA",IF($G153="","",IF(YEAR($G153)&lt;YEAR($AJ$6)," A ",IF(YEAR($G153)=YEAR($AJ$6),IF(MONTH($G153)&lt;=12," A ","NA"),IF(YEAR($G153)&gt;YEAR($AJ$6),"NA"))))))</f>
        <v/>
      </c>
      <c r="AE153" s="350"/>
      <c r="AF153" s="44"/>
      <c r="AG153" s="351"/>
      <c r="AH153" s="348" t="str">
        <f t="shared" si="507"/>
        <v/>
      </c>
      <c r="AI153" s="349"/>
      <c r="AJ153" s="44"/>
      <c r="AK153" s="81" t="str">
        <f t="shared" si="508"/>
        <v/>
      </c>
      <c r="AL153" s="84">
        <f t="shared" si="509"/>
        <v>0</v>
      </c>
      <c r="AM153" s="84">
        <f t="shared" si="326"/>
        <v>0</v>
      </c>
      <c r="AN153" s="592"/>
      <c r="AO153" s="602"/>
      <c r="AP153" s="603"/>
      <c r="AQ153" s="603"/>
      <c r="AR153" s="574"/>
      <c r="AS153" s="574"/>
      <c r="AT153" s="574"/>
      <c r="AU153" s="572"/>
      <c r="AV153" s="573"/>
      <c r="AW153" s="605"/>
      <c r="AX153">
        <f t="shared" si="517"/>
        <v>0</v>
      </c>
    </row>
    <row r="154" spans="1:50" ht="16.5" thickBot="1" x14ac:dyDescent="0.3">
      <c r="A154" s="590"/>
      <c r="B154" s="591"/>
      <c r="C154" s="82" t="str">
        <f>IF('CONSOLIDACION DEL MAPA'!P153="","",'CONSOLIDACION DEL MAPA'!P153)</f>
        <v/>
      </c>
      <c r="D154" s="82" t="str">
        <f>CRONOGRAMA!D153</f>
        <v/>
      </c>
      <c r="E154" s="132" t="str">
        <f>IF(CRONOGRAMA!F153="", "",CRONOGRAMA!F153)</f>
        <v/>
      </c>
      <c r="F154" s="132" t="str">
        <f>IF(CRONOGRAMA!G153="", "",CRONOGRAMA!G153)</f>
        <v/>
      </c>
      <c r="G154" s="128" t="str">
        <f>IF(CRONOGRAMA!H153="", "",CRONOGRAMA!H153)</f>
        <v/>
      </c>
      <c r="H154" s="128" t="str">
        <f>IF(CRONOGRAMA!I153="", "",CRONOGRAMA!I153)</f>
        <v/>
      </c>
      <c r="I154" s="84">
        <f t="shared" si="500"/>
        <v>0</v>
      </c>
      <c r="J154" s="160" t="str">
        <f>IF($P$6="Indique Fecha Seguimiento","",IF(CRONOGRAMA!$E153="No Aplica","NA",IF($G154="","",IF(YEAR($G154)&lt;YEAR($P$6)," A ",IF(YEAR($G154)=YEAR($P$6),IF(MONTH($G154)&lt;=4," A ","NA"),IF(YEAR($G154)&gt;YEAR($P$6),"NA"))))))</f>
        <v/>
      </c>
      <c r="K154" s="400"/>
      <c r="L154" s="402"/>
      <c r="M154" s="400"/>
      <c r="N154" s="348" t="str">
        <f t="shared" si="501"/>
        <v/>
      </c>
      <c r="O154" s="349"/>
      <c r="P154" s="44"/>
      <c r="Q154" s="84" t="str">
        <f t="shared" si="502"/>
        <v/>
      </c>
      <c r="R154" s="84" t="str">
        <f t="shared" si="503"/>
        <v/>
      </c>
      <c r="S154" s="84">
        <f t="shared" si="318"/>
        <v>0</v>
      </c>
      <c r="T154" s="160" t="str">
        <f>IF($Z$6="Indique Fecha Seguimiento","",IF(CRONOGRAMA!$E153="No Aplica","NA",IF($G154="","",IF(YEAR($G154)&lt;YEAR($Z$6)," A ",IF(YEAR($G154)=YEAR($Z$6),IF(MONTH($G154)&lt;=8," A ","NA"),IF(YEAR($G154)&gt;YEAR($Z$6),"NA"))))))</f>
        <v/>
      </c>
      <c r="U154" s="350"/>
      <c r="V154" s="44"/>
      <c r="W154" s="351"/>
      <c r="X154" s="348" t="str">
        <f t="shared" si="504"/>
        <v/>
      </c>
      <c r="Y154" s="349"/>
      <c r="Z154" s="44"/>
      <c r="AA154" s="84" t="str">
        <f t="shared" si="505"/>
        <v/>
      </c>
      <c r="AB154" s="84" t="str">
        <f t="shared" si="506"/>
        <v/>
      </c>
      <c r="AC154" s="84">
        <f t="shared" si="322"/>
        <v>0</v>
      </c>
      <c r="AD154" s="160" t="str">
        <f>IF($AJ$6="Indique Fecha Seguimiento","",IF(CRONOGRAMA!$E153="No Aplica","NA",IF($G154="","",IF(YEAR($G154)&lt;YEAR($AJ$6)," A ",IF(YEAR($G154)=YEAR($AJ$6),IF(MONTH($G154)&lt;=12," A ","NA"),IF(YEAR($G154)&gt;YEAR($AJ$6),"NA"))))))</f>
        <v/>
      </c>
      <c r="AE154" s="350"/>
      <c r="AF154" s="44"/>
      <c r="AG154" s="351"/>
      <c r="AH154" s="348" t="str">
        <f t="shared" si="507"/>
        <v/>
      </c>
      <c r="AI154" s="349"/>
      <c r="AJ154" s="44"/>
      <c r="AK154" s="81" t="str">
        <f t="shared" si="508"/>
        <v/>
      </c>
      <c r="AL154" s="84">
        <f t="shared" si="509"/>
        <v>0</v>
      </c>
      <c r="AM154" s="84">
        <f t="shared" si="326"/>
        <v>0</v>
      </c>
      <c r="AN154" s="592"/>
      <c r="AO154" s="602"/>
      <c r="AP154" s="603"/>
      <c r="AQ154" s="603"/>
      <c r="AR154" s="574"/>
      <c r="AS154" s="574"/>
      <c r="AT154" s="574"/>
      <c r="AU154" s="572"/>
      <c r="AV154" s="573"/>
      <c r="AW154" s="605"/>
      <c r="AX154">
        <f t="shared" si="517"/>
        <v>0</v>
      </c>
    </row>
    <row r="155" spans="1:50" ht="51.75" customHeight="1" thickTop="1" x14ac:dyDescent="0.25">
      <c r="A155" s="588" t="str">
        <f>CRONOGRAMA!A154</f>
        <v>21C</v>
      </c>
      <c r="B155" s="591" t="str">
        <f>CRONOGRAMA!B154</f>
        <v xml:space="preserve">Gestión Financiera. Pago de obligaciones sin el lleno de requisitos. </v>
      </c>
      <c r="C155" s="82" t="str">
        <f>IF('CONSOLIDACION DEL MAPA'!P154="","",'CONSOLIDACION DEL MAPA'!P154)</f>
        <v>Reducir</v>
      </c>
      <c r="D155" s="82" t="str">
        <f>CRONOGRAMA!D154</f>
        <v>Verificación de los requisitos legales, contables, tributarios y administrativos</v>
      </c>
      <c r="E155" s="132" t="str">
        <f>IF(CRONOGRAMA!F154="", "",CRONOGRAMA!F154)</f>
        <v>Ordenes de Pago con los respectivos soportes</v>
      </c>
      <c r="F155" s="132">
        <f>IF(CRONOGRAMA!G154="", "",CRONOGRAMA!G154)</f>
        <v>1</v>
      </c>
      <c r="G155" s="128">
        <f>IF(CRONOGRAMA!H154="", "",CRONOGRAMA!H154)</f>
        <v>42373</v>
      </c>
      <c r="H155" s="128">
        <f>IF(CRONOGRAMA!I154="", "",CRONOGRAMA!I154)</f>
        <v>42735</v>
      </c>
      <c r="I155" s="84">
        <f t="shared" si="500"/>
        <v>51.714285714285715</v>
      </c>
      <c r="J155" s="160" t="str">
        <f>IF($P$6="Indique Fecha Seguimiento","",IF(CRONOGRAMA!$E154="No Aplica","NA",IF($G155="","",IF(YEAR($G155)&lt;YEAR($P$6)," A ",IF(YEAR($G155)=YEAR($P$6),IF(MONTH($G155)&lt;=4," A ","NA"),IF(YEAR($G155)&gt;YEAR($P$6),"NA"))))))</f>
        <v xml:space="preserve"> A </v>
      </c>
      <c r="K155" s="400">
        <v>0.25</v>
      </c>
      <c r="L155" s="402" t="s">
        <v>906</v>
      </c>
      <c r="M155" s="400">
        <v>0.25</v>
      </c>
      <c r="N155" s="348">
        <f t="shared" si="501"/>
        <v>0.25</v>
      </c>
      <c r="O155" s="349" t="s">
        <v>353</v>
      </c>
      <c r="P155" s="44"/>
      <c r="Q155" s="84">
        <f t="shared" si="502"/>
        <v>12.928571428571429</v>
      </c>
      <c r="R155" s="84">
        <f t="shared" si="503"/>
        <v>12.928571428571429</v>
      </c>
      <c r="S155" s="84">
        <f t="shared" si="318"/>
        <v>51.714285714285715</v>
      </c>
      <c r="T155" s="160" t="str">
        <f>IF($Z$6="Indique Fecha Seguimiento","",IF(CRONOGRAMA!$E154="No Aplica","NA",IF($G155="","",IF(YEAR($G155)&lt;YEAR($Z$6)," A ",IF(YEAR($G155)=YEAR($Z$6),IF(MONTH($G155)&lt;=8," A ","NA"),IF(YEAR($G155)&gt;YEAR($Z$6),"NA"))))))</f>
        <v xml:space="preserve"> A </v>
      </c>
      <c r="U155" s="413">
        <v>0.6</v>
      </c>
      <c r="V155" s="44" t="s">
        <v>906</v>
      </c>
      <c r="W155" s="351">
        <v>0.6</v>
      </c>
      <c r="X155" s="348">
        <f t="shared" si="504"/>
        <v>0.6</v>
      </c>
      <c r="Y155" s="349" t="s">
        <v>353</v>
      </c>
      <c r="Z155" s="44" t="s">
        <v>941</v>
      </c>
      <c r="AA155" s="84">
        <f t="shared" si="505"/>
        <v>31.028571428571428</v>
      </c>
      <c r="AB155" s="84">
        <f t="shared" si="506"/>
        <v>31.028571428571428</v>
      </c>
      <c r="AC155" s="84">
        <f t="shared" si="322"/>
        <v>51.714285714285715</v>
      </c>
      <c r="AD155" s="160" t="str">
        <f>IF($AJ$6="Indique Fecha Seguimiento","",IF(CRONOGRAMA!$E154="No Aplica","NA",IF($G155="","",IF(YEAR($G155)&lt;YEAR($AJ$6)," A ",IF(YEAR($G155)=YEAR($AJ$6),IF(MONTH($G155)&lt;=12," A ","NA"),IF(YEAR($G155)&gt;YEAR($AJ$6),"NA"))))))</f>
        <v/>
      </c>
      <c r="AE155" s="350"/>
      <c r="AF155" s="44"/>
      <c r="AG155" s="351"/>
      <c r="AH155" s="348" t="str">
        <f t="shared" si="507"/>
        <v/>
      </c>
      <c r="AI155" s="349"/>
      <c r="AJ155" s="44"/>
      <c r="AK155" s="81" t="str">
        <f t="shared" si="508"/>
        <v/>
      </c>
      <c r="AL155" s="84">
        <f t="shared" si="509"/>
        <v>0</v>
      </c>
      <c r="AM155" s="84">
        <f t="shared" si="326"/>
        <v>51.714285714285715</v>
      </c>
      <c r="AN155" s="592">
        <f t="shared" ref="AN155" si="525">SUM(I155:I157)</f>
        <v>51.714285714285715</v>
      </c>
      <c r="AO155" s="602">
        <f t="shared" ref="AO155" si="526">IF(AND(Q155="",Q156="",Q157=""),"",SUM(Q155:Q157))</f>
        <v>12.928571428571429</v>
      </c>
      <c r="AP155" s="603">
        <f t="shared" ref="AP155" si="527">IF(AND(AA155="",AA156="",AA157=""),"",SUM(AA155:AA157))</f>
        <v>31.028571428571428</v>
      </c>
      <c r="AQ155" s="603" t="str">
        <f t="shared" ref="AQ155" si="528">IF(AND(AK155="",AK156="",AK157=""),"",SUM(AK155:AK157))</f>
        <v/>
      </c>
      <c r="AR155" s="574">
        <f t="shared" si="331"/>
        <v>0.25</v>
      </c>
      <c r="AS155" s="574">
        <f t="shared" si="332"/>
        <v>0.6</v>
      </c>
      <c r="AT155" s="574">
        <f t="shared" ref="AT155" si="529">IF(AS155&gt;=AR155,AS155,AR155)</f>
        <v>0.6</v>
      </c>
      <c r="AU155" s="572" t="str">
        <f t="shared" si="334"/>
        <v/>
      </c>
      <c r="AV155" s="573">
        <f t="shared" ref="AV155" si="530">IF($AU$6=1,AR155,IF($AU$6=2,AS155,IF($AU$6=3,AU155,"")))</f>
        <v>0.6</v>
      </c>
      <c r="AW155" s="605">
        <f t="shared" ref="AW155" si="531">AV155</f>
        <v>0.6</v>
      </c>
      <c r="AX155" t="str">
        <f t="shared" si="517"/>
        <v>Verificación de ordenes de pago con requisitos legales, contables y administrativos</v>
      </c>
    </row>
    <row r="156" spans="1:50" ht="15.75" x14ac:dyDescent="0.25">
      <c r="A156" s="589"/>
      <c r="B156" s="591"/>
      <c r="C156" s="82" t="str">
        <f>IF('CONSOLIDACION DEL MAPA'!P155="","",'CONSOLIDACION DEL MAPA'!P155)</f>
        <v/>
      </c>
      <c r="D156" s="82" t="str">
        <f>CRONOGRAMA!D155</f>
        <v/>
      </c>
      <c r="E156" s="132" t="str">
        <f>IF(CRONOGRAMA!F155="", "",CRONOGRAMA!F155)</f>
        <v/>
      </c>
      <c r="F156" s="132" t="str">
        <f>IF(CRONOGRAMA!G155="", "",CRONOGRAMA!G155)</f>
        <v/>
      </c>
      <c r="G156" s="128" t="str">
        <f>IF(CRONOGRAMA!H155="", "",CRONOGRAMA!H155)</f>
        <v/>
      </c>
      <c r="H156" s="128" t="str">
        <f>IF(CRONOGRAMA!I155="", "",CRONOGRAMA!I155)</f>
        <v/>
      </c>
      <c r="I156" s="84">
        <f t="shared" si="500"/>
        <v>0</v>
      </c>
      <c r="J156" s="160" t="str">
        <f>IF($P$6="Indique Fecha Seguimiento","",IF(CRONOGRAMA!$E155="No Aplica","NA",IF($G156="","",IF(YEAR($G156)&lt;YEAR($P$6)," A ",IF(YEAR($G156)=YEAR($P$6),IF(MONTH($G156)&lt;=4," A ","NA"),IF(YEAR($G156)&gt;YEAR($P$6),"NA"))))))</f>
        <v/>
      </c>
      <c r="K156" s="400"/>
      <c r="L156" s="402"/>
      <c r="M156" s="400"/>
      <c r="N156" s="348" t="str">
        <f t="shared" si="501"/>
        <v/>
      </c>
      <c r="O156" s="349"/>
      <c r="P156" s="44"/>
      <c r="Q156" s="84" t="str">
        <f t="shared" si="502"/>
        <v/>
      </c>
      <c r="R156" s="84" t="str">
        <f t="shared" si="503"/>
        <v/>
      </c>
      <c r="S156" s="84">
        <f t="shared" si="318"/>
        <v>0</v>
      </c>
      <c r="T156" s="160" t="str">
        <f>IF($Z$6="Indique Fecha Seguimiento","",IF(CRONOGRAMA!$E155="No Aplica","NA",IF($G156="","",IF(YEAR($G156)&lt;YEAR($Z$6)," A ",IF(YEAR($G156)=YEAR($Z$6),IF(MONTH($G156)&lt;=8," A ","NA"),IF(YEAR($G156)&gt;YEAR($Z$6),"NA"))))))</f>
        <v/>
      </c>
      <c r="U156" s="350"/>
      <c r="V156" s="44"/>
      <c r="W156" s="351"/>
      <c r="X156" s="348" t="str">
        <f t="shared" si="504"/>
        <v/>
      </c>
      <c r="Y156" s="349"/>
      <c r="Z156" s="44"/>
      <c r="AA156" s="84" t="str">
        <f t="shared" si="505"/>
        <v/>
      </c>
      <c r="AB156" s="84" t="str">
        <f t="shared" si="506"/>
        <v/>
      </c>
      <c r="AC156" s="84">
        <f t="shared" si="322"/>
        <v>0</v>
      </c>
      <c r="AD156" s="160" t="str">
        <f>IF($AJ$6="Indique Fecha Seguimiento","",IF(CRONOGRAMA!$E155="No Aplica","NA",IF($G156="","",IF(YEAR($G156)&lt;YEAR($AJ$6)," A ",IF(YEAR($G156)=YEAR($AJ$6),IF(MONTH($G156)&lt;=12," A ","NA"),IF(YEAR($G156)&gt;YEAR($AJ$6),"NA"))))))</f>
        <v/>
      </c>
      <c r="AE156" s="350"/>
      <c r="AF156" s="44"/>
      <c r="AG156" s="351"/>
      <c r="AH156" s="348" t="str">
        <f t="shared" si="507"/>
        <v/>
      </c>
      <c r="AI156" s="349"/>
      <c r="AJ156" s="44"/>
      <c r="AK156" s="81" t="str">
        <f t="shared" si="508"/>
        <v/>
      </c>
      <c r="AL156" s="84">
        <f t="shared" si="509"/>
        <v>0</v>
      </c>
      <c r="AM156" s="84">
        <f t="shared" si="326"/>
        <v>0</v>
      </c>
      <c r="AN156" s="592"/>
      <c r="AO156" s="602"/>
      <c r="AP156" s="603"/>
      <c r="AQ156" s="603"/>
      <c r="AR156" s="574"/>
      <c r="AS156" s="574"/>
      <c r="AT156" s="574"/>
      <c r="AU156" s="572"/>
      <c r="AV156" s="573"/>
      <c r="AW156" s="605"/>
      <c r="AX156">
        <f t="shared" si="517"/>
        <v>0</v>
      </c>
    </row>
    <row r="157" spans="1:50" ht="16.5" thickBot="1" x14ac:dyDescent="0.3">
      <c r="A157" s="590"/>
      <c r="B157" s="591"/>
      <c r="C157" s="82" t="str">
        <f>IF('CONSOLIDACION DEL MAPA'!P156="","",'CONSOLIDACION DEL MAPA'!P156)</f>
        <v/>
      </c>
      <c r="D157" s="82" t="str">
        <f>CRONOGRAMA!D156</f>
        <v/>
      </c>
      <c r="E157" s="132" t="str">
        <f>IF(CRONOGRAMA!F156="", "",CRONOGRAMA!F156)</f>
        <v/>
      </c>
      <c r="F157" s="132" t="str">
        <f>IF(CRONOGRAMA!G156="", "",CRONOGRAMA!G156)</f>
        <v/>
      </c>
      <c r="G157" s="128" t="str">
        <f>IF(CRONOGRAMA!H156="", "",CRONOGRAMA!H156)</f>
        <v/>
      </c>
      <c r="H157" s="128" t="str">
        <f>IF(CRONOGRAMA!I156="", "",CRONOGRAMA!I156)</f>
        <v/>
      </c>
      <c r="I157" s="84">
        <f t="shared" si="500"/>
        <v>0</v>
      </c>
      <c r="J157" s="160" t="str">
        <f>IF($P$6="Indique Fecha Seguimiento","",IF(CRONOGRAMA!$E156="No Aplica","NA",IF($G157="","",IF(YEAR($G157)&lt;YEAR($P$6)," A ",IF(YEAR($G157)=YEAR($P$6),IF(MONTH($G157)&lt;=4," A ","NA"),IF(YEAR($G157)&gt;YEAR($P$6),"NA"))))))</f>
        <v/>
      </c>
      <c r="K157" s="400"/>
      <c r="L157" s="402"/>
      <c r="M157" s="400"/>
      <c r="N157" s="348" t="str">
        <f t="shared" si="501"/>
        <v/>
      </c>
      <c r="O157" s="349"/>
      <c r="P157" s="44"/>
      <c r="Q157" s="84" t="str">
        <f t="shared" si="502"/>
        <v/>
      </c>
      <c r="R157" s="84" t="str">
        <f t="shared" si="503"/>
        <v/>
      </c>
      <c r="S157" s="84">
        <f t="shared" si="318"/>
        <v>0</v>
      </c>
      <c r="T157" s="160" t="str">
        <f>IF($Z$6="Indique Fecha Seguimiento","",IF(CRONOGRAMA!$E156="No Aplica","NA",IF($G157="","",IF(YEAR($G157)&lt;YEAR($Z$6)," A ",IF(YEAR($G157)=YEAR($Z$6),IF(MONTH($G157)&lt;=8," A ","NA"),IF(YEAR($G157)&gt;YEAR($Z$6),"NA"))))))</f>
        <v/>
      </c>
      <c r="U157" s="350"/>
      <c r="V157" s="44"/>
      <c r="W157" s="351"/>
      <c r="X157" s="348" t="str">
        <f t="shared" si="504"/>
        <v/>
      </c>
      <c r="Y157" s="349"/>
      <c r="Z157" s="44"/>
      <c r="AA157" s="84" t="str">
        <f t="shared" si="505"/>
        <v/>
      </c>
      <c r="AB157" s="84" t="str">
        <f t="shared" si="506"/>
        <v/>
      </c>
      <c r="AC157" s="84">
        <f t="shared" si="322"/>
        <v>0</v>
      </c>
      <c r="AD157" s="160" t="str">
        <f>IF($AJ$6="Indique Fecha Seguimiento","",IF(CRONOGRAMA!$E156="No Aplica","NA",IF($G157="","",IF(YEAR($G157)&lt;YEAR($AJ$6)," A ",IF(YEAR($G157)=YEAR($AJ$6),IF(MONTH($G157)&lt;=12," A ","NA"),IF(YEAR($G157)&gt;YEAR($AJ$6),"NA"))))))</f>
        <v/>
      </c>
      <c r="AE157" s="350"/>
      <c r="AF157" s="44"/>
      <c r="AG157" s="351"/>
      <c r="AH157" s="348" t="str">
        <f t="shared" si="507"/>
        <v/>
      </c>
      <c r="AI157" s="349"/>
      <c r="AJ157" s="44"/>
      <c r="AK157" s="81" t="str">
        <f t="shared" si="508"/>
        <v/>
      </c>
      <c r="AL157" s="84">
        <f t="shared" si="509"/>
        <v>0</v>
      </c>
      <c r="AM157" s="84">
        <f t="shared" si="326"/>
        <v>0</v>
      </c>
      <c r="AN157" s="592"/>
      <c r="AO157" s="602"/>
      <c r="AP157" s="603"/>
      <c r="AQ157" s="603"/>
      <c r="AR157" s="574"/>
      <c r="AS157" s="574"/>
      <c r="AT157" s="574"/>
      <c r="AU157" s="572"/>
      <c r="AV157" s="573"/>
      <c r="AW157" s="605"/>
      <c r="AX157">
        <f t="shared" si="517"/>
        <v>0</v>
      </c>
    </row>
    <row r="158" spans="1:50" ht="95.25" thickTop="1" x14ac:dyDescent="0.25">
      <c r="A158" s="588" t="str">
        <f>CRONOGRAMA!A157</f>
        <v>22C</v>
      </c>
      <c r="B158" s="591" t="str">
        <f>CRONOGRAMA!B157</f>
        <v>Gestión Financiera. Perdida de titulos valores</v>
      </c>
      <c r="C158" s="82" t="str">
        <f>IF('CONSOLIDACION DEL MAPA'!P157="","",'CONSOLIDACION DEL MAPA'!P157)</f>
        <v>Evitar</v>
      </c>
      <c r="D158" s="82" t="str">
        <f>CRONOGRAMA!D157</f>
        <v>Verificar los títulos valores custodiados.</v>
      </c>
      <c r="E158" s="132" t="str">
        <f>IF(CRONOGRAMA!F157="", "",CRONOGRAMA!F157)</f>
        <v>Arqueo Titulos valores de la caja fuerte</v>
      </c>
      <c r="F158" s="132">
        <f>IF(CRONOGRAMA!G157="", "",CRONOGRAMA!G157)</f>
        <v>4</v>
      </c>
      <c r="G158" s="128">
        <f>IF(CRONOGRAMA!H157="", "",CRONOGRAMA!H157)</f>
        <v>42373</v>
      </c>
      <c r="H158" s="128">
        <f>IF(CRONOGRAMA!I157="", "",CRONOGRAMA!I157)</f>
        <v>42735</v>
      </c>
      <c r="I158" s="84">
        <f t="shared" si="500"/>
        <v>51.714285714285715</v>
      </c>
      <c r="J158" s="160" t="str">
        <f>IF($P$6="Indique Fecha Seguimiento","",IF(CRONOGRAMA!$E157="No Aplica","NA",IF($G158="","",IF(YEAR($G158)&lt;YEAR($P$6)," A ",IF(YEAR($G158)=YEAR($P$6),IF(MONTH($G158)&lt;=4," A ","NA"),IF(YEAR($G158)&gt;YEAR($P$6),"NA"))))))</f>
        <v xml:space="preserve"> A </v>
      </c>
      <c r="K158" s="400">
        <v>0.25</v>
      </c>
      <c r="L158" s="402" t="s">
        <v>907</v>
      </c>
      <c r="M158" s="400">
        <v>1</v>
      </c>
      <c r="N158" s="348">
        <f t="shared" si="501"/>
        <v>0.25</v>
      </c>
      <c r="O158" s="349" t="s">
        <v>353</v>
      </c>
      <c r="P158" s="44"/>
      <c r="Q158" s="84">
        <f t="shared" si="502"/>
        <v>12.928571428571429</v>
      </c>
      <c r="R158" s="84">
        <f t="shared" si="503"/>
        <v>12.928571428571429</v>
      </c>
      <c r="S158" s="84">
        <f t="shared" si="318"/>
        <v>51.714285714285715</v>
      </c>
      <c r="T158" s="160" t="str">
        <f>IF($Z$6="Indique Fecha Seguimiento","",IF(CRONOGRAMA!$E157="No Aplica","NA",IF($G158="","",IF(YEAR($G158)&lt;YEAR($Z$6)," A ",IF(YEAR($G158)=YEAR($Z$6),IF(MONTH($G158)&lt;=8," A ","NA"),IF(YEAR($G158)&gt;YEAR($Z$6),"NA"))))))</f>
        <v xml:space="preserve"> A </v>
      </c>
      <c r="U158" s="413">
        <v>0.6</v>
      </c>
      <c r="V158" s="44" t="s">
        <v>907</v>
      </c>
      <c r="W158" s="351">
        <v>2.4</v>
      </c>
      <c r="X158" s="348">
        <f t="shared" si="504"/>
        <v>0.6</v>
      </c>
      <c r="Y158" s="349" t="s">
        <v>353</v>
      </c>
      <c r="Z158" s="44" t="s">
        <v>942</v>
      </c>
      <c r="AA158" s="84">
        <f t="shared" si="505"/>
        <v>31.028571428571428</v>
      </c>
      <c r="AB158" s="84">
        <f t="shared" si="506"/>
        <v>31.028571428571428</v>
      </c>
      <c r="AC158" s="84">
        <f t="shared" si="322"/>
        <v>51.714285714285715</v>
      </c>
      <c r="AD158" s="160" t="str">
        <f>IF($AJ$6="Indique Fecha Seguimiento","",IF(CRONOGRAMA!$E157="No Aplica","NA",IF($G158="","",IF(YEAR($G158)&lt;YEAR($AJ$6)," A ",IF(YEAR($G158)=YEAR($AJ$6),IF(MONTH($G158)&lt;=12," A ","NA"),IF(YEAR($G158)&gt;YEAR($AJ$6),"NA"))))))</f>
        <v/>
      </c>
      <c r="AE158" s="350"/>
      <c r="AF158" s="44"/>
      <c r="AG158" s="351"/>
      <c r="AH158" s="348" t="str">
        <f t="shared" si="507"/>
        <v/>
      </c>
      <c r="AI158" s="349"/>
      <c r="AJ158" s="44"/>
      <c r="AK158" s="81" t="str">
        <f t="shared" si="508"/>
        <v/>
      </c>
      <c r="AL158" s="84">
        <f t="shared" si="509"/>
        <v>0</v>
      </c>
      <c r="AM158" s="84">
        <f t="shared" si="326"/>
        <v>51.714285714285715</v>
      </c>
      <c r="AN158" s="592">
        <f t="shared" ref="AN158" si="532">SUM(I158:I160)</f>
        <v>51.714285714285715</v>
      </c>
      <c r="AO158" s="602">
        <f t="shared" ref="AO158" si="533">IF(AND(Q158="",Q159="",Q160=""),"",SUM(Q158:Q160))</f>
        <v>12.928571428571429</v>
      </c>
      <c r="AP158" s="603">
        <f t="shared" ref="AP158" si="534">IF(AND(AA158="",AA159="",AA160=""),"",SUM(AA158:AA160))</f>
        <v>31.028571428571428</v>
      </c>
      <c r="AQ158" s="603" t="str">
        <f t="shared" ref="AQ158" si="535">IF(AND(AK158="",AK159="",AK160=""),"",SUM(AK158:AK160))</f>
        <v/>
      </c>
      <c r="AR158" s="574">
        <f t="shared" si="331"/>
        <v>0.25</v>
      </c>
      <c r="AS158" s="574">
        <f t="shared" si="332"/>
        <v>0.6</v>
      </c>
      <c r="AT158" s="574">
        <f t="shared" ref="AT158" si="536">IF(AS158&gt;=AR158,AS158,AR158)</f>
        <v>0.6</v>
      </c>
      <c r="AU158" s="572" t="str">
        <f t="shared" si="334"/>
        <v/>
      </c>
      <c r="AV158" s="573">
        <f t="shared" ref="AV158" si="537">IF($AU$6=1,AR158,IF($AU$6=2,AS158,IF($AU$6=3,AU158,"")))</f>
        <v>0.6</v>
      </c>
      <c r="AW158" s="605">
        <f t="shared" ref="AW158" si="538">AV158</f>
        <v>0.6</v>
      </c>
      <c r="AX158" t="str">
        <f t="shared" si="517"/>
        <v>Verificar titulos valores de las cuentas no retiradas y confrontarlo con conciliaciones bancarias</v>
      </c>
    </row>
    <row r="159" spans="1:50" ht="15.75" x14ac:dyDescent="0.25">
      <c r="A159" s="589"/>
      <c r="B159" s="591"/>
      <c r="C159" s="82" t="str">
        <f>IF('CONSOLIDACION DEL MAPA'!P158="","",'CONSOLIDACION DEL MAPA'!P158)</f>
        <v/>
      </c>
      <c r="D159" s="82" t="str">
        <f>CRONOGRAMA!D158</f>
        <v/>
      </c>
      <c r="E159" s="132" t="str">
        <f>IF(CRONOGRAMA!F158="", "",CRONOGRAMA!F158)</f>
        <v/>
      </c>
      <c r="F159" s="132" t="str">
        <f>IF(CRONOGRAMA!G158="", "",CRONOGRAMA!G158)</f>
        <v/>
      </c>
      <c r="G159" s="128" t="str">
        <f>IF(CRONOGRAMA!H158="", "",CRONOGRAMA!H158)</f>
        <v/>
      </c>
      <c r="H159" s="128" t="str">
        <f>IF(CRONOGRAMA!I158="", "",CRONOGRAMA!I158)</f>
        <v/>
      </c>
      <c r="I159" s="84">
        <f t="shared" si="500"/>
        <v>0</v>
      </c>
      <c r="J159" s="160" t="str">
        <f>IF($P$6="Indique Fecha Seguimiento","",IF(CRONOGRAMA!$E158="No Aplica","NA",IF($G159="","",IF(YEAR($G159)&lt;YEAR($P$6)," A ",IF(YEAR($G159)=YEAR($P$6),IF(MONTH($G159)&lt;=4," A ","NA"),IF(YEAR($G159)&gt;YEAR($P$6),"NA"))))))</f>
        <v/>
      </c>
      <c r="K159" s="400"/>
      <c r="L159" s="402"/>
      <c r="M159" s="400"/>
      <c r="N159" s="348" t="str">
        <f t="shared" si="501"/>
        <v/>
      </c>
      <c r="O159" s="349"/>
      <c r="P159" s="44"/>
      <c r="Q159" s="84" t="str">
        <f t="shared" si="502"/>
        <v/>
      </c>
      <c r="R159" s="84" t="str">
        <f t="shared" si="503"/>
        <v/>
      </c>
      <c r="S159" s="84">
        <f t="shared" ref="S159:S196" si="539">$I159</f>
        <v>0</v>
      </c>
      <c r="T159" s="160" t="str">
        <f>IF($Z$6="Indique Fecha Seguimiento","",IF(CRONOGRAMA!$E158="No Aplica","NA",IF($G159="","",IF(YEAR($G159)&lt;YEAR($Z$6)," A ",IF(YEAR($G159)=YEAR($Z$6),IF(MONTH($G159)&lt;=8," A ","NA"),IF(YEAR($G159)&gt;YEAR($Z$6),"NA"))))))</f>
        <v/>
      </c>
      <c r="U159" s="350"/>
      <c r="V159" s="44"/>
      <c r="W159" s="351"/>
      <c r="X159" s="348" t="str">
        <f t="shared" si="504"/>
        <v/>
      </c>
      <c r="Y159" s="349"/>
      <c r="Z159" s="44"/>
      <c r="AA159" s="84" t="str">
        <f t="shared" si="505"/>
        <v/>
      </c>
      <c r="AB159" s="84" t="str">
        <f t="shared" si="506"/>
        <v/>
      </c>
      <c r="AC159" s="84">
        <f t="shared" ref="AC159:AC196" si="540">$I159</f>
        <v>0</v>
      </c>
      <c r="AD159" s="160" t="str">
        <f>IF($AJ$6="Indique Fecha Seguimiento","",IF(CRONOGRAMA!$E158="No Aplica","NA",IF($G159="","",IF(YEAR($G159)&lt;YEAR($AJ$6)," A ",IF(YEAR($G159)=YEAR($AJ$6),IF(MONTH($G159)&lt;=12," A ","NA"),IF(YEAR($G159)&gt;YEAR($AJ$6),"NA"))))))</f>
        <v/>
      </c>
      <c r="AE159" s="350"/>
      <c r="AF159" s="44"/>
      <c r="AG159" s="351"/>
      <c r="AH159" s="348" t="str">
        <f t="shared" si="507"/>
        <v/>
      </c>
      <c r="AI159" s="349"/>
      <c r="AJ159" s="44"/>
      <c r="AK159" s="81" t="str">
        <f t="shared" si="508"/>
        <v/>
      </c>
      <c r="AL159" s="84">
        <f t="shared" si="509"/>
        <v>0</v>
      </c>
      <c r="AM159" s="84">
        <f t="shared" ref="AM159:AM196" si="541">$I159</f>
        <v>0</v>
      </c>
      <c r="AN159" s="592"/>
      <c r="AO159" s="602"/>
      <c r="AP159" s="603"/>
      <c r="AQ159" s="603"/>
      <c r="AR159" s="574"/>
      <c r="AS159" s="574"/>
      <c r="AT159" s="574"/>
      <c r="AU159" s="572"/>
      <c r="AV159" s="573"/>
      <c r="AW159" s="605"/>
      <c r="AX159">
        <f t="shared" si="517"/>
        <v>0</v>
      </c>
    </row>
    <row r="160" spans="1:50" ht="16.5" thickBot="1" x14ac:dyDescent="0.3">
      <c r="A160" s="590"/>
      <c r="B160" s="591"/>
      <c r="C160" s="82" t="str">
        <f>IF('CONSOLIDACION DEL MAPA'!P159="","",'CONSOLIDACION DEL MAPA'!P159)</f>
        <v/>
      </c>
      <c r="D160" s="82" t="str">
        <f>CRONOGRAMA!D159</f>
        <v/>
      </c>
      <c r="E160" s="132" t="str">
        <f>IF(CRONOGRAMA!F159="", "",CRONOGRAMA!F159)</f>
        <v/>
      </c>
      <c r="F160" s="132" t="str">
        <f>IF(CRONOGRAMA!G159="", "",CRONOGRAMA!G159)</f>
        <v/>
      </c>
      <c r="G160" s="128" t="str">
        <f>IF(CRONOGRAMA!H159="", "",CRONOGRAMA!H159)</f>
        <v/>
      </c>
      <c r="H160" s="128" t="str">
        <f>IF(CRONOGRAMA!I159="", "",CRONOGRAMA!I159)</f>
        <v/>
      </c>
      <c r="I160" s="84">
        <f t="shared" si="500"/>
        <v>0</v>
      </c>
      <c r="J160" s="160" t="str">
        <f>IF($P$6="Indique Fecha Seguimiento","",IF(CRONOGRAMA!$E159="No Aplica","NA",IF($G160="","",IF(YEAR($G160)&lt;YEAR($P$6)," A ",IF(YEAR($G160)=YEAR($P$6),IF(MONTH($G160)&lt;=4," A ","NA"),IF(YEAR($G160)&gt;YEAR($P$6),"NA"))))))</f>
        <v/>
      </c>
      <c r="K160" s="400"/>
      <c r="L160" s="402"/>
      <c r="M160" s="400"/>
      <c r="N160" s="348" t="str">
        <f t="shared" si="501"/>
        <v/>
      </c>
      <c r="O160" s="349"/>
      <c r="P160" s="44"/>
      <c r="Q160" s="84" t="str">
        <f t="shared" si="502"/>
        <v/>
      </c>
      <c r="R160" s="84" t="str">
        <f t="shared" si="503"/>
        <v/>
      </c>
      <c r="S160" s="84">
        <f t="shared" si="539"/>
        <v>0</v>
      </c>
      <c r="T160" s="160" t="str">
        <f>IF($Z$6="Indique Fecha Seguimiento","",IF(CRONOGRAMA!$E159="No Aplica","NA",IF($G160="","",IF(YEAR($G160)&lt;YEAR($Z$6)," A ",IF(YEAR($G160)=YEAR($Z$6),IF(MONTH($G160)&lt;=8," A ","NA"),IF(YEAR($G160)&gt;YEAR($Z$6),"NA"))))))</f>
        <v/>
      </c>
      <c r="U160" s="350"/>
      <c r="V160" s="44"/>
      <c r="W160" s="351"/>
      <c r="X160" s="348" t="str">
        <f t="shared" si="504"/>
        <v/>
      </c>
      <c r="Y160" s="349"/>
      <c r="Z160" s="44"/>
      <c r="AA160" s="84" t="str">
        <f t="shared" si="505"/>
        <v/>
      </c>
      <c r="AB160" s="84" t="str">
        <f t="shared" si="506"/>
        <v/>
      </c>
      <c r="AC160" s="84">
        <f t="shared" si="540"/>
        <v>0</v>
      </c>
      <c r="AD160" s="160" t="str">
        <f>IF($AJ$6="Indique Fecha Seguimiento","",IF(CRONOGRAMA!$E159="No Aplica","NA",IF($G160="","",IF(YEAR($G160)&lt;YEAR($AJ$6)," A ",IF(YEAR($G160)=YEAR($AJ$6),IF(MONTH($G160)&lt;=12," A ","NA"),IF(YEAR($G160)&gt;YEAR($AJ$6),"NA"))))))</f>
        <v/>
      </c>
      <c r="AE160" s="350"/>
      <c r="AF160" s="44"/>
      <c r="AG160" s="351"/>
      <c r="AH160" s="348" t="str">
        <f t="shared" si="507"/>
        <v/>
      </c>
      <c r="AI160" s="349"/>
      <c r="AJ160" s="44"/>
      <c r="AK160" s="81" t="str">
        <f t="shared" si="508"/>
        <v/>
      </c>
      <c r="AL160" s="84">
        <f t="shared" si="509"/>
        <v>0</v>
      </c>
      <c r="AM160" s="84">
        <f t="shared" si="541"/>
        <v>0</v>
      </c>
      <c r="AN160" s="592"/>
      <c r="AO160" s="602"/>
      <c r="AP160" s="603"/>
      <c r="AQ160" s="603"/>
      <c r="AR160" s="574"/>
      <c r="AS160" s="574"/>
      <c r="AT160" s="574"/>
      <c r="AU160" s="572"/>
      <c r="AV160" s="573"/>
      <c r="AW160" s="605"/>
      <c r="AX160">
        <f t="shared" si="517"/>
        <v>0</v>
      </c>
    </row>
    <row r="161" spans="1:50" ht="79.5" thickTop="1" x14ac:dyDescent="0.25">
      <c r="A161" s="588" t="str">
        <f>CRONOGRAMA!A160</f>
        <v>23C</v>
      </c>
      <c r="B161" s="591" t="str">
        <f>CRONOGRAMA!B160</f>
        <v>Gestión Financiera. Omisión en la aplicación  de la normatividad vigente en los procesos de la Gestión Financiera</v>
      </c>
      <c r="C161" s="82" t="str">
        <f>IF('CONSOLIDACION DEL MAPA'!P160="","",'CONSOLIDACION DEL MAPA'!P160)</f>
        <v>Reducir</v>
      </c>
      <c r="D161" s="82" t="str">
        <f>CRONOGRAMA!D160</f>
        <v>Realizar reuniones con equipo financiero para unificación de criterios</v>
      </c>
      <c r="E161" s="132" t="str">
        <f>IF(CRONOGRAMA!F160="", "",CRONOGRAMA!F160)</f>
        <v>Actas de reunion trimestral</v>
      </c>
      <c r="F161" s="132">
        <f>IF(CRONOGRAMA!G160="", "",CRONOGRAMA!G160)</f>
        <v>4</v>
      </c>
      <c r="G161" s="128">
        <f>IF(CRONOGRAMA!H160="", "",CRONOGRAMA!H160)</f>
        <v>42373</v>
      </c>
      <c r="H161" s="128">
        <f>IF(CRONOGRAMA!I160="", "",CRONOGRAMA!I160)</f>
        <v>42735</v>
      </c>
      <c r="I161" s="84">
        <f t="shared" si="500"/>
        <v>51.714285714285715</v>
      </c>
      <c r="J161" s="160" t="str">
        <f>IF($P$6="Indique Fecha Seguimiento","",IF(CRONOGRAMA!$E160="No Aplica","NA",IF($G161="","",IF(YEAR($G161)&lt;YEAR($P$6)," A ",IF(YEAR($G161)=YEAR($P$6),IF(MONTH($G161)&lt;=4," A ","NA"),IF(YEAR($G161)&gt;YEAR($P$6),"NA"))))))</f>
        <v xml:space="preserve"> A </v>
      </c>
      <c r="K161" s="400">
        <v>0.25</v>
      </c>
      <c r="L161" s="402" t="s">
        <v>908</v>
      </c>
      <c r="M161" s="400">
        <v>1</v>
      </c>
      <c r="N161" s="348">
        <f t="shared" si="501"/>
        <v>0.25</v>
      </c>
      <c r="O161" s="349" t="s">
        <v>353</v>
      </c>
      <c r="P161" s="44"/>
      <c r="Q161" s="84">
        <f t="shared" si="502"/>
        <v>12.928571428571429</v>
      </c>
      <c r="R161" s="84">
        <f t="shared" si="503"/>
        <v>12.928571428571429</v>
      </c>
      <c r="S161" s="84">
        <f t="shared" si="539"/>
        <v>51.714285714285715</v>
      </c>
      <c r="T161" s="160" t="str">
        <f>IF($Z$6="Indique Fecha Seguimiento","",IF(CRONOGRAMA!$E160="No Aplica","NA",IF($G161="","",IF(YEAR($G161)&lt;YEAR($Z$6)," A ",IF(YEAR($G161)=YEAR($Z$6),IF(MONTH($G161)&lt;=8," A ","NA"),IF(YEAR($G161)&gt;YEAR($Z$6),"NA"))))))</f>
        <v xml:space="preserve"> A </v>
      </c>
      <c r="U161" s="413">
        <v>0.6</v>
      </c>
      <c r="V161" s="44" t="s">
        <v>943</v>
      </c>
      <c r="W161" s="351">
        <v>2.4</v>
      </c>
      <c r="X161" s="348">
        <f t="shared" si="504"/>
        <v>0.6</v>
      </c>
      <c r="Y161" s="349" t="s">
        <v>353</v>
      </c>
      <c r="Z161" s="44" t="s">
        <v>944</v>
      </c>
      <c r="AA161" s="84">
        <f t="shared" si="505"/>
        <v>31.028571428571428</v>
      </c>
      <c r="AB161" s="84">
        <f t="shared" si="506"/>
        <v>31.028571428571428</v>
      </c>
      <c r="AC161" s="84">
        <f t="shared" si="540"/>
        <v>51.714285714285715</v>
      </c>
      <c r="AD161" s="160" t="str">
        <f>IF($AJ$6="Indique Fecha Seguimiento","",IF(CRONOGRAMA!$E160="No Aplica","NA",IF($G161="","",IF(YEAR($G161)&lt;YEAR($AJ$6)," A ",IF(YEAR($G161)=YEAR($AJ$6),IF(MONTH($G161)&lt;=12," A ","NA"),IF(YEAR($G161)&gt;YEAR($AJ$6),"NA"))))))</f>
        <v/>
      </c>
      <c r="AE161" s="350"/>
      <c r="AF161" s="44"/>
      <c r="AG161" s="351"/>
      <c r="AH161" s="348" t="str">
        <f t="shared" si="507"/>
        <v/>
      </c>
      <c r="AI161" s="349"/>
      <c r="AJ161" s="44"/>
      <c r="AK161" s="81" t="str">
        <f t="shared" si="508"/>
        <v/>
      </c>
      <c r="AL161" s="84">
        <f t="shared" si="509"/>
        <v>0</v>
      </c>
      <c r="AM161" s="84">
        <f t="shared" si="541"/>
        <v>51.714285714285715</v>
      </c>
      <c r="AN161" s="592">
        <f t="shared" ref="AN161" si="542">SUM(I161:I163)</f>
        <v>51.714285714285715</v>
      </c>
      <c r="AO161" s="602">
        <f t="shared" ref="AO161" si="543">IF(AND(Q161="",Q162="",Q163=""),"",SUM(Q161:Q163))</f>
        <v>12.928571428571429</v>
      </c>
      <c r="AP161" s="603">
        <f t="shared" ref="AP161" si="544">IF(AND(AA161="",AA162="",AA163=""),"",SUM(AA161:AA163))</f>
        <v>31.028571428571428</v>
      </c>
      <c r="AQ161" s="603" t="str">
        <f t="shared" ref="AQ161" si="545">IF(AND(AK161="",AK162="",AK163=""),"",SUM(AK161:AK163))</f>
        <v/>
      </c>
      <c r="AR161" s="574">
        <f t="shared" ref="AR161:AR194" si="546">IF(AO161="",IF($AU$6&lt;1,"",IF($AU$6&gt;=1,"NA")),IF(AO161=0,0,AO161/$AN161))</f>
        <v>0.25</v>
      </c>
      <c r="AS161" s="574">
        <f t="shared" ref="AS161:AS194" si="547">IF(AP161="",IF($AU$6&lt;2,"",IF($AU$6&gt;=2,"NA")),IF(AP161=0,0,AP161/$AN161))</f>
        <v>0.6</v>
      </c>
      <c r="AT161" s="574">
        <f t="shared" ref="AT161" si="548">IF(AS161&gt;=AR161,AS161,AR161)</f>
        <v>0.6</v>
      </c>
      <c r="AU161" s="572" t="str">
        <f t="shared" ref="AU161:AU194" si="549">IF(AQ161="",IF($AU$6&lt;3,"",IF($AU$6&gt;=3,"NA")),IF(AQ161=0,0,AQ161/$AN161))</f>
        <v/>
      </c>
      <c r="AV161" s="573">
        <f t="shared" ref="AV161" si="550">IF($AU$6=1,AR161,IF($AU$6=2,AS161,IF($AU$6=3,AU161,"")))</f>
        <v>0.6</v>
      </c>
      <c r="AW161" s="605">
        <f t="shared" ref="AW161" si="551">AV161</f>
        <v>0.6</v>
      </c>
      <c r="AX161" t="str">
        <f t="shared" si="517"/>
        <v>Reuniones correpondiente al segundo cuatrimestre con el animo de consolidar informes</v>
      </c>
    </row>
    <row r="162" spans="1:50" ht="15.75" x14ac:dyDescent="0.25">
      <c r="A162" s="589"/>
      <c r="B162" s="591"/>
      <c r="C162" s="82" t="str">
        <f>IF('CONSOLIDACION DEL MAPA'!P161="","",'CONSOLIDACION DEL MAPA'!P161)</f>
        <v/>
      </c>
      <c r="D162" s="82" t="str">
        <f>CRONOGRAMA!D161</f>
        <v/>
      </c>
      <c r="E162" s="132" t="str">
        <f>IF(CRONOGRAMA!F161="", "",CRONOGRAMA!F161)</f>
        <v/>
      </c>
      <c r="F162" s="132" t="str">
        <f>IF(CRONOGRAMA!G161="", "",CRONOGRAMA!G161)</f>
        <v/>
      </c>
      <c r="G162" s="128" t="str">
        <f>IF(CRONOGRAMA!H161="", "",CRONOGRAMA!H161)</f>
        <v/>
      </c>
      <c r="H162" s="128" t="str">
        <f>IF(CRONOGRAMA!I161="", "",CRONOGRAMA!I161)</f>
        <v/>
      </c>
      <c r="I162" s="84">
        <f t="shared" si="500"/>
        <v>0</v>
      </c>
      <c r="J162" s="160" t="str">
        <f>IF($P$6="Indique Fecha Seguimiento","",IF(CRONOGRAMA!$E161="No Aplica","NA",IF($G162="","",IF(YEAR($G162)&lt;YEAR($P$6)," A ",IF(YEAR($G162)=YEAR($P$6),IF(MONTH($G162)&lt;=4," A ","NA"),IF(YEAR($G162)&gt;YEAR($P$6),"NA"))))))</f>
        <v/>
      </c>
      <c r="K162" s="400"/>
      <c r="L162" s="402"/>
      <c r="M162" s="400"/>
      <c r="N162" s="348" t="str">
        <f t="shared" si="501"/>
        <v/>
      </c>
      <c r="O162" s="349"/>
      <c r="P162" s="44"/>
      <c r="Q162" s="84" t="str">
        <f t="shared" si="502"/>
        <v/>
      </c>
      <c r="R162" s="84" t="str">
        <f t="shared" si="503"/>
        <v/>
      </c>
      <c r="S162" s="84">
        <f t="shared" si="539"/>
        <v>0</v>
      </c>
      <c r="T162" s="160" t="str">
        <f>IF($Z$6="Indique Fecha Seguimiento","",IF(CRONOGRAMA!$E161="No Aplica","NA",IF($G162="","",IF(YEAR($G162)&lt;YEAR($Z$6)," A ",IF(YEAR($G162)=YEAR($Z$6),IF(MONTH($G162)&lt;=8," A ","NA"),IF(YEAR($G162)&gt;YEAR($Z$6),"NA"))))))</f>
        <v/>
      </c>
      <c r="U162" s="350"/>
      <c r="V162" s="44"/>
      <c r="W162" s="351"/>
      <c r="X162" s="348" t="str">
        <f t="shared" si="504"/>
        <v/>
      </c>
      <c r="Y162" s="349"/>
      <c r="Z162" s="44"/>
      <c r="AA162" s="84" t="str">
        <f t="shared" si="505"/>
        <v/>
      </c>
      <c r="AB162" s="84" t="str">
        <f t="shared" si="506"/>
        <v/>
      </c>
      <c r="AC162" s="84">
        <f t="shared" si="540"/>
        <v>0</v>
      </c>
      <c r="AD162" s="160" t="str">
        <f>IF($AJ$6="Indique Fecha Seguimiento","",IF(CRONOGRAMA!$E161="No Aplica","NA",IF($G162="","",IF(YEAR($G162)&lt;YEAR($AJ$6)," A ",IF(YEAR($G162)=YEAR($AJ$6),IF(MONTH($G162)&lt;=12," A ","NA"),IF(YEAR($G162)&gt;YEAR($AJ$6),"NA"))))))</f>
        <v/>
      </c>
      <c r="AE162" s="350"/>
      <c r="AF162" s="44"/>
      <c r="AG162" s="351"/>
      <c r="AH162" s="348" t="str">
        <f t="shared" si="507"/>
        <v/>
      </c>
      <c r="AI162" s="349"/>
      <c r="AJ162" s="44"/>
      <c r="AK162" s="81" t="str">
        <f t="shared" si="508"/>
        <v/>
      </c>
      <c r="AL162" s="84">
        <f t="shared" si="509"/>
        <v>0</v>
      </c>
      <c r="AM162" s="84">
        <f t="shared" si="541"/>
        <v>0</v>
      </c>
      <c r="AN162" s="592"/>
      <c r="AO162" s="602"/>
      <c r="AP162" s="603"/>
      <c r="AQ162" s="603"/>
      <c r="AR162" s="574"/>
      <c r="AS162" s="574"/>
      <c r="AT162" s="574"/>
      <c r="AU162" s="572"/>
      <c r="AV162" s="573"/>
      <c r="AW162" s="605"/>
      <c r="AX162">
        <f t="shared" si="517"/>
        <v>0</v>
      </c>
    </row>
    <row r="163" spans="1:50" ht="16.5" thickBot="1" x14ac:dyDescent="0.3">
      <c r="A163" s="590"/>
      <c r="B163" s="591"/>
      <c r="C163" s="82" t="str">
        <f>IF('CONSOLIDACION DEL MAPA'!P162="","",'CONSOLIDACION DEL MAPA'!P162)</f>
        <v/>
      </c>
      <c r="D163" s="82" t="str">
        <f>CRONOGRAMA!D162</f>
        <v/>
      </c>
      <c r="E163" s="132" t="str">
        <f>IF(CRONOGRAMA!F162="", "",CRONOGRAMA!F162)</f>
        <v/>
      </c>
      <c r="F163" s="132" t="str">
        <f>IF(CRONOGRAMA!G162="", "",CRONOGRAMA!G162)</f>
        <v/>
      </c>
      <c r="G163" s="128" t="str">
        <f>IF(CRONOGRAMA!H162="", "",CRONOGRAMA!H162)</f>
        <v/>
      </c>
      <c r="H163" s="128" t="str">
        <f>IF(CRONOGRAMA!I162="", "",CRONOGRAMA!I162)</f>
        <v/>
      </c>
      <c r="I163" s="84">
        <f t="shared" si="500"/>
        <v>0</v>
      </c>
      <c r="J163" s="160" t="str">
        <f>IF($P$6="Indique Fecha Seguimiento","",IF(CRONOGRAMA!$E162="No Aplica","NA",IF($G163="","",IF(YEAR($G163)&lt;YEAR($P$6)," A ",IF(YEAR($G163)=YEAR($P$6),IF(MONTH($G163)&lt;=4," A ","NA"),IF(YEAR($G163)&gt;YEAR($P$6),"NA"))))))</f>
        <v/>
      </c>
      <c r="K163" s="400"/>
      <c r="L163" s="402"/>
      <c r="M163" s="400"/>
      <c r="N163" s="348" t="str">
        <f t="shared" si="501"/>
        <v/>
      </c>
      <c r="O163" s="349"/>
      <c r="P163" s="44"/>
      <c r="Q163" s="84" t="str">
        <f t="shared" si="502"/>
        <v/>
      </c>
      <c r="R163" s="84" t="str">
        <f t="shared" si="503"/>
        <v/>
      </c>
      <c r="S163" s="84">
        <f t="shared" si="539"/>
        <v>0</v>
      </c>
      <c r="T163" s="160" t="str">
        <f>IF($Z$6="Indique Fecha Seguimiento","",IF(CRONOGRAMA!$E162="No Aplica","NA",IF($G163="","",IF(YEAR($G163)&lt;YEAR($Z$6)," A ",IF(YEAR($G163)=YEAR($Z$6),IF(MONTH($G163)&lt;=8," A ","NA"),IF(YEAR($G163)&gt;YEAR($Z$6),"NA"))))))</f>
        <v/>
      </c>
      <c r="U163" s="350"/>
      <c r="V163" s="44"/>
      <c r="W163" s="351"/>
      <c r="X163" s="348" t="str">
        <f t="shared" si="504"/>
        <v/>
      </c>
      <c r="Y163" s="349"/>
      <c r="Z163" s="44"/>
      <c r="AA163" s="84" t="str">
        <f t="shared" si="505"/>
        <v/>
      </c>
      <c r="AB163" s="84" t="str">
        <f t="shared" si="506"/>
        <v/>
      </c>
      <c r="AC163" s="84">
        <f t="shared" si="540"/>
        <v>0</v>
      </c>
      <c r="AD163" s="160" t="str">
        <f>IF($AJ$6="Indique Fecha Seguimiento","",IF(CRONOGRAMA!$E162="No Aplica","NA",IF($G163="","",IF(YEAR($G163)&lt;YEAR($AJ$6)," A ",IF(YEAR($G163)=YEAR($AJ$6),IF(MONTH($G163)&lt;=12," A ","NA"),IF(YEAR($G163)&gt;YEAR($AJ$6),"NA"))))))</f>
        <v/>
      </c>
      <c r="AE163" s="350"/>
      <c r="AF163" s="44"/>
      <c r="AG163" s="351"/>
      <c r="AH163" s="348" t="str">
        <f t="shared" si="507"/>
        <v/>
      </c>
      <c r="AI163" s="349"/>
      <c r="AJ163" s="44"/>
      <c r="AK163" s="81" t="str">
        <f t="shared" si="508"/>
        <v/>
      </c>
      <c r="AL163" s="84">
        <f t="shared" si="509"/>
        <v>0</v>
      </c>
      <c r="AM163" s="84">
        <f t="shared" si="541"/>
        <v>0</v>
      </c>
      <c r="AN163" s="592"/>
      <c r="AO163" s="602"/>
      <c r="AP163" s="603"/>
      <c r="AQ163" s="603"/>
      <c r="AR163" s="574"/>
      <c r="AS163" s="574"/>
      <c r="AT163" s="574"/>
      <c r="AU163" s="572"/>
      <c r="AV163" s="573"/>
      <c r="AW163" s="605"/>
      <c r="AX163">
        <f t="shared" si="517"/>
        <v>0</v>
      </c>
    </row>
    <row r="164" spans="1:50" ht="39" thickTop="1" x14ac:dyDescent="0.25">
      <c r="A164" s="588" t="str">
        <f>CRONOGRAMA!A163</f>
        <v>24C</v>
      </c>
      <c r="B164" s="591" t="str">
        <f>CRONOGRAMA!B163</f>
        <v xml:space="preserve">Apoyo Tecnológico TIC. Vulnerabilidad de la Información </v>
      </c>
      <c r="C164" s="82" t="str">
        <f>IF('CONSOLIDACION DEL MAPA'!P163="","",'CONSOLIDACION DEL MAPA'!P163)</f>
        <v>Reducir</v>
      </c>
      <c r="D164" s="82" t="str">
        <f>CRONOGRAMA!D163</f>
        <v>Contratar la seguridad gestionada a través de firewall perimetral</v>
      </c>
      <c r="E164" s="132" t="str">
        <f>IF(CRONOGRAMA!F163="", "",CRONOGRAMA!F163)</f>
        <v>Contrato</v>
      </c>
      <c r="F164" s="132">
        <f>IF(CRONOGRAMA!G163="", "",CRONOGRAMA!G163)</f>
        <v>1</v>
      </c>
      <c r="G164" s="128">
        <f>IF(CRONOGRAMA!H163="", "",CRONOGRAMA!H163)</f>
        <v>42495</v>
      </c>
      <c r="H164" s="128">
        <f>IF(CRONOGRAMA!I163="", "",CRONOGRAMA!I163)</f>
        <v>42735</v>
      </c>
      <c r="I164" s="84">
        <f t="shared" si="500"/>
        <v>34.285714285714285</v>
      </c>
      <c r="J164" s="160" t="str">
        <f>IF($P$6="Indique Fecha Seguimiento","",IF(CRONOGRAMA!$E163="No Aplica","NA",IF($G164="","",IF(YEAR($G164)&lt;YEAR($P$6)," A ",IF(YEAR($G164)=YEAR($P$6),IF(MONTH($G164)&lt;=4," A ","NA"),IF(YEAR($G164)&gt;YEAR($P$6),"NA"))))))</f>
        <v>NA</v>
      </c>
      <c r="K164" s="400"/>
      <c r="L164" s="402"/>
      <c r="M164" s="400"/>
      <c r="N164" s="348" t="str">
        <f t="shared" si="501"/>
        <v/>
      </c>
      <c r="O164" s="349"/>
      <c r="P164" s="44"/>
      <c r="Q164" s="84" t="str">
        <f t="shared" si="502"/>
        <v/>
      </c>
      <c r="R164" s="84" t="str">
        <f t="shared" si="503"/>
        <v/>
      </c>
      <c r="S164" s="84">
        <f t="shared" si="539"/>
        <v>34.285714285714285</v>
      </c>
      <c r="T164" s="160" t="str">
        <f>IF($Z$6="Indique Fecha Seguimiento","",IF(CRONOGRAMA!$E163="No Aplica","NA",IF($G164="","",IF(YEAR($G164)&lt;YEAR($Z$6)," A ",IF(YEAR($G164)=YEAR($Z$6),IF(MONTH($G164)&lt;=8," A ","NA"),IF(YEAR($G164)&gt;YEAR($Z$6),"NA"))))))</f>
        <v xml:space="preserve"> A </v>
      </c>
      <c r="U164" s="350">
        <v>0</v>
      </c>
      <c r="V164" s="44" t="s">
        <v>979</v>
      </c>
      <c r="W164" s="351">
        <v>0</v>
      </c>
      <c r="X164" s="348">
        <f t="shared" si="504"/>
        <v>0</v>
      </c>
      <c r="Y164" s="349" t="s">
        <v>353</v>
      </c>
      <c r="Z164" s="44" t="s">
        <v>981</v>
      </c>
      <c r="AA164" s="84">
        <f t="shared" si="505"/>
        <v>0</v>
      </c>
      <c r="AB164" s="84">
        <f t="shared" si="506"/>
        <v>0</v>
      </c>
      <c r="AC164" s="84">
        <f t="shared" si="540"/>
        <v>34.285714285714285</v>
      </c>
      <c r="AD164" s="160" t="str">
        <f>IF($AJ$6="Indique Fecha Seguimiento","",IF(CRONOGRAMA!$E163="No Aplica","NA",IF($G164="","",IF(YEAR($G164)&lt;YEAR($AJ$6)," A ",IF(YEAR($G164)=YEAR($AJ$6),IF(MONTH($G164)&lt;=12," A ","NA"),IF(YEAR($G164)&gt;YEAR($AJ$6),"NA"))))))</f>
        <v/>
      </c>
      <c r="AE164" s="350"/>
      <c r="AF164" s="44"/>
      <c r="AG164" s="351"/>
      <c r="AH164" s="348" t="str">
        <f t="shared" si="507"/>
        <v/>
      </c>
      <c r="AI164" s="349"/>
      <c r="AJ164" s="44"/>
      <c r="AK164" s="81" t="str">
        <f t="shared" si="508"/>
        <v/>
      </c>
      <c r="AL164" s="84">
        <f t="shared" si="509"/>
        <v>0</v>
      </c>
      <c r="AM164" s="84">
        <f t="shared" si="541"/>
        <v>34.285714285714285</v>
      </c>
      <c r="AN164" s="592">
        <f t="shared" ref="AN164" si="552">SUM(I164:I166)</f>
        <v>102.85714285714286</v>
      </c>
      <c r="AO164" s="602" t="str">
        <f t="shared" ref="AO164" si="553">IF(AND(Q164="",Q165="",Q166=""),"",SUM(Q164:Q166))</f>
        <v/>
      </c>
      <c r="AP164" s="603">
        <f t="shared" ref="AP164" si="554">IF(AND(AA164="",AA165="",AA166=""),"",SUM(AA164:AA166))</f>
        <v>34.285714285714285</v>
      </c>
      <c r="AQ164" s="603" t="str">
        <f t="shared" ref="AQ164" si="555">IF(AND(AK164="",AK165="",AK166=""),"",SUM(AK164:AK166))</f>
        <v/>
      </c>
      <c r="AR164" s="574" t="str">
        <f t="shared" si="546"/>
        <v>NA</v>
      </c>
      <c r="AS164" s="574">
        <f t="shared" si="547"/>
        <v>0.33333333333333331</v>
      </c>
      <c r="AT164" s="574" t="str">
        <f t="shared" ref="AT164" si="556">IF(AS164&gt;=AR164,AS164,AR164)</f>
        <v>NA</v>
      </c>
      <c r="AU164" s="572" t="str">
        <f t="shared" si="549"/>
        <v/>
      </c>
      <c r="AV164" s="573">
        <f t="shared" ref="AV164" si="557">IF($AU$6=1,AR164,IF($AU$6=2,AS164,IF($AU$6=3,AU164,"")))</f>
        <v>0.33333333333333331</v>
      </c>
      <c r="AW164" s="605">
        <f t="shared" ref="AW164" si="558">AV164</f>
        <v>0.33333333333333331</v>
      </c>
      <c r="AX164" t="str">
        <f t="shared" si="517"/>
        <v>No se evidencio avance</v>
      </c>
    </row>
    <row r="165" spans="1:50" ht="25.5" x14ac:dyDescent="0.25">
      <c r="A165" s="589"/>
      <c r="B165" s="591"/>
      <c r="C165" s="82" t="str">
        <f>IF('CONSOLIDACION DEL MAPA'!P164="","",'CONSOLIDACION DEL MAPA'!P164)</f>
        <v>Reducir</v>
      </c>
      <c r="D165" s="82" t="str">
        <f>CRONOGRAMA!D164</f>
        <v>Documentar los controles existentes</v>
      </c>
      <c r="E165" s="132" t="str">
        <f>IF(CRONOGRAMA!F164="", "",CRONOGRAMA!F164)</f>
        <v>Controles documentados</v>
      </c>
      <c r="F165" s="132">
        <f>IF(CRONOGRAMA!G164="", "",CRONOGRAMA!G164)</f>
        <v>2</v>
      </c>
      <c r="G165" s="128">
        <f>IF(CRONOGRAMA!H164="", "",CRONOGRAMA!H164)</f>
        <v>42495</v>
      </c>
      <c r="H165" s="128">
        <f>IF(CRONOGRAMA!I164="", "",CRONOGRAMA!I164)</f>
        <v>42735</v>
      </c>
      <c r="I165" s="84">
        <f t="shared" si="500"/>
        <v>34.285714285714285</v>
      </c>
      <c r="J165" s="160" t="str">
        <f>IF($P$6="Indique Fecha Seguimiento","",IF(CRONOGRAMA!$E164="No Aplica","NA",IF($G165="","",IF(YEAR($G165)&lt;YEAR($P$6)," A ",IF(YEAR($G165)=YEAR($P$6),IF(MONTH($G165)&lt;=4," A ","NA"),IF(YEAR($G165)&gt;YEAR($P$6),"NA"))))))</f>
        <v>NA</v>
      </c>
      <c r="K165" s="400"/>
      <c r="L165" s="402"/>
      <c r="M165" s="400"/>
      <c r="N165" s="348" t="str">
        <f t="shared" si="501"/>
        <v/>
      </c>
      <c r="O165" s="349"/>
      <c r="P165" s="44"/>
      <c r="Q165" s="84" t="str">
        <f t="shared" si="502"/>
        <v/>
      </c>
      <c r="R165" s="84" t="str">
        <f t="shared" si="503"/>
        <v/>
      </c>
      <c r="S165" s="84">
        <f t="shared" si="539"/>
        <v>34.285714285714285</v>
      </c>
      <c r="T165" s="160" t="str">
        <f>IF($Z$6="Indique Fecha Seguimiento","",IF(CRONOGRAMA!$E164="No Aplica","NA",IF($G165="","",IF(YEAR($G165)&lt;YEAR($Z$6)," A ",IF(YEAR($G165)=YEAR($Z$6),IF(MONTH($G165)&lt;=8," A ","NA"),IF(YEAR($G165)&gt;YEAR($Z$6),"NA"))))))</f>
        <v xml:space="preserve"> A </v>
      </c>
      <c r="U165" s="350">
        <v>0</v>
      </c>
      <c r="V165" s="44" t="s">
        <v>979</v>
      </c>
      <c r="W165" s="351">
        <v>0</v>
      </c>
      <c r="X165" s="348">
        <f t="shared" si="504"/>
        <v>0</v>
      </c>
      <c r="Y165" s="349" t="s">
        <v>353</v>
      </c>
      <c r="Z165" s="44" t="s">
        <v>981</v>
      </c>
      <c r="AA165" s="84">
        <f t="shared" si="505"/>
        <v>0</v>
      </c>
      <c r="AB165" s="84">
        <f t="shared" si="506"/>
        <v>0</v>
      </c>
      <c r="AC165" s="84">
        <f t="shared" si="540"/>
        <v>34.285714285714285</v>
      </c>
      <c r="AD165" s="160" t="str">
        <f>IF($AJ$6="Indique Fecha Seguimiento","",IF(CRONOGRAMA!$E164="No Aplica","NA",IF($G165="","",IF(YEAR($G165)&lt;YEAR($AJ$6)," A ",IF(YEAR($G165)=YEAR($AJ$6),IF(MONTH($G165)&lt;=12," A ","NA"),IF(YEAR($G165)&gt;YEAR($AJ$6),"NA"))))))</f>
        <v/>
      </c>
      <c r="AE165" s="350"/>
      <c r="AF165" s="44"/>
      <c r="AG165" s="351"/>
      <c r="AH165" s="348" t="str">
        <f t="shared" si="507"/>
        <v/>
      </c>
      <c r="AI165" s="349"/>
      <c r="AJ165" s="44"/>
      <c r="AK165" s="81" t="str">
        <f t="shared" si="508"/>
        <v/>
      </c>
      <c r="AL165" s="84">
        <f t="shared" si="509"/>
        <v>0</v>
      </c>
      <c r="AM165" s="84">
        <f t="shared" si="541"/>
        <v>34.285714285714285</v>
      </c>
      <c r="AN165" s="592"/>
      <c r="AO165" s="602"/>
      <c r="AP165" s="603"/>
      <c r="AQ165" s="603"/>
      <c r="AR165" s="574"/>
      <c r="AS165" s="574"/>
      <c r="AT165" s="574"/>
      <c r="AU165" s="572"/>
      <c r="AV165" s="573"/>
      <c r="AW165" s="605"/>
      <c r="AX165" t="str">
        <f t="shared" si="517"/>
        <v>No se evidencio avance</v>
      </c>
    </row>
    <row r="166" spans="1:50" ht="51.75" thickBot="1" x14ac:dyDescent="0.3">
      <c r="A166" s="590"/>
      <c r="B166" s="591"/>
      <c r="C166" s="82" t="str">
        <f>IF('CONSOLIDACION DEL MAPA'!P165="","",'CONSOLIDACION DEL MAPA'!P165)</f>
        <v>Reducir</v>
      </c>
      <c r="D166" s="82" t="str">
        <f>CRONOGRAMA!D165</f>
        <v>Realización de un Plan de Manejo y uso de la Información Institucional</v>
      </c>
      <c r="E166" s="132" t="str">
        <f>IF(CRONOGRAMA!F165="", "",CRONOGRAMA!F165)</f>
        <v>Plan</v>
      </c>
      <c r="F166" s="132">
        <f>IF(CRONOGRAMA!G165="", "",CRONOGRAMA!G165)</f>
        <v>1</v>
      </c>
      <c r="G166" s="128">
        <f>IF(CRONOGRAMA!H165="", "",CRONOGRAMA!H165)</f>
        <v>42495</v>
      </c>
      <c r="H166" s="128">
        <f>IF(CRONOGRAMA!I165="", "",CRONOGRAMA!I165)</f>
        <v>42735</v>
      </c>
      <c r="I166" s="84">
        <f t="shared" si="500"/>
        <v>34.285714285714285</v>
      </c>
      <c r="J166" s="160" t="str">
        <f>IF($P$6="Indique Fecha Seguimiento","",IF(CRONOGRAMA!$E165="No Aplica","NA",IF($G166="","",IF(YEAR($G166)&lt;YEAR($P$6)," A ",IF(YEAR($G166)=YEAR($P$6),IF(MONTH($G166)&lt;=4," A ","NA"),IF(YEAR($G166)&gt;YEAR($P$6),"NA"))))))</f>
        <v>NA</v>
      </c>
      <c r="K166" s="400"/>
      <c r="L166" s="402"/>
      <c r="M166" s="400"/>
      <c r="N166" s="348" t="str">
        <f t="shared" si="501"/>
        <v/>
      </c>
      <c r="O166" s="349"/>
      <c r="P166" s="44"/>
      <c r="Q166" s="84" t="str">
        <f t="shared" si="502"/>
        <v/>
      </c>
      <c r="R166" s="84" t="str">
        <f t="shared" si="503"/>
        <v/>
      </c>
      <c r="S166" s="84">
        <f t="shared" si="539"/>
        <v>34.285714285714285</v>
      </c>
      <c r="T166" s="160" t="str">
        <f>IF($Z$6="Indique Fecha Seguimiento","",IF(CRONOGRAMA!$E165="No Aplica","NA",IF($G166="","",IF(YEAR($G166)&lt;YEAR($Z$6)," A ",IF(YEAR($G166)=YEAR($Z$6),IF(MONTH($G166)&lt;=8," A ","NA"),IF(YEAR($G166)&gt;YEAR($Z$6),"NA"))))))</f>
        <v xml:space="preserve"> A </v>
      </c>
      <c r="U166" s="350">
        <v>1</v>
      </c>
      <c r="V166" s="44" t="s">
        <v>980</v>
      </c>
      <c r="W166" s="351">
        <v>1</v>
      </c>
      <c r="X166" s="348">
        <f t="shared" si="504"/>
        <v>1</v>
      </c>
      <c r="Y166" s="349" t="s">
        <v>11</v>
      </c>
      <c r="Z166" s="44" t="str">
        <f>V166</f>
        <v>Guía disponible en el Sistema  formato TI-G04 y procedimiento  TI- P08</v>
      </c>
      <c r="AA166" s="84">
        <f t="shared" si="505"/>
        <v>34.285714285714285</v>
      </c>
      <c r="AB166" s="84">
        <f t="shared" si="506"/>
        <v>34.285714285714285</v>
      </c>
      <c r="AC166" s="84">
        <f t="shared" si="540"/>
        <v>34.285714285714285</v>
      </c>
      <c r="AD166" s="160" t="str">
        <f>IF($AJ$6="Indique Fecha Seguimiento","",IF(CRONOGRAMA!$E165="No Aplica","NA",IF($G166="","",IF(YEAR($G166)&lt;YEAR($AJ$6)," A ",IF(YEAR($G166)=YEAR($AJ$6),IF(MONTH($G166)&lt;=12," A ","NA"),IF(YEAR($G166)&gt;YEAR($AJ$6),"NA"))))))</f>
        <v/>
      </c>
      <c r="AE166" s="350"/>
      <c r="AF166" s="44"/>
      <c r="AG166" s="351"/>
      <c r="AH166" s="348" t="str">
        <f t="shared" si="507"/>
        <v/>
      </c>
      <c r="AI166" s="349"/>
      <c r="AJ166" s="44"/>
      <c r="AK166" s="81" t="str">
        <f t="shared" si="508"/>
        <v/>
      </c>
      <c r="AL166" s="84">
        <f t="shared" si="509"/>
        <v>34.285714285714285</v>
      </c>
      <c r="AM166" s="84">
        <f t="shared" si="541"/>
        <v>34.285714285714285</v>
      </c>
      <c r="AN166" s="592"/>
      <c r="AO166" s="602"/>
      <c r="AP166" s="603"/>
      <c r="AQ166" s="603"/>
      <c r="AR166" s="574"/>
      <c r="AS166" s="574"/>
      <c r="AT166" s="574"/>
      <c r="AU166" s="572"/>
      <c r="AV166" s="573"/>
      <c r="AW166" s="605"/>
      <c r="AX166" t="str">
        <f t="shared" si="517"/>
        <v>Guía disponible en el Sistema  formato TI-G04 y procedimiento  TI- P08</v>
      </c>
    </row>
    <row r="167" spans="1:50" ht="39" thickTop="1" x14ac:dyDescent="0.25">
      <c r="A167" s="588" t="str">
        <f>CRONOGRAMA!A166</f>
        <v>25C</v>
      </c>
      <c r="B167" s="591" t="str">
        <f>CRONOGRAMA!B166</f>
        <v xml:space="preserve">Gestión Documental. Entregar un título o certificado sin los requisitos para ello </v>
      </c>
      <c r="C167" s="82" t="str">
        <f>IF('CONSOLIDACION DEL MAPA'!P166="","",'CONSOLIDACION DEL MAPA'!P166)</f>
        <v>No Establecer</v>
      </c>
      <c r="D167" s="82" t="str">
        <f>CRONOGRAMA!D166</f>
        <v xml:space="preserve">Seguir ejecutando y monitoreando los controles existentes </v>
      </c>
      <c r="E167" s="132" t="str">
        <f>IF(CRONOGRAMA!F166="", "",CRONOGRAMA!F166)</f>
        <v/>
      </c>
      <c r="F167" s="132" t="str">
        <f>IF(CRONOGRAMA!G166="", "",CRONOGRAMA!G166)</f>
        <v/>
      </c>
      <c r="G167" s="128" t="str">
        <f>IF(CRONOGRAMA!H166="", "",CRONOGRAMA!H166)</f>
        <v/>
      </c>
      <c r="H167" s="128" t="str">
        <f>IF(CRONOGRAMA!I166="", "",CRONOGRAMA!I166)</f>
        <v/>
      </c>
      <c r="I167" s="84">
        <f t="shared" si="500"/>
        <v>0</v>
      </c>
      <c r="J167" s="160" t="str">
        <f>IF($P$6="Indique Fecha Seguimiento","",IF(CRONOGRAMA!$E166="No Aplica","NA",IF($G167="","",IF(YEAR($G167)&lt;YEAR($P$6)," A ",IF(YEAR($G167)=YEAR($P$6),IF(MONTH($G167)&lt;=4," A ","NA"),IF(YEAR($G167)&gt;YEAR($P$6),"NA"))))))</f>
        <v>NA</v>
      </c>
      <c r="K167" s="400"/>
      <c r="L167" s="402"/>
      <c r="M167" s="400"/>
      <c r="N167" s="348" t="str">
        <f t="shared" si="501"/>
        <v/>
      </c>
      <c r="O167" s="349"/>
      <c r="P167" s="44"/>
      <c r="Q167" s="84" t="str">
        <f t="shared" si="502"/>
        <v/>
      </c>
      <c r="R167" s="84" t="str">
        <f t="shared" si="503"/>
        <v/>
      </c>
      <c r="S167" s="84">
        <f t="shared" si="539"/>
        <v>0</v>
      </c>
      <c r="T167" s="160" t="str">
        <f>IF($Z$6="Indique Fecha Seguimiento","",IF(CRONOGRAMA!$E166="No Aplica","NA",IF($G167="","",IF(YEAR($G167)&lt;YEAR($Z$6)," A ",IF(YEAR($G167)=YEAR($Z$6),IF(MONTH($G167)&lt;=8," A ","NA"),IF(YEAR($G167)&gt;YEAR($Z$6),"NA"))))))</f>
        <v>NA</v>
      </c>
      <c r="U167" s="350"/>
      <c r="V167" s="44"/>
      <c r="W167" s="351"/>
      <c r="X167" s="348" t="str">
        <f t="shared" si="504"/>
        <v/>
      </c>
      <c r="Y167" s="349"/>
      <c r="Z167" s="44"/>
      <c r="AA167" s="84" t="str">
        <f t="shared" si="505"/>
        <v/>
      </c>
      <c r="AB167" s="84" t="str">
        <f t="shared" si="506"/>
        <v/>
      </c>
      <c r="AC167" s="84">
        <f t="shared" si="540"/>
        <v>0</v>
      </c>
      <c r="AD167" s="160" t="str">
        <f>IF($AJ$6="Indique Fecha Seguimiento","",IF(CRONOGRAMA!$E166="No Aplica","NA",IF($G167="","",IF(YEAR($G167)&lt;YEAR($AJ$6)," A ",IF(YEAR($G167)=YEAR($AJ$6),IF(MONTH($G167)&lt;=12," A ","NA"),IF(YEAR($G167)&gt;YEAR($AJ$6),"NA"))))))</f>
        <v/>
      </c>
      <c r="AE167" s="350"/>
      <c r="AF167" s="44"/>
      <c r="AG167" s="351"/>
      <c r="AH167" s="348" t="str">
        <f t="shared" si="507"/>
        <v/>
      </c>
      <c r="AI167" s="349"/>
      <c r="AJ167" s="44"/>
      <c r="AK167" s="81" t="str">
        <f t="shared" si="508"/>
        <v/>
      </c>
      <c r="AL167" s="84">
        <f t="shared" si="509"/>
        <v>0</v>
      </c>
      <c r="AM167" s="84">
        <f t="shared" si="541"/>
        <v>0</v>
      </c>
      <c r="AN167" s="592">
        <f t="shared" ref="AN167" si="559">SUM(I167:I169)</f>
        <v>0</v>
      </c>
      <c r="AO167" s="602" t="str">
        <f t="shared" ref="AO167" si="560">IF(AND(Q167="",Q168="",Q169=""),"",SUM(Q167:Q169))</f>
        <v/>
      </c>
      <c r="AP167" s="603" t="str">
        <f t="shared" ref="AP167" si="561">IF(AND(AA167="",AA168="",AA169=""),"",SUM(AA167:AA169))</f>
        <v/>
      </c>
      <c r="AQ167" s="603" t="str">
        <f t="shared" ref="AQ167" si="562">IF(AND(AK167="",AK168="",AK169=""),"",SUM(AK167:AK169))</f>
        <v/>
      </c>
      <c r="AR167" s="574" t="str">
        <f t="shared" si="546"/>
        <v>NA</v>
      </c>
      <c r="AS167" s="574" t="str">
        <f t="shared" si="547"/>
        <v>NA</v>
      </c>
      <c r="AT167" s="574" t="str">
        <f t="shared" ref="AT167" si="563">IF(AS167&gt;=AR167,AS167,AR167)</f>
        <v>NA</v>
      </c>
      <c r="AU167" s="572" t="str">
        <f t="shared" si="549"/>
        <v/>
      </c>
      <c r="AV167" s="573" t="str">
        <f t="shared" ref="AV167" si="564">IF($AU$6=1,AR167,IF($AU$6=2,AS167,IF($AU$6=3,AU167,"")))</f>
        <v>NA</v>
      </c>
      <c r="AW167" s="605" t="str">
        <f t="shared" ref="AW167" si="565">AV167</f>
        <v>NA</v>
      </c>
      <c r="AX167">
        <f t="shared" si="517"/>
        <v>0</v>
      </c>
    </row>
    <row r="168" spans="1:50" ht="15.75" x14ac:dyDescent="0.25">
      <c r="A168" s="589"/>
      <c r="B168" s="591"/>
      <c r="C168" s="82" t="str">
        <f>IF('CONSOLIDACION DEL MAPA'!P167="","",'CONSOLIDACION DEL MAPA'!P167)</f>
        <v/>
      </c>
      <c r="D168" s="82" t="str">
        <f>CRONOGRAMA!D167</f>
        <v/>
      </c>
      <c r="E168" s="132" t="str">
        <f>IF(CRONOGRAMA!F167="", "",CRONOGRAMA!F167)</f>
        <v/>
      </c>
      <c r="F168" s="132" t="str">
        <f>IF(CRONOGRAMA!G167="", "",CRONOGRAMA!G167)</f>
        <v/>
      </c>
      <c r="G168" s="128" t="str">
        <f>IF(CRONOGRAMA!H167="", "",CRONOGRAMA!H167)</f>
        <v/>
      </c>
      <c r="H168" s="128" t="str">
        <f>IF(CRONOGRAMA!I167="", "",CRONOGRAMA!I167)</f>
        <v/>
      </c>
      <c r="I168" s="84">
        <f t="shared" si="500"/>
        <v>0</v>
      </c>
      <c r="J168" s="160" t="str">
        <f>IF($P$6="Indique Fecha Seguimiento","",IF(CRONOGRAMA!$E167="No Aplica","NA",IF($G168="","",IF(YEAR($G168)&lt;YEAR($P$6)," A ",IF(YEAR($G168)=YEAR($P$6),IF(MONTH($G168)&lt;=4," A ","NA"),IF(YEAR($G168)&gt;YEAR($P$6),"NA"))))))</f>
        <v/>
      </c>
      <c r="K168" s="400"/>
      <c r="L168" s="402"/>
      <c r="M168" s="400"/>
      <c r="N168" s="348" t="str">
        <f t="shared" si="501"/>
        <v/>
      </c>
      <c r="O168" s="349"/>
      <c r="P168" s="44"/>
      <c r="Q168" s="84" t="str">
        <f t="shared" si="502"/>
        <v/>
      </c>
      <c r="R168" s="84" t="str">
        <f t="shared" si="503"/>
        <v/>
      </c>
      <c r="S168" s="84">
        <f t="shared" si="539"/>
        <v>0</v>
      </c>
      <c r="T168" s="160" t="str">
        <f>IF($Z$6="Indique Fecha Seguimiento","",IF(CRONOGRAMA!$E167="No Aplica","NA",IF($G168="","",IF(YEAR($G168)&lt;YEAR($Z$6)," A ",IF(YEAR($G168)=YEAR($Z$6),IF(MONTH($G168)&lt;=8," A ","NA"),IF(YEAR($G168)&gt;YEAR($Z$6),"NA"))))))</f>
        <v/>
      </c>
      <c r="U168" s="350"/>
      <c r="V168" s="44"/>
      <c r="W168" s="351"/>
      <c r="X168" s="348" t="str">
        <f t="shared" si="504"/>
        <v/>
      </c>
      <c r="Y168" s="349"/>
      <c r="Z168" s="44"/>
      <c r="AA168" s="84" t="str">
        <f t="shared" si="505"/>
        <v/>
      </c>
      <c r="AB168" s="84" t="str">
        <f t="shared" si="506"/>
        <v/>
      </c>
      <c r="AC168" s="84">
        <f t="shared" si="540"/>
        <v>0</v>
      </c>
      <c r="AD168" s="160" t="str">
        <f>IF($AJ$6="Indique Fecha Seguimiento","",IF(CRONOGRAMA!$E167="No Aplica","NA",IF($G168="","",IF(YEAR($G168)&lt;YEAR($AJ$6)," A ",IF(YEAR($G168)=YEAR($AJ$6),IF(MONTH($G168)&lt;=12," A ","NA"),IF(YEAR($G168)&gt;YEAR($AJ$6),"NA"))))))</f>
        <v/>
      </c>
      <c r="AE168" s="350"/>
      <c r="AF168" s="44"/>
      <c r="AG168" s="351"/>
      <c r="AH168" s="348" t="str">
        <f t="shared" si="507"/>
        <v/>
      </c>
      <c r="AI168" s="349"/>
      <c r="AJ168" s="44"/>
      <c r="AK168" s="81" t="str">
        <f t="shared" si="508"/>
        <v/>
      </c>
      <c r="AL168" s="84">
        <f t="shared" si="509"/>
        <v>0</v>
      </c>
      <c r="AM168" s="84">
        <f t="shared" si="541"/>
        <v>0</v>
      </c>
      <c r="AN168" s="592"/>
      <c r="AO168" s="602"/>
      <c r="AP168" s="603"/>
      <c r="AQ168" s="603"/>
      <c r="AR168" s="574"/>
      <c r="AS168" s="574"/>
      <c r="AT168" s="574"/>
      <c r="AU168" s="572"/>
      <c r="AV168" s="573"/>
      <c r="AW168" s="605"/>
      <c r="AX168">
        <f t="shared" si="517"/>
        <v>0</v>
      </c>
    </row>
    <row r="169" spans="1:50" ht="16.5" thickBot="1" x14ac:dyDescent="0.3">
      <c r="A169" s="590"/>
      <c r="B169" s="591"/>
      <c r="C169" s="82" t="str">
        <f>IF('CONSOLIDACION DEL MAPA'!P168="","",'CONSOLIDACION DEL MAPA'!P168)</f>
        <v/>
      </c>
      <c r="D169" s="82" t="str">
        <f>CRONOGRAMA!D168</f>
        <v/>
      </c>
      <c r="E169" s="132" t="str">
        <f>IF(CRONOGRAMA!F168="", "",CRONOGRAMA!F168)</f>
        <v/>
      </c>
      <c r="F169" s="132" t="str">
        <f>IF(CRONOGRAMA!G168="", "",CRONOGRAMA!G168)</f>
        <v/>
      </c>
      <c r="G169" s="128" t="str">
        <f>IF(CRONOGRAMA!H168="", "",CRONOGRAMA!H168)</f>
        <v/>
      </c>
      <c r="H169" s="128" t="str">
        <f>IF(CRONOGRAMA!I168="", "",CRONOGRAMA!I168)</f>
        <v/>
      </c>
      <c r="I169" s="84">
        <f t="shared" si="500"/>
        <v>0</v>
      </c>
      <c r="J169" s="160" t="str">
        <f>IF($P$6="Indique Fecha Seguimiento","",IF(CRONOGRAMA!$E168="No Aplica","NA",IF($G169="","",IF(YEAR($G169)&lt;YEAR($P$6)," A ",IF(YEAR($G169)=YEAR($P$6),IF(MONTH($G169)&lt;=4," A ","NA"),IF(YEAR($G169)&gt;YEAR($P$6),"NA"))))))</f>
        <v/>
      </c>
      <c r="K169" s="400"/>
      <c r="L169" s="402"/>
      <c r="M169" s="400"/>
      <c r="N169" s="348" t="str">
        <f t="shared" si="501"/>
        <v/>
      </c>
      <c r="O169" s="349"/>
      <c r="P169" s="44"/>
      <c r="Q169" s="84" t="str">
        <f t="shared" si="502"/>
        <v/>
      </c>
      <c r="R169" s="84" t="str">
        <f t="shared" si="503"/>
        <v/>
      </c>
      <c r="S169" s="84">
        <f t="shared" si="539"/>
        <v>0</v>
      </c>
      <c r="T169" s="160" t="str">
        <f>IF($Z$6="Indique Fecha Seguimiento","",IF(CRONOGRAMA!$E168="No Aplica","NA",IF($G169="","",IF(YEAR($G169)&lt;YEAR($Z$6)," A ",IF(YEAR($G169)=YEAR($Z$6),IF(MONTH($G169)&lt;=8," A ","NA"),IF(YEAR($G169)&gt;YEAR($Z$6),"NA"))))))</f>
        <v/>
      </c>
      <c r="U169" s="350"/>
      <c r="V169" s="44"/>
      <c r="W169" s="351"/>
      <c r="X169" s="348" t="str">
        <f t="shared" si="504"/>
        <v/>
      </c>
      <c r="Y169" s="349"/>
      <c r="Z169" s="44"/>
      <c r="AA169" s="84" t="str">
        <f t="shared" si="505"/>
        <v/>
      </c>
      <c r="AB169" s="84" t="str">
        <f t="shared" si="506"/>
        <v/>
      </c>
      <c r="AC169" s="84">
        <f t="shared" si="540"/>
        <v>0</v>
      </c>
      <c r="AD169" s="160" t="str">
        <f>IF($AJ$6="Indique Fecha Seguimiento","",IF(CRONOGRAMA!$E168="No Aplica","NA",IF($G169="","",IF(YEAR($G169)&lt;YEAR($AJ$6)," A ",IF(YEAR($G169)=YEAR($AJ$6),IF(MONTH($G169)&lt;=12," A ","NA"),IF(YEAR($G169)&gt;YEAR($AJ$6),"NA"))))))</f>
        <v/>
      </c>
      <c r="AE169" s="350"/>
      <c r="AF169" s="44"/>
      <c r="AG169" s="351"/>
      <c r="AH169" s="348" t="str">
        <f t="shared" si="507"/>
        <v/>
      </c>
      <c r="AI169" s="349"/>
      <c r="AJ169" s="44"/>
      <c r="AK169" s="81" t="str">
        <f t="shared" si="508"/>
        <v/>
      </c>
      <c r="AL169" s="84">
        <f t="shared" si="509"/>
        <v>0</v>
      </c>
      <c r="AM169" s="84">
        <f t="shared" si="541"/>
        <v>0</v>
      </c>
      <c r="AN169" s="592"/>
      <c r="AO169" s="602"/>
      <c r="AP169" s="603"/>
      <c r="AQ169" s="603"/>
      <c r="AR169" s="574"/>
      <c r="AS169" s="574"/>
      <c r="AT169" s="574"/>
      <c r="AU169" s="572"/>
      <c r="AV169" s="573"/>
      <c r="AW169" s="605"/>
      <c r="AX169">
        <f t="shared" si="517"/>
        <v>0</v>
      </c>
    </row>
    <row r="170" spans="1:50" ht="39" thickTop="1" x14ac:dyDescent="0.25">
      <c r="A170" s="588" t="str">
        <f>CRONOGRAMA!A169</f>
        <v>26C</v>
      </c>
      <c r="B170" s="591" t="str">
        <f>CRONOGRAMA!B169</f>
        <v>Gestión Documental. Expedición de un certificado de título falso</v>
      </c>
      <c r="C170" s="82" t="str">
        <f>IF('CONSOLIDACION DEL MAPA'!P169="","",'CONSOLIDACION DEL MAPA'!P169)</f>
        <v>No Establecer</v>
      </c>
      <c r="D170" s="82" t="str">
        <f>CRONOGRAMA!D169</f>
        <v xml:space="preserve">Seguir ejecutando y monitoreando los controles existentes </v>
      </c>
      <c r="E170" s="132" t="str">
        <f>IF(CRONOGRAMA!F169="", "",CRONOGRAMA!F169)</f>
        <v/>
      </c>
      <c r="F170" s="132" t="str">
        <f>IF(CRONOGRAMA!G169="", "",CRONOGRAMA!G169)</f>
        <v/>
      </c>
      <c r="G170" s="128" t="str">
        <f>IF(CRONOGRAMA!H169="", "",CRONOGRAMA!H169)</f>
        <v/>
      </c>
      <c r="H170" s="128" t="str">
        <f>IF(CRONOGRAMA!I169="", "",CRONOGRAMA!I169)</f>
        <v/>
      </c>
      <c r="I170" s="84">
        <f t="shared" si="500"/>
        <v>0</v>
      </c>
      <c r="J170" s="160" t="str">
        <f>IF($P$6="Indique Fecha Seguimiento","",IF(CRONOGRAMA!$E169="No Aplica","NA",IF($G170="","",IF(YEAR($G170)&lt;YEAR($P$6)," A ",IF(YEAR($G170)=YEAR($P$6),IF(MONTH($G170)&lt;=4," A ","NA"),IF(YEAR($G170)&gt;YEAR($P$6),"NA"))))))</f>
        <v>NA</v>
      </c>
      <c r="K170" s="400"/>
      <c r="L170" s="402"/>
      <c r="M170" s="400"/>
      <c r="N170" s="348" t="str">
        <f t="shared" si="501"/>
        <v/>
      </c>
      <c r="O170" s="349"/>
      <c r="P170" s="44"/>
      <c r="Q170" s="84" t="str">
        <f t="shared" si="502"/>
        <v/>
      </c>
      <c r="R170" s="84" t="str">
        <f t="shared" si="503"/>
        <v/>
      </c>
      <c r="S170" s="84">
        <f t="shared" si="539"/>
        <v>0</v>
      </c>
      <c r="T170" s="160" t="str">
        <f>IF($Z$6="Indique Fecha Seguimiento","",IF(CRONOGRAMA!$E169="No Aplica","NA",IF($G170="","",IF(YEAR($G170)&lt;YEAR($Z$6)," A ",IF(YEAR($G170)=YEAR($Z$6),IF(MONTH($G170)&lt;=8," A ","NA"),IF(YEAR($G170)&gt;YEAR($Z$6),"NA"))))))</f>
        <v>NA</v>
      </c>
      <c r="U170" s="350"/>
      <c r="V170" s="44"/>
      <c r="W170" s="351"/>
      <c r="X170" s="348" t="str">
        <f t="shared" si="504"/>
        <v/>
      </c>
      <c r="Y170" s="349"/>
      <c r="Z170" s="44"/>
      <c r="AA170" s="84" t="str">
        <f t="shared" si="505"/>
        <v/>
      </c>
      <c r="AB170" s="84" t="str">
        <f t="shared" si="506"/>
        <v/>
      </c>
      <c r="AC170" s="84">
        <f t="shared" si="540"/>
        <v>0</v>
      </c>
      <c r="AD170" s="160" t="str">
        <f>IF($AJ$6="Indique Fecha Seguimiento","",IF(CRONOGRAMA!$E169="No Aplica","NA",IF($G170="","",IF(YEAR($G170)&lt;YEAR($AJ$6)," A ",IF(YEAR($G170)=YEAR($AJ$6),IF(MONTH($G170)&lt;=12," A ","NA"),IF(YEAR($G170)&gt;YEAR($AJ$6),"NA"))))))</f>
        <v/>
      </c>
      <c r="AE170" s="350"/>
      <c r="AF170" s="44"/>
      <c r="AG170" s="351"/>
      <c r="AH170" s="348" t="str">
        <f t="shared" si="507"/>
        <v/>
      </c>
      <c r="AI170" s="349"/>
      <c r="AJ170" s="44"/>
      <c r="AK170" s="81" t="str">
        <f t="shared" si="508"/>
        <v/>
      </c>
      <c r="AL170" s="84">
        <f t="shared" si="509"/>
        <v>0</v>
      </c>
      <c r="AM170" s="84">
        <f t="shared" si="541"/>
        <v>0</v>
      </c>
      <c r="AN170" s="592">
        <f t="shared" ref="AN170" si="566">SUM(I170:I172)</f>
        <v>0</v>
      </c>
      <c r="AO170" s="602" t="str">
        <f t="shared" ref="AO170" si="567">IF(AND(Q170="",Q171="",Q172=""),"",SUM(Q170:Q172))</f>
        <v/>
      </c>
      <c r="AP170" s="603" t="str">
        <f t="shared" ref="AP170" si="568">IF(AND(AA170="",AA171="",AA172=""),"",SUM(AA170:AA172))</f>
        <v/>
      </c>
      <c r="AQ170" s="603" t="str">
        <f t="shared" ref="AQ170" si="569">IF(AND(AK170="",AK171="",AK172=""),"",SUM(AK170:AK172))</f>
        <v/>
      </c>
      <c r="AR170" s="574" t="str">
        <f t="shared" si="546"/>
        <v>NA</v>
      </c>
      <c r="AS170" s="574" t="str">
        <f t="shared" si="547"/>
        <v>NA</v>
      </c>
      <c r="AT170" s="574" t="str">
        <f t="shared" ref="AT170" si="570">IF(AS170&gt;=AR170,AS170,AR170)</f>
        <v>NA</v>
      </c>
      <c r="AU170" s="572" t="str">
        <f t="shared" si="549"/>
        <v/>
      </c>
      <c r="AV170" s="573" t="str">
        <f t="shared" ref="AV170" si="571">IF($AU$6=1,AR170,IF($AU$6=2,AS170,IF($AU$6=3,AU170,"")))</f>
        <v>NA</v>
      </c>
      <c r="AW170" s="605" t="str">
        <f t="shared" ref="AW170" si="572">AV170</f>
        <v>NA</v>
      </c>
      <c r="AX170">
        <f t="shared" si="517"/>
        <v>0</v>
      </c>
    </row>
    <row r="171" spans="1:50" ht="15.75" x14ac:dyDescent="0.25">
      <c r="A171" s="589"/>
      <c r="B171" s="591"/>
      <c r="C171" s="82" t="str">
        <f>IF('CONSOLIDACION DEL MAPA'!P170="","",'CONSOLIDACION DEL MAPA'!P170)</f>
        <v/>
      </c>
      <c r="D171" s="82" t="str">
        <f>CRONOGRAMA!D170</f>
        <v/>
      </c>
      <c r="E171" s="132" t="str">
        <f>IF(CRONOGRAMA!F170="", "",CRONOGRAMA!F170)</f>
        <v/>
      </c>
      <c r="F171" s="132" t="str">
        <f>IF(CRONOGRAMA!G170="", "",CRONOGRAMA!G170)</f>
        <v/>
      </c>
      <c r="G171" s="128" t="str">
        <f>IF(CRONOGRAMA!H170="", "",CRONOGRAMA!H170)</f>
        <v/>
      </c>
      <c r="H171" s="128" t="str">
        <f>IF(CRONOGRAMA!I170="", "",CRONOGRAMA!I170)</f>
        <v/>
      </c>
      <c r="I171" s="84">
        <f t="shared" si="500"/>
        <v>0</v>
      </c>
      <c r="J171" s="160" t="str">
        <f>IF($P$6="Indique Fecha Seguimiento","",IF(CRONOGRAMA!$E170="No Aplica","NA",IF($G171="","",IF(YEAR($G171)&lt;YEAR($P$6)," A ",IF(YEAR($G171)=YEAR($P$6),IF(MONTH($G171)&lt;=4," A ","NA"),IF(YEAR($G171)&gt;YEAR($P$6),"NA"))))))</f>
        <v/>
      </c>
      <c r="K171" s="400"/>
      <c r="L171" s="402"/>
      <c r="M171" s="400"/>
      <c r="N171" s="348" t="str">
        <f t="shared" si="501"/>
        <v/>
      </c>
      <c r="O171" s="349"/>
      <c r="P171" s="44"/>
      <c r="Q171" s="84" t="str">
        <f t="shared" si="502"/>
        <v/>
      </c>
      <c r="R171" s="84" t="str">
        <f t="shared" si="503"/>
        <v/>
      </c>
      <c r="S171" s="84">
        <f t="shared" si="539"/>
        <v>0</v>
      </c>
      <c r="T171" s="160" t="str">
        <f>IF($Z$6="Indique Fecha Seguimiento","",IF(CRONOGRAMA!$E170="No Aplica","NA",IF($G171="","",IF(YEAR($G171)&lt;YEAR($Z$6)," A ",IF(YEAR($G171)=YEAR($Z$6),IF(MONTH($G171)&lt;=8," A ","NA"),IF(YEAR($G171)&gt;YEAR($Z$6),"NA"))))))</f>
        <v/>
      </c>
      <c r="U171" s="350"/>
      <c r="V171" s="44"/>
      <c r="W171" s="351"/>
      <c r="X171" s="348" t="str">
        <f t="shared" si="504"/>
        <v/>
      </c>
      <c r="Y171" s="349"/>
      <c r="Z171" s="44"/>
      <c r="AA171" s="84" t="str">
        <f t="shared" si="505"/>
        <v/>
      </c>
      <c r="AB171" s="84" t="str">
        <f t="shared" si="506"/>
        <v/>
      </c>
      <c r="AC171" s="84">
        <f t="shared" si="540"/>
        <v>0</v>
      </c>
      <c r="AD171" s="160" t="str">
        <f>IF($AJ$6="Indique Fecha Seguimiento","",IF(CRONOGRAMA!$E170="No Aplica","NA",IF($G171="","",IF(YEAR($G171)&lt;YEAR($AJ$6)," A ",IF(YEAR($G171)=YEAR($AJ$6),IF(MONTH($G171)&lt;=12," A ","NA"),IF(YEAR($G171)&gt;YEAR($AJ$6),"NA"))))))</f>
        <v/>
      </c>
      <c r="AE171" s="350"/>
      <c r="AF171" s="44"/>
      <c r="AG171" s="351"/>
      <c r="AH171" s="348" t="str">
        <f t="shared" si="507"/>
        <v/>
      </c>
      <c r="AI171" s="349"/>
      <c r="AJ171" s="44"/>
      <c r="AK171" s="81" t="str">
        <f t="shared" si="508"/>
        <v/>
      </c>
      <c r="AL171" s="84">
        <f t="shared" si="509"/>
        <v>0</v>
      </c>
      <c r="AM171" s="84">
        <f t="shared" si="541"/>
        <v>0</v>
      </c>
      <c r="AN171" s="592"/>
      <c r="AO171" s="602"/>
      <c r="AP171" s="603"/>
      <c r="AQ171" s="603"/>
      <c r="AR171" s="574"/>
      <c r="AS171" s="574"/>
      <c r="AT171" s="574"/>
      <c r="AU171" s="572"/>
      <c r="AV171" s="573"/>
      <c r="AW171" s="605"/>
      <c r="AX171">
        <f t="shared" si="517"/>
        <v>0</v>
      </c>
    </row>
    <row r="172" spans="1:50" ht="16.5" thickBot="1" x14ac:dyDescent="0.3">
      <c r="A172" s="590"/>
      <c r="B172" s="591"/>
      <c r="C172" s="82" t="str">
        <f>IF('CONSOLIDACION DEL MAPA'!P171="","",'CONSOLIDACION DEL MAPA'!P171)</f>
        <v/>
      </c>
      <c r="D172" s="82" t="str">
        <f>CRONOGRAMA!D171</f>
        <v/>
      </c>
      <c r="E172" s="132" t="str">
        <f>IF(CRONOGRAMA!F171="", "",CRONOGRAMA!F171)</f>
        <v/>
      </c>
      <c r="F172" s="132" t="str">
        <f>IF(CRONOGRAMA!G171="", "",CRONOGRAMA!G171)</f>
        <v/>
      </c>
      <c r="G172" s="128" t="str">
        <f>IF(CRONOGRAMA!H171="", "",CRONOGRAMA!H171)</f>
        <v/>
      </c>
      <c r="H172" s="128" t="str">
        <f>IF(CRONOGRAMA!I171="", "",CRONOGRAMA!I171)</f>
        <v/>
      </c>
      <c r="I172" s="84">
        <f t="shared" si="500"/>
        <v>0</v>
      </c>
      <c r="J172" s="160" t="str">
        <f>IF($P$6="Indique Fecha Seguimiento","",IF(CRONOGRAMA!$E171="No Aplica","NA",IF($G172="","",IF(YEAR($G172)&lt;YEAR($P$6)," A ",IF(YEAR($G172)=YEAR($P$6),IF(MONTH($G172)&lt;=4," A ","NA"),IF(YEAR($G172)&gt;YEAR($P$6),"NA"))))))</f>
        <v/>
      </c>
      <c r="K172" s="400"/>
      <c r="L172" s="402"/>
      <c r="M172" s="400"/>
      <c r="N172" s="348" t="str">
        <f t="shared" si="501"/>
        <v/>
      </c>
      <c r="O172" s="349"/>
      <c r="P172" s="44"/>
      <c r="Q172" s="84" t="str">
        <f t="shared" si="502"/>
        <v/>
      </c>
      <c r="R172" s="84" t="str">
        <f t="shared" si="503"/>
        <v/>
      </c>
      <c r="S172" s="84">
        <f t="shared" si="539"/>
        <v>0</v>
      </c>
      <c r="T172" s="160" t="str">
        <f>IF($Z$6="Indique Fecha Seguimiento","",IF(CRONOGRAMA!$E171="No Aplica","NA",IF($G172="","",IF(YEAR($G172)&lt;YEAR($Z$6)," A ",IF(YEAR($G172)=YEAR($Z$6),IF(MONTH($G172)&lt;=8," A ","NA"),IF(YEAR($G172)&gt;YEAR($Z$6),"NA"))))))</f>
        <v/>
      </c>
      <c r="U172" s="350"/>
      <c r="V172" s="44"/>
      <c r="W172" s="351"/>
      <c r="X172" s="348" t="str">
        <f t="shared" si="504"/>
        <v/>
      </c>
      <c r="Y172" s="349"/>
      <c r="Z172" s="44"/>
      <c r="AA172" s="84" t="str">
        <f t="shared" si="505"/>
        <v/>
      </c>
      <c r="AB172" s="84" t="str">
        <f t="shared" si="506"/>
        <v/>
      </c>
      <c r="AC172" s="84">
        <f t="shared" si="540"/>
        <v>0</v>
      </c>
      <c r="AD172" s="160" t="str">
        <f>IF($AJ$6="Indique Fecha Seguimiento","",IF(CRONOGRAMA!$E171="No Aplica","NA",IF($G172="","",IF(YEAR($G172)&lt;YEAR($AJ$6)," A ",IF(YEAR($G172)=YEAR($AJ$6),IF(MONTH($G172)&lt;=12," A ","NA"),IF(YEAR($G172)&gt;YEAR($AJ$6),"NA"))))))</f>
        <v/>
      </c>
      <c r="AE172" s="350"/>
      <c r="AF172" s="44"/>
      <c r="AG172" s="351"/>
      <c r="AH172" s="348" t="str">
        <f t="shared" si="507"/>
        <v/>
      </c>
      <c r="AI172" s="349"/>
      <c r="AJ172" s="44"/>
      <c r="AK172" s="81" t="str">
        <f t="shared" si="508"/>
        <v/>
      </c>
      <c r="AL172" s="84">
        <f t="shared" si="509"/>
        <v>0</v>
      </c>
      <c r="AM172" s="84">
        <f t="shared" si="541"/>
        <v>0</v>
      </c>
      <c r="AN172" s="592"/>
      <c r="AO172" s="602"/>
      <c r="AP172" s="603"/>
      <c r="AQ172" s="603"/>
      <c r="AR172" s="574"/>
      <c r="AS172" s="574"/>
      <c r="AT172" s="574"/>
      <c r="AU172" s="572"/>
      <c r="AV172" s="573"/>
      <c r="AW172" s="605"/>
      <c r="AX172">
        <f t="shared" si="517"/>
        <v>0</v>
      </c>
    </row>
    <row r="173" spans="1:50" ht="141" thickTop="1" x14ac:dyDescent="0.25">
      <c r="A173" s="588" t="str">
        <f>CRONOGRAMA!A172</f>
        <v>27C</v>
      </c>
      <c r="B173" s="591" t="str">
        <f>CRONOGRAMA!B172</f>
        <v>Gestión del Talento Humano. Concentración de información de determinadas actividades o procesos en una persona.</v>
      </c>
      <c r="C173" s="82" t="str">
        <f>IF('CONSOLIDACION DEL MAPA'!P172="","",'CONSOLIDACION DEL MAPA'!P172)</f>
        <v>Reducir</v>
      </c>
      <c r="D173" s="82" t="str">
        <f>CRONOGRAMA!D172</f>
        <v>Revisión y actualización de los procedimientos de la Gestión del Talento Humano</v>
      </c>
      <c r="E173" s="132" t="str">
        <f>IF(CRONOGRAMA!F172="", "",CRONOGRAMA!F172)</f>
        <v>Procedimientos actualizados</v>
      </c>
      <c r="F173" s="132">
        <f>IF(CRONOGRAMA!G172="", "",CRONOGRAMA!G172)</f>
        <v>1</v>
      </c>
      <c r="G173" s="128">
        <f>IF(CRONOGRAMA!H172="", "",CRONOGRAMA!H172)</f>
        <v>42430</v>
      </c>
      <c r="H173" s="128">
        <f>IF(CRONOGRAMA!I172="", "",CRONOGRAMA!I172)</f>
        <v>42735</v>
      </c>
      <c r="I173" s="84">
        <f t="shared" si="500"/>
        <v>43.571428571428569</v>
      </c>
      <c r="J173" s="160" t="str">
        <f>IF($P$6="Indique Fecha Seguimiento","",IF(CRONOGRAMA!$E172="No Aplica","NA",IF($G173="","",IF(YEAR($G173)&lt;YEAR($P$6)," A ",IF(YEAR($G173)=YEAR($P$6),IF(MONTH($G173)&lt;=4," A ","NA"),IF(YEAR($G173)&gt;YEAR($P$6),"NA"))))))</f>
        <v xml:space="preserve"> A </v>
      </c>
      <c r="K173" s="400">
        <v>0.05</v>
      </c>
      <c r="L173" s="402" t="s">
        <v>896</v>
      </c>
      <c r="M173" s="400">
        <v>0.05</v>
      </c>
      <c r="N173" s="348">
        <f t="shared" si="501"/>
        <v>0.05</v>
      </c>
      <c r="O173" s="349" t="s">
        <v>353</v>
      </c>
      <c r="P173" s="44"/>
      <c r="Q173" s="84">
        <f t="shared" si="502"/>
        <v>2.1785714285714284</v>
      </c>
      <c r="R173" s="84">
        <f t="shared" si="503"/>
        <v>2.1785714285714284</v>
      </c>
      <c r="S173" s="84">
        <f t="shared" si="539"/>
        <v>43.571428571428569</v>
      </c>
      <c r="T173" s="160" t="str">
        <f>IF($Z$6="Indique Fecha Seguimiento","",IF(CRONOGRAMA!$E172="No Aplica","NA",IF($G173="","",IF(YEAR($G173)&lt;YEAR($Z$6)," A ",IF(YEAR($G173)=YEAR($Z$6),IF(MONTH($G173)&lt;=8," A ","NA"),IF(YEAR($G173)&gt;YEAR($Z$6),"NA"))))))</f>
        <v xml:space="preserve"> A </v>
      </c>
      <c r="U173" s="416">
        <v>0.05</v>
      </c>
      <c r="V173" s="415" t="s">
        <v>953</v>
      </c>
      <c r="W173" s="351">
        <v>0.05</v>
      </c>
      <c r="X173" s="348">
        <f t="shared" si="504"/>
        <v>0.05</v>
      </c>
      <c r="Y173" s="349" t="s">
        <v>353</v>
      </c>
      <c r="Z173" s="44" t="s">
        <v>954</v>
      </c>
      <c r="AA173" s="84">
        <f t="shared" si="505"/>
        <v>2.1785714285714284</v>
      </c>
      <c r="AB173" s="84">
        <f t="shared" si="506"/>
        <v>2.1785714285714284</v>
      </c>
      <c r="AC173" s="84">
        <f t="shared" si="540"/>
        <v>43.571428571428569</v>
      </c>
      <c r="AD173" s="160" t="str">
        <f>IF($AJ$6="Indique Fecha Seguimiento","",IF(CRONOGRAMA!$E172="No Aplica","NA",IF($G173="","",IF(YEAR($G173)&lt;YEAR($AJ$6)," A ",IF(YEAR($G173)=YEAR($AJ$6),IF(MONTH($G173)&lt;=12," A ","NA"),IF(YEAR($G173)&gt;YEAR($AJ$6),"NA"))))))</f>
        <v/>
      </c>
      <c r="AE173" s="350"/>
      <c r="AF173" s="44"/>
      <c r="AG173" s="351"/>
      <c r="AH173" s="348" t="str">
        <f t="shared" si="507"/>
        <v/>
      </c>
      <c r="AI173" s="349"/>
      <c r="AJ173" s="44"/>
      <c r="AK173" s="81" t="str">
        <f t="shared" si="508"/>
        <v/>
      </c>
      <c r="AL173" s="84">
        <f t="shared" si="509"/>
        <v>0</v>
      </c>
      <c r="AM173" s="84">
        <f t="shared" si="541"/>
        <v>43.571428571428569</v>
      </c>
      <c r="AN173" s="592">
        <f t="shared" ref="AN173" si="573">SUM(I173:I175)</f>
        <v>43.571428571428569</v>
      </c>
      <c r="AO173" s="602">
        <f t="shared" ref="AO173" si="574">IF(AND(Q173="",Q174="",Q175=""),"",SUM(Q173:Q175))</f>
        <v>2.1785714285714284</v>
      </c>
      <c r="AP173" s="603">
        <f t="shared" ref="AP173" si="575">IF(AND(AA173="",AA174="",AA175=""),"",SUM(AA173:AA175))</f>
        <v>2.1785714285714284</v>
      </c>
      <c r="AQ173" s="603" t="str">
        <f t="shared" ref="AQ173" si="576">IF(AND(AK173="",AK174="",AK175=""),"",SUM(AK173:AK175))</f>
        <v/>
      </c>
      <c r="AR173" s="574">
        <f t="shared" si="546"/>
        <v>4.9999999999999996E-2</v>
      </c>
      <c r="AS173" s="574">
        <f t="shared" si="547"/>
        <v>4.9999999999999996E-2</v>
      </c>
      <c r="AT173" s="574">
        <f t="shared" ref="AT173" si="577">IF(AS173&gt;=AR173,AS173,AR173)</f>
        <v>4.9999999999999996E-2</v>
      </c>
      <c r="AU173" s="572" t="str">
        <f t="shared" si="549"/>
        <v/>
      </c>
      <c r="AV173" s="573">
        <f t="shared" ref="AV173" si="578">IF($AU$6=1,AR173,IF($AU$6=2,AS173,IF($AU$6=3,AU173,"")))</f>
        <v>4.9999999999999996E-2</v>
      </c>
      <c r="AW173" s="605">
        <f t="shared" ref="AW173" si="579">AV173</f>
        <v>4.9999999999999996E-2</v>
      </c>
      <c r="AX173" t="str">
        <f t="shared" si="517"/>
        <v>Se encuentran en proceso de revision inicial y validacion</v>
      </c>
    </row>
    <row r="174" spans="1:50" ht="15.75" x14ac:dyDescent="0.25">
      <c r="A174" s="589"/>
      <c r="B174" s="591"/>
      <c r="C174" s="82" t="str">
        <f>IF('CONSOLIDACION DEL MAPA'!P173="","",'CONSOLIDACION DEL MAPA'!P173)</f>
        <v/>
      </c>
      <c r="D174" s="82" t="str">
        <f>CRONOGRAMA!D173</f>
        <v/>
      </c>
      <c r="E174" s="132" t="str">
        <f>IF(CRONOGRAMA!F173="", "",CRONOGRAMA!F173)</f>
        <v/>
      </c>
      <c r="F174" s="132" t="str">
        <f>IF(CRONOGRAMA!G173="", "",CRONOGRAMA!G173)</f>
        <v/>
      </c>
      <c r="G174" s="128" t="str">
        <f>IF(CRONOGRAMA!H173="", "",CRONOGRAMA!H173)</f>
        <v/>
      </c>
      <c r="H174" s="128" t="str">
        <f>IF(CRONOGRAMA!I173="", "",CRONOGRAMA!I173)</f>
        <v/>
      </c>
      <c r="I174" s="84">
        <f t="shared" si="500"/>
        <v>0</v>
      </c>
      <c r="J174" s="160" t="str">
        <f>IF($P$6="Indique Fecha Seguimiento","",IF(CRONOGRAMA!$E173="No Aplica","NA",IF($G174="","",IF(YEAR($G174)&lt;YEAR($P$6)," A ",IF(YEAR($G174)=YEAR($P$6),IF(MONTH($G174)&lt;=4," A ","NA"),IF(YEAR($G174)&gt;YEAR($P$6),"NA"))))))</f>
        <v/>
      </c>
      <c r="K174" s="400"/>
      <c r="L174" s="402"/>
      <c r="M174" s="400"/>
      <c r="N174" s="348" t="str">
        <f t="shared" si="501"/>
        <v/>
      </c>
      <c r="O174" s="349"/>
      <c r="P174" s="44"/>
      <c r="Q174" s="84" t="str">
        <f t="shared" si="502"/>
        <v/>
      </c>
      <c r="R174" s="84" t="str">
        <f t="shared" si="503"/>
        <v/>
      </c>
      <c r="S174" s="84">
        <f t="shared" si="539"/>
        <v>0</v>
      </c>
      <c r="T174" s="160" t="str">
        <f>IF($Z$6="Indique Fecha Seguimiento","",IF(CRONOGRAMA!$E173="No Aplica","NA",IF($G174="","",IF(YEAR($G174)&lt;YEAR($Z$6)," A ",IF(YEAR($G174)=YEAR($Z$6),IF(MONTH($G174)&lt;=8," A ","NA"),IF(YEAR($G174)&gt;YEAR($Z$6),"NA"))))))</f>
        <v/>
      </c>
      <c r="U174" s="350"/>
      <c r="V174" s="44"/>
      <c r="W174" s="351"/>
      <c r="X174" s="348" t="str">
        <f t="shared" si="504"/>
        <v/>
      </c>
      <c r="Y174" s="349"/>
      <c r="Z174" s="44"/>
      <c r="AA174" s="84" t="str">
        <f t="shared" si="505"/>
        <v/>
      </c>
      <c r="AB174" s="84" t="str">
        <f t="shared" si="506"/>
        <v/>
      </c>
      <c r="AC174" s="84">
        <f t="shared" si="540"/>
        <v>0</v>
      </c>
      <c r="AD174" s="160" t="str">
        <f>IF($AJ$6="Indique Fecha Seguimiento","",IF(CRONOGRAMA!$E173="No Aplica","NA",IF($G174="","",IF(YEAR($G174)&lt;YEAR($AJ$6)," A ",IF(YEAR($G174)=YEAR($AJ$6),IF(MONTH($G174)&lt;=12," A ","NA"),IF(YEAR($G174)&gt;YEAR($AJ$6),"NA"))))))</f>
        <v/>
      </c>
      <c r="AE174" s="350"/>
      <c r="AF174" s="44"/>
      <c r="AG174" s="351"/>
      <c r="AH174" s="348" t="str">
        <f t="shared" si="507"/>
        <v/>
      </c>
      <c r="AI174" s="349"/>
      <c r="AJ174" s="44"/>
      <c r="AK174" s="81" t="str">
        <f t="shared" si="508"/>
        <v/>
      </c>
      <c r="AL174" s="84">
        <f t="shared" si="509"/>
        <v>0</v>
      </c>
      <c r="AM174" s="84">
        <f t="shared" si="541"/>
        <v>0</v>
      </c>
      <c r="AN174" s="592"/>
      <c r="AO174" s="602"/>
      <c r="AP174" s="603"/>
      <c r="AQ174" s="603"/>
      <c r="AR174" s="574"/>
      <c r="AS174" s="574"/>
      <c r="AT174" s="574"/>
      <c r="AU174" s="572"/>
      <c r="AV174" s="573"/>
      <c r="AW174" s="605"/>
      <c r="AX174">
        <f t="shared" si="517"/>
        <v>0</v>
      </c>
    </row>
    <row r="175" spans="1:50" ht="16.5" thickBot="1" x14ac:dyDescent="0.3">
      <c r="A175" s="590"/>
      <c r="B175" s="591"/>
      <c r="C175" s="82" t="str">
        <f>IF('CONSOLIDACION DEL MAPA'!P174="","",'CONSOLIDACION DEL MAPA'!P174)</f>
        <v/>
      </c>
      <c r="D175" s="82" t="str">
        <f>CRONOGRAMA!D174</f>
        <v/>
      </c>
      <c r="E175" s="132" t="str">
        <f>IF(CRONOGRAMA!F174="", "",CRONOGRAMA!F174)</f>
        <v/>
      </c>
      <c r="F175" s="132" t="str">
        <f>IF(CRONOGRAMA!G174="", "",CRONOGRAMA!G174)</f>
        <v/>
      </c>
      <c r="G175" s="128" t="str">
        <f>IF(CRONOGRAMA!H174="", "",CRONOGRAMA!H174)</f>
        <v/>
      </c>
      <c r="H175" s="128" t="str">
        <f>IF(CRONOGRAMA!I174="", "",CRONOGRAMA!I174)</f>
        <v/>
      </c>
      <c r="I175" s="84">
        <f t="shared" si="500"/>
        <v>0</v>
      </c>
      <c r="J175" s="160" t="str">
        <f>IF($P$6="Indique Fecha Seguimiento","",IF(CRONOGRAMA!$E174="No Aplica","NA",IF($G175="","",IF(YEAR($G175)&lt;YEAR($P$6)," A ",IF(YEAR($G175)=YEAR($P$6),IF(MONTH($G175)&lt;=4," A ","NA"),IF(YEAR($G175)&gt;YEAR($P$6),"NA"))))))</f>
        <v/>
      </c>
      <c r="K175" s="400"/>
      <c r="L175" s="402"/>
      <c r="M175" s="400"/>
      <c r="N175" s="348" t="str">
        <f t="shared" si="501"/>
        <v/>
      </c>
      <c r="O175" s="349"/>
      <c r="P175" s="44"/>
      <c r="Q175" s="84" t="str">
        <f t="shared" si="502"/>
        <v/>
      </c>
      <c r="R175" s="84" t="str">
        <f t="shared" si="503"/>
        <v/>
      </c>
      <c r="S175" s="84">
        <f t="shared" si="539"/>
        <v>0</v>
      </c>
      <c r="T175" s="160" t="str">
        <f>IF($Z$6="Indique Fecha Seguimiento","",IF(CRONOGRAMA!$E174="No Aplica","NA",IF($G175="","",IF(YEAR($G175)&lt;YEAR($Z$6)," A ",IF(YEAR($G175)=YEAR($Z$6),IF(MONTH($G175)&lt;=8," A ","NA"),IF(YEAR($G175)&gt;YEAR($Z$6),"NA"))))))</f>
        <v/>
      </c>
      <c r="U175" s="350"/>
      <c r="V175" s="44"/>
      <c r="W175" s="351"/>
      <c r="X175" s="348" t="str">
        <f t="shared" si="504"/>
        <v/>
      </c>
      <c r="Y175" s="349"/>
      <c r="Z175" s="44"/>
      <c r="AA175" s="84" t="str">
        <f t="shared" si="505"/>
        <v/>
      </c>
      <c r="AB175" s="84" t="str">
        <f t="shared" si="506"/>
        <v/>
      </c>
      <c r="AC175" s="84">
        <f t="shared" si="540"/>
        <v>0</v>
      </c>
      <c r="AD175" s="160" t="str">
        <f>IF($AJ$6="Indique Fecha Seguimiento","",IF(CRONOGRAMA!$E174="No Aplica","NA",IF($G175="","",IF(YEAR($G175)&lt;YEAR($AJ$6)," A ",IF(YEAR($G175)=YEAR($AJ$6),IF(MONTH($G175)&lt;=12," A ","NA"),IF(YEAR($G175)&gt;YEAR($AJ$6),"NA"))))))</f>
        <v/>
      </c>
      <c r="AE175" s="350"/>
      <c r="AF175" s="44"/>
      <c r="AG175" s="351"/>
      <c r="AH175" s="348" t="str">
        <f t="shared" si="507"/>
        <v/>
      </c>
      <c r="AI175" s="349"/>
      <c r="AJ175" s="44"/>
      <c r="AK175" s="81" t="str">
        <f t="shared" si="508"/>
        <v/>
      </c>
      <c r="AL175" s="84">
        <f t="shared" si="509"/>
        <v>0</v>
      </c>
      <c r="AM175" s="84">
        <f t="shared" si="541"/>
        <v>0</v>
      </c>
      <c r="AN175" s="592"/>
      <c r="AO175" s="602"/>
      <c r="AP175" s="603"/>
      <c r="AQ175" s="603"/>
      <c r="AR175" s="574"/>
      <c r="AS175" s="574"/>
      <c r="AT175" s="574"/>
      <c r="AU175" s="572"/>
      <c r="AV175" s="573"/>
      <c r="AW175" s="605"/>
      <c r="AX175">
        <f t="shared" si="517"/>
        <v>0</v>
      </c>
    </row>
    <row r="176" spans="1:50" ht="77.25" thickTop="1" x14ac:dyDescent="0.25">
      <c r="A176" s="588" t="str">
        <f>CRONOGRAMA!A175</f>
        <v>28C</v>
      </c>
      <c r="B176" s="591" t="str">
        <f>CRONOGRAMA!B175</f>
        <v>Gestión del Talento Humano. Decisiones no ajustadas a la normatividad legal.</v>
      </c>
      <c r="C176" s="82" t="str">
        <f>IF('CONSOLIDACION DEL MAPA'!P175="","",'CONSOLIDACION DEL MAPA'!P175)</f>
        <v>Reducir</v>
      </c>
      <c r="D176" s="82" t="str">
        <f>CRONOGRAMA!D175</f>
        <v>Revisión y actualización el Normograma y los procedimientos de la Gestión del Talento Humano</v>
      </c>
      <c r="E176" s="132" t="str">
        <f>IF(CRONOGRAMA!F175="", "",CRONOGRAMA!F175)</f>
        <v>Normograma actualizado</v>
      </c>
      <c r="F176" s="132">
        <f>IF(CRONOGRAMA!G175="", "",CRONOGRAMA!G175)</f>
        <v>1</v>
      </c>
      <c r="G176" s="128">
        <f>IF(CRONOGRAMA!H175="", "",CRONOGRAMA!H175)</f>
        <v>42430</v>
      </c>
      <c r="H176" s="128">
        <f>IF(CRONOGRAMA!I175="", "",CRONOGRAMA!I175)</f>
        <v>42735</v>
      </c>
      <c r="I176" s="84">
        <f t="shared" si="500"/>
        <v>43.571428571428569</v>
      </c>
      <c r="J176" s="160" t="str">
        <f>IF($P$6="Indique Fecha Seguimiento","",IF(CRONOGRAMA!$E175="No Aplica","NA",IF($G176="","",IF(YEAR($G176)&lt;YEAR($P$6)," A ",IF(YEAR($G176)=YEAR($P$6),IF(MONTH($G176)&lt;=4," A ","NA"),IF(YEAR($G176)&gt;YEAR($P$6),"NA"))))))</f>
        <v xml:space="preserve"> A </v>
      </c>
      <c r="K176" s="400">
        <v>0.85</v>
      </c>
      <c r="L176" s="402" t="s">
        <v>909</v>
      </c>
      <c r="M176" s="400">
        <v>0.85</v>
      </c>
      <c r="N176" s="348">
        <f t="shared" si="501"/>
        <v>0.85</v>
      </c>
      <c r="O176" s="349" t="s">
        <v>353</v>
      </c>
      <c r="P176" s="44"/>
      <c r="Q176" s="84">
        <f t="shared" si="502"/>
        <v>37.035714285714285</v>
      </c>
      <c r="R176" s="84">
        <f t="shared" si="503"/>
        <v>37.035714285714285</v>
      </c>
      <c r="S176" s="84">
        <f t="shared" si="539"/>
        <v>43.571428571428569</v>
      </c>
      <c r="T176" s="160" t="str">
        <f>IF($Z$6="Indique Fecha Seguimiento","",IF(CRONOGRAMA!$E175="No Aplica","NA",IF($G176="","",IF(YEAR($G176)&lt;YEAR($Z$6)," A ",IF(YEAR($G176)=YEAR($Z$6),IF(MONTH($G176)&lt;=8," A ","NA"),IF(YEAR($G176)&gt;YEAR($Z$6),"NA"))))))</f>
        <v xml:space="preserve"> A </v>
      </c>
      <c r="U176" s="416">
        <v>0.85</v>
      </c>
      <c r="V176" s="415" t="s">
        <v>955</v>
      </c>
      <c r="W176" s="351">
        <v>0.85</v>
      </c>
      <c r="X176" s="348">
        <f t="shared" si="504"/>
        <v>0.85</v>
      </c>
      <c r="Y176" s="349" t="s">
        <v>353</v>
      </c>
      <c r="Z176" s="44" t="str">
        <f>V176</f>
        <v xml:space="preserve">Se solicitó una actualización con corte a 30/03/2016.
</v>
      </c>
      <c r="AA176" s="84">
        <f t="shared" si="505"/>
        <v>37.035714285714285</v>
      </c>
      <c r="AB176" s="84">
        <f t="shared" si="506"/>
        <v>37.035714285714285</v>
      </c>
      <c r="AC176" s="84">
        <f t="shared" si="540"/>
        <v>43.571428571428569</v>
      </c>
      <c r="AD176" s="160" t="str">
        <f>IF($AJ$6="Indique Fecha Seguimiento","",IF(CRONOGRAMA!$E175="No Aplica","NA",IF($G176="","",IF(YEAR($G176)&lt;YEAR($AJ$6)," A ",IF(YEAR($G176)=YEAR($AJ$6),IF(MONTH($G176)&lt;=12," A ","NA"),IF(YEAR($G176)&gt;YEAR($AJ$6),"NA"))))))</f>
        <v/>
      </c>
      <c r="AE176" s="350"/>
      <c r="AF176" s="44"/>
      <c r="AG176" s="351"/>
      <c r="AH176" s="348" t="str">
        <f t="shared" si="507"/>
        <v/>
      </c>
      <c r="AI176" s="349"/>
      <c r="AJ176" s="44"/>
      <c r="AK176" s="81" t="str">
        <f t="shared" si="508"/>
        <v/>
      </c>
      <c r="AL176" s="84">
        <f t="shared" si="509"/>
        <v>0</v>
      </c>
      <c r="AM176" s="84">
        <f t="shared" si="541"/>
        <v>43.571428571428569</v>
      </c>
      <c r="AN176" s="592">
        <f t="shared" ref="AN176" si="580">SUM(I176:I178)</f>
        <v>43.571428571428569</v>
      </c>
      <c r="AO176" s="602">
        <f t="shared" ref="AO176" si="581">IF(AND(Q176="",Q177="",Q178=""),"",SUM(Q176:Q178))</f>
        <v>37.035714285714285</v>
      </c>
      <c r="AP176" s="603">
        <f t="shared" ref="AP176" si="582">IF(AND(AA176="",AA177="",AA178=""),"",SUM(AA176:AA178))</f>
        <v>37.035714285714285</v>
      </c>
      <c r="AQ176" s="603" t="str">
        <f t="shared" ref="AQ176" si="583">IF(AND(AK176="",AK177="",AK178=""),"",SUM(AK176:AK178))</f>
        <v/>
      </c>
      <c r="AR176" s="574">
        <f t="shared" si="546"/>
        <v>0.85</v>
      </c>
      <c r="AS176" s="574">
        <f t="shared" si="547"/>
        <v>0.85</v>
      </c>
      <c r="AT176" s="574">
        <f t="shared" ref="AT176" si="584">IF(AS176&gt;=AR176,AS176,AR176)</f>
        <v>0.85</v>
      </c>
      <c r="AU176" s="572" t="str">
        <f t="shared" si="549"/>
        <v/>
      </c>
      <c r="AV176" s="573">
        <f t="shared" ref="AV176" si="585">IF($AU$6=1,AR176,IF($AU$6=2,AS176,IF($AU$6=3,AU176,"")))</f>
        <v>0.85</v>
      </c>
      <c r="AW176" s="605">
        <f t="shared" ref="AW176" si="586">AV176</f>
        <v>0.85</v>
      </c>
      <c r="AX176" t="str">
        <f t="shared" si="517"/>
        <v xml:space="preserve">Se solicitó una actualización con corte a 30/03/2016.
</v>
      </c>
    </row>
    <row r="177" spans="1:50" ht="15.75" x14ac:dyDescent="0.25">
      <c r="A177" s="589"/>
      <c r="B177" s="591"/>
      <c r="C177" s="82" t="str">
        <f>IF('CONSOLIDACION DEL MAPA'!P176="","",'CONSOLIDACION DEL MAPA'!P176)</f>
        <v/>
      </c>
      <c r="D177" s="82" t="str">
        <f>CRONOGRAMA!D176</f>
        <v/>
      </c>
      <c r="E177" s="132" t="str">
        <f>IF(CRONOGRAMA!F176="", "",CRONOGRAMA!F176)</f>
        <v/>
      </c>
      <c r="F177" s="132" t="str">
        <f>IF(CRONOGRAMA!G176="", "",CRONOGRAMA!G176)</f>
        <v/>
      </c>
      <c r="G177" s="128" t="str">
        <f>IF(CRONOGRAMA!H176="", "",CRONOGRAMA!H176)</f>
        <v/>
      </c>
      <c r="H177" s="128" t="str">
        <f>IF(CRONOGRAMA!I176="", "",CRONOGRAMA!I176)</f>
        <v/>
      </c>
      <c r="I177" s="84">
        <f t="shared" si="500"/>
        <v>0</v>
      </c>
      <c r="J177" s="160" t="str">
        <f>IF($P$6="Indique Fecha Seguimiento","",IF(CRONOGRAMA!$E176="No Aplica","NA",IF($G177="","",IF(YEAR($G177)&lt;YEAR($P$6)," A ",IF(YEAR($G177)=YEAR($P$6),IF(MONTH($G177)&lt;=4," A ","NA"),IF(YEAR($G177)&gt;YEAR($P$6),"NA"))))))</f>
        <v/>
      </c>
      <c r="K177" s="400"/>
      <c r="L177" s="402"/>
      <c r="M177" s="400"/>
      <c r="N177" s="348" t="str">
        <f t="shared" si="501"/>
        <v/>
      </c>
      <c r="O177" s="349"/>
      <c r="P177" s="44"/>
      <c r="Q177" s="84" t="str">
        <f t="shared" si="502"/>
        <v/>
      </c>
      <c r="R177" s="84" t="str">
        <f t="shared" si="503"/>
        <v/>
      </c>
      <c r="S177" s="84">
        <f t="shared" si="539"/>
        <v>0</v>
      </c>
      <c r="T177" s="160" t="str">
        <f>IF($Z$6="Indique Fecha Seguimiento","",IF(CRONOGRAMA!$E176="No Aplica","NA",IF($G177="","",IF(YEAR($G177)&lt;YEAR($Z$6)," A ",IF(YEAR($G177)=YEAR($Z$6),IF(MONTH($G177)&lt;=8," A ","NA"),IF(YEAR($G177)&gt;YEAR($Z$6),"NA"))))))</f>
        <v/>
      </c>
      <c r="U177" s="350"/>
      <c r="V177" s="44"/>
      <c r="W177" s="351"/>
      <c r="X177" s="348" t="str">
        <f t="shared" si="504"/>
        <v/>
      </c>
      <c r="Y177" s="349"/>
      <c r="Z177" s="44"/>
      <c r="AA177" s="84" t="str">
        <f t="shared" si="505"/>
        <v/>
      </c>
      <c r="AB177" s="84" t="str">
        <f t="shared" si="506"/>
        <v/>
      </c>
      <c r="AC177" s="84">
        <f t="shared" si="540"/>
        <v>0</v>
      </c>
      <c r="AD177" s="160" t="str">
        <f>IF($AJ$6="Indique Fecha Seguimiento","",IF(CRONOGRAMA!$E176="No Aplica","NA",IF($G177="","",IF(YEAR($G177)&lt;YEAR($AJ$6)," A ",IF(YEAR($G177)=YEAR($AJ$6),IF(MONTH($G177)&lt;=12," A ","NA"),IF(YEAR($G177)&gt;YEAR($AJ$6),"NA"))))))</f>
        <v/>
      </c>
      <c r="AE177" s="350"/>
      <c r="AF177" s="44"/>
      <c r="AG177" s="351"/>
      <c r="AH177" s="348" t="str">
        <f t="shared" si="507"/>
        <v/>
      </c>
      <c r="AI177" s="349"/>
      <c r="AJ177" s="44"/>
      <c r="AK177" s="81" t="str">
        <f t="shared" si="508"/>
        <v/>
      </c>
      <c r="AL177" s="84">
        <f t="shared" si="509"/>
        <v>0</v>
      </c>
      <c r="AM177" s="84">
        <f t="shared" si="541"/>
        <v>0</v>
      </c>
      <c r="AN177" s="592"/>
      <c r="AO177" s="602"/>
      <c r="AP177" s="603"/>
      <c r="AQ177" s="603"/>
      <c r="AR177" s="574"/>
      <c r="AS177" s="574"/>
      <c r="AT177" s="574"/>
      <c r="AU177" s="572"/>
      <c r="AV177" s="573"/>
      <c r="AW177" s="605"/>
      <c r="AX177">
        <f t="shared" si="517"/>
        <v>0</v>
      </c>
    </row>
    <row r="178" spans="1:50" ht="16.5" thickBot="1" x14ac:dyDescent="0.3">
      <c r="A178" s="590"/>
      <c r="B178" s="591"/>
      <c r="C178" s="82" t="str">
        <f>IF('CONSOLIDACION DEL MAPA'!P177="","",'CONSOLIDACION DEL MAPA'!P177)</f>
        <v/>
      </c>
      <c r="D178" s="82" t="str">
        <f>CRONOGRAMA!D177</f>
        <v/>
      </c>
      <c r="E178" s="132" t="str">
        <f>IF(CRONOGRAMA!F177="", "",CRONOGRAMA!F177)</f>
        <v/>
      </c>
      <c r="F178" s="132" t="str">
        <f>IF(CRONOGRAMA!G177="", "",CRONOGRAMA!G177)</f>
        <v/>
      </c>
      <c r="G178" s="128" t="str">
        <f>IF(CRONOGRAMA!H177="", "",CRONOGRAMA!H177)</f>
        <v/>
      </c>
      <c r="H178" s="128" t="str">
        <f>IF(CRONOGRAMA!I177="", "",CRONOGRAMA!I177)</f>
        <v/>
      </c>
      <c r="I178" s="84">
        <f t="shared" si="500"/>
        <v>0</v>
      </c>
      <c r="J178" s="160" t="str">
        <f>IF($P$6="Indique Fecha Seguimiento","",IF(CRONOGRAMA!$E177="No Aplica","NA",IF($G178="","",IF(YEAR($G178)&lt;YEAR($P$6)," A ",IF(YEAR($G178)=YEAR($P$6),IF(MONTH($G178)&lt;=4," A ","NA"),IF(YEAR($G178)&gt;YEAR($P$6),"NA"))))))</f>
        <v/>
      </c>
      <c r="K178" s="400"/>
      <c r="L178" s="402"/>
      <c r="M178" s="400"/>
      <c r="N178" s="348" t="str">
        <f t="shared" si="501"/>
        <v/>
      </c>
      <c r="O178" s="349"/>
      <c r="P178" s="44"/>
      <c r="Q178" s="84" t="str">
        <f t="shared" si="502"/>
        <v/>
      </c>
      <c r="R178" s="84" t="str">
        <f t="shared" si="503"/>
        <v/>
      </c>
      <c r="S178" s="84">
        <f t="shared" si="539"/>
        <v>0</v>
      </c>
      <c r="T178" s="160" t="str">
        <f>IF($Z$6="Indique Fecha Seguimiento","",IF(CRONOGRAMA!$E177="No Aplica","NA",IF($G178="","",IF(YEAR($G178)&lt;YEAR($Z$6)," A ",IF(YEAR($G178)=YEAR($Z$6),IF(MONTH($G178)&lt;=8," A ","NA"),IF(YEAR($G178)&gt;YEAR($Z$6),"NA"))))))</f>
        <v/>
      </c>
      <c r="U178" s="350"/>
      <c r="V178" s="44"/>
      <c r="W178" s="351"/>
      <c r="X178" s="348" t="str">
        <f t="shared" si="504"/>
        <v/>
      </c>
      <c r="Y178" s="349"/>
      <c r="Z178" s="44"/>
      <c r="AA178" s="84" t="str">
        <f t="shared" si="505"/>
        <v/>
      </c>
      <c r="AB178" s="84" t="str">
        <f t="shared" si="506"/>
        <v/>
      </c>
      <c r="AC178" s="84">
        <f t="shared" si="540"/>
        <v>0</v>
      </c>
      <c r="AD178" s="160" t="str">
        <f>IF($AJ$6="Indique Fecha Seguimiento","",IF(CRONOGRAMA!$E177="No Aplica","NA",IF($G178="","",IF(YEAR($G178)&lt;YEAR($AJ$6)," A ",IF(YEAR($G178)=YEAR($AJ$6),IF(MONTH($G178)&lt;=12," A ","NA"),IF(YEAR($G178)&gt;YEAR($AJ$6),"NA"))))))</f>
        <v/>
      </c>
      <c r="AE178" s="350"/>
      <c r="AF178" s="44"/>
      <c r="AG178" s="351"/>
      <c r="AH178" s="348" t="str">
        <f t="shared" si="507"/>
        <v/>
      </c>
      <c r="AI178" s="349"/>
      <c r="AJ178" s="44"/>
      <c r="AK178" s="81" t="str">
        <f t="shared" si="508"/>
        <v/>
      </c>
      <c r="AL178" s="84">
        <f t="shared" si="509"/>
        <v>0</v>
      </c>
      <c r="AM178" s="84">
        <f t="shared" si="541"/>
        <v>0</v>
      </c>
      <c r="AN178" s="592"/>
      <c r="AO178" s="602"/>
      <c r="AP178" s="603"/>
      <c r="AQ178" s="603"/>
      <c r="AR178" s="574"/>
      <c r="AS178" s="574"/>
      <c r="AT178" s="574"/>
      <c r="AU178" s="572"/>
      <c r="AV178" s="573"/>
      <c r="AW178" s="605"/>
      <c r="AX178">
        <f t="shared" si="517"/>
        <v>0</v>
      </c>
    </row>
    <row r="179" spans="1:50" ht="39" thickTop="1" x14ac:dyDescent="0.25">
      <c r="A179" s="588" t="str">
        <f>CRONOGRAMA!A178</f>
        <v>29C</v>
      </c>
      <c r="B179" s="591" t="str">
        <f>CRONOGRAMA!B178</f>
        <v>Gestión de Admisiones y Registro. Manipulación de resultados del examen  de admisión.</v>
      </c>
      <c r="C179" s="82" t="str">
        <f>IF('CONSOLIDACION DEL MAPA'!P178="","",'CONSOLIDACION DEL MAPA'!P178)</f>
        <v>No Establecer</v>
      </c>
      <c r="D179" s="82" t="str">
        <f>CRONOGRAMA!D178</f>
        <v>Seguir ejecutando y monitoreando los controles existentes.</v>
      </c>
      <c r="E179" s="132" t="str">
        <f>IF(CRONOGRAMA!F178="", "",CRONOGRAMA!F178)</f>
        <v/>
      </c>
      <c r="F179" s="132" t="str">
        <f>IF(CRONOGRAMA!G178="", "",CRONOGRAMA!G178)</f>
        <v/>
      </c>
      <c r="G179" s="128" t="str">
        <f>IF(CRONOGRAMA!H178="", "",CRONOGRAMA!H178)</f>
        <v/>
      </c>
      <c r="H179" s="128" t="str">
        <f>IF(CRONOGRAMA!I178="", "",CRONOGRAMA!I178)</f>
        <v/>
      </c>
      <c r="I179" s="84">
        <f t="shared" si="500"/>
        <v>0</v>
      </c>
      <c r="J179" s="160" t="str">
        <f>IF($P$6="Indique Fecha Seguimiento","",IF(CRONOGRAMA!$E178="No Aplica","NA",IF($G179="","",IF(YEAR($G179)&lt;YEAR($P$6)," A ",IF(YEAR($G179)=YEAR($P$6),IF(MONTH($G179)&lt;=4," A ","NA"),IF(YEAR($G179)&gt;YEAR($P$6),"NA"))))))</f>
        <v>NA</v>
      </c>
      <c r="K179" s="400"/>
      <c r="L179" s="402"/>
      <c r="M179" s="400"/>
      <c r="N179" s="348" t="str">
        <f t="shared" si="501"/>
        <v/>
      </c>
      <c r="O179" s="349"/>
      <c r="P179" s="44"/>
      <c r="Q179" s="84" t="str">
        <f t="shared" si="502"/>
        <v/>
      </c>
      <c r="R179" s="84" t="str">
        <f t="shared" si="503"/>
        <v/>
      </c>
      <c r="S179" s="84">
        <f t="shared" si="539"/>
        <v>0</v>
      </c>
      <c r="T179" s="160" t="str">
        <f>IF($Z$6="Indique Fecha Seguimiento","",IF(CRONOGRAMA!$E178="No Aplica","NA",IF($G179="","",IF(YEAR($G179)&lt;YEAR($Z$6)," A ",IF(YEAR($G179)=YEAR($Z$6),IF(MONTH($G179)&lt;=8," A ","NA"),IF(YEAR($G179)&gt;YEAR($Z$6),"NA"))))))</f>
        <v>NA</v>
      </c>
      <c r="U179" s="350"/>
      <c r="V179" s="44"/>
      <c r="W179" s="351"/>
      <c r="X179" s="348" t="str">
        <f t="shared" si="504"/>
        <v/>
      </c>
      <c r="Y179" s="349"/>
      <c r="Z179" s="44"/>
      <c r="AA179" s="84" t="str">
        <f t="shared" si="505"/>
        <v/>
      </c>
      <c r="AB179" s="84" t="str">
        <f t="shared" si="506"/>
        <v/>
      </c>
      <c r="AC179" s="84">
        <f t="shared" si="540"/>
        <v>0</v>
      </c>
      <c r="AD179" s="160" t="str">
        <f>IF($AJ$6="Indique Fecha Seguimiento","",IF(CRONOGRAMA!$E178="No Aplica","NA",IF($G179="","",IF(YEAR($G179)&lt;YEAR($AJ$6)," A ",IF(YEAR($G179)=YEAR($AJ$6),IF(MONTH($G179)&lt;=12," A ","NA"),IF(YEAR($G179)&gt;YEAR($AJ$6),"NA"))))))</f>
        <v/>
      </c>
      <c r="AE179" s="350"/>
      <c r="AF179" s="44"/>
      <c r="AG179" s="351"/>
      <c r="AH179" s="348" t="str">
        <f t="shared" si="507"/>
        <v/>
      </c>
      <c r="AI179" s="349"/>
      <c r="AJ179" s="44"/>
      <c r="AK179" s="81" t="str">
        <f t="shared" si="508"/>
        <v/>
      </c>
      <c r="AL179" s="84">
        <f t="shared" si="509"/>
        <v>0</v>
      </c>
      <c r="AM179" s="84">
        <f t="shared" si="541"/>
        <v>0</v>
      </c>
      <c r="AN179" s="592">
        <f t="shared" ref="AN179" si="587">SUM(I179:I181)</f>
        <v>0</v>
      </c>
      <c r="AO179" s="602" t="str">
        <f t="shared" ref="AO179" si="588">IF(AND(Q179="",Q180="",Q181=""),"",SUM(Q179:Q181))</f>
        <v/>
      </c>
      <c r="AP179" s="603" t="str">
        <f t="shared" ref="AP179" si="589">IF(AND(AA179="",AA180="",AA181=""),"",SUM(AA179:AA181))</f>
        <v/>
      </c>
      <c r="AQ179" s="603" t="str">
        <f t="shared" ref="AQ179" si="590">IF(AND(AK179="",AK180="",AK181=""),"",SUM(AK179:AK181))</f>
        <v/>
      </c>
      <c r="AR179" s="574" t="str">
        <f t="shared" si="546"/>
        <v>NA</v>
      </c>
      <c r="AS179" s="574" t="str">
        <f t="shared" si="547"/>
        <v>NA</v>
      </c>
      <c r="AT179" s="574" t="str">
        <f t="shared" ref="AT179" si="591">IF(AS179&gt;=AR179,AS179,AR179)</f>
        <v>NA</v>
      </c>
      <c r="AU179" s="572" t="str">
        <f t="shared" si="549"/>
        <v/>
      </c>
      <c r="AV179" s="573" t="str">
        <f t="shared" ref="AV179" si="592">IF($AU$6=1,AR179,IF($AU$6=2,AS179,IF($AU$6=3,AU179,"")))</f>
        <v>NA</v>
      </c>
      <c r="AW179" s="605" t="str">
        <f t="shared" ref="AW179" si="593">AV179</f>
        <v>NA</v>
      </c>
      <c r="AX179">
        <f t="shared" si="517"/>
        <v>0</v>
      </c>
    </row>
    <row r="180" spans="1:50" ht="15.75" x14ac:dyDescent="0.25">
      <c r="A180" s="589"/>
      <c r="B180" s="591"/>
      <c r="C180" s="82" t="str">
        <f>IF('CONSOLIDACION DEL MAPA'!P179="","",'CONSOLIDACION DEL MAPA'!P179)</f>
        <v/>
      </c>
      <c r="D180" s="82" t="str">
        <f>CRONOGRAMA!D179</f>
        <v/>
      </c>
      <c r="E180" s="132" t="str">
        <f>IF(CRONOGRAMA!F179="", "",CRONOGRAMA!F179)</f>
        <v/>
      </c>
      <c r="F180" s="132" t="str">
        <f>IF(CRONOGRAMA!G179="", "",CRONOGRAMA!G179)</f>
        <v/>
      </c>
      <c r="G180" s="128" t="str">
        <f>IF(CRONOGRAMA!H179="", "",CRONOGRAMA!H179)</f>
        <v/>
      </c>
      <c r="H180" s="128" t="str">
        <f>IF(CRONOGRAMA!I179="", "",CRONOGRAMA!I179)</f>
        <v/>
      </c>
      <c r="I180" s="84">
        <f t="shared" si="500"/>
        <v>0</v>
      </c>
      <c r="J180" s="160" t="str">
        <f>IF($P$6="Indique Fecha Seguimiento","",IF(CRONOGRAMA!$E179="No Aplica","NA",IF($G180="","",IF(YEAR($G180)&lt;YEAR($P$6)," A ",IF(YEAR($G180)=YEAR($P$6),IF(MONTH($G180)&lt;=4," A ","NA"),IF(YEAR($G180)&gt;YEAR($P$6),"NA"))))))</f>
        <v/>
      </c>
      <c r="K180" s="400"/>
      <c r="L180" s="402"/>
      <c r="M180" s="400"/>
      <c r="N180" s="348" t="str">
        <f t="shared" si="501"/>
        <v/>
      </c>
      <c r="O180" s="349"/>
      <c r="P180" s="44"/>
      <c r="Q180" s="84" t="str">
        <f t="shared" si="502"/>
        <v/>
      </c>
      <c r="R180" s="84" t="str">
        <f t="shared" si="503"/>
        <v/>
      </c>
      <c r="S180" s="84">
        <f t="shared" si="539"/>
        <v>0</v>
      </c>
      <c r="T180" s="160" t="str">
        <f>IF($Z$6="Indique Fecha Seguimiento","",IF(CRONOGRAMA!$E179="No Aplica","NA",IF($G180="","",IF(YEAR($G180)&lt;YEAR($Z$6)," A ",IF(YEAR($G180)=YEAR($Z$6),IF(MONTH($G180)&lt;=8," A ","NA"),IF(YEAR($G180)&gt;YEAR($Z$6),"NA"))))))</f>
        <v/>
      </c>
      <c r="U180" s="350"/>
      <c r="V180" s="44"/>
      <c r="W180" s="351"/>
      <c r="X180" s="348" t="str">
        <f t="shared" si="504"/>
        <v/>
      </c>
      <c r="Y180" s="349"/>
      <c r="Z180" s="44"/>
      <c r="AA180" s="84" t="str">
        <f t="shared" si="505"/>
        <v/>
      </c>
      <c r="AB180" s="84" t="str">
        <f t="shared" si="506"/>
        <v/>
      </c>
      <c r="AC180" s="84">
        <f t="shared" si="540"/>
        <v>0</v>
      </c>
      <c r="AD180" s="160" t="str">
        <f>IF($AJ$6="Indique Fecha Seguimiento","",IF(CRONOGRAMA!$E179="No Aplica","NA",IF($G180="","",IF(YEAR($G180)&lt;YEAR($AJ$6)," A ",IF(YEAR($G180)=YEAR($AJ$6),IF(MONTH($G180)&lt;=12," A ","NA"),IF(YEAR($G180)&gt;YEAR($AJ$6),"NA"))))))</f>
        <v/>
      </c>
      <c r="AE180" s="350"/>
      <c r="AF180" s="44"/>
      <c r="AG180" s="351"/>
      <c r="AH180" s="348" t="str">
        <f t="shared" si="507"/>
        <v/>
      </c>
      <c r="AI180" s="349"/>
      <c r="AJ180" s="44"/>
      <c r="AK180" s="81" t="str">
        <f t="shared" si="508"/>
        <v/>
      </c>
      <c r="AL180" s="84">
        <f t="shared" si="509"/>
        <v>0</v>
      </c>
      <c r="AM180" s="84">
        <f t="shared" si="541"/>
        <v>0</v>
      </c>
      <c r="AN180" s="592"/>
      <c r="AO180" s="602"/>
      <c r="AP180" s="603"/>
      <c r="AQ180" s="603"/>
      <c r="AR180" s="574"/>
      <c r="AS180" s="574"/>
      <c r="AT180" s="574"/>
      <c r="AU180" s="572"/>
      <c r="AV180" s="573"/>
      <c r="AW180" s="605"/>
      <c r="AX180">
        <f t="shared" si="517"/>
        <v>0</v>
      </c>
    </row>
    <row r="181" spans="1:50" ht="16.5" thickBot="1" x14ac:dyDescent="0.3">
      <c r="A181" s="590"/>
      <c r="B181" s="591"/>
      <c r="C181" s="82" t="str">
        <f>IF('CONSOLIDACION DEL MAPA'!P180="","",'CONSOLIDACION DEL MAPA'!P180)</f>
        <v/>
      </c>
      <c r="D181" s="82" t="str">
        <f>CRONOGRAMA!D180</f>
        <v/>
      </c>
      <c r="E181" s="132" t="str">
        <f>IF(CRONOGRAMA!F180="", "",CRONOGRAMA!F180)</f>
        <v/>
      </c>
      <c r="F181" s="132" t="str">
        <f>IF(CRONOGRAMA!G180="", "",CRONOGRAMA!G180)</f>
        <v/>
      </c>
      <c r="G181" s="128" t="str">
        <f>IF(CRONOGRAMA!H180="", "",CRONOGRAMA!H180)</f>
        <v/>
      </c>
      <c r="H181" s="128" t="str">
        <f>IF(CRONOGRAMA!I180="", "",CRONOGRAMA!I180)</f>
        <v/>
      </c>
      <c r="I181" s="84">
        <f t="shared" si="500"/>
        <v>0</v>
      </c>
      <c r="J181" s="160" t="str">
        <f>IF($P$6="Indique Fecha Seguimiento","",IF(CRONOGRAMA!$E180="No Aplica","NA",IF($G181="","",IF(YEAR($G181)&lt;YEAR($P$6)," A ",IF(YEAR($G181)=YEAR($P$6),IF(MONTH($G181)&lt;=4," A ","NA"),IF(YEAR($G181)&gt;YEAR($P$6),"NA"))))))</f>
        <v/>
      </c>
      <c r="K181" s="400"/>
      <c r="L181" s="402"/>
      <c r="M181" s="400"/>
      <c r="N181" s="348" t="str">
        <f t="shared" si="501"/>
        <v/>
      </c>
      <c r="O181" s="349"/>
      <c r="P181" s="44"/>
      <c r="Q181" s="84" t="str">
        <f t="shared" si="502"/>
        <v/>
      </c>
      <c r="R181" s="84" t="str">
        <f t="shared" si="503"/>
        <v/>
      </c>
      <c r="S181" s="84">
        <f t="shared" si="539"/>
        <v>0</v>
      </c>
      <c r="T181" s="160" t="str">
        <f>IF($Z$6="Indique Fecha Seguimiento","",IF(CRONOGRAMA!$E180="No Aplica","NA",IF($G181="","",IF(YEAR($G181)&lt;YEAR($Z$6)," A ",IF(YEAR($G181)=YEAR($Z$6),IF(MONTH($G181)&lt;=8," A ","NA"),IF(YEAR($G181)&gt;YEAR($Z$6),"NA"))))))</f>
        <v/>
      </c>
      <c r="U181" s="350"/>
      <c r="V181" s="44"/>
      <c r="W181" s="351"/>
      <c r="X181" s="348" t="str">
        <f t="shared" si="504"/>
        <v/>
      </c>
      <c r="Y181" s="349"/>
      <c r="Z181" s="44"/>
      <c r="AA181" s="84" t="str">
        <f t="shared" si="505"/>
        <v/>
      </c>
      <c r="AB181" s="84" t="str">
        <f t="shared" si="506"/>
        <v/>
      </c>
      <c r="AC181" s="84">
        <f t="shared" si="540"/>
        <v>0</v>
      </c>
      <c r="AD181" s="160" t="str">
        <f>IF($AJ$6="Indique Fecha Seguimiento","",IF(CRONOGRAMA!$E180="No Aplica","NA",IF($G181="","",IF(YEAR($G181)&lt;YEAR($AJ$6)," A ",IF(YEAR($G181)=YEAR($AJ$6),IF(MONTH($G181)&lt;=12," A ","NA"),IF(YEAR($G181)&gt;YEAR($AJ$6),"NA"))))))</f>
        <v/>
      </c>
      <c r="AE181" s="350"/>
      <c r="AF181" s="44"/>
      <c r="AG181" s="351"/>
      <c r="AH181" s="348" t="str">
        <f t="shared" si="507"/>
        <v/>
      </c>
      <c r="AI181" s="349"/>
      <c r="AJ181" s="44"/>
      <c r="AK181" s="81" t="str">
        <f t="shared" si="508"/>
        <v/>
      </c>
      <c r="AL181" s="84">
        <f t="shared" si="509"/>
        <v>0</v>
      </c>
      <c r="AM181" s="84">
        <f t="shared" si="541"/>
        <v>0</v>
      </c>
      <c r="AN181" s="592"/>
      <c r="AO181" s="602"/>
      <c r="AP181" s="603"/>
      <c r="AQ181" s="603"/>
      <c r="AR181" s="574"/>
      <c r="AS181" s="574"/>
      <c r="AT181" s="574"/>
      <c r="AU181" s="572"/>
      <c r="AV181" s="573"/>
      <c r="AW181" s="605"/>
      <c r="AX181">
        <f t="shared" si="517"/>
        <v>0</v>
      </c>
    </row>
    <row r="182" spans="1:50" ht="39" thickTop="1" x14ac:dyDescent="0.25">
      <c r="A182" s="588" t="str">
        <f>CRONOGRAMA!A181</f>
        <v>30C</v>
      </c>
      <c r="B182" s="591" t="str">
        <f>CRONOGRAMA!B181</f>
        <v>Gestión de Admisiones y Registro. Alteración de notas de estudiantes.</v>
      </c>
      <c r="C182" s="82" t="str">
        <f>IF('CONSOLIDACION DEL MAPA'!P181="","",'CONSOLIDACION DEL MAPA'!P181)</f>
        <v>No Establecer</v>
      </c>
      <c r="D182" s="82" t="str">
        <f>CRONOGRAMA!D181</f>
        <v>Seguir ejecutando y monitoreando los controles existentes.</v>
      </c>
      <c r="E182" s="132" t="str">
        <f>IF(CRONOGRAMA!F181="", "",CRONOGRAMA!F181)</f>
        <v/>
      </c>
      <c r="F182" s="132" t="str">
        <f>IF(CRONOGRAMA!G181="", "",CRONOGRAMA!G181)</f>
        <v/>
      </c>
      <c r="G182" s="128" t="str">
        <f>IF(CRONOGRAMA!H181="", "",CRONOGRAMA!H181)</f>
        <v/>
      </c>
      <c r="H182" s="128" t="str">
        <f>IF(CRONOGRAMA!I181="", "",CRONOGRAMA!I181)</f>
        <v/>
      </c>
      <c r="I182" s="84">
        <f t="shared" si="500"/>
        <v>0</v>
      </c>
      <c r="J182" s="160" t="str">
        <f>IF($P$6="Indique Fecha Seguimiento","",IF(CRONOGRAMA!$E181="No Aplica","NA",IF($G182="","",IF(YEAR($G182)&lt;YEAR($P$6)," A ",IF(YEAR($G182)=YEAR($P$6),IF(MONTH($G182)&lt;=4," A ","NA"),IF(YEAR($G182)&gt;YEAR($P$6),"NA"))))))</f>
        <v>NA</v>
      </c>
      <c r="K182" s="400"/>
      <c r="L182" s="402"/>
      <c r="M182" s="400"/>
      <c r="N182" s="348" t="str">
        <f t="shared" si="501"/>
        <v/>
      </c>
      <c r="O182" s="349"/>
      <c r="P182" s="44"/>
      <c r="Q182" s="84" t="str">
        <f t="shared" si="502"/>
        <v/>
      </c>
      <c r="R182" s="84" t="str">
        <f t="shared" si="503"/>
        <v/>
      </c>
      <c r="S182" s="84">
        <f t="shared" si="539"/>
        <v>0</v>
      </c>
      <c r="T182" s="160" t="str">
        <f>IF($Z$6="Indique Fecha Seguimiento","",IF(CRONOGRAMA!$E181="No Aplica","NA",IF($G182="","",IF(YEAR($G182)&lt;YEAR($Z$6)," A ",IF(YEAR($G182)=YEAR($Z$6),IF(MONTH($G182)&lt;=8," A ","NA"),IF(YEAR($G182)&gt;YEAR($Z$6),"NA"))))))</f>
        <v>NA</v>
      </c>
      <c r="U182" s="350"/>
      <c r="V182" s="44"/>
      <c r="W182" s="351"/>
      <c r="X182" s="348" t="str">
        <f t="shared" si="504"/>
        <v/>
      </c>
      <c r="Y182" s="349"/>
      <c r="Z182" s="44"/>
      <c r="AA182" s="84" t="str">
        <f t="shared" si="505"/>
        <v/>
      </c>
      <c r="AB182" s="84" t="str">
        <f t="shared" si="506"/>
        <v/>
      </c>
      <c r="AC182" s="84">
        <f t="shared" si="540"/>
        <v>0</v>
      </c>
      <c r="AD182" s="160" t="str">
        <f>IF($AJ$6="Indique Fecha Seguimiento","",IF(CRONOGRAMA!$E181="No Aplica","NA",IF($G182="","",IF(YEAR($G182)&lt;YEAR($AJ$6)," A ",IF(YEAR($G182)=YEAR($AJ$6),IF(MONTH($G182)&lt;=12," A ","NA"),IF(YEAR($G182)&gt;YEAR($AJ$6),"NA"))))))</f>
        <v/>
      </c>
      <c r="AE182" s="350"/>
      <c r="AF182" s="44"/>
      <c r="AG182" s="351"/>
      <c r="AH182" s="348" t="str">
        <f t="shared" si="507"/>
        <v/>
      </c>
      <c r="AI182" s="349"/>
      <c r="AJ182" s="44"/>
      <c r="AK182" s="81" t="str">
        <f t="shared" si="508"/>
        <v/>
      </c>
      <c r="AL182" s="84">
        <f t="shared" si="509"/>
        <v>0</v>
      </c>
      <c r="AM182" s="84">
        <f t="shared" si="541"/>
        <v>0</v>
      </c>
      <c r="AN182" s="592">
        <f t="shared" ref="AN182" si="594">SUM(I182:I184)</f>
        <v>0</v>
      </c>
      <c r="AO182" s="602" t="str">
        <f t="shared" ref="AO182" si="595">IF(AND(Q182="",Q183="",Q184=""),"",SUM(Q182:Q184))</f>
        <v/>
      </c>
      <c r="AP182" s="603" t="str">
        <f t="shared" ref="AP182" si="596">IF(AND(AA182="",AA183="",AA184=""),"",SUM(AA182:AA184))</f>
        <v/>
      </c>
      <c r="AQ182" s="603" t="str">
        <f t="shared" ref="AQ182" si="597">IF(AND(AK182="",AK183="",AK184=""),"",SUM(AK182:AK184))</f>
        <v/>
      </c>
      <c r="AR182" s="574" t="str">
        <f t="shared" si="546"/>
        <v>NA</v>
      </c>
      <c r="AS182" s="574" t="str">
        <f t="shared" si="547"/>
        <v>NA</v>
      </c>
      <c r="AT182" s="574" t="str">
        <f t="shared" ref="AT182" si="598">IF(AS182&gt;=AR182,AS182,AR182)</f>
        <v>NA</v>
      </c>
      <c r="AU182" s="572" t="str">
        <f t="shared" si="549"/>
        <v/>
      </c>
      <c r="AV182" s="573" t="str">
        <f t="shared" ref="AV182" si="599">IF($AU$6=1,AR182,IF($AU$6=2,AS182,IF($AU$6=3,AU182,"")))</f>
        <v>NA</v>
      </c>
      <c r="AW182" s="605" t="str">
        <f t="shared" ref="AW182" si="600">AV182</f>
        <v>NA</v>
      </c>
      <c r="AX182">
        <f t="shared" si="517"/>
        <v>0</v>
      </c>
    </row>
    <row r="183" spans="1:50" ht="15.75" x14ac:dyDescent="0.25">
      <c r="A183" s="589"/>
      <c r="B183" s="591"/>
      <c r="C183" s="82" t="str">
        <f>IF('CONSOLIDACION DEL MAPA'!P182="","",'CONSOLIDACION DEL MAPA'!P182)</f>
        <v/>
      </c>
      <c r="D183" s="82" t="str">
        <f>CRONOGRAMA!D182</f>
        <v/>
      </c>
      <c r="E183" s="132" t="str">
        <f>IF(CRONOGRAMA!F182="", "",CRONOGRAMA!F182)</f>
        <v/>
      </c>
      <c r="F183" s="132" t="str">
        <f>IF(CRONOGRAMA!G182="", "",CRONOGRAMA!G182)</f>
        <v/>
      </c>
      <c r="G183" s="128" t="str">
        <f>IF(CRONOGRAMA!H182="", "",CRONOGRAMA!H182)</f>
        <v/>
      </c>
      <c r="H183" s="128" t="str">
        <f>IF(CRONOGRAMA!I182="", "",CRONOGRAMA!I182)</f>
        <v/>
      </c>
      <c r="I183" s="84">
        <f t="shared" si="500"/>
        <v>0</v>
      </c>
      <c r="J183" s="160" t="str">
        <f>IF($P$6="Indique Fecha Seguimiento","",IF(CRONOGRAMA!$E182="No Aplica","NA",IF($G183="","",IF(YEAR($G183)&lt;YEAR($P$6)," A ",IF(YEAR($G183)=YEAR($P$6),IF(MONTH($G183)&lt;=4," A ","NA"),IF(YEAR($G183)&gt;YEAR($P$6),"NA"))))))</f>
        <v/>
      </c>
      <c r="K183" s="400"/>
      <c r="L183" s="402"/>
      <c r="M183" s="400"/>
      <c r="N183" s="348" t="str">
        <f t="shared" si="501"/>
        <v/>
      </c>
      <c r="O183" s="349"/>
      <c r="P183" s="44"/>
      <c r="Q183" s="84" t="str">
        <f t="shared" si="502"/>
        <v/>
      </c>
      <c r="R183" s="84" t="str">
        <f t="shared" si="503"/>
        <v/>
      </c>
      <c r="S183" s="84">
        <f t="shared" si="539"/>
        <v>0</v>
      </c>
      <c r="T183" s="160" t="str">
        <f>IF($Z$6="Indique Fecha Seguimiento","",IF(CRONOGRAMA!$E182="No Aplica","NA",IF($G183="","",IF(YEAR($G183)&lt;YEAR($Z$6)," A ",IF(YEAR($G183)=YEAR($Z$6),IF(MONTH($G183)&lt;=8," A ","NA"),IF(YEAR($G183)&gt;YEAR($Z$6),"NA"))))))</f>
        <v/>
      </c>
      <c r="U183" s="350"/>
      <c r="V183" s="44"/>
      <c r="W183" s="351"/>
      <c r="X183" s="348" t="str">
        <f t="shared" si="504"/>
        <v/>
      </c>
      <c r="Y183" s="349"/>
      <c r="Z183" s="44"/>
      <c r="AA183" s="84" t="str">
        <f t="shared" si="505"/>
        <v/>
      </c>
      <c r="AB183" s="84" t="str">
        <f t="shared" si="506"/>
        <v/>
      </c>
      <c r="AC183" s="84">
        <f t="shared" si="540"/>
        <v>0</v>
      </c>
      <c r="AD183" s="160" t="str">
        <f>IF($AJ$6="Indique Fecha Seguimiento","",IF(CRONOGRAMA!$E182="No Aplica","NA",IF($G183="","",IF(YEAR($G183)&lt;YEAR($AJ$6)," A ",IF(YEAR($G183)=YEAR($AJ$6),IF(MONTH($G183)&lt;=12," A ","NA"),IF(YEAR($G183)&gt;YEAR($AJ$6),"NA"))))))</f>
        <v/>
      </c>
      <c r="AE183" s="350"/>
      <c r="AF183" s="44"/>
      <c r="AG183" s="351"/>
      <c r="AH183" s="348" t="str">
        <f t="shared" si="507"/>
        <v/>
      </c>
      <c r="AI183" s="349"/>
      <c r="AJ183" s="44"/>
      <c r="AK183" s="81" t="str">
        <f t="shared" si="508"/>
        <v/>
      </c>
      <c r="AL183" s="84">
        <f t="shared" si="509"/>
        <v>0</v>
      </c>
      <c r="AM183" s="84">
        <f t="shared" si="541"/>
        <v>0</v>
      </c>
      <c r="AN183" s="592"/>
      <c r="AO183" s="602"/>
      <c r="AP183" s="603"/>
      <c r="AQ183" s="603"/>
      <c r="AR183" s="574"/>
      <c r="AS183" s="574"/>
      <c r="AT183" s="574"/>
      <c r="AU183" s="572"/>
      <c r="AV183" s="573"/>
      <c r="AW183" s="605"/>
      <c r="AX183">
        <f t="shared" si="517"/>
        <v>0</v>
      </c>
    </row>
    <row r="184" spans="1:50" ht="16.5" thickBot="1" x14ac:dyDescent="0.3">
      <c r="A184" s="590"/>
      <c r="B184" s="591"/>
      <c r="C184" s="82" t="str">
        <f>IF('CONSOLIDACION DEL MAPA'!P183="","",'CONSOLIDACION DEL MAPA'!P183)</f>
        <v/>
      </c>
      <c r="D184" s="82" t="str">
        <f>CRONOGRAMA!D183</f>
        <v/>
      </c>
      <c r="E184" s="132" t="str">
        <f>IF(CRONOGRAMA!F183="", "",CRONOGRAMA!F183)</f>
        <v/>
      </c>
      <c r="F184" s="132" t="str">
        <f>IF(CRONOGRAMA!G183="", "",CRONOGRAMA!G183)</f>
        <v/>
      </c>
      <c r="G184" s="128" t="str">
        <f>IF(CRONOGRAMA!H183="", "",CRONOGRAMA!H183)</f>
        <v/>
      </c>
      <c r="H184" s="128" t="str">
        <f>IF(CRONOGRAMA!I183="", "",CRONOGRAMA!I183)</f>
        <v/>
      </c>
      <c r="I184" s="84">
        <f t="shared" si="500"/>
        <v>0</v>
      </c>
      <c r="J184" s="160" t="str">
        <f>IF($P$6="Indique Fecha Seguimiento","",IF(CRONOGRAMA!$E183="No Aplica","NA",IF($G184="","",IF(YEAR($G184)&lt;YEAR($P$6)," A ",IF(YEAR($G184)=YEAR($P$6),IF(MONTH($G184)&lt;=4," A ","NA"),IF(YEAR($G184)&gt;YEAR($P$6),"NA"))))))</f>
        <v/>
      </c>
      <c r="K184" s="400"/>
      <c r="L184" s="402"/>
      <c r="M184" s="400"/>
      <c r="N184" s="348" t="str">
        <f t="shared" si="501"/>
        <v/>
      </c>
      <c r="O184" s="349"/>
      <c r="P184" s="44"/>
      <c r="Q184" s="84" t="str">
        <f t="shared" si="502"/>
        <v/>
      </c>
      <c r="R184" s="84" t="str">
        <f t="shared" si="503"/>
        <v/>
      </c>
      <c r="S184" s="84">
        <f t="shared" si="539"/>
        <v>0</v>
      </c>
      <c r="T184" s="160" t="str">
        <f>IF($Z$6="Indique Fecha Seguimiento","",IF(CRONOGRAMA!$E183="No Aplica","NA",IF($G184="","",IF(YEAR($G184)&lt;YEAR($Z$6)," A ",IF(YEAR($G184)=YEAR($Z$6),IF(MONTH($G184)&lt;=8," A ","NA"),IF(YEAR($G184)&gt;YEAR($Z$6),"NA"))))))</f>
        <v/>
      </c>
      <c r="U184" s="350"/>
      <c r="V184" s="44"/>
      <c r="W184" s="351"/>
      <c r="X184" s="348" t="str">
        <f t="shared" si="504"/>
        <v/>
      </c>
      <c r="Y184" s="349"/>
      <c r="Z184" s="44"/>
      <c r="AA184" s="84" t="str">
        <f t="shared" si="505"/>
        <v/>
      </c>
      <c r="AB184" s="84" t="str">
        <f t="shared" si="506"/>
        <v/>
      </c>
      <c r="AC184" s="84">
        <f t="shared" si="540"/>
        <v>0</v>
      </c>
      <c r="AD184" s="160" t="str">
        <f>IF($AJ$6="Indique Fecha Seguimiento","",IF(CRONOGRAMA!$E183="No Aplica","NA",IF($G184="","",IF(YEAR($G184)&lt;YEAR($AJ$6)," A ",IF(YEAR($G184)=YEAR($AJ$6),IF(MONTH($G184)&lt;=12," A ","NA"),IF(YEAR($G184)&gt;YEAR($AJ$6),"NA"))))))</f>
        <v/>
      </c>
      <c r="AE184" s="350"/>
      <c r="AF184" s="44"/>
      <c r="AG184" s="351"/>
      <c r="AH184" s="348" t="str">
        <f t="shared" si="507"/>
        <v/>
      </c>
      <c r="AI184" s="349"/>
      <c r="AJ184" s="44"/>
      <c r="AK184" s="81" t="str">
        <f t="shared" si="508"/>
        <v/>
      </c>
      <c r="AL184" s="84">
        <f t="shared" si="509"/>
        <v>0</v>
      </c>
      <c r="AM184" s="84">
        <f t="shared" si="541"/>
        <v>0</v>
      </c>
      <c r="AN184" s="592"/>
      <c r="AO184" s="602"/>
      <c r="AP184" s="603"/>
      <c r="AQ184" s="603"/>
      <c r="AR184" s="574"/>
      <c r="AS184" s="574"/>
      <c r="AT184" s="574"/>
      <c r="AU184" s="572"/>
      <c r="AV184" s="573"/>
      <c r="AW184" s="605"/>
      <c r="AX184">
        <f t="shared" si="517"/>
        <v>0</v>
      </c>
    </row>
    <row r="185" spans="1:50" ht="51.75" thickTop="1" x14ac:dyDescent="0.25">
      <c r="A185" s="588" t="str">
        <f>CRONOGRAMA!A184</f>
        <v>31C</v>
      </c>
      <c r="B185" s="591" t="str">
        <f>CRONOGRAMA!B184</f>
        <v>Gestión y Rendición de Cuentas. Rendición de cuentas a la ciudadanía inadecuada, incompleta e inoportuna</v>
      </c>
      <c r="C185" s="82" t="str">
        <f>IF('CONSOLIDACION DEL MAPA'!P184="","",'CONSOLIDACION DEL MAPA'!P184)</f>
        <v>Reducir</v>
      </c>
      <c r="D185" s="82" t="str">
        <f>CRONOGRAMA!D184</f>
        <v>Capacitación del personal en temas relacionados con la rendición de cuentas</v>
      </c>
      <c r="E185" s="132" t="str">
        <f>IF(CRONOGRAMA!F184="", "",CRONOGRAMA!F184)</f>
        <v>Capacitación en rendición de cuentas</v>
      </c>
      <c r="F185" s="132">
        <f>IF(CRONOGRAMA!G184="", "",CRONOGRAMA!G184)</f>
        <v>1</v>
      </c>
      <c r="G185" s="128">
        <f>IF(CRONOGRAMA!H184="", "",CRONOGRAMA!H184)</f>
        <v>42552</v>
      </c>
      <c r="H185" s="128">
        <f>IF(CRONOGRAMA!I184="", "",CRONOGRAMA!I184)</f>
        <v>42734</v>
      </c>
      <c r="I185" s="84">
        <f t="shared" si="500"/>
        <v>26</v>
      </c>
      <c r="J185" s="160" t="str">
        <f>IF($P$6="Indique Fecha Seguimiento","",IF(CRONOGRAMA!$E184="No Aplica","NA",IF($G185="","",IF(YEAR($G185)&lt;YEAR($P$6)," A ",IF(YEAR($G185)=YEAR($P$6),IF(MONTH($G185)&lt;=4," A ","NA"),IF(YEAR($G185)&gt;YEAR($P$6),"NA"))))))</f>
        <v>NA</v>
      </c>
      <c r="K185" s="400"/>
      <c r="L185" s="402"/>
      <c r="M185" s="400"/>
      <c r="N185" s="348" t="str">
        <f t="shared" si="501"/>
        <v/>
      </c>
      <c r="O185" s="349"/>
      <c r="P185" s="44"/>
      <c r="Q185" s="84" t="str">
        <f t="shared" si="502"/>
        <v/>
      </c>
      <c r="R185" s="84" t="str">
        <f t="shared" si="503"/>
        <v/>
      </c>
      <c r="S185" s="84">
        <f t="shared" si="539"/>
        <v>26</v>
      </c>
      <c r="T185" s="160" t="str">
        <f>IF($Z$6="Indique Fecha Seguimiento","",IF(CRONOGRAMA!$E184="No Aplica","NA",IF($G185="","",IF(YEAR($G185)&lt;YEAR($Z$6)," A ",IF(YEAR($G185)=YEAR($Z$6),IF(MONTH($G185)&lt;=8," A ","NA"),IF(YEAR($G185)&gt;YEAR($Z$6),"NA"))))))</f>
        <v xml:space="preserve"> A </v>
      </c>
      <c r="U185" s="350">
        <v>0</v>
      </c>
      <c r="V185" s="44" t="s">
        <v>956</v>
      </c>
      <c r="W185" s="351">
        <v>0</v>
      </c>
      <c r="X185" s="348">
        <f t="shared" si="504"/>
        <v>0</v>
      </c>
      <c r="Y185" s="349" t="s">
        <v>353</v>
      </c>
      <c r="Z185" s="44" t="str">
        <f>V185</f>
        <v>No se han iniciado actividades</v>
      </c>
      <c r="AA185" s="84">
        <f t="shared" si="505"/>
        <v>0</v>
      </c>
      <c r="AB185" s="84">
        <f t="shared" si="506"/>
        <v>0</v>
      </c>
      <c r="AC185" s="84">
        <f t="shared" si="540"/>
        <v>26</v>
      </c>
      <c r="AD185" s="160" t="str">
        <f>IF($AJ$6="Indique Fecha Seguimiento","",IF(CRONOGRAMA!$E184="No Aplica","NA",IF($G185="","",IF(YEAR($G185)&lt;YEAR($AJ$6)," A ",IF(YEAR($G185)=YEAR($AJ$6),IF(MONTH($G185)&lt;=12," A ","NA"),IF(YEAR($G185)&gt;YEAR($AJ$6),"NA"))))))</f>
        <v/>
      </c>
      <c r="AE185" s="350"/>
      <c r="AF185" s="44"/>
      <c r="AG185" s="351"/>
      <c r="AH185" s="348" t="str">
        <f t="shared" si="507"/>
        <v/>
      </c>
      <c r="AI185" s="349"/>
      <c r="AJ185" s="44"/>
      <c r="AK185" s="81" t="str">
        <f t="shared" si="508"/>
        <v/>
      </c>
      <c r="AL185" s="84">
        <f t="shared" si="509"/>
        <v>0</v>
      </c>
      <c r="AM185" s="84">
        <f t="shared" si="541"/>
        <v>26</v>
      </c>
      <c r="AN185" s="592">
        <f t="shared" ref="AN185" si="601">SUM(I185:I187)</f>
        <v>56.428571428571431</v>
      </c>
      <c r="AO185" s="602">
        <f t="shared" ref="AO185" si="602">IF(AND(Q185="",Q186="",Q187=""),"",SUM(Q185:Q187))</f>
        <v>4.3469387755102034</v>
      </c>
      <c r="AP185" s="603">
        <f t="shared" ref="AP185" si="603">IF(AND(AA185="",AA186="",AA187=""),"",SUM(AA185:AA187))</f>
        <v>13.04081632653061</v>
      </c>
      <c r="AQ185" s="603" t="str">
        <f t="shared" ref="AQ185" si="604">IF(AND(AK185="",AK186="",AK187=""),"",SUM(AK185:AK187))</f>
        <v/>
      </c>
      <c r="AR185" s="574">
        <f t="shared" si="546"/>
        <v>7.7034358047016263E-2</v>
      </c>
      <c r="AS185" s="574">
        <f t="shared" si="547"/>
        <v>0.23110307414104878</v>
      </c>
      <c r="AT185" s="574">
        <f t="shared" ref="AT185" si="605">IF(AS185&gt;=AR185,AS185,AR185)</f>
        <v>0.23110307414104878</v>
      </c>
      <c r="AU185" s="572" t="str">
        <f t="shared" si="549"/>
        <v/>
      </c>
      <c r="AV185" s="573">
        <f t="shared" ref="AV185" si="606">IF($AU$6=1,AR185,IF($AU$6=2,AS185,IF($AU$6=3,AU185,"")))</f>
        <v>0.23110307414104878</v>
      </c>
      <c r="AW185" s="605">
        <f t="shared" ref="AW185" si="607">AV185</f>
        <v>0.23110307414104878</v>
      </c>
      <c r="AX185" t="str">
        <f t="shared" si="517"/>
        <v>No se han iniciado actividades</v>
      </c>
    </row>
    <row r="186" spans="1:50" ht="126" x14ac:dyDescent="0.25">
      <c r="A186" s="589"/>
      <c r="B186" s="591"/>
      <c r="C186" s="82" t="str">
        <f>IF('CONSOLIDACION DEL MAPA'!P185="","",'CONSOLIDACION DEL MAPA'!P185)</f>
        <v>Reducir</v>
      </c>
      <c r="D186" s="82" t="str">
        <f>CRONOGRAMA!D185</f>
        <v>Planeación, ejecución y evaluación de audiencias públicas de rendición de cuentas</v>
      </c>
      <c r="E186" s="132" t="str">
        <f>IF(CRONOGRAMA!F185="", "",CRONOGRAMA!F185)</f>
        <v>Calendario Audiencia Pública de Rendición de Cuentas 2016 (Rector y Facultades)</v>
      </c>
      <c r="F186" s="132">
        <f>IF(CRONOGRAMA!G185="", "",CRONOGRAMA!G185)</f>
        <v>7</v>
      </c>
      <c r="G186" s="128">
        <f>IF(CRONOGRAMA!H185="", "",CRONOGRAMA!H185)</f>
        <v>42461</v>
      </c>
      <c r="H186" s="128">
        <f>IF(CRONOGRAMA!I185="", "",CRONOGRAMA!I185)</f>
        <v>42674</v>
      </c>
      <c r="I186" s="84">
        <f t="shared" si="500"/>
        <v>30.428571428571427</v>
      </c>
      <c r="J186" s="160" t="str">
        <f>IF($P$6="Indique Fecha Seguimiento","",IF(CRONOGRAMA!$E185="No Aplica","NA",IF($G186="","",IF(YEAR($G186)&lt;YEAR($P$6)," A ",IF(YEAR($G186)=YEAR($P$6),IF(MONTH($G186)&lt;=4," A ","NA"),IF(YEAR($G186)&gt;YEAR($P$6),"NA"))))))</f>
        <v xml:space="preserve"> A </v>
      </c>
      <c r="K186" s="400">
        <v>1</v>
      </c>
      <c r="L186" s="402" t="s">
        <v>910</v>
      </c>
      <c r="M186" s="400">
        <v>1</v>
      </c>
      <c r="N186" s="348">
        <f t="shared" si="501"/>
        <v>0.14285714285714285</v>
      </c>
      <c r="O186" s="349" t="s">
        <v>353</v>
      </c>
      <c r="P186" s="44"/>
      <c r="Q186" s="84">
        <f t="shared" si="502"/>
        <v>4.3469387755102034</v>
      </c>
      <c r="R186" s="84">
        <f t="shared" si="503"/>
        <v>4.3469387755102034</v>
      </c>
      <c r="S186" s="84">
        <f t="shared" si="539"/>
        <v>30.428571428571427</v>
      </c>
      <c r="T186" s="160" t="str">
        <f>IF($Z$6="Indique Fecha Seguimiento","",IF(CRONOGRAMA!$E185="No Aplica","NA",IF($G186="","",IF(YEAR($G186)&lt;YEAR($Z$6)," A ",IF(YEAR($G186)=YEAR($Z$6),IF(MONTH($G186)&lt;=8," A ","NA"),IF(YEAR($G186)&gt;YEAR($Z$6),"NA"))))))</f>
        <v xml:space="preserve"> A </v>
      </c>
      <c r="U186" s="43" t="s">
        <v>957</v>
      </c>
      <c r="V186" s="417" t="s">
        <v>958</v>
      </c>
      <c r="W186" s="351">
        <v>3</v>
      </c>
      <c r="X186" s="348">
        <f t="shared" si="504"/>
        <v>0.42857142857142855</v>
      </c>
      <c r="Y186" s="349" t="s">
        <v>353</v>
      </c>
      <c r="Z186" s="44" t="s">
        <v>959</v>
      </c>
      <c r="AA186" s="84">
        <f t="shared" si="505"/>
        <v>13.04081632653061</v>
      </c>
      <c r="AB186" s="84">
        <f t="shared" si="506"/>
        <v>13.04081632653061</v>
      </c>
      <c r="AC186" s="84">
        <f t="shared" si="540"/>
        <v>30.428571428571427</v>
      </c>
      <c r="AD186" s="160" t="str">
        <f>IF($AJ$6="Indique Fecha Seguimiento","",IF(CRONOGRAMA!$E185="No Aplica","NA",IF($G186="","",IF(YEAR($G186)&lt;YEAR($AJ$6)," A ",IF(YEAR($G186)=YEAR($AJ$6),IF(MONTH($G186)&lt;=12," A ","NA"),IF(YEAR($G186)&gt;YEAR($AJ$6),"NA"))))))</f>
        <v/>
      </c>
      <c r="AE186" s="350"/>
      <c r="AF186" s="44"/>
      <c r="AG186" s="351"/>
      <c r="AH186" s="348" t="str">
        <f t="shared" si="507"/>
        <v/>
      </c>
      <c r="AI186" s="349"/>
      <c r="AJ186" s="44"/>
      <c r="AK186" s="81" t="str">
        <f t="shared" si="508"/>
        <v/>
      </c>
      <c r="AL186" s="84">
        <f t="shared" si="509"/>
        <v>0</v>
      </c>
      <c r="AM186" s="84">
        <f t="shared" si="541"/>
        <v>30.428571428571427</v>
      </c>
      <c r="AN186" s="592"/>
      <c r="AO186" s="602"/>
      <c r="AP186" s="603"/>
      <c r="AQ186" s="603"/>
      <c r="AR186" s="574"/>
      <c r="AS186" s="574"/>
      <c r="AT186" s="574"/>
      <c r="AU186" s="572"/>
      <c r="AV186" s="573"/>
      <c r="AW186" s="605"/>
      <c r="AX186" t="str">
        <f t="shared" si="517"/>
        <v>Audiencias de rendición de cuentas de Rectoria, Fac ciencias basicas y Fac ciencias de la salud</v>
      </c>
    </row>
    <row r="187" spans="1:50" ht="16.5" thickBot="1" x14ac:dyDescent="0.3">
      <c r="A187" s="590"/>
      <c r="B187" s="591"/>
      <c r="C187" s="82" t="str">
        <f>IF('CONSOLIDACION DEL MAPA'!P186="","",'CONSOLIDACION DEL MAPA'!P186)</f>
        <v/>
      </c>
      <c r="D187" s="82" t="str">
        <f>CRONOGRAMA!D186</f>
        <v/>
      </c>
      <c r="E187" s="132" t="str">
        <f>IF(CRONOGRAMA!F186="", "",CRONOGRAMA!F186)</f>
        <v/>
      </c>
      <c r="F187" s="132" t="str">
        <f>IF(CRONOGRAMA!G186="", "",CRONOGRAMA!G186)</f>
        <v/>
      </c>
      <c r="G187" s="128" t="str">
        <f>IF(CRONOGRAMA!H186="", "",CRONOGRAMA!H186)</f>
        <v/>
      </c>
      <c r="H187" s="128" t="str">
        <f>IF(CRONOGRAMA!I186="", "",CRONOGRAMA!I186)</f>
        <v/>
      </c>
      <c r="I187" s="84">
        <f t="shared" si="500"/>
        <v>0</v>
      </c>
      <c r="J187" s="160" t="str">
        <f>IF($P$6="Indique Fecha Seguimiento","",IF(CRONOGRAMA!$E186="No Aplica","NA",IF($G187="","",IF(YEAR($G187)&lt;YEAR($P$6)," A ",IF(YEAR($G187)=YEAR($P$6),IF(MONTH($G187)&lt;=4," A ","NA"),IF(YEAR($G187)&gt;YEAR($P$6),"NA"))))))</f>
        <v/>
      </c>
      <c r="K187" s="400"/>
      <c r="L187" s="402"/>
      <c r="M187" s="400"/>
      <c r="N187" s="348" t="str">
        <f t="shared" si="501"/>
        <v/>
      </c>
      <c r="O187" s="349"/>
      <c r="P187" s="44"/>
      <c r="Q187" s="84" t="str">
        <f t="shared" si="502"/>
        <v/>
      </c>
      <c r="R187" s="84" t="str">
        <f t="shared" si="503"/>
        <v/>
      </c>
      <c r="S187" s="84">
        <f t="shared" si="539"/>
        <v>0</v>
      </c>
      <c r="T187" s="160" t="str">
        <f>IF($Z$6="Indique Fecha Seguimiento","",IF(CRONOGRAMA!$E186="No Aplica","NA",IF($G187="","",IF(YEAR($G187)&lt;YEAR($Z$6)," A ",IF(YEAR($G187)=YEAR($Z$6),IF(MONTH($G187)&lt;=8," A ","NA"),IF(YEAR($G187)&gt;YEAR($Z$6),"NA"))))))</f>
        <v/>
      </c>
      <c r="U187" s="350"/>
      <c r="V187" s="44"/>
      <c r="W187" s="351"/>
      <c r="X187" s="348" t="str">
        <f t="shared" si="504"/>
        <v/>
      </c>
      <c r="Y187" s="349"/>
      <c r="Z187" s="44"/>
      <c r="AA187" s="84" t="str">
        <f t="shared" si="505"/>
        <v/>
      </c>
      <c r="AB187" s="84" t="str">
        <f t="shared" si="506"/>
        <v/>
      </c>
      <c r="AC187" s="84">
        <f t="shared" si="540"/>
        <v>0</v>
      </c>
      <c r="AD187" s="160" t="str">
        <f>IF($AJ$6="Indique Fecha Seguimiento","",IF(CRONOGRAMA!$E186="No Aplica","NA",IF($G187="","",IF(YEAR($G187)&lt;YEAR($AJ$6)," A ",IF(YEAR($G187)=YEAR($AJ$6),IF(MONTH($G187)&lt;=12," A ","NA"),IF(YEAR($G187)&gt;YEAR($AJ$6),"NA"))))))</f>
        <v/>
      </c>
      <c r="AE187" s="350"/>
      <c r="AF187" s="44"/>
      <c r="AG187" s="351"/>
      <c r="AH187" s="348" t="str">
        <f t="shared" si="507"/>
        <v/>
      </c>
      <c r="AI187" s="349"/>
      <c r="AJ187" s="44"/>
      <c r="AK187" s="81" t="str">
        <f t="shared" si="508"/>
        <v/>
      </c>
      <c r="AL187" s="84">
        <f t="shared" si="509"/>
        <v>0</v>
      </c>
      <c r="AM187" s="84">
        <f t="shared" si="541"/>
        <v>0</v>
      </c>
      <c r="AN187" s="592"/>
      <c r="AO187" s="602"/>
      <c r="AP187" s="603"/>
      <c r="AQ187" s="603"/>
      <c r="AR187" s="574"/>
      <c r="AS187" s="574"/>
      <c r="AT187" s="574"/>
      <c r="AU187" s="572"/>
      <c r="AV187" s="573"/>
      <c r="AW187" s="605"/>
      <c r="AX187">
        <f t="shared" si="517"/>
        <v>0</v>
      </c>
    </row>
    <row r="188" spans="1:50" ht="75.75" thickTop="1" x14ac:dyDescent="0.25">
      <c r="A188" s="588" t="str">
        <f>CRONOGRAMA!A187</f>
        <v>32C</v>
      </c>
      <c r="B188" s="591" t="str">
        <f>CRONOGRAMA!B187</f>
        <v>Gestión y Rendición de Cuentas. Alteración de la información</v>
      </c>
      <c r="C188" s="82" t="str">
        <f>IF('CONSOLIDACION DEL MAPA'!P187="","",'CONSOLIDACION DEL MAPA'!P187)</f>
        <v>Evitar</v>
      </c>
      <c r="D188" s="82" t="str">
        <f>CRONOGRAMA!D187</f>
        <v>Implementación de auditorías internas de información</v>
      </c>
      <c r="E188" s="132" t="str">
        <f>IF(CRONOGRAMA!F187="", "",CRONOGRAMA!F187)</f>
        <v>Informe de auditoría</v>
      </c>
      <c r="F188" s="132">
        <f>IF(CRONOGRAMA!G187="", "",CRONOGRAMA!G187)</f>
        <v>1</v>
      </c>
      <c r="G188" s="128">
        <f>IF(CRONOGRAMA!H187="", "",CRONOGRAMA!H187)</f>
        <v>42569</v>
      </c>
      <c r="H188" s="128">
        <f>IF(CRONOGRAMA!I187="", "",CRONOGRAMA!I187)</f>
        <v>42613</v>
      </c>
      <c r="I188" s="84">
        <f t="shared" si="500"/>
        <v>6.2857142857142856</v>
      </c>
      <c r="J188" s="160" t="str">
        <f>IF($P$6="Indique Fecha Seguimiento","",IF(CRONOGRAMA!$E187="No Aplica","NA",IF($G188="","",IF(YEAR($G188)&lt;YEAR($P$6)," A ",IF(YEAR($G188)=YEAR($P$6),IF(MONTH($G188)&lt;=4," A ","NA"),IF(YEAR($G188)&gt;YEAR($P$6),"NA"))))))</f>
        <v>NA</v>
      </c>
      <c r="K188" s="400"/>
      <c r="L188" s="402"/>
      <c r="M188" s="400"/>
      <c r="N188" s="348" t="str">
        <f t="shared" si="501"/>
        <v/>
      </c>
      <c r="O188" s="349"/>
      <c r="P188" s="44"/>
      <c r="Q188" s="84" t="str">
        <f t="shared" si="502"/>
        <v/>
      </c>
      <c r="R188" s="84" t="str">
        <f t="shared" si="503"/>
        <v/>
      </c>
      <c r="S188" s="84">
        <f t="shared" si="539"/>
        <v>6.2857142857142856</v>
      </c>
      <c r="T188" s="160" t="str">
        <f>IF($Z$6="Indique Fecha Seguimiento","",IF(CRONOGRAMA!$E187="No Aplica","NA",IF($G188="","",IF(YEAR($G188)&lt;YEAR($Z$6)," A ",IF(YEAR($G188)=YEAR($Z$6),IF(MONTH($G188)&lt;=8," A ","NA"),IF(YEAR($G188)&gt;YEAR($Z$6),"NA"))))))</f>
        <v xml:space="preserve"> A </v>
      </c>
      <c r="U188" s="351">
        <v>0</v>
      </c>
      <c r="V188" s="418" t="s">
        <v>960</v>
      </c>
      <c r="W188" s="351">
        <v>0</v>
      </c>
      <c r="X188" s="348">
        <f t="shared" si="504"/>
        <v>0</v>
      </c>
      <c r="Y188" s="349" t="s">
        <v>10</v>
      </c>
      <c r="Z188" s="44" t="s">
        <v>962</v>
      </c>
      <c r="AA188" s="84">
        <f t="shared" si="505"/>
        <v>0</v>
      </c>
      <c r="AB188" s="84">
        <f t="shared" si="506"/>
        <v>0</v>
      </c>
      <c r="AC188" s="84">
        <f t="shared" si="540"/>
        <v>6.2857142857142856</v>
      </c>
      <c r="AD188" s="160" t="str">
        <f>IF($AJ$6="Indique Fecha Seguimiento","",IF(CRONOGRAMA!$E187="No Aplica","NA",IF($G188="","",IF(YEAR($G188)&lt;YEAR($AJ$6)," A ",IF(YEAR($G188)=YEAR($AJ$6),IF(MONTH($G188)&lt;=12," A ","NA"),IF(YEAR($G188)&gt;YEAR($AJ$6),"NA"))))))</f>
        <v/>
      </c>
      <c r="AE188" s="350"/>
      <c r="AF188" s="44"/>
      <c r="AG188" s="351"/>
      <c r="AH188" s="348" t="str">
        <f t="shared" si="507"/>
        <v/>
      </c>
      <c r="AI188" s="349"/>
      <c r="AJ188" s="44"/>
      <c r="AK188" s="81" t="str">
        <f t="shared" si="508"/>
        <v/>
      </c>
      <c r="AL188" s="84">
        <f t="shared" si="509"/>
        <v>0</v>
      </c>
      <c r="AM188" s="84">
        <f t="shared" si="541"/>
        <v>6.2857142857142856</v>
      </c>
      <c r="AN188" s="592">
        <f t="shared" ref="AN188" si="608">SUM(I188:I190)</f>
        <v>136.57142857142858</v>
      </c>
      <c r="AO188" s="602" t="str">
        <f t="shared" ref="AO188" si="609">IF(AND(Q188="",Q189="",Q190=""),"",SUM(Q188:Q190))</f>
        <v/>
      </c>
      <c r="AP188" s="603">
        <f t="shared" ref="AP188" si="610">IF(AND(AA188="",AA189="",AA190=""),"",SUM(AA188:AA190))</f>
        <v>0</v>
      </c>
      <c r="AQ188" s="603" t="str">
        <f t="shared" ref="AQ188" si="611">IF(AND(AK188="",AK189="",AK190=""),"",SUM(AK188:AK190))</f>
        <v/>
      </c>
      <c r="AR188" s="574" t="str">
        <f t="shared" si="546"/>
        <v>NA</v>
      </c>
      <c r="AS188" s="574">
        <f t="shared" si="547"/>
        <v>0</v>
      </c>
      <c r="AT188" s="574" t="str">
        <f t="shared" ref="AT188" si="612">IF(AS188&gt;=AR188,AS188,AR188)</f>
        <v>NA</v>
      </c>
      <c r="AU188" s="572" t="str">
        <f t="shared" si="549"/>
        <v/>
      </c>
      <c r="AV188" s="573">
        <f t="shared" ref="AV188" si="613">IF($AU$6=1,AR188,IF($AU$6=2,AS188,IF($AU$6=3,AU188,"")))</f>
        <v>0</v>
      </c>
      <c r="AW188" s="605">
        <f t="shared" ref="AW188" si="614">AV188</f>
        <v>0</v>
      </c>
      <c r="AX188" t="str">
        <f t="shared" si="517"/>
        <v>Requiere actualización de mapa del proceso y socialización para poder reprogramar las fechas</v>
      </c>
    </row>
    <row r="189" spans="1:50" ht="110.25" x14ac:dyDescent="0.25">
      <c r="A189" s="589"/>
      <c r="B189" s="591"/>
      <c r="C189" s="82" t="str">
        <f>IF('CONSOLIDACION DEL MAPA'!P188="","",'CONSOLIDACION DEL MAPA'!P188)</f>
        <v>Reducir</v>
      </c>
      <c r="D189" s="82" t="str">
        <f>CRONOGRAMA!D188</f>
        <v>Diseño e implementación de un sistema de información para la gestión de Indicadores</v>
      </c>
      <c r="E189" s="132" t="str">
        <f>IF(CRONOGRAMA!F188="", "",CRONOGRAMA!F188)</f>
        <v>Sistema de Información de indicadores para la toma de decisiones</v>
      </c>
      <c r="F189" s="132">
        <f>IF(CRONOGRAMA!G188="", "",CRONOGRAMA!G188)</f>
        <v>1</v>
      </c>
      <c r="G189" s="128">
        <f>IF(CRONOGRAMA!H188="", "",CRONOGRAMA!H188)</f>
        <v>42583</v>
      </c>
      <c r="H189" s="128">
        <f>IF(CRONOGRAMA!I188="", "",CRONOGRAMA!I188)</f>
        <v>43313</v>
      </c>
      <c r="I189" s="84">
        <f t="shared" si="500"/>
        <v>104.28571428571429</v>
      </c>
      <c r="J189" s="160" t="str">
        <f>IF($P$6="Indique Fecha Seguimiento","",IF(CRONOGRAMA!$E188="No Aplica","NA",IF($G189="","",IF(YEAR($G189)&lt;YEAR($P$6)," A ",IF(YEAR($G189)=YEAR($P$6),IF(MONTH($G189)&lt;=4," A ","NA"),IF(YEAR($G189)&gt;YEAR($P$6),"NA"))))))</f>
        <v>NA</v>
      </c>
      <c r="K189" s="400"/>
      <c r="L189" s="402"/>
      <c r="M189" s="400"/>
      <c r="N189" s="348" t="str">
        <f t="shared" si="501"/>
        <v/>
      </c>
      <c r="O189" s="349"/>
      <c r="P189" s="44"/>
      <c r="Q189" s="84" t="str">
        <f t="shared" si="502"/>
        <v/>
      </c>
      <c r="R189" s="84" t="str">
        <f t="shared" si="503"/>
        <v/>
      </c>
      <c r="S189" s="84">
        <f t="shared" si="539"/>
        <v>104.28571428571429</v>
      </c>
      <c r="T189" s="160" t="str">
        <f>IF($Z$6="Indique Fecha Seguimiento","",IF(CRONOGRAMA!$E188="No Aplica","NA",IF($G189="","",IF(YEAR($G189)&lt;YEAR($Z$6)," A ",IF(YEAR($G189)=YEAR($Z$6),IF(MONTH($G189)&lt;=8," A ","NA"),IF(YEAR($G189)&gt;YEAR($Z$6),"NA"))))))</f>
        <v xml:space="preserve"> A </v>
      </c>
      <c r="U189" s="351">
        <v>0</v>
      </c>
      <c r="V189" s="44" t="s">
        <v>961</v>
      </c>
      <c r="W189" s="351">
        <v>0</v>
      </c>
      <c r="X189" s="348">
        <f t="shared" si="504"/>
        <v>0</v>
      </c>
      <c r="Y189" s="349" t="s">
        <v>353</v>
      </c>
      <c r="Z189" s="44" t="s">
        <v>963</v>
      </c>
      <c r="AA189" s="84">
        <f t="shared" si="505"/>
        <v>0</v>
      </c>
      <c r="AB189" s="84">
        <f t="shared" si="506"/>
        <v>0</v>
      </c>
      <c r="AC189" s="84">
        <f t="shared" si="540"/>
        <v>104.28571428571429</v>
      </c>
      <c r="AD189" s="160" t="str">
        <f>IF($AJ$6="Indique Fecha Seguimiento","",IF(CRONOGRAMA!$E188="No Aplica","NA",IF($G189="","",IF(YEAR($G189)&lt;YEAR($AJ$6)," A ",IF(YEAR($G189)=YEAR($AJ$6),IF(MONTH($G189)&lt;=12," A ","NA"),IF(YEAR($G189)&gt;YEAR($AJ$6),"NA"))))))</f>
        <v/>
      </c>
      <c r="AE189" s="350"/>
      <c r="AF189" s="44"/>
      <c r="AG189" s="351"/>
      <c r="AH189" s="348" t="str">
        <f t="shared" si="507"/>
        <v/>
      </c>
      <c r="AI189" s="349"/>
      <c r="AJ189" s="44"/>
      <c r="AK189" s="81" t="str">
        <f t="shared" si="508"/>
        <v/>
      </c>
      <c r="AL189" s="84">
        <f t="shared" si="509"/>
        <v>0</v>
      </c>
      <c r="AM189" s="84">
        <f t="shared" si="541"/>
        <v>104.28571428571429</v>
      </c>
      <c r="AN189" s="592"/>
      <c r="AO189" s="602"/>
      <c r="AP189" s="603"/>
      <c r="AQ189" s="603"/>
      <c r="AR189" s="574"/>
      <c r="AS189" s="574"/>
      <c r="AT189" s="574"/>
      <c r="AU189" s="572"/>
      <c r="AV189" s="573"/>
      <c r="AW189" s="605"/>
      <c r="AX189" t="str">
        <f t="shared" si="517"/>
        <v>Se encuentran en proceso de articulacion de ejecución de proyecto con lineamientos ISO</v>
      </c>
    </row>
    <row r="190" spans="1:50" ht="77.25" thickBot="1" x14ac:dyDescent="0.3">
      <c r="A190" s="590"/>
      <c r="B190" s="591"/>
      <c r="C190" s="82" t="str">
        <f>IF('CONSOLIDACION DEL MAPA'!P189="","",'CONSOLIDACION DEL MAPA'!P189)</f>
        <v>Reducir</v>
      </c>
      <c r="D190" s="82" t="str">
        <f>CRONOGRAMA!D189</f>
        <v>Estrategia para masificar el uso y conocimiento del sitio Web de Transparencia y Acceso a Ia Información Pública</v>
      </c>
      <c r="E190" s="132" t="str">
        <f>IF(CRONOGRAMA!F189="", "",CRONOGRAMA!F189)</f>
        <v>Diseño e implementación de estrategia publicitaria del sitio Web</v>
      </c>
      <c r="F190" s="132">
        <f>IF(CRONOGRAMA!G189="", "",CRONOGRAMA!G189)</f>
        <v>1</v>
      </c>
      <c r="G190" s="128">
        <f>IF(CRONOGRAMA!H189="", "",CRONOGRAMA!H189)</f>
        <v>42552</v>
      </c>
      <c r="H190" s="128">
        <f>IF(CRONOGRAMA!I189="", "",CRONOGRAMA!I189)</f>
        <v>42734</v>
      </c>
      <c r="I190" s="84">
        <f t="shared" si="500"/>
        <v>26</v>
      </c>
      <c r="J190" s="160" t="str">
        <f>IF($P$6="Indique Fecha Seguimiento","",IF(CRONOGRAMA!$E189="No Aplica","NA",IF($G190="","",IF(YEAR($G190)&lt;YEAR($P$6)," A ",IF(YEAR($G190)=YEAR($P$6),IF(MONTH($G190)&lt;=4," A ","NA"),IF(YEAR($G190)&gt;YEAR($P$6),"NA"))))))</f>
        <v>NA</v>
      </c>
      <c r="K190" s="400"/>
      <c r="L190" s="402"/>
      <c r="M190" s="400"/>
      <c r="N190" s="348" t="str">
        <f t="shared" si="501"/>
        <v/>
      </c>
      <c r="O190" s="349"/>
      <c r="P190" s="44"/>
      <c r="Q190" s="84" t="str">
        <f t="shared" si="502"/>
        <v/>
      </c>
      <c r="R190" s="84" t="str">
        <f t="shared" si="503"/>
        <v/>
      </c>
      <c r="S190" s="84">
        <f t="shared" si="539"/>
        <v>26</v>
      </c>
      <c r="T190" s="160" t="str">
        <f>IF($Z$6="Indique Fecha Seguimiento","",IF(CRONOGRAMA!$E189="No Aplica","NA",IF($G190="","",IF(YEAR($G190)&lt;YEAR($Z$6)," A ",IF(YEAR($G190)=YEAR($Z$6),IF(MONTH($G190)&lt;=8," A ","NA"),IF(YEAR($G190)&gt;YEAR($Z$6),"NA"))))))</f>
        <v xml:space="preserve"> A </v>
      </c>
      <c r="U190" s="351">
        <v>0</v>
      </c>
      <c r="V190" s="44" t="s">
        <v>956</v>
      </c>
      <c r="W190" s="351">
        <v>0</v>
      </c>
      <c r="X190" s="348">
        <f t="shared" si="504"/>
        <v>0</v>
      </c>
      <c r="Y190" s="349" t="s">
        <v>353</v>
      </c>
      <c r="Z190" s="44" t="str">
        <f>V190</f>
        <v>No se han iniciado actividades</v>
      </c>
      <c r="AA190" s="84">
        <f t="shared" si="505"/>
        <v>0</v>
      </c>
      <c r="AB190" s="84">
        <f t="shared" si="506"/>
        <v>0</v>
      </c>
      <c r="AC190" s="84">
        <f t="shared" si="540"/>
        <v>26</v>
      </c>
      <c r="AD190" s="160" t="str">
        <f>IF($AJ$6="Indique Fecha Seguimiento","",IF(CRONOGRAMA!$E189="No Aplica","NA",IF($G190="","",IF(YEAR($G190)&lt;YEAR($AJ$6)," A ",IF(YEAR($G190)=YEAR($AJ$6),IF(MONTH($G190)&lt;=12," A ","NA"),IF(YEAR($G190)&gt;YEAR($AJ$6),"NA"))))))</f>
        <v/>
      </c>
      <c r="AE190" s="350"/>
      <c r="AF190" s="44"/>
      <c r="AG190" s="351"/>
      <c r="AH190" s="348" t="str">
        <f t="shared" si="507"/>
        <v/>
      </c>
      <c r="AI190" s="349"/>
      <c r="AJ190" s="44"/>
      <c r="AK190" s="81" t="str">
        <f t="shared" si="508"/>
        <v/>
      </c>
      <c r="AL190" s="84">
        <f t="shared" si="509"/>
        <v>0</v>
      </c>
      <c r="AM190" s="84">
        <f t="shared" si="541"/>
        <v>26</v>
      </c>
      <c r="AN190" s="592"/>
      <c r="AO190" s="602"/>
      <c r="AP190" s="603"/>
      <c r="AQ190" s="603"/>
      <c r="AR190" s="574"/>
      <c r="AS190" s="574"/>
      <c r="AT190" s="574"/>
      <c r="AU190" s="572"/>
      <c r="AV190" s="573"/>
      <c r="AW190" s="605"/>
      <c r="AX190" t="str">
        <f t="shared" si="517"/>
        <v>No se han iniciado actividades</v>
      </c>
    </row>
    <row r="191" spans="1:50" ht="39" thickTop="1" x14ac:dyDescent="0.25">
      <c r="A191" s="588" t="str">
        <f>CRONOGRAMA!A190</f>
        <v>33C</v>
      </c>
      <c r="B191" s="591" t="str">
        <f>CRONOGRAMA!B190</f>
        <v>Evaluación Independiente. Falta de Objetividad e Independencia en el proceso auditor, de evaluación y seguimiento</v>
      </c>
      <c r="C191" s="82" t="str">
        <f>IF('CONSOLIDACION DEL MAPA'!P190="","",'CONSOLIDACION DEL MAPA'!P190)</f>
        <v>No Establecer</v>
      </c>
      <c r="D191" s="82" t="str">
        <f>CRONOGRAMA!D190</f>
        <v>Seguir ejecutando y monitoreando los controles existentes</v>
      </c>
      <c r="E191" s="132" t="str">
        <f>IF(CRONOGRAMA!F190="", "",CRONOGRAMA!F190)</f>
        <v/>
      </c>
      <c r="F191" s="132" t="str">
        <f>IF(CRONOGRAMA!G190="", "",CRONOGRAMA!G190)</f>
        <v/>
      </c>
      <c r="G191" s="128" t="str">
        <f>IF(CRONOGRAMA!H190="", "",CRONOGRAMA!H190)</f>
        <v/>
      </c>
      <c r="H191" s="128" t="str">
        <f>IF(CRONOGRAMA!I190="", "",CRONOGRAMA!I190)</f>
        <v/>
      </c>
      <c r="I191" s="84">
        <f t="shared" si="500"/>
        <v>0</v>
      </c>
      <c r="J191" s="160" t="str">
        <f>IF($P$6="Indique Fecha Seguimiento","",IF(CRONOGRAMA!$E190="No Aplica","NA",IF($G191="","",IF(YEAR($G191)&lt;YEAR($P$6)," A ",IF(YEAR($G191)=YEAR($P$6),IF(MONTH($G191)&lt;=4," A ","NA"),IF(YEAR($G191)&gt;YEAR($P$6),"NA"))))))</f>
        <v>NA</v>
      </c>
      <c r="K191" s="400"/>
      <c r="L191" s="402"/>
      <c r="M191" s="400"/>
      <c r="N191" s="348" t="str">
        <f t="shared" si="501"/>
        <v/>
      </c>
      <c r="O191" s="349"/>
      <c r="P191" s="44"/>
      <c r="Q191" s="84" t="str">
        <f t="shared" si="502"/>
        <v/>
      </c>
      <c r="R191" s="84" t="str">
        <f t="shared" si="503"/>
        <v/>
      </c>
      <c r="S191" s="84">
        <f t="shared" si="539"/>
        <v>0</v>
      </c>
      <c r="T191" s="160" t="str">
        <f>IF($Z$6="Indique Fecha Seguimiento","",IF(CRONOGRAMA!$E190="No Aplica","NA",IF($G191="","",IF(YEAR($G191)&lt;YEAR($Z$6)," A ",IF(YEAR($G191)=YEAR($Z$6),IF(MONTH($G191)&lt;=8," A ","NA"),IF(YEAR($G191)&gt;YEAR($Z$6),"NA"))))))</f>
        <v>NA</v>
      </c>
      <c r="U191" s="350"/>
      <c r="V191" s="44"/>
      <c r="W191" s="351"/>
      <c r="X191" s="348" t="str">
        <f t="shared" si="504"/>
        <v/>
      </c>
      <c r="Y191" s="349"/>
      <c r="Z191" s="44"/>
      <c r="AA191" s="84" t="str">
        <f t="shared" si="505"/>
        <v/>
      </c>
      <c r="AB191" s="84" t="str">
        <f t="shared" si="506"/>
        <v/>
      </c>
      <c r="AC191" s="84">
        <f t="shared" si="540"/>
        <v>0</v>
      </c>
      <c r="AD191" s="160" t="str">
        <f>IF($AJ$6="Indique Fecha Seguimiento","",IF(CRONOGRAMA!$E190="No Aplica","NA",IF($G191="","",IF(YEAR($G191)&lt;YEAR($AJ$6)," A ",IF(YEAR($G191)=YEAR($AJ$6),IF(MONTH($G191)&lt;=12," A ","NA"),IF(YEAR($G191)&gt;YEAR($AJ$6),"NA"))))))</f>
        <v/>
      </c>
      <c r="AE191" s="350"/>
      <c r="AF191" s="44"/>
      <c r="AG191" s="351"/>
      <c r="AH191" s="348" t="str">
        <f t="shared" si="507"/>
        <v/>
      </c>
      <c r="AI191" s="349"/>
      <c r="AJ191" s="44"/>
      <c r="AK191" s="81" t="str">
        <f t="shared" si="508"/>
        <v/>
      </c>
      <c r="AL191" s="84">
        <f t="shared" si="509"/>
        <v>0</v>
      </c>
      <c r="AM191" s="84">
        <f t="shared" si="541"/>
        <v>0</v>
      </c>
      <c r="AN191" s="592">
        <f t="shared" ref="AN191" si="615">SUM(I191:I193)</f>
        <v>0</v>
      </c>
      <c r="AO191" s="602" t="str">
        <f t="shared" ref="AO191" si="616">IF(AND(Q191="",Q192="",Q193=""),"",SUM(Q191:Q193))</f>
        <v/>
      </c>
      <c r="AP191" s="603" t="str">
        <f t="shared" ref="AP191" si="617">IF(AND(AA191="",AA192="",AA193=""),"",SUM(AA191:AA193))</f>
        <v/>
      </c>
      <c r="AQ191" s="603" t="str">
        <f t="shared" ref="AQ191" si="618">IF(AND(AK191="",AK192="",AK193=""),"",SUM(AK191:AK193))</f>
        <v/>
      </c>
      <c r="AR191" s="574" t="str">
        <f t="shared" si="546"/>
        <v>NA</v>
      </c>
      <c r="AS191" s="574" t="str">
        <f t="shared" si="547"/>
        <v>NA</v>
      </c>
      <c r="AT191" s="574" t="str">
        <f t="shared" ref="AT191" si="619">IF(AS191&gt;=AR191,AS191,AR191)</f>
        <v>NA</v>
      </c>
      <c r="AU191" s="572" t="str">
        <f t="shared" si="549"/>
        <v/>
      </c>
      <c r="AV191" s="573" t="str">
        <f t="shared" ref="AV191" si="620">IF($AU$6=1,AR191,IF($AU$6=2,AS191,IF($AU$6=3,AU191,"")))</f>
        <v>NA</v>
      </c>
      <c r="AW191" s="605" t="str">
        <f t="shared" ref="AW191" si="621">AV191</f>
        <v>NA</v>
      </c>
      <c r="AX191">
        <f t="shared" si="517"/>
        <v>0</v>
      </c>
    </row>
    <row r="192" spans="1:50" ht="15.75" x14ac:dyDescent="0.25">
      <c r="A192" s="589"/>
      <c r="B192" s="591"/>
      <c r="C192" s="82" t="str">
        <f>IF('CONSOLIDACION DEL MAPA'!P191="","",'CONSOLIDACION DEL MAPA'!P191)</f>
        <v/>
      </c>
      <c r="D192" s="82" t="str">
        <f>CRONOGRAMA!D191</f>
        <v/>
      </c>
      <c r="E192" s="132" t="str">
        <f>IF(CRONOGRAMA!F191="", "",CRONOGRAMA!F191)</f>
        <v/>
      </c>
      <c r="F192" s="132" t="str">
        <f>IF(CRONOGRAMA!G191="", "",CRONOGRAMA!G191)</f>
        <v/>
      </c>
      <c r="G192" s="128" t="str">
        <f>IF(CRONOGRAMA!H191="", "",CRONOGRAMA!H191)</f>
        <v/>
      </c>
      <c r="H192" s="128" t="str">
        <f>IF(CRONOGRAMA!I191="", "",CRONOGRAMA!I191)</f>
        <v/>
      </c>
      <c r="I192" s="84">
        <f t="shared" si="500"/>
        <v>0</v>
      </c>
      <c r="J192" s="160" t="str">
        <f>IF($P$6="Indique Fecha Seguimiento","",IF(CRONOGRAMA!$E191="No Aplica","NA",IF($G192="","",IF(YEAR($G192)&lt;YEAR($P$6)," A ",IF(YEAR($G192)=YEAR($P$6),IF(MONTH($G192)&lt;=4," A ","NA"),IF(YEAR($G192)&gt;YEAR($P$6),"NA"))))))</f>
        <v/>
      </c>
      <c r="K192" s="400"/>
      <c r="L192" s="402"/>
      <c r="M192" s="400"/>
      <c r="N192" s="348" t="str">
        <f t="shared" si="501"/>
        <v/>
      </c>
      <c r="O192" s="349"/>
      <c r="P192" s="44"/>
      <c r="Q192" s="84" t="str">
        <f t="shared" si="502"/>
        <v/>
      </c>
      <c r="R192" s="84" t="str">
        <f t="shared" si="503"/>
        <v/>
      </c>
      <c r="S192" s="84">
        <f t="shared" si="539"/>
        <v>0</v>
      </c>
      <c r="T192" s="160" t="str">
        <f>IF($Z$6="Indique Fecha Seguimiento","",IF(CRONOGRAMA!$E191="No Aplica","NA",IF($G192="","",IF(YEAR($G192)&lt;YEAR($Z$6)," A ",IF(YEAR($G192)=YEAR($Z$6),IF(MONTH($G192)&lt;=8," A ","NA"),IF(YEAR($G192)&gt;YEAR($Z$6),"NA"))))))</f>
        <v/>
      </c>
      <c r="U192" s="350"/>
      <c r="V192" s="44"/>
      <c r="W192" s="351"/>
      <c r="X192" s="348" t="str">
        <f t="shared" si="504"/>
        <v/>
      </c>
      <c r="Y192" s="349"/>
      <c r="Z192" s="44"/>
      <c r="AA192" s="84" t="str">
        <f t="shared" si="505"/>
        <v/>
      </c>
      <c r="AB192" s="84" t="str">
        <f t="shared" si="506"/>
        <v/>
      </c>
      <c r="AC192" s="84">
        <f t="shared" si="540"/>
        <v>0</v>
      </c>
      <c r="AD192" s="160" t="str">
        <f>IF($AJ$6="Indique Fecha Seguimiento","",IF(CRONOGRAMA!$E191="No Aplica","NA",IF($G192="","",IF(YEAR($G192)&lt;YEAR($AJ$6)," A ",IF(YEAR($G192)=YEAR($AJ$6),IF(MONTH($G192)&lt;=12," A ","NA"),IF(YEAR($G192)&gt;YEAR($AJ$6),"NA"))))))</f>
        <v/>
      </c>
      <c r="AE192" s="350"/>
      <c r="AF192" s="44"/>
      <c r="AG192" s="351"/>
      <c r="AH192" s="348" t="str">
        <f t="shared" si="507"/>
        <v/>
      </c>
      <c r="AI192" s="349"/>
      <c r="AJ192" s="44"/>
      <c r="AK192" s="81" t="str">
        <f t="shared" si="508"/>
        <v/>
      </c>
      <c r="AL192" s="84">
        <f t="shared" si="509"/>
        <v>0</v>
      </c>
      <c r="AM192" s="84">
        <f t="shared" si="541"/>
        <v>0</v>
      </c>
      <c r="AN192" s="592"/>
      <c r="AO192" s="602"/>
      <c r="AP192" s="603"/>
      <c r="AQ192" s="603"/>
      <c r="AR192" s="574"/>
      <c r="AS192" s="574"/>
      <c r="AT192" s="574"/>
      <c r="AU192" s="572"/>
      <c r="AV192" s="573"/>
      <c r="AW192" s="605"/>
      <c r="AX192">
        <f t="shared" si="517"/>
        <v>0</v>
      </c>
    </row>
    <row r="193" spans="1:51" ht="16.5" thickBot="1" x14ac:dyDescent="0.3">
      <c r="A193" s="590"/>
      <c r="B193" s="591"/>
      <c r="C193" s="82" t="str">
        <f>IF('CONSOLIDACION DEL MAPA'!P192="","",'CONSOLIDACION DEL MAPA'!P192)</f>
        <v/>
      </c>
      <c r="D193" s="82" t="str">
        <f>CRONOGRAMA!D192</f>
        <v/>
      </c>
      <c r="E193" s="132" t="str">
        <f>IF(CRONOGRAMA!F192="", "",CRONOGRAMA!F192)</f>
        <v/>
      </c>
      <c r="F193" s="132" t="str">
        <f>IF(CRONOGRAMA!G192="", "",CRONOGRAMA!G192)</f>
        <v/>
      </c>
      <c r="G193" s="128" t="str">
        <f>IF(CRONOGRAMA!H192="", "",CRONOGRAMA!H192)</f>
        <v/>
      </c>
      <c r="H193" s="128" t="str">
        <f>IF(CRONOGRAMA!I192="", "",CRONOGRAMA!I192)</f>
        <v/>
      </c>
      <c r="I193" s="84">
        <f t="shared" si="500"/>
        <v>0</v>
      </c>
      <c r="J193" s="160" t="str">
        <f>IF($P$6="Indique Fecha Seguimiento","",IF(CRONOGRAMA!$E192="No Aplica","NA",IF($G193="","",IF(YEAR($G193)&lt;YEAR($P$6)," A ",IF(YEAR($G193)=YEAR($P$6),IF(MONTH($G193)&lt;=4," A ","NA"),IF(YEAR($G193)&gt;YEAR($P$6),"NA"))))))</f>
        <v/>
      </c>
      <c r="K193" s="400"/>
      <c r="L193" s="402"/>
      <c r="M193" s="400"/>
      <c r="N193" s="348" t="str">
        <f t="shared" si="501"/>
        <v/>
      </c>
      <c r="O193" s="349"/>
      <c r="P193" s="44"/>
      <c r="Q193" s="84" t="str">
        <f t="shared" si="502"/>
        <v/>
      </c>
      <c r="R193" s="84" t="str">
        <f t="shared" si="503"/>
        <v/>
      </c>
      <c r="S193" s="84">
        <f t="shared" si="539"/>
        <v>0</v>
      </c>
      <c r="T193" s="160" t="str">
        <f>IF($Z$6="Indique Fecha Seguimiento","",IF(CRONOGRAMA!$E192="No Aplica","NA",IF($G193="","",IF(YEAR($G193)&lt;YEAR($Z$6)," A ",IF(YEAR($G193)=YEAR($Z$6),IF(MONTH($G193)&lt;=8," A ","NA"),IF(YEAR($G193)&gt;YEAR($Z$6),"NA"))))))</f>
        <v/>
      </c>
      <c r="U193" s="350"/>
      <c r="V193" s="44"/>
      <c r="W193" s="351"/>
      <c r="X193" s="348" t="str">
        <f t="shared" si="504"/>
        <v/>
      </c>
      <c r="Y193" s="349"/>
      <c r="Z193" s="44"/>
      <c r="AA193" s="84" t="str">
        <f t="shared" si="505"/>
        <v/>
      </c>
      <c r="AB193" s="84" t="str">
        <f t="shared" si="506"/>
        <v/>
      </c>
      <c r="AC193" s="84">
        <f t="shared" si="540"/>
        <v>0</v>
      </c>
      <c r="AD193" s="160" t="str">
        <f>IF($AJ$6="Indique Fecha Seguimiento","",IF(CRONOGRAMA!$E192="No Aplica","NA",IF($G193="","",IF(YEAR($G193)&lt;YEAR($AJ$6)," A ",IF(YEAR($G193)=YEAR($AJ$6),IF(MONTH($G193)&lt;=12," A ","NA"),IF(YEAR($G193)&gt;YEAR($AJ$6),"NA"))))))</f>
        <v/>
      </c>
      <c r="AE193" s="350"/>
      <c r="AF193" s="44"/>
      <c r="AG193" s="351"/>
      <c r="AH193" s="348" t="str">
        <f t="shared" si="507"/>
        <v/>
      </c>
      <c r="AI193" s="349"/>
      <c r="AJ193" s="44"/>
      <c r="AK193" s="81" t="str">
        <f t="shared" si="508"/>
        <v/>
      </c>
      <c r="AL193" s="84">
        <f t="shared" si="509"/>
        <v>0</v>
      </c>
      <c r="AM193" s="84">
        <f t="shared" si="541"/>
        <v>0</v>
      </c>
      <c r="AN193" s="592"/>
      <c r="AO193" s="602"/>
      <c r="AP193" s="603"/>
      <c r="AQ193" s="603"/>
      <c r="AR193" s="574"/>
      <c r="AS193" s="574"/>
      <c r="AT193" s="574"/>
      <c r="AU193" s="572"/>
      <c r="AV193" s="573"/>
      <c r="AW193" s="605"/>
      <c r="AX193">
        <f t="shared" si="517"/>
        <v>0</v>
      </c>
    </row>
    <row r="194" spans="1:51" ht="39" thickTop="1" x14ac:dyDescent="0.25">
      <c r="A194" s="588" t="str">
        <f>CRONOGRAMA!A193</f>
        <v>34C</v>
      </c>
      <c r="B194" s="591" t="str">
        <f>CRONOGRAMA!B193</f>
        <v>Evaluación Independiente. No reportar posibles actos de corrupción e irregularidades</v>
      </c>
      <c r="C194" s="82" t="str">
        <f>IF('CONSOLIDACION DEL MAPA'!P193="","",'CONSOLIDACION DEL MAPA'!P193)</f>
        <v>No Establecer</v>
      </c>
      <c r="D194" s="82" t="str">
        <f>CRONOGRAMA!D193</f>
        <v>Seguir ejecutando y monitoreando los controles existentes</v>
      </c>
      <c r="E194" s="132" t="str">
        <f>IF(CRONOGRAMA!F193="", "",CRONOGRAMA!F193)</f>
        <v/>
      </c>
      <c r="F194" s="132" t="str">
        <f>IF(CRONOGRAMA!G193="", "",CRONOGRAMA!G193)</f>
        <v/>
      </c>
      <c r="G194" s="128" t="str">
        <f>IF(CRONOGRAMA!H193="", "",CRONOGRAMA!H193)</f>
        <v/>
      </c>
      <c r="H194" s="128" t="str">
        <f>IF(CRONOGRAMA!I193="", "",CRONOGRAMA!I193)</f>
        <v/>
      </c>
      <c r="I194" s="84">
        <f t="shared" si="500"/>
        <v>0</v>
      </c>
      <c r="J194" s="160" t="str">
        <f>IF($P$6="Indique Fecha Seguimiento","",IF(CRONOGRAMA!$E193="No Aplica","NA",IF($G194="","",IF(YEAR($G194)&lt;YEAR($P$6)," A ",IF(YEAR($G194)=YEAR($P$6),IF(MONTH($G194)&lt;=4," A ","NA"),IF(YEAR($G194)&gt;YEAR($P$6),"NA"))))))</f>
        <v>NA</v>
      </c>
      <c r="K194" s="400"/>
      <c r="L194" s="402"/>
      <c r="M194" s="400"/>
      <c r="N194" s="348" t="str">
        <f t="shared" si="501"/>
        <v/>
      </c>
      <c r="O194" s="349"/>
      <c r="P194" s="44"/>
      <c r="Q194" s="84" t="str">
        <f t="shared" si="502"/>
        <v/>
      </c>
      <c r="R194" s="84" t="str">
        <f t="shared" si="503"/>
        <v/>
      </c>
      <c r="S194" s="84">
        <f t="shared" si="539"/>
        <v>0</v>
      </c>
      <c r="T194" s="160" t="str">
        <f>IF($Z$6="Indique Fecha Seguimiento","",IF(CRONOGRAMA!$E193="No Aplica","NA",IF($G194="","",IF(YEAR($G194)&lt;YEAR($Z$6)," A ",IF(YEAR($G194)=YEAR($Z$6),IF(MONTH($G194)&lt;=8," A ","NA"),IF(YEAR($G194)&gt;YEAR($Z$6),"NA"))))))</f>
        <v>NA</v>
      </c>
      <c r="U194" s="350"/>
      <c r="V194" s="44"/>
      <c r="W194" s="351"/>
      <c r="X194" s="348" t="str">
        <f t="shared" si="504"/>
        <v/>
      </c>
      <c r="Y194" s="349"/>
      <c r="Z194" s="44"/>
      <c r="AA194" s="84" t="str">
        <f t="shared" si="505"/>
        <v/>
      </c>
      <c r="AB194" s="84" t="str">
        <f t="shared" si="506"/>
        <v/>
      </c>
      <c r="AC194" s="84">
        <f t="shared" si="540"/>
        <v>0</v>
      </c>
      <c r="AD194" s="160" t="str">
        <f>IF($AJ$6="Indique Fecha Seguimiento","",IF(CRONOGRAMA!$E193="No Aplica","NA",IF($G194="","",IF(YEAR($G194)&lt;YEAR($AJ$6)," A ",IF(YEAR($G194)=YEAR($AJ$6),IF(MONTH($G194)&lt;=12," A ","NA"),IF(YEAR($G194)&gt;YEAR($AJ$6),"NA"))))))</f>
        <v/>
      </c>
      <c r="AE194" s="350"/>
      <c r="AF194" s="44"/>
      <c r="AG194" s="351"/>
      <c r="AH194" s="348" t="str">
        <f t="shared" si="507"/>
        <v/>
      </c>
      <c r="AI194" s="349"/>
      <c r="AJ194" s="44"/>
      <c r="AK194" s="81" t="str">
        <f t="shared" si="508"/>
        <v/>
      </c>
      <c r="AL194" s="84">
        <f t="shared" si="509"/>
        <v>0</v>
      </c>
      <c r="AM194" s="84">
        <f t="shared" si="541"/>
        <v>0</v>
      </c>
      <c r="AN194" s="592">
        <f t="shared" ref="AN194" si="622">SUM(I194:I196)</f>
        <v>0</v>
      </c>
      <c r="AO194" s="602" t="str">
        <f t="shared" ref="AO194" si="623">IF(AND(Q194="",Q195="",Q196=""),"",SUM(Q194:Q196))</f>
        <v/>
      </c>
      <c r="AP194" s="603" t="str">
        <f t="shared" ref="AP194" si="624">IF(AND(AA194="",AA195="",AA196=""),"",SUM(AA194:AA196))</f>
        <v/>
      </c>
      <c r="AQ194" s="603" t="str">
        <f t="shared" ref="AQ194" si="625">IF(AND(AK194="",AK195="",AK196=""),"",SUM(AK194:AK196))</f>
        <v/>
      </c>
      <c r="AR194" s="574" t="str">
        <f t="shared" si="546"/>
        <v>NA</v>
      </c>
      <c r="AS194" s="574" t="str">
        <f t="shared" si="547"/>
        <v>NA</v>
      </c>
      <c r="AT194" s="574" t="str">
        <f t="shared" ref="AT194" si="626">IF(AS194&gt;=AR194,AS194,AR194)</f>
        <v>NA</v>
      </c>
      <c r="AU194" s="572" t="str">
        <f t="shared" si="549"/>
        <v/>
      </c>
      <c r="AV194" s="573" t="str">
        <f t="shared" ref="AV194" si="627">IF($AU$6=1,AR194,IF($AU$6=2,AS194,IF($AU$6=3,AU194,"")))</f>
        <v>NA</v>
      </c>
      <c r="AW194" s="605" t="str">
        <f t="shared" ref="AW194" si="628">AV194</f>
        <v>NA</v>
      </c>
      <c r="AX194">
        <f t="shared" si="517"/>
        <v>0</v>
      </c>
    </row>
    <row r="195" spans="1:51" ht="15.75" x14ac:dyDescent="0.25">
      <c r="A195" s="589"/>
      <c r="B195" s="591"/>
      <c r="C195" s="82" t="str">
        <f>IF('CONSOLIDACION DEL MAPA'!P194="","",'CONSOLIDACION DEL MAPA'!P194)</f>
        <v/>
      </c>
      <c r="D195" s="82" t="str">
        <f>CRONOGRAMA!D194</f>
        <v/>
      </c>
      <c r="E195" s="132" t="str">
        <f>IF(CRONOGRAMA!F194="", "",CRONOGRAMA!F194)</f>
        <v/>
      </c>
      <c r="F195" s="132" t="str">
        <f>IF(CRONOGRAMA!G194="", "",CRONOGRAMA!G194)</f>
        <v/>
      </c>
      <c r="G195" s="128" t="str">
        <f>IF(CRONOGRAMA!H194="", "",CRONOGRAMA!H194)</f>
        <v/>
      </c>
      <c r="H195" s="128" t="str">
        <f>IF(CRONOGRAMA!I194="", "",CRONOGRAMA!I194)</f>
        <v/>
      </c>
      <c r="I195" s="84">
        <f t="shared" si="500"/>
        <v>0</v>
      </c>
      <c r="J195" s="160" t="str">
        <f>IF($P$6="Indique Fecha Seguimiento","",IF(CRONOGRAMA!$E194="No Aplica","NA",IF($G195="","",IF(YEAR($G195)&lt;YEAR($P$6)," A ",IF(YEAR($G195)=YEAR($P$6),IF(MONTH($G195)&lt;=4," A ","NA"),IF(YEAR($G195)&gt;YEAR($P$6),"NA"))))))</f>
        <v/>
      </c>
      <c r="K195" s="346"/>
      <c r="L195" s="44"/>
      <c r="M195" s="346"/>
      <c r="N195" s="348" t="str">
        <f t="shared" si="501"/>
        <v/>
      </c>
      <c r="O195" s="349"/>
      <c r="P195" s="44"/>
      <c r="Q195" s="84" t="str">
        <f t="shared" si="502"/>
        <v/>
      </c>
      <c r="R195" s="84" t="str">
        <f t="shared" si="503"/>
        <v/>
      </c>
      <c r="S195" s="84">
        <f t="shared" si="539"/>
        <v>0</v>
      </c>
      <c r="T195" s="160" t="str">
        <f>IF($Z$6="Indique Fecha Seguimiento","",IF(CRONOGRAMA!$E194="No Aplica","NA",IF($G195="","",IF(YEAR($G195)&lt;YEAR($Z$6)," A ",IF(YEAR($G195)=YEAR($Z$6),IF(MONTH($G195)&lt;=8," A ","NA"),IF(YEAR($G195)&gt;YEAR($Z$6),"NA"))))))</f>
        <v/>
      </c>
      <c r="U195" s="350"/>
      <c r="V195" s="44"/>
      <c r="W195" s="351"/>
      <c r="X195" s="348" t="str">
        <f t="shared" si="504"/>
        <v/>
      </c>
      <c r="Y195" s="349"/>
      <c r="Z195" s="44"/>
      <c r="AA195" s="84" t="str">
        <f t="shared" si="505"/>
        <v/>
      </c>
      <c r="AB195" s="84" t="str">
        <f t="shared" si="506"/>
        <v/>
      </c>
      <c r="AC195" s="84">
        <f t="shared" si="540"/>
        <v>0</v>
      </c>
      <c r="AD195" s="160" t="str">
        <f>IF($AJ$6="Indique Fecha Seguimiento","",IF(CRONOGRAMA!$E194="No Aplica","NA",IF($G195="","",IF(YEAR($G195)&lt;YEAR($AJ$6)," A ",IF(YEAR($G195)=YEAR($AJ$6),IF(MONTH($G195)&lt;=12," A ","NA"),IF(YEAR($G195)&gt;YEAR($AJ$6),"NA"))))))</f>
        <v/>
      </c>
      <c r="AE195" s="350"/>
      <c r="AF195" s="44"/>
      <c r="AG195" s="351"/>
      <c r="AH195" s="348" t="str">
        <f t="shared" si="507"/>
        <v/>
      </c>
      <c r="AI195" s="349"/>
      <c r="AJ195" s="44"/>
      <c r="AK195" s="81" t="str">
        <f t="shared" si="508"/>
        <v/>
      </c>
      <c r="AL195" s="84">
        <f t="shared" si="509"/>
        <v>0</v>
      </c>
      <c r="AM195" s="84">
        <f t="shared" si="541"/>
        <v>0</v>
      </c>
      <c r="AN195" s="592"/>
      <c r="AO195" s="602"/>
      <c r="AP195" s="603"/>
      <c r="AQ195" s="603"/>
      <c r="AR195" s="574"/>
      <c r="AS195" s="574"/>
      <c r="AT195" s="574"/>
      <c r="AU195" s="572"/>
      <c r="AV195" s="573"/>
      <c r="AW195" s="605"/>
      <c r="AX195">
        <f t="shared" si="517"/>
        <v>0</v>
      </c>
    </row>
    <row r="196" spans="1:51" ht="16.5" thickBot="1" x14ac:dyDescent="0.3">
      <c r="A196" s="590"/>
      <c r="B196" s="591"/>
      <c r="C196" s="82" t="str">
        <f>IF('CONSOLIDACION DEL MAPA'!P195="","",'CONSOLIDACION DEL MAPA'!P195)</f>
        <v/>
      </c>
      <c r="D196" s="82" t="str">
        <f>CRONOGRAMA!D195</f>
        <v/>
      </c>
      <c r="E196" s="132" t="str">
        <f>IF(CRONOGRAMA!F195="", "",CRONOGRAMA!F195)</f>
        <v/>
      </c>
      <c r="F196" s="132" t="str">
        <f>IF(CRONOGRAMA!G195="", "",CRONOGRAMA!G195)</f>
        <v/>
      </c>
      <c r="G196" s="128" t="str">
        <f>IF(CRONOGRAMA!H195="", "",CRONOGRAMA!H195)</f>
        <v/>
      </c>
      <c r="H196" s="128" t="str">
        <f>IF(CRONOGRAMA!I195="", "",CRONOGRAMA!I195)</f>
        <v/>
      </c>
      <c r="I196" s="84">
        <f t="shared" si="500"/>
        <v>0</v>
      </c>
      <c r="J196" s="160" t="str">
        <f>IF($P$6="Indique Fecha Seguimiento","",IF(CRONOGRAMA!$E195="No Aplica","NA",IF($G196="","",IF(YEAR($G196)&lt;YEAR($P$6)," A ",IF(YEAR($G196)=YEAR($P$6),IF(MONTH($G196)&lt;=4," A ","NA"),IF(YEAR($G196)&gt;YEAR($P$6),"NA"))))))</f>
        <v/>
      </c>
      <c r="K196" s="346"/>
      <c r="L196" s="44"/>
      <c r="M196" s="346"/>
      <c r="N196" s="348" t="str">
        <f t="shared" si="501"/>
        <v/>
      </c>
      <c r="O196" s="349"/>
      <c r="P196" s="44"/>
      <c r="Q196" s="84" t="str">
        <f t="shared" si="502"/>
        <v/>
      </c>
      <c r="R196" s="84" t="str">
        <f t="shared" si="503"/>
        <v/>
      </c>
      <c r="S196" s="84">
        <f t="shared" si="539"/>
        <v>0</v>
      </c>
      <c r="T196" s="160" t="str">
        <f>IF($Z$6="Indique Fecha Seguimiento","",IF(CRONOGRAMA!$E195="No Aplica","NA",IF($G196="","",IF(YEAR($G196)&lt;YEAR($Z$6)," A ",IF(YEAR($G196)=YEAR($Z$6),IF(MONTH($G196)&lt;=8," A ","NA"),IF(YEAR($G196)&gt;YEAR($Z$6),"NA"))))))</f>
        <v/>
      </c>
      <c r="U196" s="350"/>
      <c r="V196" s="44"/>
      <c r="W196" s="351"/>
      <c r="X196" s="348" t="str">
        <f t="shared" si="504"/>
        <v/>
      </c>
      <c r="Y196" s="349"/>
      <c r="Z196" s="44"/>
      <c r="AA196" s="84" t="str">
        <f t="shared" si="505"/>
        <v/>
      </c>
      <c r="AB196" s="84" t="str">
        <f t="shared" si="506"/>
        <v/>
      </c>
      <c r="AC196" s="84">
        <f t="shared" si="540"/>
        <v>0</v>
      </c>
      <c r="AD196" s="160" t="str">
        <f>IF($AJ$6="Indique Fecha Seguimiento","",IF(CRONOGRAMA!$E195="No Aplica","NA",IF($G196="","",IF(YEAR($G196)&lt;YEAR($AJ$6)," A ",IF(YEAR($G196)=YEAR($AJ$6),IF(MONTH($G196)&lt;=12," A ","NA"),IF(YEAR($G196)&gt;YEAR($AJ$6),"NA"))))))</f>
        <v/>
      </c>
      <c r="AE196" s="350"/>
      <c r="AF196" s="44"/>
      <c r="AG196" s="351"/>
      <c r="AH196" s="348" t="str">
        <f t="shared" si="507"/>
        <v/>
      </c>
      <c r="AI196" s="349"/>
      <c r="AJ196" s="44"/>
      <c r="AK196" s="81" t="str">
        <f t="shared" si="508"/>
        <v/>
      </c>
      <c r="AL196" s="84">
        <f t="shared" si="509"/>
        <v>0</v>
      </c>
      <c r="AM196" s="84">
        <f t="shared" si="541"/>
        <v>0</v>
      </c>
      <c r="AN196" s="592"/>
      <c r="AO196" s="602"/>
      <c r="AP196" s="603"/>
      <c r="AQ196" s="603"/>
      <c r="AR196" s="574"/>
      <c r="AS196" s="574"/>
      <c r="AT196" s="574"/>
      <c r="AU196" s="572"/>
      <c r="AV196" s="573"/>
      <c r="AW196" s="605"/>
      <c r="AX196">
        <f t="shared" si="517"/>
        <v>0</v>
      </c>
    </row>
    <row r="197" spans="1:51" s="94" customFormat="1" ht="16.5" hidden="1" thickTop="1" x14ac:dyDescent="0.25">
      <c r="A197" s="116" t="s">
        <v>361</v>
      </c>
      <c r="B197" s="116"/>
      <c r="C197" s="116"/>
      <c r="D197" s="116"/>
      <c r="E197" s="116"/>
      <c r="F197" s="116"/>
      <c r="G197" s="116"/>
      <c r="H197" s="116"/>
      <c r="I197" s="120">
        <f>SUM(I95:I196)</f>
        <v>1140.8571428571427</v>
      </c>
      <c r="J197" s="165"/>
      <c r="K197" s="106"/>
      <c r="O197" s="342"/>
      <c r="Q197" s="120">
        <f>SUM(Q95:Q196)</f>
        <v>277.13265306122446</v>
      </c>
      <c r="R197" s="120">
        <f>SUM(R95:R196)</f>
        <v>277.13265306122446</v>
      </c>
      <c r="S197" s="120">
        <f>SUM(S95:S196)</f>
        <v>1140.8571428571427</v>
      </c>
      <c r="T197" s="160" t="str">
        <f>IF($Z$6="Indique Fecha Seguimiento","",IF(CRONOGRAMA!$E197="No Aplica","NA",IF($G197="","",IF(YEAR($G197)&lt;YEAR($Z$6)," A ",IF(YEAR($G197)=YEAR($Z$6),IF(MONTH($G197)&lt;=8," A ","NA"),IF(YEAR($G197)&gt;YEAR($Z$6),"NA"))))))</f>
        <v/>
      </c>
      <c r="W197" s="143"/>
      <c r="Y197" s="342"/>
      <c r="AA197" s="120">
        <f>SUM(AA95:AA196)</f>
        <v>493.33129251700672</v>
      </c>
      <c r="AB197" s="120">
        <f>SUM(AB95:AB196)</f>
        <v>484.67414965986387</v>
      </c>
      <c r="AC197" s="120">
        <f>SUM(AC95:AC196)</f>
        <v>1140.8571428571427</v>
      </c>
      <c r="AD197" s="160"/>
      <c r="AG197" s="143"/>
      <c r="AI197" s="342"/>
      <c r="AJ197" s="81"/>
      <c r="AK197" s="121">
        <f>SUM(AK95:AK196)</f>
        <v>0</v>
      </c>
      <c r="AL197" s="120">
        <f>SUM(AL95:AL196)</f>
        <v>195.57142857142858</v>
      </c>
      <c r="AM197" s="120">
        <f>SUM(AM95:AM196)</f>
        <v>1140.8571428571427</v>
      </c>
      <c r="AR197" s="141"/>
      <c r="AS197" s="141"/>
      <c r="AT197" s="141"/>
      <c r="AU197" s="141"/>
      <c r="AV197" s="141"/>
      <c r="AW197" s="137"/>
    </row>
    <row r="198" spans="1:51" s="94" customFormat="1" ht="15.75" hidden="1" x14ac:dyDescent="0.25">
      <c r="A198" s="116" t="s">
        <v>362</v>
      </c>
      <c r="B198" s="116"/>
      <c r="C198" s="116"/>
      <c r="D198" s="116"/>
      <c r="E198" s="116"/>
      <c r="F198" s="116"/>
      <c r="G198" s="116"/>
      <c r="H198" s="116"/>
      <c r="I198" s="120">
        <f>SUM(I93,I197)</f>
        <v>2208.7142857142853</v>
      </c>
      <c r="J198" s="165"/>
      <c r="K198" s="106"/>
      <c r="O198" s="342"/>
      <c r="Q198" s="120">
        <f>SUM(Q93,Q197)</f>
        <v>463.20408163265301</v>
      </c>
      <c r="R198" s="120">
        <f t="shared" ref="R198:S198" si="629">SUM(R93,R197)</f>
        <v>463.20408163265301</v>
      </c>
      <c r="S198" s="120">
        <f t="shared" si="629"/>
        <v>2208.7142857142853</v>
      </c>
      <c r="T198" s="160" t="str">
        <f>IF($Z$6="Indique Fecha Seguimiento","",IF(CRONOGRAMA!$E198="No Aplica","NA",IF($G198="","",IF(YEAR($G198)&lt;YEAR($Z$6)," A ",IF(YEAR($G198)=YEAR($Z$6),IF(MONTH($G198)&lt;=8," A ","NA"),IF(YEAR($G198)&gt;YEAR($Z$6),"NA"))))))</f>
        <v/>
      </c>
      <c r="W198" s="143"/>
      <c r="Y198" s="342"/>
      <c r="AA198" s="120">
        <f>SUM(AA93,AA197)</f>
        <v>921.09748299319722</v>
      </c>
      <c r="AB198" s="120">
        <f t="shared" ref="AB198:AC198" si="630">SUM(AB93,AB197)</f>
        <v>912.44034013605437</v>
      </c>
      <c r="AC198" s="120">
        <f t="shared" si="630"/>
        <v>2208.7142857142853</v>
      </c>
      <c r="AD198" s="160"/>
      <c r="AG198" s="143"/>
      <c r="AI198" s="342"/>
      <c r="AJ198" s="81"/>
      <c r="AK198" s="120">
        <f>SUM(AK93,AK197)</f>
        <v>0</v>
      </c>
      <c r="AL198" s="120">
        <f t="shared" ref="AL198:AM198" si="631">SUM(AL93,AL197)</f>
        <v>321.28571428571433</v>
      </c>
      <c r="AM198" s="120">
        <f t="shared" si="631"/>
        <v>2208.7142857142853</v>
      </c>
      <c r="AR198" s="141"/>
      <c r="AS198" s="141"/>
      <c r="AT198" s="141"/>
      <c r="AU198" s="141"/>
      <c r="AV198" s="141"/>
      <c r="AW198" s="137"/>
    </row>
    <row r="199" spans="1:51" s="122" customFormat="1" ht="16.5" thickTop="1" x14ac:dyDescent="0.25">
      <c r="A199" s="123"/>
      <c r="B199" s="123"/>
      <c r="C199" s="123"/>
      <c r="D199" s="123"/>
      <c r="E199" s="123"/>
      <c r="F199" s="123"/>
      <c r="G199" s="123"/>
      <c r="H199" s="123"/>
      <c r="I199" s="124"/>
      <c r="J199" s="585" t="s">
        <v>169</v>
      </c>
      <c r="K199" s="585"/>
      <c r="L199" s="585"/>
      <c r="M199" s="585"/>
      <c r="N199" s="585"/>
      <c r="O199" s="585"/>
      <c r="P199" s="585"/>
      <c r="Q199" s="126"/>
      <c r="R199" s="126"/>
      <c r="S199" s="126"/>
      <c r="T199" s="585" t="s">
        <v>170</v>
      </c>
      <c r="U199" s="585"/>
      <c r="V199" s="585"/>
      <c r="W199" s="585"/>
      <c r="X199" s="585"/>
      <c r="Y199" s="585"/>
      <c r="Z199" s="585"/>
      <c r="AA199" s="125"/>
      <c r="AB199" s="125"/>
      <c r="AC199" s="125"/>
      <c r="AD199" s="585" t="s">
        <v>171</v>
      </c>
      <c r="AE199" s="585"/>
      <c r="AF199" s="585"/>
      <c r="AG199" s="585"/>
      <c r="AH199" s="585"/>
      <c r="AI199" s="585"/>
      <c r="AJ199" s="585"/>
      <c r="AK199" s="125"/>
      <c r="AL199" s="125"/>
      <c r="AM199" s="125"/>
      <c r="AR199" s="142"/>
      <c r="AS199" s="142"/>
      <c r="AT199" s="142"/>
      <c r="AU199" s="142"/>
      <c r="AV199" s="142"/>
      <c r="AW199" s="166"/>
    </row>
    <row r="200" spans="1:51" ht="15.75" x14ac:dyDescent="0.25">
      <c r="A200" s="27"/>
      <c r="B200" s="575" t="s">
        <v>355</v>
      </c>
      <c r="C200" s="575"/>
      <c r="D200" s="575"/>
      <c r="E200" s="575"/>
      <c r="F200" s="575"/>
      <c r="G200" s="575"/>
      <c r="H200" s="575"/>
      <c r="I200" s="118"/>
      <c r="J200" s="586">
        <f>IF($P$6="Indique Fecha Seguimiento","",IF(R93=0,0,R93/S93))</f>
        <v>0.17424749163879599</v>
      </c>
      <c r="K200" s="586"/>
      <c r="L200" s="586"/>
      <c r="M200" s="586"/>
      <c r="N200" s="586"/>
      <c r="O200" s="586"/>
      <c r="P200" s="586"/>
      <c r="Q200" s="127"/>
      <c r="R200" s="127"/>
      <c r="S200" s="127"/>
      <c r="T200" s="586">
        <f>IF($Z$6="Indique Fecha Seguimiento","",IF(AB93=0,0,AB93/AC93))</f>
        <v>0.40058372352285398</v>
      </c>
      <c r="U200" s="586"/>
      <c r="V200" s="586"/>
      <c r="W200" s="586"/>
      <c r="X200" s="586"/>
      <c r="Y200" s="586"/>
      <c r="Z200" s="586"/>
      <c r="AA200" s="27"/>
      <c r="AB200" s="27"/>
      <c r="AC200" s="27"/>
      <c r="AD200" s="586" t="str">
        <f>IF($AJ$6="Indique Fecha Seguimiento","",IF(AL93=0,0,AL93/AM93))</f>
        <v/>
      </c>
      <c r="AE200" s="586"/>
      <c r="AF200" s="586"/>
      <c r="AG200" s="586"/>
      <c r="AH200" s="586"/>
      <c r="AI200" s="586"/>
      <c r="AJ200" s="586"/>
      <c r="AT200" s="155"/>
      <c r="AU200" s="155"/>
      <c r="AV200" s="155"/>
      <c r="AW200" s="185">
        <f>IF($AU$6=1,J200,IF($AU$6=2,T200,IF($AU$6=3,AD200,"")))</f>
        <v>0.40058372352285398</v>
      </c>
    </row>
    <row r="201" spans="1:51" ht="17.25" x14ac:dyDescent="0.25">
      <c r="A201" s="27"/>
      <c r="B201" s="576" t="s">
        <v>354</v>
      </c>
      <c r="C201" s="576"/>
      <c r="D201" s="576"/>
      <c r="E201" s="576"/>
      <c r="F201" s="576"/>
      <c r="G201" s="576"/>
      <c r="H201" s="576"/>
      <c r="I201" s="119"/>
      <c r="J201" s="587">
        <f>IF($P$6="Indique Fecha Seguimiento","",IF(Q93=0,0,Q93/$I$93))</f>
        <v>0.17424749163879599</v>
      </c>
      <c r="K201" s="587"/>
      <c r="L201" s="587"/>
      <c r="M201" s="587"/>
      <c r="N201" s="587"/>
      <c r="O201" s="587"/>
      <c r="P201" s="587"/>
      <c r="Q201" s="127"/>
      <c r="R201" s="127"/>
      <c r="S201" s="127"/>
      <c r="T201" s="587">
        <f>IF($Z$6="Indique Fecha Seguimiento","",IF(AA93=0,0,AA93/$I$93))</f>
        <v>0.40058372352285398</v>
      </c>
      <c r="U201" s="587"/>
      <c r="V201" s="587"/>
      <c r="W201" s="587"/>
      <c r="X201" s="587"/>
      <c r="Y201" s="587"/>
      <c r="Z201" s="587"/>
      <c r="AA201" s="27"/>
      <c r="AB201" s="27"/>
      <c r="AC201" s="27"/>
      <c r="AD201" s="587" t="str">
        <f>IF($AJ$6="Indique Fecha Seguimiento","",IF(AK93=0,0,AK93/$I$93))</f>
        <v/>
      </c>
      <c r="AE201" s="587"/>
      <c r="AF201" s="587"/>
      <c r="AG201" s="587"/>
      <c r="AH201" s="587"/>
      <c r="AI201" s="587"/>
      <c r="AJ201" s="587"/>
      <c r="AT201" s="155"/>
      <c r="AU201" s="155"/>
      <c r="AV201" s="155"/>
      <c r="AW201" s="185">
        <f>IF($AU$6=1,J201,IF($AU$6=2,T201,IF($AU$6=3,AD201,"")))</f>
        <v>0.40058372352285398</v>
      </c>
    </row>
    <row r="202" spans="1:51" ht="15.75" x14ac:dyDescent="0.25">
      <c r="A202" s="27"/>
      <c r="B202" s="610" t="s">
        <v>356</v>
      </c>
      <c r="C202" s="610"/>
      <c r="D202" s="610"/>
      <c r="E202" s="610"/>
      <c r="F202" s="610"/>
      <c r="G202" s="610"/>
      <c r="H202" s="610"/>
      <c r="I202" s="118"/>
      <c r="J202" s="586">
        <f>IF($P$6="Indique Fecha Seguimiento","",IF(R197=0,0,R197/S197))</f>
        <v>0.24291617473435656</v>
      </c>
      <c r="K202" s="586"/>
      <c r="L202" s="586"/>
      <c r="M202" s="586"/>
      <c r="N202" s="586"/>
      <c r="O202" s="586"/>
      <c r="P202" s="586"/>
      <c r="Q202" s="127"/>
      <c r="R202" s="127"/>
      <c r="S202" s="127"/>
      <c r="T202" s="586">
        <f>IF($Z$6="Indique Fecha Seguimiento","",IF(AB197=0,0,AB197/AC197))</f>
        <v>0.42483333929614925</v>
      </c>
      <c r="U202" s="586"/>
      <c r="V202" s="586"/>
      <c r="W202" s="586"/>
      <c r="X202" s="586"/>
      <c r="Y202" s="586"/>
      <c r="Z202" s="586"/>
      <c r="AA202" s="27"/>
      <c r="AB202" s="27"/>
      <c r="AC202" s="27"/>
      <c r="AD202" s="586" t="str">
        <f>IF($AJ$6="Indique Fecha Seguimiento","",IF(AL197=0,0,AL197/AM197))</f>
        <v/>
      </c>
      <c r="AE202" s="586"/>
      <c r="AF202" s="586"/>
      <c r="AG202" s="586"/>
      <c r="AH202" s="586"/>
      <c r="AI202" s="586"/>
      <c r="AJ202" s="586"/>
      <c r="AT202" s="249"/>
      <c r="AU202" s="249"/>
      <c r="AV202" s="249"/>
      <c r="AW202" s="250">
        <f>IF($AU$6=1,J202,IF($AU$6=2,T202,IF($AU$6=3,AD202,"")))</f>
        <v>0.42483333929614925</v>
      </c>
    </row>
    <row r="203" spans="1:51" ht="17.25" x14ac:dyDescent="0.25">
      <c r="A203" s="27"/>
      <c r="B203" s="611" t="s">
        <v>357</v>
      </c>
      <c r="C203" s="611"/>
      <c r="D203" s="611"/>
      <c r="E203" s="611"/>
      <c r="F203" s="611"/>
      <c r="G203" s="611"/>
      <c r="H203" s="611"/>
      <c r="I203" s="119"/>
      <c r="J203" s="587">
        <f>IF($P$6="Indique Fecha Seguimiento","",IF(Q197=0,0,Q197/$I$197))</f>
        <v>0.24291617473435656</v>
      </c>
      <c r="K203" s="587"/>
      <c r="L203" s="587"/>
      <c r="M203" s="587"/>
      <c r="N203" s="587"/>
      <c r="O203" s="587"/>
      <c r="P203" s="587"/>
      <c r="Q203" s="127"/>
      <c r="R203" s="127"/>
      <c r="S203" s="127"/>
      <c r="T203" s="587">
        <f>IF($Z$6="Indique Fecha Seguimiento","",IF(AA197=0,0,AA197/$I$197))</f>
        <v>0.43242161878525515</v>
      </c>
      <c r="U203" s="587"/>
      <c r="V203" s="587"/>
      <c r="W203" s="587"/>
      <c r="X203" s="587"/>
      <c r="Y203" s="587"/>
      <c r="Z203" s="587"/>
      <c r="AA203" s="27"/>
      <c r="AB203" s="27"/>
      <c r="AC203" s="27"/>
      <c r="AD203" s="587" t="str">
        <f>IF($AJ$6="Indique Fecha Seguimiento","",IF(AK197=0,0,AK197/$I$197))</f>
        <v/>
      </c>
      <c r="AE203" s="587"/>
      <c r="AF203" s="587"/>
      <c r="AG203" s="587"/>
      <c r="AH203" s="587"/>
      <c r="AI203" s="587"/>
      <c r="AJ203" s="587"/>
      <c r="AT203" s="249"/>
      <c r="AU203" s="249"/>
      <c r="AV203" s="249"/>
      <c r="AW203" s="250">
        <f>IF($AU$6=1,J203,IF($AU$6=2,T203,IF($AU$6=3,AD203,"")))</f>
        <v>0.43242161878525515</v>
      </c>
    </row>
    <row r="204" spans="1:51" ht="8.25" customHeight="1" x14ac:dyDescent="0.25">
      <c r="A204" s="184"/>
      <c r="B204" s="256"/>
      <c r="C204" s="256"/>
      <c r="D204" s="256"/>
      <c r="E204" s="256"/>
      <c r="F204" s="256"/>
      <c r="G204" s="256"/>
      <c r="H204" s="256"/>
      <c r="I204" s="257"/>
      <c r="J204" s="258"/>
      <c r="K204" s="258"/>
      <c r="L204" s="258"/>
      <c r="M204" s="258"/>
      <c r="N204" s="258"/>
      <c r="O204" s="343"/>
      <c r="P204" s="258"/>
      <c r="Q204" s="255"/>
      <c r="R204" s="255"/>
      <c r="S204" s="255"/>
      <c r="T204" s="258"/>
      <c r="U204" s="258"/>
      <c r="V204" s="258"/>
      <c r="W204" s="258"/>
      <c r="X204" s="258"/>
      <c r="Y204" s="343"/>
      <c r="Z204" s="258"/>
      <c r="AA204" s="184"/>
      <c r="AB204" s="184"/>
      <c r="AC204" s="184"/>
      <c r="AD204" s="258"/>
      <c r="AE204" s="258"/>
      <c r="AF204" s="258"/>
      <c r="AG204" s="258"/>
      <c r="AH204" s="258"/>
      <c r="AI204" s="343"/>
      <c r="AJ204" s="258"/>
      <c r="AK204" s="184"/>
      <c r="AL204" s="184"/>
      <c r="AM204" s="184"/>
      <c r="AN204" s="184"/>
      <c r="AO204" s="184"/>
      <c r="AP204" s="184"/>
      <c r="AQ204" s="184"/>
      <c r="AR204" s="259"/>
      <c r="AS204" s="259"/>
      <c r="AT204" s="260"/>
      <c r="AU204" s="260"/>
      <c r="AV204" s="260"/>
      <c r="AW204" s="261"/>
      <c r="AX204" s="184"/>
      <c r="AY204" s="184"/>
    </row>
    <row r="205" spans="1:51" ht="15.75" x14ac:dyDescent="0.25">
      <c r="A205" s="27"/>
      <c r="B205" s="612" t="s">
        <v>358</v>
      </c>
      <c r="C205" s="612"/>
      <c r="D205" s="612"/>
      <c r="E205" s="612"/>
      <c r="F205" s="612"/>
      <c r="G205" s="612"/>
      <c r="H205" s="612"/>
      <c r="I205" s="118"/>
      <c r="J205" s="613">
        <f>IF($P$6="Indique Fecha Seguimiento","",IF(R198=0,0,R198/S198))</f>
        <v>0.20971661415358461</v>
      </c>
      <c r="K205" s="613"/>
      <c r="L205" s="613"/>
      <c r="M205" s="613"/>
      <c r="N205" s="613"/>
      <c r="O205" s="613"/>
      <c r="P205" s="613"/>
      <c r="Q205" s="127"/>
      <c r="R205" s="127"/>
      <c r="S205" s="127"/>
      <c r="T205" s="613">
        <f>IF($Z$6="Indique Fecha Seguimiento","",IF(AB198=0,0,AB198/AC198))</f>
        <v>0.41310926725000852</v>
      </c>
      <c r="U205" s="613"/>
      <c r="V205" s="613"/>
      <c r="W205" s="613"/>
      <c r="X205" s="613"/>
      <c r="Y205" s="613"/>
      <c r="Z205" s="613"/>
      <c r="AA205" s="27"/>
      <c r="AB205" s="27"/>
      <c r="AC205" s="27"/>
      <c r="AD205" s="613" t="str">
        <f>IF($AJ$6="Indique Fecha Seguimiento","",IF(AL198=0,0,AL198/AM198))</f>
        <v/>
      </c>
      <c r="AE205" s="613"/>
      <c r="AF205" s="613"/>
      <c r="AG205" s="613"/>
      <c r="AH205" s="613"/>
      <c r="AI205" s="613"/>
      <c r="AJ205" s="613"/>
      <c r="AT205" s="249"/>
      <c r="AU205" s="249"/>
      <c r="AV205" s="249"/>
      <c r="AW205" s="262">
        <f>IF($AU$6=1,J205,IF($AU$6=2,T205,IF($AU$6=3,AD205,"")))</f>
        <v>0.41310926725000852</v>
      </c>
    </row>
    <row r="206" spans="1:51" ht="17.25" x14ac:dyDescent="0.25">
      <c r="A206" s="27"/>
      <c r="B206" s="608" t="s">
        <v>359</v>
      </c>
      <c r="C206" s="608"/>
      <c r="D206" s="608"/>
      <c r="E206" s="608"/>
      <c r="F206" s="608"/>
      <c r="G206" s="608"/>
      <c r="H206" s="608"/>
      <c r="I206" s="119"/>
      <c r="J206" s="609">
        <f>IF($P$6="Indique Fecha Seguimiento","",IF(Q198=0,0,Q198/$I$198))</f>
        <v>0.20971661415358461</v>
      </c>
      <c r="K206" s="609"/>
      <c r="L206" s="609"/>
      <c r="M206" s="609"/>
      <c r="N206" s="609"/>
      <c r="O206" s="609"/>
      <c r="P206" s="609"/>
      <c r="Q206" s="127"/>
      <c r="R206" s="127"/>
      <c r="S206" s="127"/>
      <c r="T206" s="609">
        <f>IF($Z$6="Indique Fecha Seguimiento","",IF(AA198=0,0,AA198/$I$198))</f>
        <v>0.41702880673645831</v>
      </c>
      <c r="U206" s="609"/>
      <c r="V206" s="609"/>
      <c r="W206" s="609"/>
      <c r="X206" s="609"/>
      <c r="Y206" s="609"/>
      <c r="Z206" s="609"/>
      <c r="AA206" s="27"/>
      <c r="AB206" s="27"/>
      <c r="AC206" s="27"/>
      <c r="AD206" s="609" t="str">
        <f>IF($AJ$6="Indique Fecha Seguimiento","",IF(AK198=0,0,AK198/$I$198))</f>
        <v/>
      </c>
      <c r="AE206" s="609"/>
      <c r="AF206" s="609"/>
      <c r="AG206" s="609"/>
      <c r="AH206" s="609"/>
      <c r="AI206" s="609"/>
      <c r="AJ206" s="609"/>
      <c r="AT206" s="249"/>
      <c r="AU206" s="249"/>
      <c r="AV206" s="249"/>
      <c r="AW206" s="250">
        <f>IF($AU$6=1,J206,IF($AU$6=2,T206,IF($AU$6=3,AD206,"")))</f>
        <v>0.41702880673645831</v>
      </c>
    </row>
  </sheetData>
  <sheetProtection algorithmName="SHA-512" hashValue="l/zU3vaVyCYEaMVHevtnmWoIlEuVHOtRDywivaZvluCSdnkJLXBu3vIvip7SqKbLE8j/SeY15Gn5J+jbedMLlQ==" saltValue="0wY4/cwTHaNrIz/dUGIbgA==" spinCount="100000" sheet="1" objects="1" scenarios="1" formatCells="0" formatRows="0" insertRows="0" selectLockedCells="1"/>
  <mergeCells count="797">
    <mergeCell ref="AU194:AU196"/>
    <mergeCell ref="AV194:AV196"/>
    <mergeCell ref="AW194:AW196"/>
    <mergeCell ref="A194:A196"/>
    <mergeCell ref="B194:B196"/>
    <mergeCell ref="AN194:AN196"/>
    <mergeCell ref="AO194:AO196"/>
    <mergeCell ref="AP194:AP196"/>
    <mergeCell ref="AQ194:AQ196"/>
    <mergeCell ref="AR194:AR196"/>
    <mergeCell ref="AS194:AS196"/>
    <mergeCell ref="AT194:AT196"/>
    <mergeCell ref="AU188:AU190"/>
    <mergeCell ref="AV188:AV190"/>
    <mergeCell ref="AW188:AW190"/>
    <mergeCell ref="A191:A193"/>
    <mergeCell ref="B191:B193"/>
    <mergeCell ref="AN191:AN193"/>
    <mergeCell ref="AO191:AO193"/>
    <mergeCell ref="AP191:AP193"/>
    <mergeCell ref="AQ191:AQ193"/>
    <mergeCell ref="AR191:AR193"/>
    <mergeCell ref="AS191:AS193"/>
    <mergeCell ref="AT191:AT193"/>
    <mergeCell ref="AU191:AU193"/>
    <mergeCell ref="AV191:AV193"/>
    <mergeCell ref="AW191:AW193"/>
    <mergeCell ref="A188:A190"/>
    <mergeCell ref="B188:B190"/>
    <mergeCell ref="AN188:AN190"/>
    <mergeCell ref="AO188:AO190"/>
    <mergeCell ref="AP188:AP190"/>
    <mergeCell ref="AQ188:AQ190"/>
    <mergeCell ref="AR188:AR190"/>
    <mergeCell ref="AS188:AS190"/>
    <mergeCell ref="AT188:AT190"/>
    <mergeCell ref="AU182:AU184"/>
    <mergeCell ref="AV182:AV184"/>
    <mergeCell ref="AW182:AW184"/>
    <mergeCell ref="A185:A187"/>
    <mergeCell ref="B185:B187"/>
    <mergeCell ref="AN185:AN187"/>
    <mergeCell ref="AO185:AO187"/>
    <mergeCell ref="AP185:AP187"/>
    <mergeCell ref="AQ185:AQ187"/>
    <mergeCell ref="AR185:AR187"/>
    <mergeCell ref="AS185:AS187"/>
    <mergeCell ref="AT185:AT187"/>
    <mergeCell ref="AU185:AU187"/>
    <mergeCell ref="AV185:AV187"/>
    <mergeCell ref="AW185:AW187"/>
    <mergeCell ref="A182:A184"/>
    <mergeCell ref="B182:B184"/>
    <mergeCell ref="AN182:AN184"/>
    <mergeCell ref="AO182:AO184"/>
    <mergeCell ref="AP182:AP184"/>
    <mergeCell ref="AQ182:AQ184"/>
    <mergeCell ref="AR182:AR184"/>
    <mergeCell ref="AS182:AS184"/>
    <mergeCell ref="AT182:AT184"/>
    <mergeCell ref="AU176:AU178"/>
    <mergeCell ref="AV176:AV178"/>
    <mergeCell ref="AW176:AW178"/>
    <mergeCell ref="A179:A181"/>
    <mergeCell ref="B179:B181"/>
    <mergeCell ref="AN179:AN181"/>
    <mergeCell ref="AO179:AO181"/>
    <mergeCell ref="AP179:AP181"/>
    <mergeCell ref="AQ179:AQ181"/>
    <mergeCell ref="AR179:AR181"/>
    <mergeCell ref="AS179:AS181"/>
    <mergeCell ref="AT179:AT181"/>
    <mergeCell ref="AU179:AU181"/>
    <mergeCell ref="AV179:AV181"/>
    <mergeCell ref="AW179:AW181"/>
    <mergeCell ref="A176:A178"/>
    <mergeCell ref="B176:B178"/>
    <mergeCell ref="AN176:AN178"/>
    <mergeCell ref="AO176:AO178"/>
    <mergeCell ref="AP176:AP178"/>
    <mergeCell ref="AQ176:AQ178"/>
    <mergeCell ref="AR176:AR178"/>
    <mergeCell ref="AS176:AS178"/>
    <mergeCell ref="AT176:AT178"/>
    <mergeCell ref="AU170:AU172"/>
    <mergeCell ref="AV170:AV172"/>
    <mergeCell ref="AW170:AW172"/>
    <mergeCell ref="A173:A175"/>
    <mergeCell ref="B173:B175"/>
    <mergeCell ref="AN173:AN175"/>
    <mergeCell ref="AO173:AO175"/>
    <mergeCell ref="AP173:AP175"/>
    <mergeCell ref="AQ173:AQ175"/>
    <mergeCell ref="AR173:AR175"/>
    <mergeCell ref="AS173:AS175"/>
    <mergeCell ref="AT173:AT175"/>
    <mergeCell ref="AU173:AU175"/>
    <mergeCell ref="AV173:AV175"/>
    <mergeCell ref="AW173:AW175"/>
    <mergeCell ref="A170:A172"/>
    <mergeCell ref="B170:B172"/>
    <mergeCell ref="AN170:AN172"/>
    <mergeCell ref="AO170:AO172"/>
    <mergeCell ref="AP170:AP172"/>
    <mergeCell ref="AQ170:AQ172"/>
    <mergeCell ref="AR170:AR172"/>
    <mergeCell ref="AS170:AS172"/>
    <mergeCell ref="AT170:AT172"/>
    <mergeCell ref="AU164:AU166"/>
    <mergeCell ref="AV164:AV166"/>
    <mergeCell ref="AW164:AW166"/>
    <mergeCell ref="A167:A169"/>
    <mergeCell ref="B167:B169"/>
    <mergeCell ref="AN167:AN169"/>
    <mergeCell ref="AO167:AO169"/>
    <mergeCell ref="AP167:AP169"/>
    <mergeCell ref="AQ167:AQ169"/>
    <mergeCell ref="AR167:AR169"/>
    <mergeCell ref="AS167:AS169"/>
    <mergeCell ref="AT167:AT169"/>
    <mergeCell ref="AU167:AU169"/>
    <mergeCell ref="AV167:AV169"/>
    <mergeCell ref="AW167:AW169"/>
    <mergeCell ref="A164:A166"/>
    <mergeCell ref="B164:B166"/>
    <mergeCell ref="AN164:AN166"/>
    <mergeCell ref="AO164:AO166"/>
    <mergeCell ref="AP164:AP166"/>
    <mergeCell ref="AQ164:AQ166"/>
    <mergeCell ref="AR164:AR166"/>
    <mergeCell ref="AS164:AS166"/>
    <mergeCell ref="AT164:AT166"/>
    <mergeCell ref="AU158:AU160"/>
    <mergeCell ref="AV158:AV160"/>
    <mergeCell ref="AW158:AW160"/>
    <mergeCell ref="A161:A163"/>
    <mergeCell ref="B161:B163"/>
    <mergeCell ref="AN161:AN163"/>
    <mergeCell ref="AO161:AO163"/>
    <mergeCell ref="AP161:AP163"/>
    <mergeCell ref="AQ161:AQ163"/>
    <mergeCell ref="AR161:AR163"/>
    <mergeCell ref="AS161:AS163"/>
    <mergeCell ref="AT161:AT163"/>
    <mergeCell ref="AU161:AU163"/>
    <mergeCell ref="AV161:AV163"/>
    <mergeCell ref="AW161:AW163"/>
    <mergeCell ref="A158:A160"/>
    <mergeCell ref="B158:B160"/>
    <mergeCell ref="AN158:AN160"/>
    <mergeCell ref="AO158:AO160"/>
    <mergeCell ref="AP158:AP160"/>
    <mergeCell ref="AQ158:AQ160"/>
    <mergeCell ref="AR158:AR160"/>
    <mergeCell ref="AS158:AS160"/>
    <mergeCell ref="AT158:AT160"/>
    <mergeCell ref="AU152:AU154"/>
    <mergeCell ref="AV152:AV154"/>
    <mergeCell ref="AW152:AW154"/>
    <mergeCell ref="A155:A157"/>
    <mergeCell ref="B155:B157"/>
    <mergeCell ref="AN155:AN157"/>
    <mergeCell ref="AO155:AO157"/>
    <mergeCell ref="AP155:AP157"/>
    <mergeCell ref="AQ155:AQ157"/>
    <mergeCell ref="AR155:AR157"/>
    <mergeCell ref="AS155:AS157"/>
    <mergeCell ref="AT155:AT157"/>
    <mergeCell ref="AU155:AU157"/>
    <mergeCell ref="AV155:AV157"/>
    <mergeCell ref="AW155:AW157"/>
    <mergeCell ref="A152:A154"/>
    <mergeCell ref="B152:B154"/>
    <mergeCell ref="AN152:AN154"/>
    <mergeCell ref="AO152:AO154"/>
    <mergeCell ref="AP152:AP154"/>
    <mergeCell ref="AQ152:AQ154"/>
    <mergeCell ref="AR152:AR154"/>
    <mergeCell ref="AS152:AS154"/>
    <mergeCell ref="AT152:AT154"/>
    <mergeCell ref="AU146:AU148"/>
    <mergeCell ref="AV146:AV148"/>
    <mergeCell ref="AW146:AW148"/>
    <mergeCell ref="A149:A151"/>
    <mergeCell ref="B149:B151"/>
    <mergeCell ref="AN149:AN151"/>
    <mergeCell ref="AO149:AO151"/>
    <mergeCell ref="AP149:AP151"/>
    <mergeCell ref="AQ149:AQ151"/>
    <mergeCell ref="AR149:AR151"/>
    <mergeCell ref="AS149:AS151"/>
    <mergeCell ref="AT149:AT151"/>
    <mergeCell ref="AU149:AU151"/>
    <mergeCell ref="AV149:AV151"/>
    <mergeCell ref="AW149:AW151"/>
    <mergeCell ref="A146:A148"/>
    <mergeCell ref="B146:B148"/>
    <mergeCell ref="AN146:AN148"/>
    <mergeCell ref="AO146:AO148"/>
    <mergeCell ref="AP146:AP148"/>
    <mergeCell ref="AQ146:AQ148"/>
    <mergeCell ref="AR146:AR148"/>
    <mergeCell ref="AS146:AS148"/>
    <mergeCell ref="AT146:AT148"/>
    <mergeCell ref="AU140:AU142"/>
    <mergeCell ref="AV140:AV142"/>
    <mergeCell ref="AW140:AW142"/>
    <mergeCell ref="A143:A145"/>
    <mergeCell ref="B143:B145"/>
    <mergeCell ref="AN143:AN145"/>
    <mergeCell ref="AO143:AO145"/>
    <mergeCell ref="AP143:AP145"/>
    <mergeCell ref="AQ143:AQ145"/>
    <mergeCell ref="AR143:AR145"/>
    <mergeCell ref="AS143:AS145"/>
    <mergeCell ref="AT143:AT145"/>
    <mergeCell ref="AU143:AU145"/>
    <mergeCell ref="AV143:AV145"/>
    <mergeCell ref="AW143:AW145"/>
    <mergeCell ref="A140:A142"/>
    <mergeCell ref="B140:B142"/>
    <mergeCell ref="AN140:AN142"/>
    <mergeCell ref="AO140:AO142"/>
    <mergeCell ref="AP140:AP142"/>
    <mergeCell ref="AQ140:AQ142"/>
    <mergeCell ref="AR140:AR142"/>
    <mergeCell ref="AS140:AS142"/>
    <mergeCell ref="AT140:AT142"/>
    <mergeCell ref="AU134:AU136"/>
    <mergeCell ref="AV134:AV136"/>
    <mergeCell ref="AW134:AW136"/>
    <mergeCell ref="A137:A139"/>
    <mergeCell ref="B137:B139"/>
    <mergeCell ref="AN137:AN139"/>
    <mergeCell ref="AO137:AO139"/>
    <mergeCell ref="AP137:AP139"/>
    <mergeCell ref="AQ137:AQ139"/>
    <mergeCell ref="AR137:AR139"/>
    <mergeCell ref="AS137:AS139"/>
    <mergeCell ref="AT137:AT139"/>
    <mergeCell ref="AU137:AU139"/>
    <mergeCell ref="AV137:AV139"/>
    <mergeCell ref="AW137:AW139"/>
    <mergeCell ref="A134:A136"/>
    <mergeCell ref="B134:B136"/>
    <mergeCell ref="AN134:AN136"/>
    <mergeCell ref="AO134:AO136"/>
    <mergeCell ref="AP134:AP136"/>
    <mergeCell ref="AQ134:AQ136"/>
    <mergeCell ref="AR134:AR136"/>
    <mergeCell ref="AS134:AS136"/>
    <mergeCell ref="AT134:AT136"/>
    <mergeCell ref="AU128:AU130"/>
    <mergeCell ref="AV128:AV130"/>
    <mergeCell ref="AW128:AW130"/>
    <mergeCell ref="A131:A133"/>
    <mergeCell ref="B131:B133"/>
    <mergeCell ref="AN131:AN133"/>
    <mergeCell ref="AO131:AO133"/>
    <mergeCell ref="AP131:AP133"/>
    <mergeCell ref="AQ131:AQ133"/>
    <mergeCell ref="AR131:AR133"/>
    <mergeCell ref="AS131:AS133"/>
    <mergeCell ref="AT131:AT133"/>
    <mergeCell ref="AU131:AU133"/>
    <mergeCell ref="AV131:AV133"/>
    <mergeCell ref="AW131:AW133"/>
    <mergeCell ref="A128:A130"/>
    <mergeCell ref="B128:B130"/>
    <mergeCell ref="AN128:AN130"/>
    <mergeCell ref="AO128:AO130"/>
    <mergeCell ref="AP128:AP130"/>
    <mergeCell ref="AQ128:AQ130"/>
    <mergeCell ref="AR128:AR130"/>
    <mergeCell ref="AS128:AS130"/>
    <mergeCell ref="AT128:AT130"/>
    <mergeCell ref="AU122:AU124"/>
    <mergeCell ref="AV122:AV124"/>
    <mergeCell ref="AW122:AW124"/>
    <mergeCell ref="A125:A127"/>
    <mergeCell ref="B125:B127"/>
    <mergeCell ref="AN125:AN127"/>
    <mergeCell ref="AO125:AO127"/>
    <mergeCell ref="AP125:AP127"/>
    <mergeCell ref="AQ125:AQ127"/>
    <mergeCell ref="AR125:AR127"/>
    <mergeCell ref="AS125:AS127"/>
    <mergeCell ref="AT125:AT127"/>
    <mergeCell ref="AU125:AU127"/>
    <mergeCell ref="AV125:AV127"/>
    <mergeCell ref="AW125:AW127"/>
    <mergeCell ref="A122:A124"/>
    <mergeCell ref="B122:B124"/>
    <mergeCell ref="AN122:AN124"/>
    <mergeCell ref="AO122:AO124"/>
    <mergeCell ref="AP122:AP124"/>
    <mergeCell ref="AQ122:AQ124"/>
    <mergeCell ref="AR122:AR124"/>
    <mergeCell ref="AS122:AS124"/>
    <mergeCell ref="AT122:AT124"/>
    <mergeCell ref="AU116:AU118"/>
    <mergeCell ref="AV116:AV118"/>
    <mergeCell ref="AW116:AW118"/>
    <mergeCell ref="A119:A121"/>
    <mergeCell ref="B119:B121"/>
    <mergeCell ref="AN119:AN121"/>
    <mergeCell ref="AO119:AO121"/>
    <mergeCell ref="AP119:AP121"/>
    <mergeCell ref="AQ119:AQ121"/>
    <mergeCell ref="AR119:AR121"/>
    <mergeCell ref="AS119:AS121"/>
    <mergeCell ref="AT119:AT121"/>
    <mergeCell ref="AU119:AU121"/>
    <mergeCell ref="AV119:AV121"/>
    <mergeCell ref="AW119:AW121"/>
    <mergeCell ref="A116:A118"/>
    <mergeCell ref="B116:B118"/>
    <mergeCell ref="AN116:AN118"/>
    <mergeCell ref="AO116:AO118"/>
    <mergeCell ref="AP116:AP118"/>
    <mergeCell ref="AQ116:AQ118"/>
    <mergeCell ref="AR116:AR118"/>
    <mergeCell ref="AS116:AS118"/>
    <mergeCell ref="AT116:AT118"/>
    <mergeCell ref="AU110:AU112"/>
    <mergeCell ref="AV110:AV112"/>
    <mergeCell ref="AW110:AW112"/>
    <mergeCell ref="A113:A115"/>
    <mergeCell ref="B113:B115"/>
    <mergeCell ref="AN113:AN115"/>
    <mergeCell ref="AO113:AO115"/>
    <mergeCell ref="AP113:AP115"/>
    <mergeCell ref="AQ113:AQ115"/>
    <mergeCell ref="AR113:AR115"/>
    <mergeCell ref="AS113:AS115"/>
    <mergeCell ref="AT113:AT115"/>
    <mergeCell ref="AU113:AU115"/>
    <mergeCell ref="AV113:AV115"/>
    <mergeCell ref="AW113:AW115"/>
    <mergeCell ref="A110:A112"/>
    <mergeCell ref="B110:B112"/>
    <mergeCell ref="AN110:AN112"/>
    <mergeCell ref="AO110:AO112"/>
    <mergeCell ref="AP110:AP112"/>
    <mergeCell ref="AQ110:AQ112"/>
    <mergeCell ref="AR110:AR112"/>
    <mergeCell ref="AS110:AS112"/>
    <mergeCell ref="AT110:AT112"/>
    <mergeCell ref="AU87:AU89"/>
    <mergeCell ref="AV87:AV89"/>
    <mergeCell ref="AW87:AW89"/>
    <mergeCell ref="A90:A92"/>
    <mergeCell ref="B90:B92"/>
    <mergeCell ref="AN90:AN92"/>
    <mergeCell ref="AO90:AO92"/>
    <mergeCell ref="AP90:AP92"/>
    <mergeCell ref="AQ90:AQ92"/>
    <mergeCell ref="AR90:AR92"/>
    <mergeCell ref="AS90:AS92"/>
    <mergeCell ref="AT90:AT92"/>
    <mergeCell ref="AU90:AU92"/>
    <mergeCell ref="AV90:AV92"/>
    <mergeCell ref="AW90:AW92"/>
    <mergeCell ref="A87:A89"/>
    <mergeCell ref="B87:B89"/>
    <mergeCell ref="AN87:AN89"/>
    <mergeCell ref="AO87:AO89"/>
    <mergeCell ref="AP87:AP89"/>
    <mergeCell ref="AQ87:AQ89"/>
    <mergeCell ref="AR87:AR89"/>
    <mergeCell ref="AS87:AS89"/>
    <mergeCell ref="AT87:AT89"/>
    <mergeCell ref="AU81:AU83"/>
    <mergeCell ref="AV81:AV83"/>
    <mergeCell ref="AW81:AW83"/>
    <mergeCell ref="A84:A86"/>
    <mergeCell ref="B84:B86"/>
    <mergeCell ref="AN84:AN86"/>
    <mergeCell ref="AO84:AO86"/>
    <mergeCell ref="AP84:AP86"/>
    <mergeCell ref="AQ84:AQ86"/>
    <mergeCell ref="AR84:AR86"/>
    <mergeCell ref="AS84:AS86"/>
    <mergeCell ref="AT84:AT86"/>
    <mergeCell ref="AU84:AU86"/>
    <mergeCell ref="AV84:AV86"/>
    <mergeCell ref="AW84:AW86"/>
    <mergeCell ref="A81:A83"/>
    <mergeCell ref="B81:B83"/>
    <mergeCell ref="AN81:AN83"/>
    <mergeCell ref="AO81:AO83"/>
    <mergeCell ref="AP81:AP83"/>
    <mergeCell ref="AQ81:AQ83"/>
    <mergeCell ref="AR81:AR83"/>
    <mergeCell ref="AS81:AS83"/>
    <mergeCell ref="AT81:AT83"/>
    <mergeCell ref="AU75:AU77"/>
    <mergeCell ref="AV75:AV77"/>
    <mergeCell ref="AW75:AW77"/>
    <mergeCell ref="A78:A80"/>
    <mergeCell ref="B78:B80"/>
    <mergeCell ref="AN78:AN80"/>
    <mergeCell ref="AO78:AO80"/>
    <mergeCell ref="AP78:AP80"/>
    <mergeCell ref="AQ78:AQ80"/>
    <mergeCell ref="AR78:AR80"/>
    <mergeCell ref="AS78:AS80"/>
    <mergeCell ref="AT78:AT80"/>
    <mergeCell ref="AU78:AU80"/>
    <mergeCell ref="AV78:AV80"/>
    <mergeCell ref="AW78:AW80"/>
    <mergeCell ref="A75:A77"/>
    <mergeCell ref="B75:B77"/>
    <mergeCell ref="AN75:AN77"/>
    <mergeCell ref="AO75:AO77"/>
    <mergeCell ref="AP75:AP77"/>
    <mergeCell ref="AQ75:AQ77"/>
    <mergeCell ref="AR75:AR77"/>
    <mergeCell ref="AS75:AS77"/>
    <mergeCell ref="AT75:AT77"/>
    <mergeCell ref="AU69:AU71"/>
    <mergeCell ref="AV69:AV71"/>
    <mergeCell ref="AW69:AW71"/>
    <mergeCell ref="A72:A74"/>
    <mergeCell ref="B72:B74"/>
    <mergeCell ref="AN72:AN74"/>
    <mergeCell ref="AO72:AO74"/>
    <mergeCell ref="AP72:AP74"/>
    <mergeCell ref="AQ72:AQ74"/>
    <mergeCell ref="AR72:AR74"/>
    <mergeCell ref="AS72:AS74"/>
    <mergeCell ref="AT72:AT74"/>
    <mergeCell ref="AU72:AU74"/>
    <mergeCell ref="AV72:AV74"/>
    <mergeCell ref="AW72:AW74"/>
    <mergeCell ref="A69:A71"/>
    <mergeCell ref="B69:B71"/>
    <mergeCell ref="AN69:AN71"/>
    <mergeCell ref="AO69:AO71"/>
    <mergeCell ref="AP69:AP71"/>
    <mergeCell ref="AQ69:AQ71"/>
    <mergeCell ref="AR69:AR71"/>
    <mergeCell ref="AS69:AS71"/>
    <mergeCell ref="AT69:AT71"/>
    <mergeCell ref="AU63:AU65"/>
    <mergeCell ref="AV63:AV65"/>
    <mergeCell ref="AW63:AW65"/>
    <mergeCell ref="A66:A68"/>
    <mergeCell ref="B66:B68"/>
    <mergeCell ref="AN66:AN68"/>
    <mergeCell ref="AO66:AO68"/>
    <mergeCell ref="AP66:AP68"/>
    <mergeCell ref="AQ66:AQ68"/>
    <mergeCell ref="AR66:AR68"/>
    <mergeCell ref="AS66:AS68"/>
    <mergeCell ref="AT66:AT68"/>
    <mergeCell ref="AU66:AU68"/>
    <mergeCell ref="AV66:AV68"/>
    <mergeCell ref="AW66:AW68"/>
    <mergeCell ref="A63:A65"/>
    <mergeCell ref="B63:B65"/>
    <mergeCell ref="AN63:AN65"/>
    <mergeCell ref="AO63:AO65"/>
    <mergeCell ref="AP63:AP65"/>
    <mergeCell ref="AQ63:AQ65"/>
    <mergeCell ref="AR63:AR65"/>
    <mergeCell ref="AS63:AS65"/>
    <mergeCell ref="AT63:AT65"/>
    <mergeCell ref="AU57:AU59"/>
    <mergeCell ref="AV57:AV59"/>
    <mergeCell ref="AW57:AW59"/>
    <mergeCell ref="A60:A62"/>
    <mergeCell ref="B60:B62"/>
    <mergeCell ref="AN60:AN62"/>
    <mergeCell ref="AO60:AO62"/>
    <mergeCell ref="AP60:AP62"/>
    <mergeCell ref="AQ60:AQ62"/>
    <mergeCell ref="AR60:AR62"/>
    <mergeCell ref="AS60:AS62"/>
    <mergeCell ref="AT60:AT62"/>
    <mergeCell ref="AU60:AU62"/>
    <mergeCell ref="AV60:AV62"/>
    <mergeCell ref="AW60:AW62"/>
    <mergeCell ref="A57:A59"/>
    <mergeCell ref="B57:B59"/>
    <mergeCell ref="AN57:AN59"/>
    <mergeCell ref="AO57:AO59"/>
    <mergeCell ref="AP57:AP59"/>
    <mergeCell ref="AQ57:AQ59"/>
    <mergeCell ref="AR57:AR59"/>
    <mergeCell ref="AS57:AS59"/>
    <mergeCell ref="AT57:AT59"/>
    <mergeCell ref="AU51:AU53"/>
    <mergeCell ref="AV51:AV53"/>
    <mergeCell ref="AW51:AW53"/>
    <mergeCell ref="A54:A56"/>
    <mergeCell ref="B54:B56"/>
    <mergeCell ref="AN54:AN56"/>
    <mergeCell ref="AO54:AO56"/>
    <mergeCell ref="AP54:AP56"/>
    <mergeCell ref="AQ54:AQ56"/>
    <mergeCell ref="AR54:AR56"/>
    <mergeCell ref="AS54:AS56"/>
    <mergeCell ref="AT54:AT56"/>
    <mergeCell ref="AU54:AU56"/>
    <mergeCell ref="AV54:AV56"/>
    <mergeCell ref="AW54:AW56"/>
    <mergeCell ref="A51:A53"/>
    <mergeCell ref="B51:B53"/>
    <mergeCell ref="AN51:AN53"/>
    <mergeCell ref="AO51:AO53"/>
    <mergeCell ref="AP51:AP53"/>
    <mergeCell ref="AQ51:AQ53"/>
    <mergeCell ref="AR51:AR53"/>
    <mergeCell ref="AS51:AS53"/>
    <mergeCell ref="AT51:AT53"/>
    <mergeCell ref="AU45:AU47"/>
    <mergeCell ref="AV45:AV47"/>
    <mergeCell ref="AW45:AW47"/>
    <mergeCell ref="A48:A50"/>
    <mergeCell ref="B48:B50"/>
    <mergeCell ref="AN48:AN50"/>
    <mergeCell ref="AO48:AO50"/>
    <mergeCell ref="AP48:AP50"/>
    <mergeCell ref="AQ48:AQ50"/>
    <mergeCell ref="AR48:AR50"/>
    <mergeCell ref="AS48:AS50"/>
    <mergeCell ref="AT48:AT50"/>
    <mergeCell ref="AU48:AU50"/>
    <mergeCell ref="AV48:AV50"/>
    <mergeCell ref="AW48:AW50"/>
    <mergeCell ref="A45:A47"/>
    <mergeCell ref="B45:B47"/>
    <mergeCell ref="AN45:AN47"/>
    <mergeCell ref="AO45:AO47"/>
    <mergeCell ref="AP45:AP47"/>
    <mergeCell ref="AQ45:AQ47"/>
    <mergeCell ref="AR45:AR47"/>
    <mergeCell ref="AS45:AS47"/>
    <mergeCell ref="AT45:AT47"/>
    <mergeCell ref="AU39:AU41"/>
    <mergeCell ref="AV39:AV41"/>
    <mergeCell ref="AW39:AW41"/>
    <mergeCell ref="A42:A44"/>
    <mergeCell ref="B42:B44"/>
    <mergeCell ref="AN42:AN44"/>
    <mergeCell ref="AO42:AO44"/>
    <mergeCell ref="AP42:AP44"/>
    <mergeCell ref="AQ42:AQ44"/>
    <mergeCell ref="AR42:AR44"/>
    <mergeCell ref="AS42:AS44"/>
    <mergeCell ref="AT42:AT44"/>
    <mergeCell ref="AU42:AU44"/>
    <mergeCell ref="AV42:AV44"/>
    <mergeCell ref="AW42:AW44"/>
    <mergeCell ref="A39:A41"/>
    <mergeCell ref="B39:B41"/>
    <mergeCell ref="AN39:AN41"/>
    <mergeCell ref="AO39:AO41"/>
    <mergeCell ref="AP39:AP41"/>
    <mergeCell ref="AQ39:AQ41"/>
    <mergeCell ref="AR39:AR41"/>
    <mergeCell ref="AS39:AS41"/>
    <mergeCell ref="AT39:AT41"/>
    <mergeCell ref="B206:H206"/>
    <mergeCell ref="J206:P206"/>
    <mergeCell ref="T206:Z206"/>
    <mergeCell ref="AD206:AJ206"/>
    <mergeCell ref="B202:H202"/>
    <mergeCell ref="J202:P202"/>
    <mergeCell ref="T202:Z202"/>
    <mergeCell ref="AD202:AJ202"/>
    <mergeCell ref="B203:H203"/>
    <mergeCell ref="J203:P203"/>
    <mergeCell ref="T203:Z203"/>
    <mergeCell ref="AD203:AJ203"/>
    <mergeCell ref="B205:H205"/>
    <mergeCell ref="J205:P205"/>
    <mergeCell ref="T205:Z205"/>
    <mergeCell ref="AD205:AJ205"/>
    <mergeCell ref="AU104:AU106"/>
    <mergeCell ref="AV104:AV106"/>
    <mergeCell ref="AW104:AW106"/>
    <mergeCell ref="A107:A109"/>
    <mergeCell ref="B107:B109"/>
    <mergeCell ref="AN107:AN109"/>
    <mergeCell ref="AO107:AO109"/>
    <mergeCell ref="AP107:AP109"/>
    <mergeCell ref="AQ107:AQ109"/>
    <mergeCell ref="AR107:AR109"/>
    <mergeCell ref="AS107:AS109"/>
    <mergeCell ref="AT107:AT109"/>
    <mergeCell ref="AU107:AU109"/>
    <mergeCell ref="AV107:AV109"/>
    <mergeCell ref="AW107:AW109"/>
    <mergeCell ref="A104:A106"/>
    <mergeCell ref="B104:B106"/>
    <mergeCell ref="AN104:AN106"/>
    <mergeCell ref="AO104:AO106"/>
    <mergeCell ref="AP104:AP106"/>
    <mergeCell ref="AQ104:AQ106"/>
    <mergeCell ref="AR104:AR106"/>
    <mergeCell ref="AS104:AS106"/>
    <mergeCell ref="AT104:AT106"/>
    <mergeCell ref="AU98:AU100"/>
    <mergeCell ref="AV98:AV100"/>
    <mergeCell ref="AW98:AW100"/>
    <mergeCell ref="A101:A103"/>
    <mergeCell ref="B101:B103"/>
    <mergeCell ref="AN101:AN103"/>
    <mergeCell ref="AO101:AO103"/>
    <mergeCell ref="AP101:AP103"/>
    <mergeCell ref="AQ101:AQ103"/>
    <mergeCell ref="AR101:AR103"/>
    <mergeCell ref="AS101:AS103"/>
    <mergeCell ref="AT101:AT103"/>
    <mergeCell ref="AU101:AU103"/>
    <mergeCell ref="AV101:AV103"/>
    <mergeCell ref="AW101:AW103"/>
    <mergeCell ref="A98:A100"/>
    <mergeCell ref="B98:B100"/>
    <mergeCell ref="AN98:AN100"/>
    <mergeCell ref="AO98:AO100"/>
    <mergeCell ref="AP98:AP100"/>
    <mergeCell ref="AQ98:AQ100"/>
    <mergeCell ref="AR98:AR100"/>
    <mergeCell ref="AS98:AS100"/>
    <mergeCell ref="AT98:AT100"/>
    <mergeCell ref="AO95:AO97"/>
    <mergeCell ref="AP95:AP97"/>
    <mergeCell ref="AQ95:AQ97"/>
    <mergeCell ref="AR95:AR97"/>
    <mergeCell ref="AS95:AS97"/>
    <mergeCell ref="AT95:AT97"/>
    <mergeCell ref="AU95:AU97"/>
    <mergeCell ref="AV95:AV97"/>
    <mergeCell ref="AW95:AW97"/>
    <mergeCell ref="A5:H5"/>
    <mergeCell ref="J5:AW5"/>
    <mergeCell ref="AD199:AJ199"/>
    <mergeCell ref="AD200:AJ200"/>
    <mergeCell ref="AD201:AJ201"/>
    <mergeCell ref="AW6:AW8"/>
    <mergeCell ref="AF1:AW1"/>
    <mergeCell ref="AF2:AW2"/>
    <mergeCell ref="AF3:AW3"/>
    <mergeCell ref="AR9:AR11"/>
    <mergeCell ref="AS9:AS11"/>
    <mergeCell ref="AU9:AU11"/>
    <mergeCell ref="AP36:AP38"/>
    <mergeCell ref="AQ36:AQ38"/>
    <mergeCell ref="AO30:AO32"/>
    <mergeCell ref="AP30:AP32"/>
    <mergeCell ref="AQ30:AQ32"/>
    <mergeCell ref="AO33:AO35"/>
    <mergeCell ref="AP33:AP35"/>
    <mergeCell ref="AQ33:AQ35"/>
    <mergeCell ref="AW9:AW11"/>
    <mergeCell ref="AW12:AW14"/>
    <mergeCell ref="AW15:AW17"/>
    <mergeCell ref="AW18:AW20"/>
    <mergeCell ref="AW21:AW23"/>
    <mergeCell ref="AW24:AW26"/>
    <mergeCell ref="AW27:AW29"/>
    <mergeCell ref="AW30:AW32"/>
    <mergeCell ref="AW33:AW35"/>
    <mergeCell ref="AW36:AW38"/>
    <mergeCell ref="AP24:AP26"/>
    <mergeCell ref="AQ24:AQ26"/>
    <mergeCell ref="AO27:AO29"/>
    <mergeCell ref="AP27:AP29"/>
    <mergeCell ref="AQ27:AQ29"/>
    <mergeCell ref="AU27:AU29"/>
    <mergeCell ref="AV27:AV29"/>
    <mergeCell ref="AR36:AR38"/>
    <mergeCell ref="AS36:AS38"/>
    <mergeCell ref="AT36:AT38"/>
    <mergeCell ref="AU36:AU38"/>
    <mergeCell ref="AV36:AV38"/>
    <mergeCell ref="AS30:AS32"/>
    <mergeCell ref="AT30:AT32"/>
    <mergeCell ref="AU30:AU32"/>
    <mergeCell ref="AV30:AV32"/>
    <mergeCell ref="AR33:AR35"/>
    <mergeCell ref="AS33:AS35"/>
    <mergeCell ref="AO24:AO26"/>
    <mergeCell ref="AO36:AO38"/>
    <mergeCell ref="AG7:AJ7"/>
    <mergeCell ref="AP9:AP11"/>
    <mergeCell ref="AQ9:AQ11"/>
    <mergeCell ref="AO12:AO14"/>
    <mergeCell ref="AP12:AP14"/>
    <mergeCell ref="AQ12:AQ14"/>
    <mergeCell ref="AO15:AO17"/>
    <mergeCell ref="AP15:AP17"/>
    <mergeCell ref="AQ15:AQ17"/>
    <mergeCell ref="AO18:AO20"/>
    <mergeCell ref="AP18:AP20"/>
    <mergeCell ref="AQ18:AQ20"/>
    <mergeCell ref="A30:A32"/>
    <mergeCell ref="B30:B32"/>
    <mergeCell ref="A33:A35"/>
    <mergeCell ref="B33:B35"/>
    <mergeCell ref="AF6:AH6"/>
    <mergeCell ref="AO21:AO23"/>
    <mergeCell ref="AP21:AP23"/>
    <mergeCell ref="AQ21:AQ23"/>
    <mergeCell ref="A36:A38"/>
    <mergeCell ref="B36:B38"/>
    <mergeCell ref="M7:P7"/>
    <mergeCell ref="A27:A29"/>
    <mergeCell ref="B27:B29"/>
    <mergeCell ref="AN9:AN11"/>
    <mergeCell ref="AO9:AO11"/>
    <mergeCell ref="AN12:AN14"/>
    <mergeCell ref="AN15:AN17"/>
    <mergeCell ref="AN33:AN35"/>
    <mergeCell ref="AN36:AN38"/>
    <mergeCell ref="AN18:AN20"/>
    <mergeCell ref="AN21:AN23"/>
    <mergeCell ref="AN24:AN26"/>
    <mergeCell ref="AN27:AN29"/>
    <mergeCell ref="AN30:AN32"/>
    <mergeCell ref="A1:B3"/>
    <mergeCell ref="C1:AE3"/>
    <mergeCell ref="A21:A23"/>
    <mergeCell ref="B21:B23"/>
    <mergeCell ref="A24:A26"/>
    <mergeCell ref="B24:B26"/>
    <mergeCell ref="A12:A14"/>
    <mergeCell ref="B12:B14"/>
    <mergeCell ref="A15:A17"/>
    <mergeCell ref="B15:B17"/>
    <mergeCell ref="A18:A20"/>
    <mergeCell ref="B18:B20"/>
    <mergeCell ref="A9:A11"/>
    <mergeCell ref="B9:B11"/>
    <mergeCell ref="A6:B6"/>
    <mergeCell ref="A7:B7"/>
    <mergeCell ref="T6:U6"/>
    <mergeCell ref="AD6:AE6"/>
    <mergeCell ref="AD7:AF7"/>
    <mergeCell ref="L6:N6"/>
    <mergeCell ref="E6:G6"/>
    <mergeCell ref="C6:D6"/>
    <mergeCell ref="J6:K6"/>
    <mergeCell ref="V6:X6"/>
    <mergeCell ref="B200:H200"/>
    <mergeCell ref="B201:H201"/>
    <mergeCell ref="W7:Z7"/>
    <mergeCell ref="C7:I7"/>
    <mergeCell ref="J7:L7"/>
    <mergeCell ref="J199:P199"/>
    <mergeCell ref="J200:P200"/>
    <mergeCell ref="J201:P201"/>
    <mergeCell ref="T199:Z199"/>
    <mergeCell ref="T200:Z200"/>
    <mergeCell ref="T201:Z201"/>
    <mergeCell ref="T7:V7"/>
    <mergeCell ref="A94:AW94"/>
    <mergeCell ref="A95:A97"/>
    <mergeCell ref="B95:B97"/>
    <mergeCell ref="AN95:AN97"/>
    <mergeCell ref="AV9:AV11"/>
    <mergeCell ref="AR12:AR14"/>
    <mergeCell ref="AS12:AS14"/>
    <mergeCell ref="AT12:AT14"/>
    <mergeCell ref="AU12:AU14"/>
    <mergeCell ref="AV12:AV14"/>
    <mergeCell ref="AR15:AR17"/>
    <mergeCell ref="AS15:AS17"/>
    <mergeCell ref="AT15:AT17"/>
    <mergeCell ref="AU15:AU17"/>
    <mergeCell ref="AV15:AV17"/>
    <mergeCell ref="AT9:AT11"/>
    <mergeCell ref="AU18:AU20"/>
    <mergeCell ref="AV18:AV20"/>
    <mergeCell ref="AR21:AR23"/>
    <mergeCell ref="AS21:AS23"/>
    <mergeCell ref="AT21:AT23"/>
    <mergeCell ref="AU21:AU23"/>
    <mergeCell ref="AV21:AV23"/>
    <mergeCell ref="AR18:AR20"/>
    <mergeCell ref="AS18:AS20"/>
    <mergeCell ref="AT18:AT20"/>
    <mergeCell ref="AU33:AU35"/>
    <mergeCell ref="AV33:AV35"/>
    <mergeCell ref="AR30:AR32"/>
    <mergeCell ref="AR24:AR26"/>
    <mergeCell ref="AS24:AS26"/>
    <mergeCell ref="AT24:AT26"/>
    <mergeCell ref="AU24:AU26"/>
    <mergeCell ref="AV24:AV26"/>
    <mergeCell ref="AR27:AR29"/>
    <mergeCell ref="AS27:AS29"/>
    <mergeCell ref="AT27:AT29"/>
    <mergeCell ref="AT33:AT35"/>
  </mergeCells>
  <conditionalFormatting sqref="P6">
    <cfRule type="containsText" dxfId="269" priority="76" operator="containsText" text="Indique Fecha Seguimiento">
      <formula>NOT(ISERROR(SEARCH("Indique Fecha Seguimiento",P6)))</formula>
    </cfRule>
  </conditionalFormatting>
  <conditionalFormatting sqref="Z6">
    <cfRule type="containsText" dxfId="268" priority="75" operator="containsText" text="Indique Fecha Seguimiento">
      <formula>NOT(ISERROR(SEARCH("Indique Fecha Seguimiento",Z6)))</formula>
    </cfRule>
  </conditionalFormatting>
  <conditionalFormatting sqref="AJ6">
    <cfRule type="containsText" dxfId="267" priority="74" operator="containsText" text="Indique Fecha Seguimiento">
      <formula>NOT(ISERROR(SEARCH("Indique Fecha Seguimiento",AJ6)))</formula>
    </cfRule>
  </conditionalFormatting>
  <conditionalFormatting sqref="J6:K6">
    <cfRule type="containsText" dxfId="266" priority="72" operator="containsText" text="No Aplica">
      <formula>NOT(ISERROR(SEARCH("No Aplica",J6)))</formula>
    </cfRule>
  </conditionalFormatting>
  <conditionalFormatting sqref="T6:U6">
    <cfRule type="containsText" dxfId="265" priority="71" operator="containsText" text="No Aplica">
      <formula>NOT(ISERROR(SEARCH("No Aplica",T6)))</formula>
    </cfRule>
  </conditionalFormatting>
  <conditionalFormatting sqref="J197 AD197 J9:J93 T9:T92 AD9:AD92">
    <cfRule type="containsText" dxfId="264" priority="63" operator="containsText" text="A ">
      <formula>NOT(ISERROR(SEARCH("A ",J9)))</formula>
    </cfRule>
    <cfRule type="containsText" dxfId="263" priority="64" operator="containsText" text="NA">
      <formula>NOT(ISERROR(SEARCH("NA",J9)))</formula>
    </cfRule>
  </conditionalFormatting>
  <conditionalFormatting sqref="AD6:AE6">
    <cfRule type="containsText" dxfId="262" priority="57" operator="containsText" text="No Aplica">
      <formula>NOT(ISERROR(SEARCH("No Aplica",AD6)))</formula>
    </cfRule>
  </conditionalFormatting>
  <conditionalFormatting sqref="AD93 T93">
    <cfRule type="containsText" dxfId="261" priority="53" operator="containsText" text="A ">
      <formula>NOT(ISERROR(SEARCH("A ",T93)))</formula>
    </cfRule>
    <cfRule type="containsText" dxfId="260" priority="54" operator="containsText" text="NA">
      <formula>NOT(ISERROR(SEARCH("NA",T93)))</formula>
    </cfRule>
  </conditionalFormatting>
  <conditionalFormatting sqref="J198 AD198">
    <cfRule type="containsText" dxfId="259" priority="43" operator="containsText" text="A ">
      <formula>NOT(ISERROR(SEARCH("A ",J198)))</formula>
    </cfRule>
    <cfRule type="containsText" dxfId="258" priority="44" operator="containsText" text="NA">
      <formula>NOT(ISERROR(SEARCH("NA",J198)))</formula>
    </cfRule>
  </conditionalFormatting>
  <conditionalFormatting sqref="O9:O92">
    <cfRule type="containsText" dxfId="257" priority="40" operator="containsText" text="NO">
      <formula>NOT(ISERROR(SEARCH("NO",O9)))</formula>
    </cfRule>
    <cfRule type="containsText" dxfId="256" priority="41" operator="containsText" text="SI">
      <formula>NOT(ISERROR(SEARCH("SI",O9)))</formula>
    </cfRule>
    <cfRule type="containsText" dxfId="255" priority="42" operator="containsText" text="NA">
      <formula>NOT(ISERROR(SEARCH("NA",O9)))</formula>
    </cfRule>
  </conditionalFormatting>
  <conditionalFormatting sqref="O95">
    <cfRule type="containsText" dxfId="254" priority="37" operator="containsText" text="NO">
      <formula>NOT(ISERROR(SEARCH("NO",O95)))</formula>
    </cfRule>
    <cfRule type="containsText" dxfId="253" priority="38" operator="containsText" text="SI">
      <formula>NOT(ISERROR(SEARCH("SI",O95)))</formula>
    </cfRule>
    <cfRule type="containsText" dxfId="252" priority="39" operator="containsText" text="NA">
      <formula>NOT(ISERROR(SEARCH("NA",O95)))</formula>
    </cfRule>
  </conditionalFormatting>
  <conditionalFormatting sqref="O96:O196">
    <cfRule type="containsText" dxfId="251" priority="34" operator="containsText" text="NO">
      <formula>NOT(ISERROR(SEARCH("NO",O96)))</formula>
    </cfRule>
    <cfRule type="containsText" dxfId="250" priority="35" operator="containsText" text="SI">
      <formula>NOT(ISERROR(SEARCH("SI",O96)))</formula>
    </cfRule>
    <cfRule type="containsText" dxfId="249" priority="36" operator="containsText" text="NA">
      <formula>NOT(ISERROR(SEARCH("NA",O96)))</formula>
    </cfRule>
  </conditionalFormatting>
  <conditionalFormatting sqref="Y9:Y92">
    <cfRule type="containsText" dxfId="248" priority="31" operator="containsText" text="NO">
      <formula>NOT(ISERROR(SEARCH("NO",Y9)))</formula>
    </cfRule>
    <cfRule type="containsText" dxfId="247" priority="32" operator="containsText" text="SI">
      <formula>NOT(ISERROR(SEARCH("SI",Y9)))</formula>
    </cfRule>
    <cfRule type="containsText" dxfId="246" priority="33" operator="containsText" text="NA">
      <formula>NOT(ISERROR(SEARCH("NA",Y9)))</formula>
    </cfRule>
  </conditionalFormatting>
  <conditionalFormatting sqref="Y95:Y196">
    <cfRule type="containsText" dxfId="245" priority="22" operator="containsText" text="NO">
      <formula>NOT(ISERROR(SEARCH("NO",Y95)))</formula>
    </cfRule>
    <cfRule type="containsText" dxfId="244" priority="23" operator="containsText" text="SI">
      <formula>NOT(ISERROR(SEARCH("SI",Y95)))</formula>
    </cfRule>
    <cfRule type="containsText" dxfId="243" priority="24" operator="containsText" text="NA">
      <formula>NOT(ISERROR(SEARCH("NA",Y95)))</formula>
    </cfRule>
  </conditionalFormatting>
  <conditionalFormatting sqref="AI9:AI92">
    <cfRule type="containsText" dxfId="242" priority="19" operator="containsText" text="NO">
      <formula>NOT(ISERROR(SEARCH("NO",AI9)))</formula>
    </cfRule>
    <cfRule type="containsText" dxfId="241" priority="20" operator="containsText" text="SI">
      <formula>NOT(ISERROR(SEARCH("SI",AI9)))</formula>
    </cfRule>
    <cfRule type="containsText" dxfId="240" priority="21" operator="containsText" text="NA">
      <formula>NOT(ISERROR(SEARCH("NA",AI9)))</formula>
    </cfRule>
  </conditionalFormatting>
  <conditionalFormatting sqref="AI95:AI196">
    <cfRule type="containsText" dxfId="239" priority="13" operator="containsText" text="NO">
      <formula>NOT(ISERROR(SEARCH("NO",AI95)))</formula>
    </cfRule>
    <cfRule type="containsText" dxfId="238" priority="14" operator="containsText" text="SI">
      <formula>NOT(ISERROR(SEARCH("SI",AI95)))</formula>
    </cfRule>
    <cfRule type="containsText" dxfId="237" priority="15" operator="containsText" text="NA">
      <formula>NOT(ISERROR(SEARCH("NA",AI95)))</formula>
    </cfRule>
  </conditionalFormatting>
  <conditionalFormatting sqref="J95:J196">
    <cfRule type="containsText" dxfId="236" priority="5" operator="containsText" text="A ">
      <formula>NOT(ISERROR(SEARCH("A ",J95)))</formula>
    </cfRule>
    <cfRule type="containsText" dxfId="235" priority="6" operator="containsText" text="NA">
      <formula>NOT(ISERROR(SEARCH("NA",J95)))</formula>
    </cfRule>
  </conditionalFormatting>
  <conditionalFormatting sqref="T95:T198">
    <cfRule type="containsText" dxfId="234" priority="3" operator="containsText" text="A ">
      <formula>NOT(ISERROR(SEARCH("A ",T95)))</formula>
    </cfRule>
    <cfRule type="containsText" dxfId="233" priority="4" operator="containsText" text="NA">
      <formula>NOT(ISERROR(SEARCH("NA",T95)))</formula>
    </cfRule>
  </conditionalFormatting>
  <conditionalFormatting sqref="AD95:AD196">
    <cfRule type="containsText" dxfId="232" priority="1" operator="containsText" text="A ">
      <formula>NOT(ISERROR(SEARCH("A ",AD95)))</formula>
    </cfRule>
    <cfRule type="containsText" dxfId="231" priority="2" operator="containsText" text="NA">
      <formula>NOT(ISERROR(SEARCH("NA",AD95)))</formula>
    </cfRule>
  </conditionalFormatting>
  <dataValidations count="14">
    <dataValidation type="list" allowBlank="1" showInputMessage="1" showErrorMessage="1" sqref="Z6">
      <formula1>segdos</formula1>
    </dataValidation>
    <dataValidation type="list" allowBlank="1" showInputMessage="1" showErrorMessage="1" sqref="AJ6">
      <formula1>segtres</formula1>
    </dataValidation>
    <dataValidation type="textLength" operator="lessThanOrEqual" allowBlank="1" showInputMessage="1" showErrorMessage="1" errorTitle="Indique Fecha de Seguimiento" error="Defina fecha del 1er Cuatrimestre._x000a_Seleccione de la lista desplegable del campo." sqref="K9:K92 K95:K196">
      <formula1>IF($P$6="Indique Fecha Seguimiento",0,5)</formula1>
    </dataValidation>
    <dataValidation type="textLength" operator="lessThanOrEqual" showInputMessage="1" showErrorMessage="1" errorTitle="Indique Fecha de Seguimiento" error="Defina fecha del 1er Cuatrimestre._x000a_Seleccione de la lista desplegable del campo._x000a_Maximo 300 Caracteres" sqref="L9:L92 L95:L196">
      <formula1>IF($P$6="Indique Fecha Seguimiento",0,300)</formula1>
    </dataValidation>
    <dataValidation type="textLength" operator="lessThanOrEqual" allowBlank="1" showInputMessage="1" showErrorMessage="1" error="Maximo 100 caracteres, incluyendo espacios" sqref="AJ93 AJ197:AJ198">
      <formula1>100</formula1>
    </dataValidation>
    <dataValidation type="textLength" operator="lessThanOrEqual" allowBlank="1" showInputMessage="1" showErrorMessage="1" error="indique fecha de seguimiento" sqref="M9:M92 M95:M196">
      <formula1>IF($P$6="Indique Fecha Seguimiento",0,5)</formula1>
    </dataValidation>
    <dataValidation type="textLength" operator="lessThanOrEqual" allowBlank="1" showInputMessage="1" showErrorMessage="1" error="Maximo 100 caracteres, incluyendo espacios" sqref="P9:P92 P95:P196">
      <formula1>IF($P$6="Indique Fecha Seguimiento",0,100)</formula1>
    </dataValidation>
    <dataValidation type="textLength" operator="lessThanOrEqual" allowBlank="1" showInputMessage="1" showErrorMessage="1" error="Indique fecha de seguimiento" sqref="AG9:AG92 AG95:AG196">
      <formula1>IF($AJ$6="Indique Fecha Seguimiento",0,5)</formula1>
    </dataValidation>
    <dataValidation type="list" allowBlank="1" showInputMessage="1" showErrorMessage="1" sqref="O9:O92 O95:O196">
      <formula1>IF(AND(H9&gt;=$P$6,N9=1),si,IF(AND(H9&lt;$P$6,N9=1),exis,IF(AND(H9&gt;$P$6,N9&lt;1),na,IF(AND(H9&lt;=$P$6,N9&lt;1),no))))</formula1>
    </dataValidation>
    <dataValidation type="list" allowBlank="1" showInputMessage="1" showErrorMessage="1" sqref="Y9:Y92 Y95:Y196">
      <formula1>IF(AND($H9&gt;=$Z$6,X9=1),si,IF(AND($H9&lt;$Z$6,X9=1),exis,IF(AND($H9&gt;$Z$6,X9&lt;1),na,IF(AND($H9&lt;=$Z$6,X9&lt;1),no))))</formula1>
    </dataValidation>
    <dataValidation type="list" allowBlank="1" showInputMessage="1" showErrorMessage="1" sqref="AI9:AI92 AI95:AI196">
      <formula1>IF(AND($H9&gt;=$AJ$6,AH9=1),si,IF(AND($H9&lt;$AJ$6,AH9=1),exis,IF(AND($H9&gt;$AJ$6,AH9&lt;1),na,IF(AND($H9&lt;=$AJ$6,AH9&lt;1),no))))</formula1>
    </dataValidation>
    <dataValidation type="textLength" operator="lessThanOrEqual" allowBlank="1" showInputMessage="1" showErrorMessage="1" error="Indique fecha de seguimiento" sqref="W9:W92 W95:W196">
      <formula1>IF($Z$6="Indique Fecha Seguimiento",0,5)</formula1>
    </dataValidation>
    <dataValidation type="textLength" operator="lessThanOrEqual" allowBlank="1" showInputMessage="1" showErrorMessage="1" error="Maximo 100 caracteres, incluyendo espacios" sqref="Z9:Z92 Z95:Z196">
      <formula1>IF($Z$6="Indique Fecha Seguimiento",0,100)</formula1>
    </dataValidation>
    <dataValidation type="textLength" operator="lessThanOrEqual" allowBlank="1" showInputMessage="1" showErrorMessage="1" error="Maximo 100 caracteres, incluyendo espacios" sqref="AJ9:AJ92 AJ95:AJ196">
      <formula1>IF($AJ$6="Indique Fecha Seguimiento",0,100)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IF(J6="No Aplica",Datos!$S$2,seguno)</xm:f>
          </x14:formula1>
          <xm:sqref>P6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7030A0"/>
  </sheetPr>
  <dimension ref="A1:E15"/>
  <sheetViews>
    <sheetView view="pageBreakPreview" zoomScaleNormal="100" zoomScaleSheetLayoutView="100" workbookViewId="0">
      <selection activeCell="A15" sqref="A15:C15"/>
    </sheetView>
  </sheetViews>
  <sheetFormatPr baseColWidth="10" defaultRowHeight="15" x14ac:dyDescent="0.2"/>
  <cols>
    <col min="1" max="1" width="3.88671875" customWidth="1"/>
    <col min="2" max="2" width="14.44140625" customWidth="1"/>
    <col min="3" max="3" width="42.44140625" customWidth="1"/>
    <col min="4" max="5" width="16.21875" customWidth="1"/>
  </cols>
  <sheetData>
    <row r="1" spans="1:5" x14ac:dyDescent="0.2">
      <c r="A1" s="437" t="s">
        <v>145</v>
      </c>
      <c r="B1" s="437"/>
      <c r="C1" s="507" t="s">
        <v>152</v>
      </c>
      <c r="D1" s="521" t="s">
        <v>71</v>
      </c>
      <c r="E1" s="521"/>
    </row>
    <row r="2" spans="1:5" ht="21.75" customHeight="1" x14ac:dyDescent="0.2">
      <c r="A2" s="437"/>
      <c r="B2" s="437"/>
      <c r="C2" s="510"/>
      <c r="D2" s="521" t="s">
        <v>107</v>
      </c>
      <c r="E2" s="521"/>
    </row>
    <row r="3" spans="1:5" ht="44.25" customHeight="1" x14ac:dyDescent="0.2">
      <c r="A3" s="437"/>
      <c r="B3" s="437"/>
      <c r="C3" s="513"/>
      <c r="D3" s="521" t="s">
        <v>408</v>
      </c>
      <c r="E3" s="521"/>
    </row>
    <row r="4" spans="1:5" ht="3.75" customHeight="1" x14ac:dyDescent="0.2">
      <c r="A4" s="33"/>
      <c r="B4" s="34"/>
      <c r="C4" s="35"/>
      <c r="D4" s="49"/>
      <c r="E4" s="49"/>
    </row>
    <row r="5" spans="1:5" ht="15.75" x14ac:dyDescent="0.2">
      <c r="A5" s="616" t="s">
        <v>210</v>
      </c>
      <c r="B5" s="616"/>
      <c r="C5" s="616"/>
      <c r="D5" s="617"/>
      <c r="E5" s="617"/>
    </row>
    <row r="6" spans="1:5" ht="15.75" x14ac:dyDescent="0.2">
      <c r="A6" s="618"/>
      <c r="B6" s="618"/>
      <c r="C6" s="618"/>
      <c r="D6" s="263" t="s">
        <v>363</v>
      </c>
      <c r="E6" s="264" t="s">
        <v>364</v>
      </c>
    </row>
    <row r="7" spans="1:5" ht="23.25" customHeight="1" x14ac:dyDescent="0.2">
      <c r="A7" s="615" t="s">
        <v>209</v>
      </c>
      <c r="B7" s="615"/>
      <c r="C7" s="615"/>
      <c r="D7" s="267" t="s">
        <v>365</v>
      </c>
      <c r="E7" s="312" t="s">
        <v>365</v>
      </c>
    </row>
    <row r="8" spans="1:5" ht="23.25" customHeight="1" x14ac:dyDescent="0.2">
      <c r="A8" s="615" t="s">
        <v>207</v>
      </c>
      <c r="B8" s="615"/>
      <c r="C8" s="615"/>
      <c r="D8" s="267" t="s">
        <v>365</v>
      </c>
      <c r="E8" s="312" t="s">
        <v>365</v>
      </c>
    </row>
    <row r="9" spans="1:5" ht="23.25" customHeight="1" x14ac:dyDescent="0.2">
      <c r="A9" s="615" t="s">
        <v>208</v>
      </c>
      <c r="B9" s="615"/>
      <c r="C9" s="615"/>
      <c r="D9" s="267" t="s">
        <v>365</v>
      </c>
      <c r="E9" s="312" t="s">
        <v>365</v>
      </c>
    </row>
    <row r="10" spans="1:5" ht="23.25" customHeight="1" x14ac:dyDescent="0.2">
      <c r="A10" s="615" t="s">
        <v>295</v>
      </c>
      <c r="B10" s="615"/>
      <c r="C10" s="615"/>
      <c r="D10" s="267" t="s">
        <v>365</v>
      </c>
      <c r="E10" s="312" t="s">
        <v>365</v>
      </c>
    </row>
    <row r="11" spans="1:5" ht="23.25" customHeight="1" x14ac:dyDescent="0.2">
      <c r="A11" s="615" t="s">
        <v>311</v>
      </c>
      <c r="B11" s="615"/>
      <c r="C11" s="615"/>
      <c r="D11" s="267" t="s">
        <v>365</v>
      </c>
      <c r="E11" s="312" t="s">
        <v>365</v>
      </c>
    </row>
    <row r="12" spans="1:5" ht="23.25" customHeight="1" x14ac:dyDescent="0.2">
      <c r="A12" s="615" t="s">
        <v>370</v>
      </c>
      <c r="B12" s="615"/>
      <c r="C12" s="615"/>
      <c r="D12" s="267" t="s">
        <v>365</v>
      </c>
      <c r="E12" s="312" t="s">
        <v>365</v>
      </c>
    </row>
    <row r="13" spans="1:5" ht="23.25" customHeight="1" x14ac:dyDescent="0.2">
      <c r="A13" s="615" t="s">
        <v>386</v>
      </c>
      <c r="B13" s="615"/>
      <c r="C13" s="615"/>
      <c r="D13" s="614" t="s">
        <v>365</v>
      </c>
      <c r="E13" s="614"/>
    </row>
    <row r="14" spans="1:5" ht="23.25" customHeight="1" x14ac:dyDescent="0.2">
      <c r="A14" s="615"/>
      <c r="B14" s="615"/>
      <c r="C14" s="615"/>
      <c r="D14" s="265"/>
      <c r="E14" s="266"/>
    </row>
    <row r="15" spans="1:5" ht="23.25" customHeight="1" x14ac:dyDescent="0.2">
      <c r="A15" s="615"/>
      <c r="B15" s="615"/>
      <c r="C15" s="615"/>
      <c r="D15" s="265"/>
      <c r="E15" s="266"/>
    </row>
  </sheetData>
  <sheetProtection algorithmName="SHA-512" hashValue="wqoQ0MhnauYzspPNShGb3O+gEWv2qz5J8EtB8KFp5+XAPYt9J2u74HPzdoLWJ21YX3hpYnVBaagan3z9NaRxPw==" saltValue="645cTIbK80J4NfI0C8oLYw==" spinCount="100000" sheet="1" objects="1" scenarios="1" selectLockedCells="1"/>
  <mergeCells count="17">
    <mergeCell ref="A14:C14"/>
    <mergeCell ref="A15:C15"/>
    <mergeCell ref="A8:C8"/>
    <mergeCell ref="A9:C9"/>
    <mergeCell ref="A12:C12"/>
    <mergeCell ref="A10:C10"/>
    <mergeCell ref="D13:E13"/>
    <mergeCell ref="A11:C11"/>
    <mergeCell ref="A13:C13"/>
    <mergeCell ref="A5:E5"/>
    <mergeCell ref="A7:C7"/>
    <mergeCell ref="A6:C6"/>
    <mergeCell ref="A1:B3"/>
    <mergeCell ref="C1:C3"/>
    <mergeCell ref="D1:E1"/>
    <mergeCell ref="D2:E2"/>
    <mergeCell ref="D3:E3"/>
  </mergeCells>
  <hyperlinks>
    <hyperlink ref="D7" location="TGS!C1" display="Ir"/>
    <hyperlink ref="D8" location="RXC!C1" display="Ir"/>
    <hyperlink ref="D9" location="AXR!C1" display="Ir"/>
    <hyperlink ref="D12" location="AYCM!C1" display="Ir"/>
    <hyperlink ref="D10" location="CONT!C1" display="Ir"/>
    <hyperlink ref="D11" location="CYER!C1" display="Ir"/>
    <hyperlink ref="E7" location="'TGS C'!C1" display="Ir"/>
    <hyperlink ref="E8" location="'RXC C'!C1" display="Ir"/>
    <hyperlink ref="E9" location="'AXR C'!C1" display="Ir"/>
    <hyperlink ref="E12" location="'AYCM C'!C1" display="Ir"/>
    <hyperlink ref="E10" location="'CONT C'!C1" display="Ir"/>
    <hyperlink ref="E11" location="'CYER C'!C1" display="Ir"/>
    <hyperlink ref="D13:E13" location="AVANCE!C1" display="Ir"/>
  </hyperlink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M68"/>
  <sheetViews>
    <sheetView topLeftCell="AC52" workbookViewId="0">
      <selection activeCell="AG65" sqref="AG65"/>
    </sheetView>
  </sheetViews>
  <sheetFormatPr baseColWidth="10" defaultRowHeight="15.75" x14ac:dyDescent="0.25"/>
  <cols>
    <col min="1" max="2" width="14.109375" style="1" customWidth="1"/>
    <col min="3" max="3" width="18.44140625" style="1" customWidth="1"/>
    <col min="4" max="4" width="9.44140625" style="1" customWidth="1"/>
    <col min="5" max="5" width="11.5546875" style="1"/>
    <col min="6" max="6" width="7.33203125" style="1" customWidth="1"/>
    <col min="7" max="7" width="42.21875" style="1" customWidth="1"/>
    <col min="8" max="8" width="11" style="1" customWidth="1"/>
    <col min="9" max="9" width="29.88671875" style="1" customWidth="1"/>
    <col min="10" max="10" width="20.77734375" style="1" customWidth="1"/>
    <col min="11" max="11" width="21.88671875" style="1" customWidth="1"/>
    <col min="12" max="12" width="33.6640625" style="1" customWidth="1"/>
    <col min="13" max="13" width="31.5546875" style="1" customWidth="1"/>
    <col min="14" max="14" width="55.88671875" style="1" customWidth="1"/>
    <col min="15" max="15" width="13.21875" style="1" customWidth="1"/>
    <col min="16" max="17" width="11.5546875" style="1"/>
    <col min="18" max="18" width="13.21875" style="1" customWidth="1"/>
    <col min="19" max="28" width="11.5546875" style="1"/>
    <col min="29" max="29" width="29.44140625" style="1" customWidth="1"/>
    <col min="30" max="16384" width="11.5546875" style="1"/>
  </cols>
  <sheetData>
    <row r="1" spans="1:39" x14ac:dyDescent="0.25">
      <c r="A1" s="13" t="s">
        <v>86</v>
      </c>
      <c r="B1" s="14" t="s">
        <v>87</v>
      </c>
      <c r="C1" s="13" t="s">
        <v>9</v>
      </c>
      <c r="D1" s="14" t="s">
        <v>67</v>
      </c>
      <c r="E1" s="14" t="s">
        <v>19</v>
      </c>
      <c r="F1" s="14"/>
      <c r="G1" s="14" t="s">
        <v>113</v>
      </c>
      <c r="H1" s="14" t="s">
        <v>40</v>
      </c>
      <c r="I1" s="14" t="s">
        <v>39</v>
      </c>
      <c r="J1" s="14" t="s">
        <v>41</v>
      </c>
      <c r="K1" s="14" t="s">
        <v>42</v>
      </c>
      <c r="L1" s="14" t="s">
        <v>47</v>
      </c>
      <c r="M1" s="14" t="s">
        <v>51</v>
      </c>
      <c r="N1" s="14" t="s">
        <v>56</v>
      </c>
      <c r="O1" s="14" t="s">
        <v>68</v>
      </c>
      <c r="P1" s="14" t="s">
        <v>73</v>
      </c>
      <c r="Q1" s="1" t="s">
        <v>96</v>
      </c>
      <c r="R1" s="74" t="s">
        <v>149</v>
      </c>
      <c r="S1" s="1" t="s">
        <v>173</v>
      </c>
      <c r="T1" s="1" t="s">
        <v>174</v>
      </c>
      <c r="U1" s="1" t="s">
        <v>175</v>
      </c>
      <c r="V1" s="151" t="s">
        <v>203</v>
      </c>
      <c r="W1" s="619">
        <f ca="1">TODAY()</f>
        <v>42627</v>
      </c>
      <c r="X1" s="620"/>
      <c r="Y1" s="156"/>
      <c r="AA1" s="1" t="s">
        <v>234</v>
      </c>
      <c r="AB1" s="1" t="s">
        <v>235</v>
      </c>
      <c r="AG1" s="621" t="s">
        <v>305</v>
      </c>
      <c r="AH1" s="621"/>
      <c r="AI1" s="621"/>
    </row>
    <row r="2" spans="1:39" x14ac:dyDescent="0.25">
      <c r="A2" s="1">
        <v>1</v>
      </c>
      <c r="B2" s="1">
        <v>1</v>
      </c>
      <c r="C2" s="15" t="s">
        <v>11</v>
      </c>
      <c r="D2" s="15" t="s">
        <v>10</v>
      </c>
      <c r="E2" s="15" t="s">
        <v>20</v>
      </c>
      <c r="F2" s="15">
        <v>1</v>
      </c>
      <c r="G2" s="1" t="s">
        <v>114</v>
      </c>
      <c r="H2" s="1" t="s">
        <v>31</v>
      </c>
      <c r="I2" s="1" t="s">
        <v>32</v>
      </c>
      <c r="J2" s="1" t="s">
        <v>34</v>
      </c>
      <c r="K2" s="1" t="s">
        <v>38</v>
      </c>
      <c r="L2" s="1" t="s">
        <v>46</v>
      </c>
      <c r="M2" s="1" t="s">
        <v>52</v>
      </c>
      <c r="N2" s="1" t="s">
        <v>57</v>
      </c>
      <c r="O2" s="1" t="s">
        <v>69</v>
      </c>
      <c r="P2" s="1" t="s">
        <v>93</v>
      </c>
      <c r="Q2" s="1" t="s">
        <v>97</v>
      </c>
      <c r="R2" s="1" t="s">
        <v>69</v>
      </c>
      <c r="S2" s="1" t="s">
        <v>168</v>
      </c>
      <c r="T2" s="1" t="s">
        <v>168</v>
      </c>
      <c r="U2" s="1" t="s">
        <v>168</v>
      </c>
      <c r="V2" s="152">
        <f>'CONTEXTO ESTRATEGICO'!$B$6</f>
        <v>42443</v>
      </c>
      <c r="W2" s="153" t="str">
        <f ca="1">LOOKUP(YEAR($W$1),YEAR(S3:S14),V3:V14)</f>
        <v/>
      </c>
      <c r="X2" s="151" t="str">
        <f ca="1">LOOKUP(YEAR($W$1),YEAR(T3:T14),W3:W14)</f>
        <v/>
      </c>
      <c r="Y2" s="151" t="str">
        <f ca="1">LOOKUP(YEAR($W$1),YEAR(U3:U14),X3:X14)</f>
        <v/>
      </c>
      <c r="AA2" s="1" t="s">
        <v>36</v>
      </c>
      <c r="AB2" s="1" t="s">
        <v>230</v>
      </c>
      <c r="AC2" s="1" t="s">
        <v>236</v>
      </c>
      <c r="AD2"/>
      <c r="AG2" s="1" t="s">
        <v>302</v>
      </c>
      <c r="AH2" s="1" t="s">
        <v>303</v>
      </c>
      <c r="AI2" s="1" t="s">
        <v>306</v>
      </c>
      <c r="AK2" s="1" t="s">
        <v>11</v>
      </c>
      <c r="AL2" s="1" t="s">
        <v>401</v>
      </c>
      <c r="AM2" s="1" t="s">
        <v>402</v>
      </c>
    </row>
    <row r="3" spans="1:39" x14ac:dyDescent="0.25">
      <c r="A3" s="1">
        <v>2</v>
      </c>
      <c r="B3" s="1">
        <v>2</v>
      </c>
      <c r="C3" s="15" t="s">
        <v>10</v>
      </c>
      <c r="D3" s="15"/>
      <c r="E3" s="15" t="s">
        <v>21</v>
      </c>
      <c r="F3" s="15">
        <v>2</v>
      </c>
      <c r="G3" s="1" t="s">
        <v>115</v>
      </c>
      <c r="I3" s="1" t="s">
        <v>33</v>
      </c>
      <c r="J3" s="1" t="s">
        <v>35</v>
      </c>
      <c r="K3" s="1" t="s">
        <v>43</v>
      </c>
      <c r="L3" s="1" t="s">
        <v>48</v>
      </c>
      <c r="M3" s="1" t="s">
        <v>53</v>
      </c>
      <c r="N3" s="1" t="s">
        <v>58</v>
      </c>
      <c r="O3" s="1" t="s">
        <v>70</v>
      </c>
      <c r="P3" s="1" t="s">
        <v>7</v>
      </c>
      <c r="R3" s="1" t="s">
        <v>70</v>
      </c>
      <c r="S3" s="91">
        <v>41759</v>
      </c>
      <c r="T3" s="91">
        <v>41882</v>
      </c>
      <c r="U3" s="91">
        <v>42004</v>
      </c>
      <c r="V3" s="151" t="str">
        <f>IF(YEAR($V$2)&gt;=YEAR(S3),IF(MONTH($V$2)&gt;MONTH(S3),"No Aplica",""),"")</f>
        <v/>
      </c>
      <c r="W3" s="151" t="str">
        <f>IF(YEAR($V$2)&gt;=YEAR(T3),IF(MONTH($V$2)&gt;MONTH(T3),"No Aplica",""),"")</f>
        <v/>
      </c>
      <c r="X3" s="151" t="str">
        <f>IF(YEAR($V$2)&gt;=YEAR(U3),IF(MONTH($V$2)&gt;MONTH(U3),"No Aplica",""),"")</f>
        <v/>
      </c>
      <c r="Y3" s="162"/>
      <c r="AA3" s="1" t="s">
        <v>121</v>
      </c>
      <c r="AB3" s="1" t="s">
        <v>232</v>
      </c>
      <c r="AC3" s="1" t="s">
        <v>237</v>
      </c>
      <c r="AD3"/>
      <c r="AG3" s="157">
        <f>IF(VALORACIÓN!B10="","",VALORACIÓN!AE10)</f>
        <v>3</v>
      </c>
      <c r="AH3" s="157">
        <f>IF(VALORACIÓN!B10="","",VALORACIÓN!AE11)</f>
        <v>3</v>
      </c>
      <c r="AI3" s="157">
        <f>IF(VALORACIÓN!B10="","",VALORACIÓN!AF10)</f>
        <v>33</v>
      </c>
      <c r="AK3" s="1" t="s">
        <v>353</v>
      </c>
      <c r="AL3" s="1" t="s">
        <v>400</v>
      </c>
      <c r="AM3" s="1" t="s">
        <v>403</v>
      </c>
    </row>
    <row r="4" spans="1:39" ht="31.5" x14ac:dyDescent="0.25">
      <c r="A4" s="1">
        <v>3</v>
      </c>
      <c r="B4" s="1">
        <v>3</v>
      </c>
      <c r="C4" s="15"/>
      <c r="D4" s="15"/>
      <c r="E4" s="15"/>
      <c r="F4" s="15">
        <v>3</v>
      </c>
      <c r="G4" s="1" t="s">
        <v>36</v>
      </c>
      <c r="J4" s="1" t="s">
        <v>36</v>
      </c>
      <c r="K4" s="1" t="s">
        <v>44</v>
      </c>
      <c r="L4" s="1" t="s">
        <v>49</v>
      </c>
      <c r="M4" s="1" t="s">
        <v>54</v>
      </c>
      <c r="N4" s="1" t="s">
        <v>59</v>
      </c>
      <c r="O4" s="1" t="s">
        <v>129</v>
      </c>
      <c r="R4" s="254" t="s">
        <v>97</v>
      </c>
      <c r="S4" s="91">
        <v>42124</v>
      </c>
      <c r="T4" s="91">
        <v>42247</v>
      </c>
      <c r="U4" s="91">
        <v>42369</v>
      </c>
      <c r="V4" s="151" t="str">
        <f>IF(YEAR($V$2)&gt;=YEAR(S4),IF(MONTH($V$2)&gt;MONTH(S4),"No Aplica",""),"")</f>
        <v/>
      </c>
      <c r="W4" s="151" t="str">
        <f t="shared" ref="W4:W14" si="0">IF(YEAR($V$2)&gt;=YEAR(T4),IF(MONTH($V$2)&gt;MONTH(T4),"No Aplica",""),"")</f>
        <v/>
      </c>
      <c r="X4" s="151" t="str">
        <f t="shared" ref="X4:X14" si="1">IF(YEAR($V$2)&gt;=YEAR(U4),IF(MONTH($V$2)&gt;MONTH(U4),"No Aplica",""),"")</f>
        <v/>
      </c>
      <c r="Y4" s="162" t="s">
        <v>205</v>
      </c>
      <c r="AA4" s="1" t="s">
        <v>117</v>
      </c>
      <c r="AB4" s="1" t="s">
        <v>230</v>
      </c>
      <c r="AC4" s="1" t="s">
        <v>238</v>
      </c>
      <c r="AD4"/>
      <c r="AG4" s="157">
        <f>IF(VALORACIÓN!B13="","",VALORACIÓN!AE13)</f>
        <v>1</v>
      </c>
      <c r="AH4" s="157">
        <f>IF(VALORACIÓN!B13="","",VALORACIÓN!AE14)</f>
        <v>4</v>
      </c>
      <c r="AI4" s="157">
        <f>IF(VALORACIÓN!B13="","",VALORACIÓN!AF13)</f>
        <v>41</v>
      </c>
      <c r="AL4" s="1" t="s">
        <v>399</v>
      </c>
      <c r="AM4" s="1" t="s">
        <v>404</v>
      </c>
    </row>
    <row r="5" spans="1:39" x14ac:dyDescent="0.25">
      <c r="A5" s="1">
        <v>4</v>
      </c>
      <c r="B5" s="1">
        <v>4</v>
      </c>
      <c r="C5" s="1" t="s">
        <v>108</v>
      </c>
      <c r="F5" s="15">
        <v>4</v>
      </c>
      <c r="G5" s="1" t="s">
        <v>116</v>
      </c>
      <c r="J5" s="1" t="s">
        <v>37</v>
      </c>
      <c r="K5" s="1" t="s">
        <v>45</v>
      </c>
      <c r="L5" s="1" t="s">
        <v>50</v>
      </c>
      <c r="M5" s="1" t="s">
        <v>55</v>
      </c>
      <c r="N5" s="1" t="s">
        <v>60</v>
      </c>
      <c r="S5" s="91">
        <v>42490</v>
      </c>
      <c r="T5" s="91">
        <v>42613</v>
      </c>
      <c r="U5" s="91">
        <v>42735</v>
      </c>
      <c r="V5" s="151" t="str">
        <f t="shared" ref="V5:V14" si="2">IF(YEAR($V$2)&gt;=YEAR(S5),IF(MONTH($V$2)&gt;MONTH(S5),"No Aplica",""),"")</f>
        <v/>
      </c>
      <c r="W5" s="151" t="str">
        <f t="shared" si="0"/>
        <v/>
      </c>
      <c r="X5" s="151" t="str">
        <f t="shared" si="1"/>
        <v/>
      </c>
      <c r="Y5" s="157"/>
      <c r="AA5" s="1" t="s">
        <v>115</v>
      </c>
      <c r="AB5" s="1" t="s">
        <v>230</v>
      </c>
      <c r="AC5" s="1" t="s">
        <v>239</v>
      </c>
      <c r="AD5"/>
      <c r="AG5" s="157">
        <f>IF(VALORACIÓN!B16="","",VALORACIÓN!AE16)</f>
        <v>1</v>
      </c>
      <c r="AH5" s="157">
        <f>IF(VALORACIÓN!B16="","",VALORACIÓN!AE17)</f>
        <v>4</v>
      </c>
      <c r="AI5" s="157">
        <f>IF(VALORACIÓN!B16="","",VALORACIÓN!AF16)</f>
        <v>41</v>
      </c>
      <c r="AL5" s="1" t="s">
        <v>398</v>
      </c>
      <c r="AM5" s="1" t="s">
        <v>406</v>
      </c>
    </row>
    <row r="6" spans="1:39" x14ac:dyDescent="0.25">
      <c r="A6" s="1">
        <v>5</v>
      </c>
      <c r="B6" s="1">
        <v>5</v>
      </c>
      <c r="F6" s="15">
        <v>5</v>
      </c>
      <c r="G6" s="1" t="s">
        <v>117</v>
      </c>
      <c r="N6" s="1" t="s">
        <v>61</v>
      </c>
      <c r="S6" s="91">
        <v>42855</v>
      </c>
      <c r="T6" s="91">
        <v>42978</v>
      </c>
      <c r="U6" s="91">
        <v>43100</v>
      </c>
      <c r="V6" s="151" t="str">
        <f t="shared" si="2"/>
        <v/>
      </c>
      <c r="W6" s="151" t="str">
        <f t="shared" si="0"/>
        <v/>
      </c>
      <c r="X6" s="151" t="str">
        <f t="shared" si="1"/>
        <v/>
      </c>
      <c r="Y6" s="157"/>
      <c r="AA6" s="1" t="s">
        <v>256</v>
      </c>
      <c r="AB6" s="1" t="s">
        <v>233</v>
      </c>
      <c r="AC6" s="1" t="s">
        <v>257</v>
      </c>
      <c r="AD6"/>
      <c r="AG6" s="157">
        <f>IF(VALORACIÓN!B19="","",VALORACIÓN!AE19)</f>
        <v>1</v>
      </c>
      <c r="AH6" s="157">
        <f>IF(VALORACIÓN!B19="","",VALORACIÓN!AE20)</f>
        <v>4</v>
      </c>
      <c r="AI6" s="157">
        <f>IF(VALORACIÓN!B19="","",VALORACIÓN!AF19)</f>
        <v>41</v>
      </c>
      <c r="AL6" s="1" t="s">
        <v>403</v>
      </c>
    </row>
    <row r="7" spans="1:39" x14ac:dyDescent="0.25">
      <c r="C7" s="1" t="s">
        <v>11</v>
      </c>
      <c r="F7" s="15">
        <v>6</v>
      </c>
      <c r="G7" s="1" t="s">
        <v>118</v>
      </c>
      <c r="N7" s="1" t="s">
        <v>62</v>
      </c>
      <c r="S7" s="91">
        <v>43220</v>
      </c>
      <c r="T7" s="91">
        <v>43343</v>
      </c>
      <c r="U7" s="91">
        <v>43465</v>
      </c>
      <c r="V7" s="151" t="str">
        <f t="shared" si="2"/>
        <v/>
      </c>
      <c r="W7" s="151" t="str">
        <f t="shared" si="0"/>
        <v/>
      </c>
      <c r="X7" s="151" t="str">
        <f t="shared" si="1"/>
        <v/>
      </c>
      <c r="Y7" s="157"/>
      <c r="AA7" s="1" t="s">
        <v>118</v>
      </c>
      <c r="AB7" s="1" t="s">
        <v>231</v>
      </c>
      <c r="AC7" s="1" t="s">
        <v>252</v>
      </c>
      <c r="AD7"/>
      <c r="AG7" s="157">
        <f>IF(VALORACIÓN!B22="","",VALORACIÓN!AE22)</f>
        <v>1</v>
      </c>
      <c r="AH7" s="157">
        <f>IF(VALORACIÓN!B22="","",VALORACIÓN!AE23)</f>
        <v>4</v>
      </c>
      <c r="AI7" s="157">
        <f>IF(VALORACIÓN!B22="","",VALORACIÓN!AF22)</f>
        <v>41</v>
      </c>
      <c r="AL7" s="1" t="s">
        <v>404</v>
      </c>
    </row>
    <row r="8" spans="1:39" x14ac:dyDescent="0.25">
      <c r="A8" s="1" t="s">
        <v>351</v>
      </c>
      <c r="C8" s="1" t="s">
        <v>10</v>
      </c>
      <c r="F8" s="15">
        <v>7</v>
      </c>
      <c r="G8" s="1" t="s">
        <v>119</v>
      </c>
      <c r="S8" s="91">
        <v>43585</v>
      </c>
      <c r="T8" s="91">
        <v>43708</v>
      </c>
      <c r="U8" s="91">
        <v>43830</v>
      </c>
      <c r="V8" s="151" t="str">
        <f t="shared" si="2"/>
        <v/>
      </c>
      <c r="W8" s="151" t="str">
        <f t="shared" si="0"/>
        <v/>
      </c>
      <c r="X8" s="151" t="str">
        <f t="shared" si="1"/>
        <v/>
      </c>
      <c r="Y8" s="157"/>
      <c r="AA8" s="1" t="s">
        <v>123</v>
      </c>
      <c r="AB8" s="1" t="s">
        <v>232</v>
      </c>
      <c r="AC8" s="1" t="s">
        <v>241</v>
      </c>
      <c r="AD8"/>
      <c r="AG8" s="157">
        <f>IF(VALORACIÓN!B25="","",VALORACIÓN!AE25)</f>
        <v>1</v>
      </c>
      <c r="AH8" s="157">
        <f>IF(VALORACIÓN!B25="","",VALORACIÓN!AE26)</f>
        <v>4</v>
      </c>
      <c r="AI8" s="157">
        <f>IF(VALORACIÓN!B25="","",VALORACIÓN!AF25)</f>
        <v>41</v>
      </c>
      <c r="AL8" s="1" t="s">
        <v>405</v>
      </c>
    </row>
    <row r="9" spans="1:39" x14ac:dyDescent="0.25">
      <c r="A9" s="1">
        <v>3</v>
      </c>
      <c r="F9" s="15">
        <v>8</v>
      </c>
      <c r="G9" s="1" t="s">
        <v>120</v>
      </c>
      <c r="S9" s="91">
        <v>43951</v>
      </c>
      <c r="T9" s="91">
        <v>44074</v>
      </c>
      <c r="U9" s="91">
        <v>44196</v>
      </c>
      <c r="V9" s="151" t="str">
        <f t="shared" si="2"/>
        <v/>
      </c>
      <c r="W9" s="151" t="str">
        <f t="shared" si="0"/>
        <v/>
      </c>
      <c r="X9" s="151" t="str">
        <f t="shared" si="1"/>
        <v/>
      </c>
      <c r="Y9" s="157"/>
      <c r="AA9" s="1" t="s">
        <v>80</v>
      </c>
      <c r="AB9" s="1" t="s">
        <v>232</v>
      </c>
      <c r="AC9" s="1" t="s">
        <v>242</v>
      </c>
      <c r="AD9"/>
      <c r="AG9" s="157">
        <f>IF(VALORACIÓN!B28="","",VALORACIÓN!AE28)</f>
        <v>5</v>
      </c>
      <c r="AH9" s="157">
        <f>IF(VALORACIÓN!B28="","",VALORACIÓN!AE29)</f>
        <v>1</v>
      </c>
      <c r="AI9" s="157">
        <f>IF(VALORACIÓN!B28="","",VALORACIÓN!AF28)</f>
        <v>15</v>
      </c>
    </row>
    <row r="10" spans="1:39" x14ac:dyDescent="0.25">
      <c r="A10" s="1">
        <v>5</v>
      </c>
      <c r="C10" s="1" t="s">
        <v>109</v>
      </c>
      <c r="F10" s="15">
        <v>9</v>
      </c>
      <c r="G10" s="1" t="s">
        <v>121</v>
      </c>
      <c r="S10" s="91">
        <v>44316</v>
      </c>
      <c r="T10" s="91">
        <v>44439</v>
      </c>
      <c r="U10" s="91">
        <v>44561</v>
      </c>
      <c r="V10" s="151" t="str">
        <f t="shared" si="2"/>
        <v/>
      </c>
      <c r="W10" s="151" t="str">
        <f t="shared" si="0"/>
        <v/>
      </c>
      <c r="X10" s="151" t="str">
        <f t="shared" si="1"/>
        <v/>
      </c>
      <c r="Y10" s="157"/>
      <c r="AA10" s="1" t="s">
        <v>79</v>
      </c>
      <c r="AB10" s="1" t="s">
        <v>232</v>
      </c>
      <c r="AC10" s="1" t="s">
        <v>243</v>
      </c>
      <c r="AD10"/>
      <c r="AG10" s="157">
        <f>IF(VALORACIÓN!B31="","",VALORACIÓN!AE31)</f>
        <v>1</v>
      </c>
      <c r="AH10" s="157">
        <f>IF(VALORACIÓN!B31="","",VALORACIÓN!AE32)</f>
        <v>4</v>
      </c>
      <c r="AI10" s="157">
        <f>IF(VALORACIÓN!B31="","",VALORACIÓN!AF31)</f>
        <v>41</v>
      </c>
    </row>
    <row r="11" spans="1:39" x14ac:dyDescent="0.25">
      <c r="F11" s="15">
        <v>10</v>
      </c>
      <c r="G11" s="1" t="s">
        <v>250</v>
      </c>
      <c r="S11" s="91">
        <v>44681</v>
      </c>
      <c r="T11" s="91">
        <v>44804</v>
      </c>
      <c r="U11" s="91">
        <v>44926</v>
      </c>
      <c r="V11" s="151" t="str">
        <f t="shared" si="2"/>
        <v/>
      </c>
      <c r="W11" s="151" t="str">
        <f t="shared" si="0"/>
        <v/>
      </c>
      <c r="X11" s="151" t="str">
        <f t="shared" si="1"/>
        <v/>
      </c>
      <c r="Y11" s="157"/>
      <c r="AA11" s="1" t="s">
        <v>122</v>
      </c>
      <c r="AB11" s="1" t="s">
        <v>232</v>
      </c>
      <c r="AC11" s="1" t="s">
        <v>244</v>
      </c>
      <c r="AD11"/>
      <c r="AG11" s="157">
        <f>IF(VALORACIÓN!B34="","",VALORACIÓN!AE34)</f>
        <v>1</v>
      </c>
      <c r="AH11" s="157">
        <f>IF(VALORACIÓN!B34="","",VALORACIÓN!AE35)</f>
        <v>4</v>
      </c>
      <c r="AI11" s="157">
        <f>IF(VALORACIÓN!B34="","",VALORACIÓN!AF34)</f>
        <v>41</v>
      </c>
    </row>
    <row r="12" spans="1:39" x14ac:dyDescent="0.25">
      <c r="C12" s="1" t="s">
        <v>11</v>
      </c>
      <c r="F12" s="15">
        <v>11</v>
      </c>
      <c r="G12" s="1" t="s">
        <v>85</v>
      </c>
      <c r="S12" s="91">
        <v>45046</v>
      </c>
      <c r="T12" s="91">
        <v>45169</v>
      </c>
      <c r="U12" s="91">
        <v>45291</v>
      </c>
      <c r="V12" s="151" t="str">
        <f t="shared" si="2"/>
        <v/>
      </c>
      <c r="W12" s="151" t="str">
        <f t="shared" si="0"/>
        <v/>
      </c>
      <c r="X12" s="151" t="str">
        <f t="shared" si="1"/>
        <v/>
      </c>
      <c r="Y12" s="157"/>
      <c r="AA12" s="1" t="s">
        <v>85</v>
      </c>
      <c r="AB12" s="1" t="s">
        <v>232</v>
      </c>
      <c r="AC12" s="1" t="s">
        <v>245</v>
      </c>
      <c r="AD12"/>
      <c r="AG12" s="157">
        <f>IF(VALORACIÓN!B37="","",VALORACIÓN!AE37)</f>
        <v>1</v>
      </c>
      <c r="AH12" s="157">
        <f>IF(VALORACIÓN!B37="","",VALORACIÓN!AE38)</f>
        <v>4</v>
      </c>
      <c r="AI12" s="157">
        <f>IF(VALORACIÓN!B37="","",VALORACIÓN!AF37)</f>
        <v>41</v>
      </c>
    </row>
    <row r="13" spans="1:39" x14ac:dyDescent="0.25">
      <c r="F13" s="15">
        <v>12</v>
      </c>
      <c r="G13" s="1" t="s">
        <v>82</v>
      </c>
      <c r="S13" s="91">
        <v>45412</v>
      </c>
      <c r="T13" s="91">
        <v>45535</v>
      </c>
      <c r="U13" s="91">
        <v>45657</v>
      </c>
      <c r="V13" s="151" t="str">
        <f t="shared" si="2"/>
        <v/>
      </c>
      <c r="W13" s="151" t="str">
        <f t="shared" si="0"/>
        <v/>
      </c>
      <c r="X13" s="151" t="str">
        <f t="shared" si="1"/>
        <v/>
      </c>
      <c r="Y13" s="157"/>
      <c r="AA13" s="1" t="s">
        <v>120</v>
      </c>
      <c r="AB13" s="1" t="s">
        <v>231</v>
      </c>
      <c r="AC13" s="1" t="s">
        <v>253</v>
      </c>
      <c r="AD13"/>
      <c r="AG13" s="157">
        <f>IF(VALORACIÓN!B40="","",VALORACIÓN!AE40)</f>
        <v>1</v>
      </c>
      <c r="AH13" s="157">
        <f>IF(VALORACIÓN!B40="","",VALORACIÓN!AE41)</f>
        <v>4</v>
      </c>
      <c r="AI13" s="157">
        <f>IF(VALORACIÓN!B40="","",VALORACIÓN!AF40)</f>
        <v>41</v>
      </c>
    </row>
    <row r="14" spans="1:39" x14ac:dyDescent="0.25">
      <c r="F14" s="15">
        <v>13</v>
      </c>
      <c r="G14" s="1" t="s">
        <v>81</v>
      </c>
      <c r="S14" s="91">
        <v>45777</v>
      </c>
      <c r="T14" s="91">
        <v>45900</v>
      </c>
      <c r="U14" s="91">
        <v>46022</v>
      </c>
      <c r="V14" s="151" t="str">
        <f t="shared" si="2"/>
        <v/>
      </c>
      <c r="W14" s="151" t="str">
        <f t="shared" si="0"/>
        <v/>
      </c>
      <c r="X14" s="151" t="str">
        <f t="shared" si="1"/>
        <v/>
      </c>
      <c r="Y14" s="157"/>
      <c r="AA14" s="1" t="s">
        <v>119</v>
      </c>
      <c r="AB14" s="1" t="s">
        <v>231</v>
      </c>
      <c r="AC14" s="1" t="s">
        <v>254</v>
      </c>
      <c r="AD14"/>
      <c r="AG14" s="157">
        <f>IF(VALORACIÓN!B43="","",VALORACIÓN!AE43)</f>
        <v>1</v>
      </c>
      <c r="AH14" s="157">
        <f>IF(VALORACIÓN!B43="","",VALORACIÓN!AE44)</f>
        <v>4</v>
      </c>
      <c r="AI14" s="157">
        <f>IF(VALORACIÓN!B43="","",VALORACIÓN!AF43)</f>
        <v>41</v>
      </c>
    </row>
    <row r="15" spans="1:39" x14ac:dyDescent="0.25">
      <c r="C15" s="1" t="s">
        <v>321</v>
      </c>
      <c r="F15" s="15">
        <v>14</v>
      </c>
      <c r="G15" s="1" t="s">
        <v>122</v>
      </c>
      <c r="AA15" s="1" t="s">
        <v>116</v>
      </c>
      <c r="AB15" s="1" t="s">
        <v>230</v>
      </c>
      <c r="AC15" s="1" t="s">
        <v>236</v>
      </c>
      <c r="AD15"/>
      <c r="AG15" s="157">
        <f>IF(VALORACIÓN!B46="","",VALORACIÓN!AE46)</f>
        <v>1</v>
      </c>
      <c r="AH15" s="157">
        <f>IF(VALORACIÓN!B46="","",VALORACIÓN!AE47)</f>
        <v>4</v>
      </c>
      <c r="AI15" s="157">
        <f>IF(VALORACIÓN!B46="","",VALORACIÓN!AF46)</f>
        <v>41</v>
      </c>
    </row>
    <row r="16" spans="1:39" x14ac:dyDescent="0.25">
      <c r="C16" s="1" t="s">
        <v>322</v>
      </c>
      <c r="F16" s="15">
        <v>15</v>
      </c>
      <c r="G16" s="1" t="s">
        <v>83</v>
      </c>
      <c r="AA16" s="1" t="s">
        <v>81</v>
      </c>
      <c r="AB16" s="1" t="s">
        <v>232</v>
      </c>
      <c r="AC16" s="1" t="s">
        <v>246</v>
      </c>
      <c r="AD16"/>
      <c r="AG16" s="157">
        <f>IF(VALORACIÓN!B49="","",VALORACIÓN!AE49)</f>
        <v>1</v>
      </c>
      <c r="AH16" s="157">
        <f>IF(VALORACIÓN!B49="","",VALORACIÓN!AE50)</f>
        <v>4</v>
      </c>
      <c r="AI16" s="157">
        <f>IF(VALORACIÓN!B49="","",VALORACIÓN!AF49)</f>
        <v>41</v>
      </c>
    </row>
    <row r="17" spans="3:35" x14ac:dyDescent="0.25">
      <c r="C17" s="1" t="s">
        <v>323</v>
      </c>
      <c r="F17" s="15">
        <v>16</v>
      </c>
      <c r="G17" s="1" t="s">
        <v>123</v>
      </c>
      <c r="AA17" s="1" t="s">
        <v>84</v>
      </c>
      <c r="AB17" s="1" t="s">
        <v>232</v>
      </c>
      <c r="AC17" s="1" t="s">
        <v>247</v>
      </c>
      <c r="AD17"/>
      <c r="AG17" s="157">
        <f>IF(VALORACIÓN!B52="","",VALORACIÓN!AE52)</f>
        <v>1</v>
      </c>
      <c r="AH17" s="157">
        <f>IF(VALORACIÓN!B52="","",VALORACIÓN!AE53)</f>
        <v>5</v>
      </c>
      <c r="AI17" s="157">
        <f>IF(VALORACIÓN!B52="","",VALORACIÓN!AF52)</f>
        <v>51</v>
      </c>
    </row>
    <row r="18" spans="3:35" x14ac:dyDescent="0.25">
      <c r="F18" s="15">
        <v>17</v>
      </c>
      <c r="G18" s="1" t="s">
        <v>84</v>
      </c>
      <c r="AA18" s="1" t="s">
        <v>83</v>
      </c>
      <c r="AB18" s="1" t="s">
        <v>232</v>
      </c>
      <c r="AC18" s="1" t="s">
        <v>248</v>
      </c>
      <c r="AD18"/>
      <c r="AG18" s="157">
        <f>IF(VALORACIÓN!B55="","",VALORACIÓN!AE55)</f>
        <v>1</v>
      </c>
      <c r="AH18" s="157">
        <f>IF(VALORACIÓN!B55="","",VALORACIÓN!AE56)</f>
        <v>4</v>
      </c>
      <c r="AI18" s="157">
        <f>IF(VALORACIÓN!B55="","",VALORACIÓN!AF55)</f>
        <v>41</v>
      </c>
    </row>
    <row r="19" spans="3:35" x14ac:dyDescent="0.25">
      <c r="F19" s="15">
        <v>18</v>
      </c>
      <c r="G19" s="1" t="s">
        <v>79</v>
      </c>
      <c r="AA19" s="1" t="s">
        <v>82</v>
      </c>
      <c r="AB19" s="1" t="s">
        <v>232</v>
      </c>
      <c r="AC19" s="1" t="s">
        <v>249</v>
      </c>
      <c r="AD19"/>
      <c r="AG19" s="157">
        <f>IF(VALORACIÓN!B58="","",VALORACIÓN!AE58)</f>
        <v>1</v>
      </c>
      <c r="AH19" s="157">
        <f>IF(VALORACIÓN!B58="","",VALORACIÓN!AE59)</f>
        <v>4</v>
      </c>
      <c r="AI19" s="157">
        <f>IF(VALORACIÓN!B58="","",VALORACIÓN!AF58)</f>
        <v>41</v>
      </c>
    </row>
    <row r="20" spans="3:35" x14ac:dyDescent="0.25">
      <c r="F20" s="15">
        <v>19</v>
      </c>
      <c r="G20" s="1" t="s">
        <v>80</v>
      </c>
      <c r="AA20" s="1" t="s">
        <v>250</v>
      </c>
      <c r="AB20" s="1" t="s">
        <v>232</v>
      </c>
      <c r="AC20" s="1" t="s">
        <v>251</v>
      </c>
      <c r="AD20"/>
      <c r="AG20" s="157">
        <f>IF(VALORACIÓN!B61="","",VALORACIÓN!AE61)</f>
        <v>4</v>
      </c>
      <c r="AH20" s="157">
        <f>IF(VALORACIÓN!B61="","",VALORACIÓN!AE62)</f>
        <v>3</v>
      </c>
      <c r="AI20" s="157">
        <f>IF(VALORACIÓN!B61="","",VALORACIÓN!AF61)</f>
        <v>34</v>
      </c>
    </row>
    <row r="21" spans="3:35" x14ac:dyDescent="0.25">
      <c r="F21" s="15">
        <v>20</v>
      </c>
      <c r="G21" s="1" t="s">
        <v>124</v>
      </c>
      <c r="AA21" s="1" t="s">
        <v>124</v>
      </c>
      <c r="AB21" s="1" t="s">
        <v>233</v>
      </c>
      <c r="AC21" s="1" t="s">
        <v>255</v>
      </c>
      <c r="AD21"/>
      <c r="AG21" s="157">
        <f>IF(VALORACIÓN!B64="","",VALORACIÓN!AE64)</f>
        <v>1</v>
      </c>
      <c r="AH21" s="157">
        <f>IF(VALORACIÓN!B64="","",VALORACIÓN!AE65)</f>
        <v>4</v>
      </c>
      <c r="AI21" s="157">
        <f>IF(VALORACIÓN!B64="","",VALORACIÓN!AF64)</f>
        <v>41</v>
      </c>
    </row>
    <row r="22" spans="3:35" x14ac:dyDescent="0.25">
      <c r="F22" s="15">
        <v>21</v>
      </c>
      <c r="G22" s="1" t="s">
        <v>256</v>
      </c>
      <c r="AA22" s="1" t="s">
        <v>114</v>
      </c>
      <c r="AB22" s="1" t="s">
        <v>230</v>
      </c>
      <c r="AC22" s="1" t="s">
        <v>240</v>
      </c>
      <c r="AD22"/>
      <c r="AG22" s="157">
        <f>IF(VALORACIÓN!B67="","",VALORACIÓN!AE67)</f>
        <v>1</v>
      </c>
      <c r="AH22" s="157">
        <f>IF(VALORACIÓN!B67="","",VALORACIÓN!AE68)</f>
        <v>4</v>
      </c>
      <c r="AI22" s="157">
        <f>IF(VALORACIÓN!B67="","",VALORACIÓN!AF67)</f>
        <v>41</v>
      </c>
    </row>
    <row r="23" spans="3:35" x14ac:dyDescent="0.25">
      <c r="F23" s="15"/>
      <c r="AG23" s="157">
        <f>IF(VALORACIÓN!B70="","",VALORACIÓN!AE70)</f>
        <v>1</v>
      </c>
      <c r="AH23" s="157">
        <f>IF(VALORACIÓN!B70="","",VALORACIÓN!AE71)</f>
        <v>4</v>
      </c>
      <c r="AI23" s="157">
        <f>IF(VALORACIÓN!B70="","",VALORACIÓN!AF70)</f>
        <v>41</v>
      </c>
    </row>
    <row r="24" spans="3:35" x14ac:dyDescent="0.25">
      <c r="AG24" s="157">
        <f>IF(VALORACIÓN!B73="","",VALORACIÓN!AE73)</f>
        <v>4</v>
      </c>
      <c r="AH24" s="157">
        <f>IF(VALORACIÓN!B73="","",VALORACIÓN!AE74)</f>
        <v>5</v>
      </c>
      <c r="AI24" s="157">
        <f>IF(VALORACIÓN!B73="","",VALORACIÓN!AF73)</f>
        <v>54</v>
      </c>
    </row>
    <row r="25" spans="3:35" x14ac:dyDescent="0.25">
      <c r="AG25" s="157">
        <f>IF(VALORACIÓN!B76="","",VALORACIÓN!AE76)</f>
        <v>4</v>
      </c>
      <c r="AH25" s="157">
        <f>IF(VALORACIÓN!B76="","",VALORACIÓN!AE77)</f>
        <v>4</v>
      </c>
      <c r="AI25" s="157">
        <f>IF(VALORACIÓN!B76="","",VALORACIÓN!AF76)</f>
        <v>44</v>
      </c>
    </row>
    <row r="26" spans="3:35" x14ac:dyDescent="0.25">
      <c r="AG26" s="157">
        <f>IF(VALORACIÓN!B79="","",VALORACIÓN!AE79)</f>
        <v>4</v>
      </c>
      <c r="AH26" s="157">
        <f>IF(VALORACIÓN!B79="","",VALORACIÓN!AE80)</f>
        <v>4</v>
      </c>
      <c r="AI26" s="157">
        <f>IF(VALORACIÓN!B79="","",VALORACIÓN!AF79)</f>
        <v>44</v>
      </c>
    </row>
    <row r="27" spans="3:35" x14ac:dyDescent="0.25">
      <c r="AG27" s="157">
        <f>IF(VALORACIÓN!B82="","",VALORACIÓN!AE82)</f>
        <v>5</v>
      </c>
      <c r="AH27" s="157">
        <f>IF(VALORACIÓN!B82="","",VALORACIÓN!AE83)</f>
        <v>3</v>
      </c>
      <c r="AI27" s="157">
        <f>IF(VALORACIÓN!B82="","",VALORACIÓN!AF82)</f>
        <v>35</v>
      </c>
    </row>
    <row r="28" spans="3:35" x14ac:dyDescent="0.25">
      <c r="AG28" s="157">
        <f>IF(VALORACIÓN!B85="","",VALORACIÓN!AE85)</f>
        <v>5</v>
      </c>
      <c r="AH28" s="157">
        <f>IF(VALORACIÓN!B85="","",VALORACIÓN!AE86)</f>
        <v>3</v>
      </c>
      <c r="AI28" s="157">
        <f>IF(VALORACIÓN!B85="","",VALORACIÓN!AF85)</f>
        <v>35</v>
      </c>
    </row>
    <row r="29" spans="3:35" x14ac:dyDescent="0.25">
      <c r="AG29" s="157">
        <f>IF(VALORACIÓN!B88="","",VALORACIÓN!AE88)</f>
        <v>1</v>
      </c>
      <c r="AH29" s="157">
        <f>IF(VALORACIÓN!B88="","",VALORACIÓN!AE89)</f>
        <v>4</v>
      </c>
      <c r="AI29" s="157">
        <f>IF(VALORACIÓN!B88="","",VALORACIÓN!AF88)</f>
        <v>41</v>
      </c>
    </row>
    <row r="30" spans="3:35" x14ac:dyDescent="0.25">
      <c r="AG30" s="157">
        <f>IF(VALORACIÓN!B91="","",VALORACIÓN!AE91)</f>
        <v>1</v>
      </c>
      <c r="AH30" s="157">
        <f>IF(VALORACIÓN!B91="","",VALORACIÓN!AE92)</f>
        <v>4</v>
      </c>
      <c r="AI30" s="157">
        <f>IF(VALORACIÓN!B91="","",VALORACIÓN!AF91)</f>
        <v>41</v>
      </c>
    </row>
    <row r="31" spans="3:35" x14ac:dyDescent="0.25">
      <c r="AG31" s="1" t="s">
        <v>377</v>
      </c>
      <c r="AH31" s="1" t="s">
        <v>378</v>
      </c>
      <c r="AI31" s="1" t="s">
        <v>306</v>
      </c>
    </row>
    <row r="32" spans="3:35" x14ac:dyDescent="0.25">
      <c r="AF32" s="1">
        <v>1</v>
      </c>
      <c r="AG32" s="157">
        <f>IF(VALORACIÓN!$B95="","",VALORACIÓN!$AD95)</f>
        <v>3</v>
      </c>
      <c r="AH32" s="157">
        <f>IF(VALORACIÓN!$B95="","",VALORACIÓN!$AE95)</f>
        <v>3</v>
      </c>
      <c r="AI32" s="157">
        <f>IF(VALORACIÓN!$B95="","",VALORACIÓN!$AE95)</f>
        <v>3</v>
      </c>
    </row>
    <row r="33" spans="32:35" x14ac:dyDescent="0.25">
      <c r="AF33" s="1">
        <v>2</v>
      </c>
      <c r="AG33" s="157">
        <f>IF(VALORACIÓN!$B98="","",VALORACIÓN!$AD98)</f>
        <v>3</v>
      </c>
      <c r="AH33" s="157">
        <f>IF(VALORACIÓN!$B98="","",VALORACIÓN!$AE98)</f>
        <v>3</v>
      </c>
      <c r="AI33" s="157">
        <f>IF(VALORACIÓN!$B98="","",VALORACIÓN!$AE98)</f>
        <v>3</v>
      </c>
    </row>
    <row r="34" spans="32:35" x14ac:dyDescent="0.25">
      <c r="AF34" s="1">
        <v>3</v>
      </c>
      <c r="AG34" s="157">
        <f>IF(VALORACIÓN!$B101="","",VALORACIÓN!$AD101)</f>
        <v>3</v>
      </c>
      <c r="AH34" s="157">
        <f>IF(VALORACIÓN!$B101="","",VALORACIÓN!$AE101)</f>
        <v>3</v>
      </c>
      <c r="AI34" s="157">
        <f>IF(VALORACIÓN!$B101="","",VALORACIÓN!$AE101)</f>
        <v>3</v>
      </c>
    </row>
    <row r="35" spans="32:35" x14ac:dyDescent="0.25">
      <c r="AF35" s="1">
        <v>4</v>
      </c>
      <c r="AG35" s="157">
        <f>IF(VALORACIÓN!$B104="","",VALORACIÓN!$AD104)</f>
        <v>3</v>
      </c>
      <c r="AH35" s="157">
        <f>IF(VALORACIÓN!$B104="","",VALORACIÓN!$AE104)</f>
        <v>3</v>
      </c>
      <c r="AI35" s="157">
        <f>IF(VALORACIÓN!$B104="","",VALORACIÓN!$AE104)</f>
        <v>3</v>
      </c>
    </row>
    <row r="36" spans="32:35" x14ac:dyDescent="0.25">
      <c r="AF36" s="1">
        <v>5</v>
      </c>
      <c r="AG36" s="157">
        <f>IF(VALORACIÓN!$B$107="","",VALORACIÓN!$AD107)</f>
        <v>3</v>
      </c>
      <c r="AH36" s="157">
        <f>IF(VALORACIÓN!$B107="","",VALORACIÓN!$AE107)</f>
        <v>3</v>
      </c>
      <c r="AI36" s="157">
        <f>IF(VALORACIÓN!$B107="","",VALORACIÓN!$AE107)</f>
        <v>3</v>
      </c>
    </row>
    <row r="37" spans="32:35" x14ac:dyDescent="0.25">
      <c r="AF37" s="1">
        <v>6</v>
      </c>
      <c r="AG37" s="157">
        <f>IF(VALORACIÓN!$B$110="","",VALORACIÓN!$AD110)</f>
        <v>3</v>
      </c>
      <c r="AH37" s="157">
        <f>IF(VALORACIÓN!$B$110="","",VALORACIÓN!$AE110)</f>
        <v>3</v>
      </c>
      <c r="AI37" s="157">
        <f>IF(VALORACIÓN!$B$110="","",VALORACIÓN!$AE110)</f>
        <v>3</v>
      </c>
    </row>
    <row r="38" spans="32:35" x14ac:dyDescent="0.25">
      <c r="AF38" s="1">
        <v>7</v>
      </c>
      <c r="AG38" s="157">
        <f>IF(VALORACIÓN!$B$113="","",VALORACIÓN!$AD113)</f>
        <v>3</v>
      </c>
      <c r="AH38" s="157">
        <f>IF(VALORACIÓN!$B$113="","",VALORACIÓN!$AE113)</f>
        <v>3</v>
      </c>
      <c r="AI38" s="157">
        <f>IF(VALORACIÓN!$B$113="","",VALORACIÓN!$AE113)</f>
        <v>3</v>
      </c>
    </row>
    <row r="39" spans="32:35" x14ac:dyDescent="0.25">
      <c r="AF39" s="1">
        <v>8</v>
      </c>
      <c r="AG39" s="157">
        <f>IF(VALORACIÓN!$B$116="","",VALORACIÓN!$AD116)</f>
        <v>3</v>
      </c>
      <c r="AH39" s="157">
        <f>IF(VALORACIÓN!$B$116="","",VALORACIÓN!$AE116)</f>
        <v>3</v>
      </c>
      <c r="AI39" s="157">
        <f>IF(VALORACIÓN!$B$116="","",VALORACIÓN!$AE116)</f>
        <v>3</v>
      </c>
    </row>
    <row r="40" spans="32:35" x14ac:dyDescent="0.25">
      <c r="AF40" s="1">
        <v>9</v>
      </c>
      <c r="AG40" s="157">
        <f>IF(VALORACIÓN!$B$119="","",VALORACIÓN!$AD119)</f>
        <v>3</v>
      </c>
      <c r="AH40" s="157">
        <f>IF(VALORACIÓN!$B$119="","",VALORACIÓN!$AE119)</f>
        <v>3</v>
      </c>
      <c r="AI40" s="157">
        <f>IF(VALORACIÓN!$B$119="","",VALORACIÓN!$AE119)</f>
        <v>3</v>
      </c>
    </row>
    <row r="41" spans="32:35" x14ac:dyDescent="0.25">
      <c r="AF41" s="1">
        <v>10</v>
      </c>
      <c r="AG41" s="157">
        <f>IF(VALORACIÓN!$B$122="","",VALORACIÓN!$AD122)</f>
        <v>3</v>
      </c>
      <c r="AH41" s="157">
        <f>IF(VALORACIÓN!$B$122="","",VALORACIÓN!$AE122)</f>
        <v>3</v>
      </c>
      <c r="AI41" s="157">
        <f>IF(VALORACIÓN!$B$122="","",VALORACIÓN!$AE122)</f>
        <v>3</v>
      </c>
    </row>
    <row r="42" spans="32:35" x14ac:dyDescent="0.25">
      <c r="AF42" s="1">
        <v>11</v>
      </c>
      <c r="AG42" s="157">
        <f>IF(VALORACIÓN!$B$125="","",VALORACIÓN!$AD125)</f>
        <v>3</v>
      </c>
      <c r="AH42" s="157">
        <f>IF(VALORACIÓN!$B$125="","",VALORACIÓN!$AE125)</f>
        <v>3</v>
      </c>
      <c r="AI42" s="157">
        <f>IF(VALORACIÓN!$B$125="","",VALORACIÓN!$AE125)</f>
        <v>3</v>
      </c>
    </row>
    <row r="43" spans="32:35" x14ac:dyDescent="0.25">
      <c r="AF43" s="1">
        <v>12</v>
      </c>
      <c r="AG43" s="157">
        <f>IF(VALORACIÓN!$B$128="","",VALORACIÓN!$AD128)</f>
        <v>3</v>
      </c>
      <c r="AH43" s="157">
        <f>IF(VALORACIÓN!$B$128="","",VALORACIÓN!$AE128)</f>
        <v>3</v>
      </c>
      <c r="AI43" s="157">
        <f>IF(VALORACIÓN!$B$128="","",VALORACIÓN!$AE128)</f>
        <v>3</v>
      </c>
    </row>
    <row r="44" spans="32:35" x14ac:dyDescent="0.25">
      <c r="AF44" s="1">
        <v>13</v>
      </c>
      <c r="AG44" s="157">
        <f>IF(VALORACIÓN!$B$131="","",VALORACIÓN!$AD131)</f>
        <v>5</v>
      </c>
      <c r="AH44" s="157">
        <f>IF(VALORACIÓN!$B$131="","",VALORACIÓN!$AE131)</f>
        <v>5</v>
      </c>
      <c r="AI44" s="157">
        <f>IF(VALORACIÓN!$B$131="","",VALORACIÓN!$AE131)</f>
        <v>5</v>
      </c>
    </row>
    <row r="45" spans="32:35" x14ac:dyDescent="0.25">
      <c r="AF45" s="1">
        <v>14</v>
      </c>
      <c r="AG45" s="157">
        <f>IF(VALORACIÓN!$B$134="","",VALORACIÓN!$AD134)</f>
        <v>5</v>
      </c>
      <c r="AH45" s="157">
        <f>IF(VALORACIÓN!$B$134="","",VALORACIÓN!$AE134)</f>
        <v>3</v>
      </c>
      <c r="AI45" s="157">
        <f>IF(VALORACIÓN!$B$134="","",VALORACIÓN!$AE134)</f>
        <v>3</v>
      </c>
    </row>
    <row r="46" spans="32:35" x14ac:dyDescent="0.25">
      <c r="AF46" s="1">
        <v>15</v>
      </c>
      <c r="AG46" s="157">
        <f>IF(VALORACIÓN!$B$137="","",VALORACIÓN!$AD137)</f>
        <v>3</v>
      </c>
      <c r="AH46" s="157">
        <f>IF(VALORACIÓN!$B$137="","",VALORACIÓN!$AE137)</f>
        <v>3</v>
      </c>
      <c r="AI46" s="157">
        <f>IF(VALORACIÓN!$B$137="","",VALORACIÓN!$AE137)</f>
        <v>3</v>
      </c>
    </row>
    <row r="47" spans="32:35" x14ac:dyDescent="0.25">
      <c r="AF47" s="1">
        <v>16</v>
      </c>
      <c r="AG47" s="157">
        <f>IF(VALORACIÓN!$B$140="","",VALORACIÓN!$AD140)</f>
        <v>3</v>
      </c>
      <c r="AH47" s="157">
        <f>IF(VALORACIÓN!$B$140="","",VALORACIÓN!$AE140)</f>
        <v>3</v>
      </c>
      <c r="AI47" s="157">
        <f>IF(VALORACIÓN!$B$140="","",VALORACIÓN!$AE140)</f>
        <v>3</v>
      </c>
    </row>
    <row r="48" spans="32:35" x14ac:dyDescent="0.25">
      <c r="AF48" s="1">
        <v>17</v>
      </c>
      <c r="AG48" s="157">
        <f>IF(VALORACIÓN!$B$143="","",VALORACIÓN!$AD143)</f>
        <v>3</v>
      </c>
      <c r="AH48" s="157">
        <f>IF(VALORACIÓN!$B$143="","",VALORACIÓN!$AE143)</f>
        <v>3</v>
      </c>
      <c r="AI48" s="157">
        <f>IF(VALORACIÓN!$B$143="","",VALORACIÓN!$AE143)</f>
        <v>3</v>
      </c>
    </row>
    <row r="49" spans="32:35" x14ac:dyDescent="0.25">
      <c r="AF49" s="1">
        <v>18</v>
      </c>
      <c r="AG49" s="157">
        <f>IF(VALORACIÓN!$B$146="","",VALORACIÓN!$AD146)</f>
        <v>3</v>
      </c>
      <c r="AH49" s="157">
        <f>IF(VALORACIÓN!$B$146="","",VALORACIÓN!$AE146)</f>
        <v>3</v>
      </c>
      <c r="AI49" s="157">
        <f>IF(VALORACIÓN!$B$146="","",VALORACIÓN!$AE146)</f>
        <v>3</v>
      </c>
    </row>
    <row r="50" spans="32:35" x14ac:dyDescent="0.25">
      <c r="AF50" s="1">
        <v>19</v>
      </c>
      <c r="AG50" s="157">
        <f>IF(VALORACIÓN!$B$149="","",VALORACIÓN!$AD149)</f>
        <v>3</v>
      </c>
      <c r="AH50" s="157">
        <f>IF(VALORACIÓN!$B$149="","",VALORACIÓN!$AE149)</f>
        <v>3</v>
      </c>
      <c r="AI50" s="157">
        <f>IF(VALORACIÓN!$B$149="","",VALORACIÓN!$AE149)</f>
        <v>3</v>
      </c>
    </row>
    <row r="51" spans="32:35" x14ac:dyDescent="0.25">
      <c r="AF51" s="1">
        <v>20</v>
      </c>
      <c r="AG51" s="157">
        <f>IF(VALORACIÓN!$B$152="","",VALORACIÓN!$AD152)</f>
        <v>3</v>
      </c>
      <c r="AH51" s="157">
        <f>IF(VALORACIÓN!$B$152="","",VALORACIÓN!$AE152)</f>
        <v>3</v>
      </c>
      <c r="AI51" s="157">
        <f>IF(VALORACIÓN!$B$152="","",VALORACIÓN!$AE152)</f>
        <v>3</v>
      </c>
    </row>
    <row r="52" spans="32:35" x14ac:dyDescent="0.25">
      <c r="AF52" s="1">
        <v>21</v>
      </c>
      <c r="AG52" s="157">
        <f>IF(VALORACIÓN!$B$155="","",VALORACIÓN!$AD155)</f>
        <v>3</v>
      </c>
      <c r="AH52" s="157">
        <f>IF(VALORACIÓN!$B$155="","",VALORACIÓN!$AE155)</f>
        <v>3</v>
      </c>
      <c r="AI52" s="157">
        <f>IF(VALORACIÓN!$B$155="","",VALORACIÓN!$AE155)</f>
        <v>3</v>
      </c>
    </row>
    <row r="53" spans="32:35" x14ac:dyDescent="0.25">
      <c r="AF53" s="1">
        <v>22</v>
      </c>
      <c r="AG53" s="157">
        <f>IF(VALORACIÓN!$B$158="","",VALORACIÓN!$AD158)</f>
        <v>3</v>
      </c>
      <c r="AH53" s="157">
        <f>IF(VALORACIÓN!$B$158="","",VALORACIÓN!$AE158)</f>
        <v>3</v>
      </c>
      <c r="AI53" s="157">
        <f>IF(VALORACIÓN!$B$158="","",VALORACIÓN!$AE158)</f>
        <v>3</v>
      </c>
    </row>
    <row r="54" spans="32:35" x14ac:dyDescent="0.25">
      <c r="AF54" s="1">
        <v>23</v>
      </c>
      <c r="AG54" s="157">
        <f>IF(VALORACIÓN!$B$161="","",VALORACIÓN!$AD161)</f>
        <v>3</v>
      </c>
      <c r="AH54" s="157">
        <f>IF(VALORACIÓN!$B$161="","",VALORACIÓN!$AE161)</f>
        <v>3</v>
      </c>
      <c r="AI54" s="157">
        <f>IF(VALORACIÓN!$B$161="","",VALORACIÓN!$AE161)</f>
        <v>3</v>
      </c>
    </row>
    <row r="55" spans="32:35" x14ac:dyDescent="0.25">
      <c r="AF55" s="1">
        <v>24</v>
      </c>
      <c r="AG55" s="157">
        <f>IF(VALORACIÓN!$B$164="","",VALORACIÓN!$AD164)</f>
        <v>3</v>
      </c>
      <c r="AH55" s="157">
        <f>IF(VALORACIÓN!$B$164="","",VALORACIÓN!$AE164)</f>
        <v>3</v>
      </c>
      <c r="AI55" s="157">
        <f>IF(VALORACIÓN!$B$164="","",VALORACIÓN!$AE164)</f>
        <v>3</v>
      </c>
    </row>
    <row r="56" spans="32:35" x14ac:dyDescent="0.25">
      <c r="AF56" s="1">
        <v>25</v>
      </c>
      <c r="AG56" s="157">
        <f>IF(VALORACIÓN!$B$167="","",VALORACIÓN!$AD167)</f>
        <v>3</v>
      </c>
      <c r="AH56" s="157">
        <f>IF(VALORACIÓN!$B$167="","",VALORACIÓN!$AE167)</f>
        <v>3</v>
      </c>
      <c r="AI56" s="157">
        <f>IF(VALORACIÓN!$B$167="","",VALORACIÓN!$AE167)</f>
        <v>3</v>
      </c>
    </row>
    <row r="57" spans="32:35" x14ac:dyDescent="0.25">
      <c r="AF57" s="1">
        <v>26</v>
      </c>
      <c r="AG57" s="157">
        <f>IF(VALORACIÓN!$B$170="","",VALORACIÓN!$AD170)</f>
        <v>3</v>
      </c>
      <c r="AH57" s="157">
        <f>IF(VALORACIÓN!$B$170="","",VALORACIÓN!$AE170)</f>
        <v>3</v>
      </c>
      <c r="AI57" s="157">
        <f>IF(VALORACIÓN!$B$170="","",VALORACIÓN!$AE170)</f>
        <v>3</v>
      </c>
    </row>
    <row r="58" spans="32:35" x14ac:dyDescent="0.25">
      <c r="AF58" s="1">
        <v>27</v>
      </c>
      <c r="AG58" s="157">
        <f>IF(VALORACIÓN!$B$173="","",VALORACIÓN!$AD173)</f>
        <v>3</v>
      </c>
      <c r="AH58" s="157">
        <f>IF(VALORACIÓN!$B$173="","",VALORACIÓN!$AE173)</f>
        <v>3</v>
      </c>
      <c r="AI58" s="157">
        <f>IF(VALORACIÓN!$B$173="","",VALORACIÓN!$AE173)</f>
        <v>3</v>
      </c>
    </row>
    <row r="59" spans="32:35" x14ac:dyDescent="0.25">
      <c r="AF59" s="1">
        <v>28</v>
      </c>
      <c r="AG59" s="157">
        <f>IF(VALORACIÓN!$B$176="","",VALORACIÓN!$AD176)</f>
        <v>3</v>
      </c>
      <c r="AH59" s="157">
        <f>IF(VALORACIÓN!$B$176="","",VALORACIÓN!$AE176)</f>
        <v>3</v>
      </c>
      <c r="AI59" s="157">
        <f>IF(VALORACIÓN!$B$176="","",VALORACIÓN!$AE176)</f>
        <v>3</v>
      </c>
    </row>
    <row r="60" spans="32:35" x14ac:dyDescent="0.25">
      <c r="AF60" s="1">
        <v>29</v>
      </c>
      <c r="AG60" s="157">
        <f>IF(VALORACIÓN!$B$179="","",VALORACIÓN!$AD179)</f>
        <v>3</v>
      </c>
      <c r="AH60" s="157">
        <f>IF(VALORACIÓN!$B$179="","",VALORACIÓN!$AE179)</f>
        <v>3</v>
      </c>
      <c r="AI60" s="157">
        <f>IF(VALORACIÓN!$B$179="","",VALORACIÓN!$AE179)</f>
        <v>3</v>
      </c>
    </row>
    <row r="61" spans="32:35" x14ac:dyDescent="0.25">
      <c r="AF61" s="1">
        <v>30</v>
      </c>
      <c r="AG61" s="157">
        <f>IF(VALORACIÓN!$B$182="","",VALORACIÓN!$AD182)</f>
        <v>3</v>
      </c>
      <c r="AH61" s="157">
        <f>IF(VALORACIÓN!$B$182="","",VALORACIÓN!$AE182)</f>
        <v>3</v>
      </c>
      <c r="AI61" s="157">
        <f>IF(VALORACIÓN!$B$182="","",VALORACIÓN!$AE182)</f>
        <v>3</v>
      </c>
    </row>
    <row r="62" spans="32:35" x14ac:dyDescent="0.25">
      <c r="AF62" s="1">
        <v>31</v>
      </c>
      <c r="AG62" s="157">
        <f>IF(VALORACIÓN!$B$185="","",VALORACIÓN!$AD185)</f>
        <v>3</v>
      </c>
      <c r="AH62" s="157">
        <f>IF(VALORACIÓN!$B$185="","",VALORACIÓN!$AE185)</f>
        <v>3</v>
      </c>
      <c r="AI62" s="157">
        <f>IF(VALORACIÓN!$B$185="","",VALORACIÓN!$AE185)</f>
        <v>3</v>
      </c>
    </row>
    <row r="63" spans="32:35" x14ac:dyDescent="0.25">
      <c r="AF63" s="1">
        <v>32</v>
      </c>
      <c r="AG63" s="157">
        <f>IF(VALORACIÓN!$B$188="","",VALORACIÓN!$AD188)</f>
        <v>3</v>
      </c>
      <c r="AH63" s="157">
        <f>IF(VALORACIÓN!$B$188="","",VALORACIÓN!$AE188)</f>
        <v>3</v>
      </c>
      <c r="AI63" s="157">
        <f>IF(VALORACIÓN!$B$188="","",VALORACIÓN!$AE188)</f>
        <v>3</v>
      </c>
    </row>
    <row r="64" spans="32:35" x14ac:dyDescent="0.25">
      <c r="AF64" s="1">
        <v>33</v>
      </c>
      <c r="AG64" s="157">
        <f>IF(VALORACIÓN!$B$191="","",VALORACIÓN!$AD191)</f>
        <v>3</v>
      </c>
      <c r="AH64" s="157">
        <f>IF(VALORACIÓN!$B$191="","",VALORACIÓN!$AE191)</f>
        <v>3</v>
      </c>
      <c r="AI64" s="157">
        <f>IF(VALORACIÓN!$B$191="","",VALORACIÓN!$AE191)</f>
        <v>3</v>
      </c>
    </row>
    <row r="65" spans="32:35" x14ac:dyDescent="0.25">
      <c r="AF65" s="1">
        <v>34</v>
      </c>
      <c r="AG65" s="157">
        <f>IF(VALORACIÓN!$B$194="","",VALORACIÓN!$AD194)</f>
        <v>3</v>
      </c>
      <c r="AH65" s="157">
        <f>IF(VALORACIÓN!$B$194="","",VALORACIÓN!$AE194)</f>
        <v>3</v>
      </c>
      <c r="AI65" s="157">
        <f>IF(VALORACIÓN!$B$194="","",VALORACIÓN!$AE194)</f>
        <v>3</v>
      </c>
    </row>
    <row r="68" spans="32:35" x14ac:dyDescent="0.25">
      <c r="AI68" s="1" t="b">
        <f>IF(AND($H9&gt;=$Z$6,X9=1),si,IF(AND($H9&lt;$Z$6,X9=1),exis,IF(AND($H9&gt;$Z$6,X9&lt;1),na,IF(AND($H9&lt;=$Z$6,X9&lt;1),no))))</f>
        <v>0</v>
      </c>
    </row>
  </sheetData>
  <sheetProtection selectLockedCells="1"/>
  <mergeCells count="2">
    <mergeCell ref="W1:X1"/>
    <mergeCell ref="AG1:AI1"/>
  </mergeCells>
  <phoneticPr fontId="5" type="noConversion"/>
  <conditionalFormatting sqref="R2:R3">
    <cfRule type="duplicateValues" dxfId="23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41</vt:i4>
      </vt:variant>
    </vt:vector>
  </HeadingPairs>
  <TitlesOfParts>
    <vt:vector size="64" baseType="lpstr">
      <vt:lpstr>CONTEXTO ESTRATEGICO</vt:lpstr>
      <vt:lpstr>IDENTIFICACIÓN</vt:lpstr>
      <vt:lpstr>ANALISIS</vt:lpstr>
      <vt:lpstr>VALORACIÓN</vt:lpstr>
      <vt:lpstr>CONSOLIDACION DEL MAPA</vt:lpstr>
      <vt:lpstr>CRONOGRAMA</vt:lpstr>
      <vt:lpstr>SEGUIMIENTO Y MONITOREO</vt:lpstr>
      <vt:lpstr>ESTADISTICAS</vt:lpstr>
      <vt:lpstr>Datos</vt:lpstr>
      <vt:lpstr>TGS</vt:lpstr>
      <vt:lpstr>TGS C</vt:lpstr>
      <vt:lpstr>RXC</vt:lpstr>
      <vt:lpstr>RXC C</vt:lpstr>
      <vt:lpstr>AXR</vt:lpstr>
      <vt:lpstr>AXR C</vt:lpstr>
      <vt:lpstr>CONT</vt:lpstr>
      <vt:lpstr>CONT C</vt:lpstr>
      <vt:lpstr>CYER</vt:lpstr>
      <vt:lpstr>CYER C</vt:lpstr>
      <vt:lpstr>AYCM</vt:lpstr>
      <vt:lpstr>AYCM C</vt:lpstr>
      <vt:lpstr>AVANCE</vt:lpstr>
      <vt:lpstr>Cartilla Guía</vt:lpstr>
      <vt:lpstr>_ind1</vt:lpstr>
      <vt:lpstr>ANALISIS!Área_de_impresión</vt:lpstr>
      <vt:lpstr>AVANCE!Área_de_impresión</vt:lpstr>
      <vt:lpstr>ESTADISTICAS!Área_de_impresión</vt:lpstr>
      <vt:lpstr>IDENTIFICACIÓN!Área_de_impresión</vt:lpstr>
      <vt:lpstr>VALORACIÓN!Área_de_impresión</vt:lpstr>
      <vt:lpstr>automanu</vt:lpstr>
      <vt:lpstr>Direccionamiento_Estrategico</vt:lpstr>
      <vt:lpstr>disminuye</vt:lpstr>
      <vt:lpstr>exis</vt:lpstr>
      <vt:lpstr>exisc</vt:lpstr>
      <vt:lpstr>exisc23</vt:lpstr>
      <vt:lpstr>'CONTEXTO ESTRATEGICO'!Gestión_de_Divulgación</vt:lpstr>
      <vt:lpstr>imp</vt:lpstr>
      <vt:lpstr>ind</vt:lpstr>
      <vt:lpstr>indicador</vt:lpstr>
      <vt:lpstr>inst</vt:lpstr>
      <vt:lpstr>mproc</vt:lpstr>
      <vt:lpstr>na</vt:lpstr>
      <vt:lpstr>'CONTEXTO ESTRATEGICO'!Ninguno</vt:lpstr>
      <vt:lpstr>no</vt:lpstr>
      <vt:lpstr>noapli</vt:lpstr>
      <vt:lpstr>noaplica</vt:lpstr>
      <vt:lpstr>opcmanc</vt:lpstr>
      <vt:lpstr>opcmang</vt:lpstr>
      <vt:lpstr>pcinco</vt:lpstr>
      <vt:lpstr>pdos</vt:lpstr>
      <vt:lpstr>pocho</vt:lpstr>
      <vt:lpstr>poscorrup</vt:lpstr>
      <vt:lpstr>pquince</vt:lpstr>
      <vt:lpstr>prob</vt:lpstr>
      <vt:lpstr>proc</vt:lpstr>
      <vt:lpstr>pseis</vt:lpstr>
      <vt:lpstr>ptres</vt:lpstr>
      <vt:lpstr>puno</vt:lpstr>
      <vt:lpstr>resto</vt:lpstr>
      <vt:lpstr>segdos</vt:lpstr>
      <vt:lpstr>segtres</vt:lpstr>
      <vt:lpstr>seguno</vt:lpstr>
      <vt:lpstr>si</vt:lpstr>
      <vt:lpstr>tip</vt:lpstr>
    </vt:vector>
  </TitlesOfParts>
  <Company>DAFP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De Leon Mendoza</dc:creator>
  <cp:lastModifiedBy>Milena De León</cp:lastModifiedBy>
  <cp:lastPrinted>2008-07-18T15:30:55Z</cp:lastPrinted>
  <dcterms:created xsi:type="dcterms:W3CDTF">2007-04-12T14:44:48Z</dcterms:created>
  <dcterms:modified xsi:type="dcterms:W3CDTF">2016-09-14T22:35:55Z</dcterms:modified>
</cp:coreProperties>
</file>