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drawings/drawing20.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21.xml" ContentType="application/vnd.openxmlformats-officedocument.drawing+xml"/>
  <Override PartName="/xl/charts/chart27.xml" ContentType="application/vnd.openxmlformats-officedocument.drawingml.chart+xml"/>
  <Override PartName="/xl/charts/style24.xml" ContentType="application/vnd.ms-office.chartstyle+xml"/>
  <Override PartName="/xl/charts/colors24.xml" ContentType="application/vnd.ms-office.chartcolorstyle+xml"/>
  <Override PartName="/xl/charts/chart28.xml" ContentType="application/vnd.openxmlformats-officedocument.drawingml.chart+xml"/>
  <Override PartName="/xl/charts/style25.xml" ContentType="application/vnd.ms-office.chartstyle+xml"/>
  <Override PartName="/xl/charts/colors25.xml" ContentType="application/vnd.ms-office.chartcolorstyle+xml"/>
  <Override PartName="/xl/charts/chart29.xml" ContentType="application/vnd.openxmlformats-officedocument.drawingml.chart+xml"/>
  <Override PartName="/xl/charts/style26.xml" ContentType="application/vnd.ms-office.chartstyle+xml"/>
  <Override PartName="/xl/charts/colors26.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deleon\Documents\1A-VIGENCIA 2014-2015-2016\4 MAPA DE RIESGOS\3 2016 Seguimiento\"/>
    </mc:Choice>
  </mc:AlternateContent>
  <bookViews>
    <workbookView xWindow="0" yWindow="0" windowWidth="20490" windowHeight="7755" tabRatio="951" firstSheet="6" activeTab="6"/>
  </bookViews>
  <sheets>
    <sheet name="CONTEXTO ESTRATEGICO" sheetId="7" r:id="rId1"/>
    <sheet name="IDENTIFICACIÓN" sheetId="2" r:id="rId2"/>
    <sheet name="ANALISIS" sheetId="3" r:id="rId3"/>
    <sheet name="VALORACIÓN" sheetId="8" r:id="rId4"/>
    <sheet name="CONSOLIDACION DEL MAPA" sheetId="6" r:id="rId5"/>
    <sheet name="CRONOGRAMA" sheetId="13" r:id="rId6"/>
    <sheet name="SEGUIMIENTO Y MONITOREO" sheetId="11" r:id="rId7"/>
    <sheet name="ESTADISTICAS" sheetId="14" r:id="rId8"/>
    <sheet name="Datos" sheetId="5" state="hidden" r:id="rId9"/>
    <sheet name="TGS" sheetId="12" r:id="rId10"/>
    <sheet name="TGS C" sheetId="22" r:id="rId11"/>
    <sheet name="RXC" sheetId="15" r:id="rId12"/>
    <sheet name="RXC C" sheetId="23" r:id="rId13"/>
    <sheet name="AXR" sheetId="16" r:id="rId14"/>
    <sheet name="AXR C" sheetId="24" r:id="rId15"/>
    <sheet name="CONT" sheetId="18" r:id="rId16"/>
    <sheet name="CONT C" sheetId="26" r:id="rId17"/>
    <sheet name="CYER" sheetId="19" r:id="rId18"/>
    <sheet name="CYER C" sheetId="27" r:id="rId19"/>
    <sheet name="AYCM" sheetId="21" r:id="rId20"/>
    <sheet name="AYCM C" sheetId="25" r:id="rId21"/>
    <sheet name="AVANCE" sheetId="28" r:id="rId22"/>
    <sheet name="Cartilla Guía" sheetId="10" r:id="rId23"/>
  </sheets>
  <definedNames>
    <definedName name="_xlnm._FilterDatabase" localSheetId="2" hidden="1">ANALISIS!#REF!</definedName>
    <definedName name="_xlnm._FilterDatabase" localSheetId="3" hidden="1">VALORACIÓN!#REF!</definedName>
    <definedName name="_ind1">Datos!$R$2:$R$4</definedName>
    <definedName name="_xlnm.Print_Area" localSheetId="2">ANALISIS!$A$1:$J$20</definedName>
    <definedName name="_xlnm.Print_Area" localSheetId="21">AVANCE!$A$1:$H$24</definedName>
    <definedName name="_xlnm.Print_Area" localSheetId="7">ESTADISTICAS!$A$1:$E$15</definedName>
    <definedName name="_xlnm.Print_Area" localSheetId="1">IDENTIFICACIÓN!$B$1:$F$18</definedName>
    <definedName name="_xlnm.Print_Area" localSheetId="3">VALORACIÓN!$A$1:$AA$39</definedName>
    <definedName name="automanu">Datos!$C$16:$C$17</definedName>
    <definedName name="Direccionamiento_Estrategico">Datos!$G$2:$G$5</definedName>
    <definedName name="disminuye">Datos!$P$2:$P$3</definedName>
    <definedName name="exis">Datos!$C$2:$C$3</definedName>
    <definedName name="exisc">Datos!$C$6:$C$8</definedName>
    <definedName name="exisc23">Datos!$C$11:$C$12</definedName>
    <definedName name="Gestión_de_Divulgación" localSheetId="0">Datos!$I$2:$I$3</definedName>
    <definedName name="imp">Datos!$B$2:$B$6</definedName>
    <definedName name="ind">Datos!$O$2:$O$4</definedName>
    <definedName name="indicador">Datos!$R$2:$R$3</definedName>
    <definedName name="inst">'CONTEXTO ESTRATEGICO'!$E$7</definedName>
    <definedName name="mproc">Datos!$G$2:$G$22</definedName>
    <definedName name="na">Datos!$AK$3</definedName>
    <definedName name="Ninguno" localSheetId="0">Datos!$H$2</definedName>
    <definedName name="no">Datos!$D$2</definedName>
    <definedName name="noapli">Datos!$R$4</definedName>
    <definedName name="noaplica">Datos!$Q$2</definedName>
    <definedName name="opcmanc">Datos!$AM$3:$AM$5</definedName>
    <definedName name="opcmang">Datos!$AL$3:$AL$8</definedName>
    <definedName name="pcinco">Datos!$K$2:$K$5</definedName>
    <definedName name="pdos">Datos!$I$2:$I$3</definedName>
    <definedName name="pocho">Datos!$M$2:$M$5</definedName>
    <definedName name="pond" localSheetId="21">Datos!#REF!</definedName>
    <definedName name="pond" localSheetId="13">Datos!#REF!</definedName>
    <definedName name="pond" localSheetId="14">Datos!#REF!</definedName>
    <definedName name="pond" localSheetId="19">Datos!#REF!</definedName>
    <definedName name="pond" localSheetId="20">Datos!#REF!</definedName>
    <definedName name="pond" localSheetId="15">Datos!#REF!</definedName>
    <definedName name="pond" localSheetId="16">Datos!#REF!</definedName>
    <definedName name="pond" localSheetId="5">Datos!#REF!</definedName>
    <definedName name="pond" localSheetId="17">Datos!#REF!</definedName>
    <definedName name="pond" localSheetId="18">Datos!#REF!</definedName>
    <definedName name="pond" localSheetId="7">Datos!#REF!</definedName>
    <definedName name="pond" localSheetId="11">Datos!#REF!</definedName>
    <definedName name="pond" localSheetId="12">Datos!#REF!</definedName>
    <definedName name="pond" localSheetId="10">Datos!#REF!</definedName>
    <definedName name="pond" localSheetId="3">Datos!#REF!</definedName>
    <definedName name="pond">Datos!#REF!</definedName>
    <definedName name="poscorrup">Datos!$A$9:$A$10</definedName>
    <definedName name="pquince">Datos!$N$2:$N$7</definedName>
    <definedName name="prob">Datos!$A$2:$A$6</definedName>
    <definedName name="proc">Datos!$G$2:$G$5</definedName>
    <definedName name="pseis">Datos!$L$2:$L$5</definedName>
    <definedName name="ptres">Datos!$J$2:$J$5</definedName>
    <definedName name="puno">Datos!$H$2</definedName>
    <definedName name="resto">Datos!$H$2</definedName>
    <definedName name="segdos">Datos!$T$2:$T$14</definedName>
    <definedName name="segtres">Datos!$U$2:$U$14</definedName>
    <definedName name="seguno">Datos!$S$2:$S$14</definedName>
    <definedName name="si">Datos!$AK$2</definedName>
    <definedName name="tip">Datos!$E$2:$E$3</definedName>
    <definedName name="zona" localSheetId="21">Datos!#REF!</definedName>
    <definedName name="zona" localSheetId="13">Datos!#REF!</definedName>
    <definedName name="zona" localSheetId="14">Datos!#REF!</definedName>
    <definedName name="zona" localSheetId="19">Datos!#REF!</definedName>
    <definedName name="zona" localSheetId="20">Datos!#REF!</definedName>
    <definedName name="zona" localSheetId="15">Datos!#REF!</definedName>
    <definedName name="zona" localSheetId="16">Datos!#REF!</definedName>
    <definedName name="zona" localSheetId="5">Datos!#REF!</definedName>
    <definedName name="zona" localSheetId="17">Datos!#REF!</definedName>
    <definedName name="zona" localSheetId="18">Datos!#REF!</definedName>
    <definedName name="zona" localSheetId="7">Datos!#REF!</definedName>
    <definedName name="zona" localSheetId="11">Datos!#REF!</definedName>
    <definedName name="zona" localSheetId="12">Datos!#REF!</definedName>
    <definedName name="zona" localSheetId="10">Datos!#REF!</definedName>
    <definedName name="zona" localSheetId="3">Datos!#REF!</definedName>
    <definedName name="zona">Datos!#REF!</definedName>
  </definedNames>
  <calcPr calcId="152511"/>
</workbook>
</file>

<file path=xl/calcChain.xml><?xml version="1.0" encoding="utf-8"?>
<calcChain xmlns="http://schemas.openxmlformats.org/spreadsheetml/2006/main">
  <c r="AJ190" i="11" l="1"/>
  <c r="AJ188" i="11"/>
  <c r="AJ185" i="11"/>
  <c r="AJ176" i="11" l="1"/>
  <c r="AJ166" i="11" l="1"/>
  <c r="AJ149" i="11" l="1"/>
  <c r="AJ146" i="11"/>
  <c r="AJ143" i="11"/>
  <c r="AJ140" i="11"/>
  <c r="AJ137" i="11"/>
  <c r="AJ110" i="11" l="1"/>
  <c r="AJ107" i="11"/>
  <c r="AF107" i="11"/>
  <c r="AJ95" i="11"/>
  <c r="AF95" i="11"/>
  <c r="AJ73" i="11" l="1"/>
  <c r="AJ72" i="11"/>
  <c r="AJ37" i="11" l="1"/>
  <c r="AJ36" i="11"/>
  <c r="AJ57" i="11" l="1"/>
  <c r="AJ56" i="11"/>
  <c r="AJ55" i="11"/>
  <c r="AJ54" i="11"/>
  <c r="AJ53" i="11"/>
  <c r="AJ52" i="11"/>
  <c r="AJ51" i="11"/>
  <c r="AJ48" i="11"/>
  <c r="AF48" i="11"/>
  <c r="AJ45" i="11"/>
  <c r="AF45" i="11"/>
  <c r="AJ42" i="11"/>
  <c r="AF42" i="11"/>
  <c r="AJ33" i="11"/>
  <c r="AJ21" i="11"/>
  <c r="AJ18" i="11"/>
  <c r="AJ15" i="11"/>
  <c r="AJ14" i="11"/>
  <c r="AJ13" i="11"/>
  <c r="AJ12" i="11"/>
  <c r="Z166" i="11" l="1"/>
  <c r="Z128" i="11" l="1"/>
  <c r="Z125" i="11"/>
  <c r="Z122" i="11"/>
  <c r="Z9" i="11" l="1"/>
  <c r="Z190" i="11" l="1"/>
  <c r="Z185" i="11"/>
  <c r="Z176" i="11" l="1"/>
  <c r="Z72" i="11" l="1"/>
  <c r="AD96" i="11" l="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95" i="11"/>
  <c r="T96" i="11"/>
  <c r="T97" i="11"/>
  <c r="T98" i="11"/>
  <c r="T99" i="11"/>
  <c r="T100" i="11"/>
  <c r="T101" i="11"/>
  <c r="T102" i="11"/>
  <c r="T103" i="11"/>
  <c r="T104" i="11"/>
  <c r="T105" i="11"/>
  <c r="T106" i="11"/>
  <c r="T107" i="11"/>
  <c r="T108" i="11"/>
  <c r="T109" i="11"/>
  <c r="T110" i="11"/>
  <c r="T111" i="11"/>
  <c r="T112" i="11"/>
  <c r="T113" i="11"/>
  <c r="T114" i="11"/>
  <c r="T115" i="11"/>
  <c r="T116" i="11"/>
  <c r="T117" i="11"/>
  <c r="T118" i="11"/>
  <c r="T119" i="11"/>
  <c r="T120" i="11"/>
  <c r="T121" i="11"/>
  <c r="T122" i="11"/>
  <c r="T123" i="11"/>
  <c r="T124" i="11"/>
  <c r="T125" i="11"/>
  <c r="T126" i="11"/>
  <c r="T127" i="11"/>
  <c r="T128" i="11"/>
  <c r="T129" i="11"/>
  <c r="T130" i="11"/>
  <c r="T131" i="11"/>
  <c r="T132" i="11"/>
  <c r="T133" i="11"/>
  <c r="T134" i="11"/>
  <c r="T135" i="11"/>
  <c r="T136" i="11"/>
  <c r="T137" i="11"/>
  <c r="T138" i="11"/>
  <c r="T139" i="11"/>
  <c r="T140" i="11"/>
  <c r="T141" i="11"/>
  <c r="T142" i="11"/>
  <c r="T143" i="11"/>
  <c r="T144" i="11"/>
  <c r="T145" i="11"/>
  <c r="T146" i="11"/>
  <c r="T147" i="11"/>
  <c r="T148" i="11"/>
  <c r="T149" i="11"/>
  <c r="T150" i="11"/>
  <c r="T151" i="11"/>
  <c r="T152" i="11"/>
  <c r="T153" i="11"/>
  <c r="T154" i="11"/>
  <c r="T155" i="11"/>
  <c r="T156" i="11"/>
  <c r="T157" i="11"/>
  <c r="T158" i="11"/>
  <c r="T159" i="11"/>
  <c r="T160" i="11"/>
  <c r="T161" i="11"/>
  <c r="T162" i="11"/>
  <c r="T163" i="11"/>
  <c r="T164" i="11"/>
  <c r="T165" i="11"/>
  <c r="T166" i="11"/>
  <c r="T167" i="11"/>
  <c r="T168" i="11"/>
  <c r="T169" i="11"/>
  <c r="T170" i="11"/>
  <c r="T171" i="11"/>
  <c r="T172" i="11"/>
  <c r="T173" i="11"/>
  <c r="T174" i="11"/>
  <c r="T175" i="11"/>
  <c r="T176" i="11"/>
  <c r="T177" i="11"/>
  <c r="T178" i="11"/>
  <c r="T179" i="11"/>
  <c r="T180" i="11"/>
  <c r="T181" i="11"/>
  <c r="T182" i="11"/>
  <c r="T183" i="11"/>
  <c r="T184" i="11"/>
  <c r="T185" i="11"/>
  <c r="T186" i="11"/>
  <c r="T187" i="11"/>
  <c r="T188" i="11"/>
  <c r="T189" i="11"/>
  <c r="T190" i="11"/>
  <c r="T191" i="11"/>
  <c r="T192" i="11"/>
  <c r="T193" i="11"/>
  <c r="T194" i="11"/>
  <c r="T195" i="11"/>
  <c r="T196" i="11"/>
  <c r="T95" i="11"/>
  <c r="Z56" i="11" l="1"/>
  <c r="Z55" i="11"/>
  <c r="AD10" i="11" l="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 i="11"/>
  <c r="T197" i="11"/>
  <c r="T198" i="11"/>
  <c r="T10" i="11"/>
  <c r="T11" i="11"/>
  <c r="T12" i="11"/>
  <c r="T13" i="1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T62" i="11"/>
  <c r="T63" i="11"/>
  <c r="T64"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10" i="11"/>
  <c r="J11"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93" i="11"/>
  <c r="B8" i="28" l="1"/>
  <c r="B8" i="25"/>
  <c r="L11" i="27"/>
  <c r="L10" i="27"/>
  <c r="H11" i="27"/>
  <c r="H10" i="27"/>
  <c r="C11" i="27"/>
  <c r="C10" i="27"/>
  <c r="B8" i="27"/>
  <c r="L13" i="19"/>
  <c r="L12" i="19"/>
  <c r="L11" i="19"/>
  <c r="L10" i="19"/>
  <c r="L14" i="19"/>
  <c r="K14" i="19"/>
  <c r="K13" i="19"/>
  <c r="K12" i="19"/>
  <c r="K11" i="19"/>
  <c r="K10" i="19"/>
  <c r="J14" i="19"/>
  <c r="J13" i="19"/>
  <c r="J12" i="19"/>
  <c r="J11" i="19"/>
  <c r="J10" i="19"/>
  <c r="I14" i="19"/>
  <c r="I13" i="19"/>
  <c r="I12" i="19"/>
  <c r="I11" i="19"/>
  <c r="I10" i="19"/>
  <c r="H14" i="19"/>
  <c r="H13" i="19"/>
  <c r="H12" i="19"/>
  <c r="H11" i="19"/>
  <c r="H10" i="19"/>
  <c r="D14" i="19"/>
  <c r="D13" i="19"/>
  <c r="D12" i="19"/>
  <c r="D11" i="19"/>
  <c r="D10" i="19"/>
  <c r="C14" i="19"/>
  <c r="C13" i="19"/>
  <c r="C12" i="19"/>
  <c r="C11" i="19"/>
  <c r="C10" i="19"/>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G65" i="5"/>
  <c r="AG64" i="5"/>
  <c r="AG63" i="5"/>
  <c r="AG62" i="5"/>
  <c r="AG61" i="5"/>
  <c r="AG60" i="5"/>
  <c r="AG59" i="5"/>
  <c r="AG58" i="5"/>
  <c r="AG57" i="5"/>
  <c r="AG56" i="5"/>
  <c r="AG55" i="5"/>
  <c r="AG54" i="5"/>
  <c r="AG53" i="5"/>
  <c r="AG52" i="5"/>
  <c r="AG51" i="5"/>
  <c r="AG50" i="5"/>
  <c r="AG49" i="5"/>
  <c r="AG48" i="5"/>
  <c r="AG47" i="5"/>
  <c r="AG46" i="5"/>
  <c r="AG45" i="5"/>
  <c r="AG44" i="5"/>
  <c r="AG43" i="5"/>
  <c r="AG42" i="5"/>
  <c r="AG41" i="5"/>
  <c r="AG40" i="5"/>
  <c r="AG39" i="5"/>
  <c r="AG38" i="5"/>
  <c r="AG37" i="5"/>
  <c r="AG36" i="5"/>
  <c r="AI30" i="5"/>
  <c r="AI29" i="5"/>
  <c r="AI28" i="5"/>
  <c r="AI27" i="5"/>
  <c r="AI26" i="5"/>
  <c r="AI25" i="5"/>
  <c r="AI24" i="5"/>
  <c r="AI23" i="5"/>
  <c r="AI22" i="5"/>
  <c r="AI21" i="5"/>
  <c r="AI20" i="5"/>
  <c r="AI19" i="5"/>
  <c r="AI18" i="5"/>
  <c r="AI17" i="5"/>
  <c r="AI16" i="5"/>
  <c r="AI15" i="5"/>
  <c r="AI14" i="5"/>
  <c r="AI13" i="5"/>
  <c r="AH30" i="5"/>
  <c r="AH29" i="5"/>
  <c r="AH28" i="5"/>
  <c r="AH27" i="5"/>
  <c r="AH26" i="5"/>
  <c r="AH25" i="5"/>
  <c r="AH24" i="5"/>
  <c r="AH23" i="5"/>
  <c r="AH22" i="5"/>
  <c r="AH21" i="5"/>
  <c r="AH20" i="5"/>
  <c r="AH19" i="5"/>
  <c r="AH18" i="5"/>
  <c r="AH17" i="5"/>
  <c r="AH16" i="5"/>
  <c r="AH15" i="5"/>
  <c r="AH14" i="5"/>
  <c r="AH13" i="5"/>
  <c r="AG12" i="5"/>
  <c r="AG30" i="5"/>
  <c r="AG29" i="5"/>
  <c r="AG28" i="5"/>
  <c r="AG27" i="5"/>
  <c r="AG26" i="5"/>
  <c r="AG25" i="5"/>
  <c r="AG24" i="5"/>
  <c r="AG23" i="5"/>
  <c r="AG22" i="5"/>
  <c r="AG21" i="5"/>
  <c r="AG20" i="5"/>
  <c r="AG19" i="5"/>
  <c r="AG18" i="5"/>
  <c r="AG17" i="5"/>
  <c r="AG16" i="5"/>
  <c r="AG15" i="5"/>
  <c r="AG14" i="5"/>
  <c r="AG13" i="5"/>
  <c r="U10" i="26"/>
  <c r="U11" i="26"/>
  <c r="T11" i="26"/>
  <c r="T10" i="26"/>
  <c r="R11" i="26"/>
  <c r="R10" i="26"/>
  <c r="Q11" i="26"/>
  <c r="Q10" i="26"/>
  <c r="O11" i="26"/>
  <c r="O10" i="26"/>
  <c r="N11" i="26"/>
  <c r="N10" i="26"/>
  <c r="L11" i="26"/>
  <c r="L10" i="26"/>
  <c r="K11" i="26"/>
  <c r="K10" i="26"/>
  <c r="I11" i="26"/>
  <c r="I10" i="26"/>
  <c r="H11" i="26"/>
  <c r="H10" i="26"/>
  <c r="F11" i="26"/>
  <c r="F10" i="26"/>
  <c r="D11" i="26"/>
  <c r="D10" i="26"/>
  <c r="C11" i="26"/>
  <c r="C10" i="26"/>
  <c r="B8" i="26"/>
  <c r="BM8" i="8"/>
  <c r="BL8" i="8"/>
  <c r="BK8" i="8"/>
  <c r="BJ8" i="8"/>
  <c r="BI8" i="8"/>
  <c r="BH8" i="8"/>
  <c r="BG8" i="8"/>
  <c r="BF8" i="8"/>
  <c r="BE8" i="8"/>
  <c r="BD8" i="8"/>
  <c r="BC8" i="8"/>
  <c r="BB8" i="8"/>
  <c r="BM6" i="8"/>
  <c r="BL6" i="8"/>
  <c r="BK6" i="8"/>
  <c r="BJ6" i="8"/>
  <c r="BI6" i="8"/>
  <c r="BH6" i="8"/>
  <c r="BG6" i="8"/>
  <c r="BF6" i="8"/>
  <c r="BE6" i="8"/>
  <c r="BD6" i="8"/>
  <c r="BC6" i="8"/>
  <c r="BB6" i="8"/>
  <c r="BB3" i="8"/>
  <c r="BC3" i="8"/>
  <c r="BD3" i="8"/>
  <c r="A14" i="24"/>
  <c r="B14" i="24"/>
  <c r="A15" i="24"/>
  <c r="B15" i="24"/>
  <c r="A16" i="24"/>
  <c r="B16" i="24"/>
  <c r="A17" i="24"/>
  <c r="B17" i="24"/>
  <c r="A18" i="24"/>
  <c r="B18" i="24"/>
  <c r="A19" i="24"/>
  <c r="B19" i="24"/>
  <c r="A20" i="24"/>
  <c r="B20" i="24"/>
  <c r="A21" i="24"/>
  <c r="B21" i="24"/>
  <c r="A22" i="24"/>
  <c r="B22" i="24"/>
  <c r="A23" i="24"/>
  <c r="B23" i="24"/>
  <c r="A24" i="24"/>
  <c r="B24" i="24"/>
  <c r="A25" i="24"/>
  <c r="B25" i="24"/>
  <c r="A26" i="24"/>
  <c r="B26" i="24"/>
  <c r="A27" i="24"/>
  <c r="B27" i="24"/>
  <c r="A28" i="24"/>
  <c r="B28" i="24"/>
  <c r="A29" i="24"/>
  <c r="B29" i="24"/>
  <c r="A30" i="24"/>
  <c r="B30" i="24"/>
  <c r="A31" i="24"/>
  <c r="B31" i="24"/>
  <c r="A32" i="24"/>
  <c r="B32" i="24"/>
  <c r="A33" i="24"/>
  <c r="B33" i="24"/>
  <c r="A34" i="24"/>
  <c r="B34" i="24"/>
  <c r="A35" i="24"/>
  <c r="B35" i="24"/>
  <c r="A36" i="24"/>
  <c r="B36" i="24"/>
  <c r="A37" i="24"/>
  <c r="B37" i="24"/>
  <c r="A38" i="24"/>
  <c r="B38" i="24"/>
  <c r="A39" i="24"/>
  <c r="B39" i="24"/>
  <c r="A40" i="24"/>
  <c r="B40" i="24"/>
  <c r="A41" i="24"/>
  <c r="B41" i="24"/>
  <c r="A42" i="24"/>
  <c r="B42" i="24"/>
  <c r="A19" i="16"/>
  <c r="B19" i="16"/>
  <c r="A20" i="16"/>
  <c r="B20" i="16"/>
  <c r="A21" i="16"/>
  <c r="B21" i="16"/>
  <c r="A22" i="16"/>
  <c r="B22" i="16"/>
  <c r="A23" i="16"/>
  <c r="B23" i="16"/>
  <c r="A24" i="16"/>
  <c r="B24" i="16"/>
  <c r="A25" i="16"/>
  <c r="B25" i="16"/>
  <c r="A26" i="16"/>
  <c r="B26" i="16"/>
  <c r="A27" i="16"/>
  <c r="B27" i="16"/>
  <c r="A28" i="16"/>
  <c r="B28" i="16"/>
  <c r="A29" i="16"/>
  <c r="B29" i="16"/>
  <c r="A30" i="16"/>
  <c r="B30" i="16"/>
  <c r="A31" i="16"/>
  <c r="B31" i="16"/>
  <c r="A32" i="16"/>
  <c r="B32" i="16"/>
  <c r="A33" i="16"/>
  <c r="B33" i="16"/>
  <c r="A34" i="16"/>
  <c r="B34" i="16"/>
  <c r="A35" i="16"/>
  <c r="B35" i="16"/>
  <c r="A36" i="16"/>
  <c r="B36" i="16"/>
  <c r="A14" i="23"/>
  <c r="B14" i="23"/>
  <c r="A15" i="23"/>
  <c r="B15" i="23"/>
  <c r="A16" i="23"/>
  <c r="B16" i="23"/>
  <c r="A17" i="23"/>
  <c r="B17" i="23"/>
  <c r="A18" i="23"/>
  <c r="B18" i="23"/>
  <c r="A19" i="23"/>
  <c r="B19" i="23"/>
  <c r="A20" i="23"/>
  <c r="B20" i="23"/>
  <c r="A21" i="23"/>
  <c r="B21" i="23"/>
  <c r="A22" i="23"/>
  <c r="B22" i="23"/>
  <c r="A23" i="23"/>
  <c r="B23" i="23"/>
  <c r="A24" i="23"/>
  <c r="B24" i="23"/>
  <c r="A25" i="23"/>
  <c r="B25" i="23"/>
  <c r="A26" i="23"/>
  <c r="B26" i="23"/>
  <c r="A27" i="23"/>
  <c r="B27" i="23"/>
  <c r="A28" i="23"/>
  <c r="B28" i="23"/>
  <c r="A29" i="23"/>
  <c r="B29" i="23"/>
  <c r="A30" i="23"/>
  <c r="B30" i="23"/>
  <c r="A31" i="23"/>
  <c r="B31" i="23"/>
  <c r="A32" i="23"/>
  <c r="B32" i="23"/>
  <c r="A33" i="23"/>
  <c r="B33" i="23"/>
  <c r="A34" i="23"/>
  <c r="B34" i="23"/>
  <c r="A35" i="23"/>
  <c r="B35" i="23"/>
  <c r="A36" i="23"/>
  <c r="B36" i="23"/>
  <c r="A37" i="23"/>
  <c r="B37" i="23"/>
  <c r="A38" i="23"/>
  <c r="B38" i="23"/>
  <c r="A39" i="23"/>
  <c r="B39" i="23"/>
  <c r="A40" i="23"/>
  <c r="B40" i="23"/>
  <c r="A41" i="23"/>
  <c r="B41" i="23"/>
  <c r="A42" i="23"/>
  <c r="B42" i="23"/>
  <c r="AR107" i="11" l="1"/>
  <c r="AR110" i="11"/>
  <c r="AR131" i="11"/>
  <c r="AR134" i="11"/>
  <c r="AR137" i="11"/>
  <c r="C23" i="23" s="1"/>
  <c r="C23" i="24" s="1"/>
  <c r="AR140" i="11"/>
  <c r="AR143" i="11"/>
  <c r="AR146" i="11"/>
  <c r="C26" i="23" s="1"/>
  <c r="C26" i="24" s="1"/>
  <c r="AR149" i="11"/>
  <c r="C27" i="23" s="1"/>
  <c r="C27" i="24" s="1"/>
  <c r="AR155" i="11"/>
  <c r="AR158" i="11"/>
  <c r="AR161" i="11"/>
  <c r="AR173" i="11"/>
  <c r="AR176" i="11"/>
  <c r="AR185" i="11"/>
  <c r="C39" i="23" s="1"/>
  <c r="C39" i="24" s="1"/>
  <c r="AR95" i="11"/>
  <c r="AR15" i="11"/>
  <c r="AR18" i="11"/>
  <c r="AR21" i="11"/>
  <c r="AR33" i="11"/>
  <c r="AR36" i="11"/>
  <c r="AR51" i="11"/>
  <c r="C23" i="15" s="1"/>
  <c r="C23" i="16" s="1"/>
  <c r="AR54" i="11"/>
  <c r="C24" i="15" s="1"/>
  <c r="C24" i="16" s="1"/>
  <c r="AR57" i="11"/>
  <c r="C25" i="15" s="1"/>
  <c r="C25" i="16" s="1"/>
  <c r="AR72" i="11"/>
  <c r="C30" i="15" s="1"/>
  <c r="C30" i="16" s="1"/>
  <c r="AR75" i="11"/>
  <c r="C31" i="15" s="1"/>
  <c r="C31" i="16" s="1"/>
  <c r="AR78" i="11"/>
  <c r="C32" i="15" s="1"/>
  <c r="C32" i="16" s="1"/>
  <c r="AR81" i="11"/>
  <c r="C33" i="15" s="1"/>
  <c r="C33" i="16" s="1"/>
  <c r="AR84" i="11"/>
  <c r="C34" i="15" s="1"/>
  <c r="C34" i="16" s="1"/>
  <c r="N9" i="11"/>
  <c r="A33" i="15"/>
  <c r="B33" i="15"/>
  <c r="A34" i="15"/>
  <c r="B34" i="15"/>
  <c r="A35" i="15"/>
  <c r="B35" i="15"/>
  <c r="A36" i="15"/>
  <c r="B36" i="15"/>
  <c r="A19" i="15"/>
  <c r="B19" i="15"/>
  <c r="A20" i="15"/>
  <c r="B20" i="15"/>
  <c r="A21" i="15"/>
  <c r="B21" i="15"/>
  <c r="A22" i="15"/>
  <c r="B22" i="15"/>
  <c r="A23" i="15"/>
  <c r="B23" i="15"/>
  <c r="A24" i="15"/>
  <c r="B24" i="15"/>
  <c r="A25" i="15"/>
  <c r="B25" i="15"/>
  <c r="A26" i="15"/>
  <c r="B26" i="15"/>
  <c r="A27" i="15"/>
  <c r="B27" i="15"/>
  <c r="A28" i="15"/>
  <c r="B28" i="15"/>
  <c r="A29" i="15"/>
  <c r="B29" i="15"/>
  <c r="A30" i="15"/>
  <c r="B30" i="15"/>
  <c r="A31" i="15"/>
  <c r="B31" i="15"/>
  <c r="A32" i="15"/>
  <c r="B32" i="15"/>
  <c r="A108" i="22"/>
  <c r="B108" i="22"/>
  <c r="C108" i="22"/>
  <c r="D108" i="22"/>
  <c r="E108" i="22"/>
  <c r="F108" i="22"/>
  <c r="G108" i="22"/>
  <c r="C109" i="22"/>
  <c r="D109" i="22"/>
  <c r="E109" i="22"/>
  <c r="F109" i="22"/>
  <c r="G109" i="22"/>
  <c r="C110" i="22"/>
  <c r="D110" i="22"/>
  <c r="E110" i="22"/>
  <c r="F110" i="22"/>
  <c r="G110" i="22"/>
  <c r="A24" i="22"/>
  <c r="B24" i="22"/>
  <c r="C24" i="22"/>
  <c r="D24" i="22"/>
  <c r="E24" i="22"/>
  <c r="F24" i="22"/>
  <c r="G24" i="22"/>
  <c r="C25" i="22"/>
  <c r="D25" i="22"/>
  <c r="E25" i="22"/>
  <c r="F25" i="22"/>
  <c r="G25" i="22"/>
  <c r="C26" i="22"/>
  <c r="D26" i="22"/>
  <c r="E26" i="22"/>
  <c r="F26" i="22"/>
  <c r="G26" i="22"/>
  <c r="A27" i="22"/>
  <c r="B27" i="22"/>
  <c r="C27" i="22"/>
  <c r="D27" i="22"/>
  <c r="E27" i="22"/>
  <c r="F27" i="22"/>
  <c r="G27" i="22"/>
  <c r="C28" i="22"/>
  <c r="D28" i="22"/>
  <c r="E28" i="22"/>
  <c r="F28" i="22"/>
  <c r="G28" i="22"/>
  <c r="C29" i="22"/>
  <c r="D29" i="22"/>
  <c r="E29" i="22"/>
  <c r="F29" i="22"/>
  <c r="G29" i="22"/>
  <c r="A30" i="22"/>
  <c r="B30" i="22"/>
  <c r="C30" i="22"/>
  <c r="D30" i="22"/>
  <c r="E30" i="22"/>
  <c r="F30" i="22"/>
  <c r="G30" i="22"/>
  <c r="C31" i="22"/>
  <c r="D31" i="22"/>
  <c r="E31" i="22"/>
  <c r="F31" i="22"/>
  <c r="G31" i="22"/>
  <c r="C32" i="22"/>
  <c r="D32" i="22"/>
  <c r="E32" i="22"/>
  <c r="F32" i="22"/>
  <c r="G32" i="22"/>
  <c r="A33" i="22"/>
  <c r="B33" i="22"/>
  <c r="C33" i="22"/>
  <c r="D33" i="22"/>
  <c r="E33" i="22"/>
  <c r="F33" i="22"/>
  <c r="G33" i="22"/>
  <c r="C34" i="22"/>
  <c r="D34" i="22"/>
  <c r="E34" i="22"/>
  <c r="F34" i="22"/>
  <c r="G34" i="22"/>
  <c r="C35" i="22"/>
  <c r="D35" i="22"/>
  <c r="E35" i="22"/>
  <c r="F35" i="22"/>
  <c r="G35" i="22"/>
  <c r="A36" i="22"/>
  <c r="B36" i="22"/>
  <c r="C36" i="22"/>
  <c r="D36" i="22"/>
  <c r="E36" i="22"/>
  <c r="F36" i="22"/>
  <c r="G36" i="22"/>
  <c r="C37" i="22"/>
  <c r="D37" i="22"/>
  <c r="E37" i="22"/>
  <c r="F37" i="22"/>
  <c r="G37" i="22"/>
  <c r="C38" i="22"/>
  <c r="D38" i="22"/>
  <c r="E38" i="22"/>
  <c r="F38" i="22"/>
  <c r="G38" i="22"/>
  <c r="A39" i="22"/>
  <c r="B39" i="22"/>
  <c r="C39" i="22"/>
  <c r="D39" i="22"/>
  <c r="E39" i="22"/>
  <c r="F39" i="22"/>
  <c r="G39" i="22"/>
  <c r="C40" i="22"/>
  <c r="D40" i="22"/>
  <c r="E40" i="22"/>
  <c r="F40" i="22"/>
  <c r="G40" i="22"/>
  <c r="C41" i="22"/>
  <c r="D41" i="22"/>
  <c r="E41" i="22"/>
  <c r="F41" i="22"/>
  <c r="G41" i="22"/>
  <c r="A42" i="22"/>
  <c r="B42" i="22"/>
  <c r="C42" i="22"/>
  <c r="D42" i="22"/>
  <c r="E42" i="22"/>
  <c r="F42" i="22"/>
  <c r="G42" i="22"/>
  <c r="C43" i="22"/>
  <c r="D43" i="22"/>
  <c r="E43" i="22"/>
  <c r="F43" i="22"/>
  <c r="G43" i="22"/>
  <c r="C44" i="22"/>
  <c r="D44" i="22"/>
  <c r="E44" i="22"/>
  <c r="F44" i="22"/>
  <c r="G44" i="22"/>
  <c r="A45" i="22"/>
  <c r="B45" i="22"/>
  <c r="C45" i="22"/>
  <c r="D45" i="22"/>
  <c r="E45" i="22"/>
  <c r="F45" i="22"/>
  <c r="G45" i="22"/>
  <c r="C46" i="22"/>
  <c r="D46" i="22"/>
  <c r="E46" i="22"/>
  <c r="F46" i="22"/>
  <c r="G46" i="22"/>
  <c r="C47" i="22"/>
  <c r="D47" i="22"/>
  <c r="E47" i="22"/>
  <c r="F47" i="22"/>
  <c r="G47" i="22"/>
  <c r="A48" i="22"/>
  <c r="B48" i="22"/>
  <c r="C48" i="22"/>
  <c r="D48" i="22"/>
  <c r="E48" i="22"/>
  <c r="F48" i="22"/>
  <c r="G48" i="22"/>
  <c r="C49" i="22"/>
  <c r="D49" i="22"/>
  <c r="E49" i="22"/>
  <c r="F49" i="22"/>
  <c r="G49" i="22"/>
  <c r="C50" i="22"/>
  <c r="D50" i="22"/>
  <c r="E50" i="22"/>
  <c r="F50" i="22"/>
  <c r="G50" i="22"/>
  <c r="A51" i="22"/>
  <c r="B51" i="22"/>
  <c r="C51" i="22"/>
  <c r="D51" i="22"/>
  <c r="E51" i="22"/>
  <c r="F51" i="22"/>
  <c r="G51" i="22"/>
  <c r="C52" i="22"/>
  <c r="D52" i="22"/>
  <c r="E52" i="22"/>
  <c r="F52" i="22"/>
  <c r="G52" i="22"/>
  <c r="C53" i="22"/>
  <c r="D53" i="22"/>
  <c r="E53" i="22"/>
  <c r="F53" i="22"/>
  <c r="G53" i="22"/>
  <c r="A54" i="22"/>
  <c r="B54" i="22"/>
  <c r="C54" i="22"/>
  <c r="D54" i="22"/>
  <c r="E54" i="22"/>
  <c r="F54" i="22"/>
  <c r="G54" i="22"/>
  <c r="C55" i="22"/>
  <c r="D55" i="22"/>
  <c r="E55" i="22"/>
  <c r="F55" i="22"/>
  <c r="G55" i="22"/>
  <c r="C56" i="22"/>
  <c r="D56" i="22"/>
  <c r="E56" i="22"/>
  <c r="F56" i="22"/>
  <c r="G56" i="22"/>
  <c r="A57" i="22"/>
  <c r="B57" i="22"/>
  <c r="C57" i="22"/>
  <c r="D57" i="22"/>
  <c r="E57" i="22"/>
  <c r="F57" i="22"/>
  <c r="G57" i="22"/>
  <c r="C58" i="22"/>
  <c r="D58" i="22"/>
  <c r="E58" i="22"/>
  <c r="F58" i="22"/>
  <c r="G58" i="22"/>
  <c r="C59" i="22"/>
  <c r="D59" i="22"/>
  <c r="E59" i="22"/>
  <c r="F59" i="22"/>
  <c r="G59" i="22"/>
  <c r="A60" i="22"/>
  <c r="B60" i="22"/>
  <c r="C60" i="22"/>
  <c r="D60" i="22"/>
  <c r="E60" i="22"/>
  <c r="F60" i="22"/>
  <c r="G60" i="22"/>
  <c r="C61" i="22"/>
  <c r="D61" i="22"/>
  <c r="E61" i="22"/>
  <c r="F61" i="22"/>
  <c r="G61" i="22"/>
  <c r="C62" i="22"/>
  <c r="D62" i="22"/>
  <c r="E62" i="22"/>
  <c r="F62" i="22"/>
  <c r="G62" i="22"/>
  <c r="A63" i="22"/>
  <c r="B63" i="22"/>
  <c r="C63" i="22"/>
  <c r="D63" i="22"/>
  <c r="E63" i="22"/>
  <c r="F63" i="22"/>
  <c r="G63" i="22"/>
  <c r="C64" i="22"/>
  <c r="D64" i="22"/>
  <c r="E64" i="22"/>
  <c r="F64" i="22"/>
  <c r="G64" i="22"/>
  <c r="C65" i="22"/>
  <c r="D65" i="22"/>
  <c r="E65" i="22"/>
  <c r="F65" i="22"/>
  <c r="G65" i="22"/>
  <c r="A66" i="22"/>
  <c r="B66" i="22"/>
  <c r="C66" i="22"/>
  <c r="D66" i="22"/>
  <c r="E66" i="22"/>
  <c r="F66" i="22"/>
  <c r="G66" i="22"/>
  <c r="C67" i="22"/>
  <c r="D67" i="22"/>
  <c r="E67" i="22"/>
  <c r="F67" i="22"/>
  <c r="G67" i="22"/>
  <c r="C68" i="22"/>
  <c r="D68" i="22"/>
  <c r="E68" i="22"/>
  <c r="F68" i="22"/>
  <c r="G68" i="22"/>
  <c r="A69" i="22"/>
  <c r="B69" i="22"/>
  <c r="C69" i="22"/>
  <c r="D69" i="22"/>
  <c r="E69" i="22"/>
  <c r="F69" i="22"/>
  <c r="G69" i="22"/>
  <c r="C70" i="22"/>
  <c r="D70" i="22"/>
  <c r="E70" i="22"/>
  <c r="F70" i="22"/>
  <c r="G70" i="22"/>
  <c r="C71" i="22"/>
  <c r="D71" i="22"/>
  <c r="E71" i="22"/>
  <c r="F71" i="22"/>
  <c r="G71" i="22"/>
  <c r="A72" i="22"/>
  <c r="B72" i="22"/>
  <c r="C72" i="22"/>
  <c r="D72" i="22"/>
  <c r="E72" i="22"/>
  <c r="F72" i="22"/>
  <c r="G72" i="22"/>
  <c r="C73" i="22"/>
  <c r="D73" i="22"/>
  <c r="E73" i="22"/>
  <c r="F73" i="22"/>
  <c r="G73" i="22"/>
  <c r="C74" i="22"/>
  <c r="D74" i="22"/>
  <c r="E74" i="22"/>
  <c r="F74" i="22"/>
  <c r="G74" i="22"/>
  <c r="A75" i="22"/>
  <c r="B75" i="22"/>
  <c r="C75" i="22"/>
  <c r="D75" i="22"/>
  <c r="E75" i="22"/>
  <c r="F75" i="22"/>
  <c r="G75" i="22"/>
  <c r="C76" i="22"/>
  <c r="D76" i="22"/>
  <c r="E76" i="22"/>
  <c r="F76" i="22"/>
  <c r="G76" i="22"/>
  <c r="C77" i="22"/>
  <c r="D77" i="22"/>
  <c r="E77" i="22"/>
  <c r="F77" i="22"/>
  <c r="G77" i="22"/>
  <c r="A78" i="22"/>
  <c r="B78" i="22"/>
  <c r="C78" i="22"/>
  <c r="D78" i="22"/>
  <c r="E78" i="22"/>
  <c r="F78" i="22"/>
  <c r="G78" i="22"/>
  <c r="C79" i="22"/>
  <c r="D79" i="22"/>
  <c r="E79" i="22"/>
  <c r="F79" i="22"/>
  <c r="G79" i="22"/>
  <c r="C80" i="22"/>
  <c r="D80" i="22"/>
  <c r="E80" i="22"/>
  <c r="F80" i="22"/>
  <c r="G80" i="22"/>
  <c r="A81" i="22"/>
  <c r="B81" i="22"/>
  <c r="C81" i="22"/>
  <c r="D81" i="22"/>
  <c r="E81" i="22"/>
  <c r="F81" i="22"/>
  <c r="G81" i="22"/>
  <c r="C82" i="22"/>
  <c r="D82" i="22"/>
  <c r="E82" i="22"/>
  <c r="F82" i="22"/>
  <c r="G82" i="22"/>
  <c r="C83" i="22"/>
  <c r="D83" i="22"/>
  <c r="E83" i="22"/>
  <c r="F83" i="22"/>
  <c r="G83" i="22"/>
  <c r="A84" i="22"/>
  <c r="B84" i="22"/>
  <c r="C84" i="22"/>
  <c r="D84" i="22"/>
  <c r="E84" i="22"/>
  <c r="F84" i="22"/>
  <c r="G84" i="22"/>
  <c r="C85" i="22"/>
  <c r="D85" i="22"/>
  <c r="E85" i="22"/>
  <c r="F85" i="22"/>
  <c r="G85" i="22"/>
  <c r="C86" i="22"/>
  <c r="D86" i="22"/>
  <c r="E86" i="22"/>
  <c r="F86" i="22"/>
  <c r="G86" i="22"/>
  <c r="A87" i="22"/>
  <c r="B87" i="22"/>
  <c r="C87" i="22"/>
  <c r="D87" i="22"/>
  <c r="E87" i="22"/>
  <c r="F87" i="22"/>
  <c r="G87" i="22"/>
  <c r="C88" i="22"/>
  <c r="D88" i="22"/>
  <c r="E88" i="22"/>
  <c r="F88" i="22"/>
  <c r="G88" i="22"/>
  <c r="C89" i="22"/>
  <c r="D89" i="22"/>
  <c r="E89" i="22"/>
  <c r="F89" i="22"/>
  <c r="G89" i="22"/>
  <c r="A90" i="22"/>
  <c r="B90" i="22"/>
  <c r="C90" i="22"/>
  <c r="D90" i="22"/>
  <c r="E90" i="22"/>
  <c r="F90" i="22"/>
  <c r="G90" i="22"/>
  <c r="C91" i="22"/>
  <c r="D91" i="22"/>
  <c r="E91" i="22"/>
  <c r="F91" i="22"/>
  <c r="G91" i="22"/>
  <c r="C92" i="22"/>
  <c r="D92" i="22"/>
  <c r="E92" i="22"/>
  <c r="F92" i="22"/>
  <c r="G92" i="22"/>
  <c r="A93" i="22"/>
  <c r="B93" i="22"/>
  <c r="C93" i="22"/>
  <c r="D93" i="22"/>
  <c r="E93" i="22"/>
  <c r="F93" i="22"/>
  <c r="G93" i="22"/>
  <c r="C94" i="22"/>
  <c r="D94" i="22"/>
  <c r="E94" i="22"/>
  <c r="F94" i="22"/>
  <c r="G94" i="22"/>
  <c r="C95" i="22"/>
  <c r="D95" i="22"/>
  <c r="E95" i="22"/>
  <c r="F95" i="22"/>
  <c r="G95" i="22"/>
  <c r="A96" i="22"/>
  <c r="B96" i="22"/>
  <c r="C96" i="22"/>
  <c r="D96" i="22"/>
  <c r="E96" i="22"/>
  <c r="F96" i="22"/>
  <c r="G96" i="22"/>
  <c r="C97" i="22"/>
  <c r="D97" i="22"/>
  <c r="E97" i="22"/>
  <c r="F97" i="22"/>
  <c r="G97" i="22"/>
  <c r="C98" i="22"/>
  <c r="D98" i="22"/>
  <c r="E98" i="22"/>
  <c r="F98" i="22"/>
  <c r="G98" i="22"/>
  <c r="A99" i="22"/>
  <c r="B99" i="22"/>
  <c r="C99" i="22"/>
  <c r="D99" i="22"/>
  <c r="E99" i="22"/>
  <c r="F99" i="22"/>
  <c r="G99" i="22"/>
  <c r="C100" i="22"/>
  <c r="D100" i="22"/>
  <c r="E100" i="22"/>
  <c r="F100" i="22"/>
  <c r="G100" i="22"/>
  <c r="C101" i="22"/>
  <c r="D101" i="22"/>
  <c r="E101" i="22"/>
  <c r="F101" i="22"/>
  <c r="G101" i="22"/>
  <c r="A102" i="22"/>
  <c r="B102" i="22"/>
  <c r="C102" i="22"/>
  <c r="D102" i="22"/>
  <c r="E102" i="22"/>
  <c r="F102" i="22"/>
  <c r="G102" i="22"/>
  <c r="C103" i="22"/>
  <c r="D103" i="22"/>
  <c r="E103" i="22"/>
  <c r="F103" i="22"/>
  <c r="G103" i="22"/>
  <c r="C104" i="22"/>
  <c r="D104" i="22"/>
  <c r="E104" i="22"/>
  <c r="F104" i="22"/>
  <c r="G104" i="22"/>
  <c r="A105" i="22"/>
  <c r="B105" i="22"/>
  <c r="C105" i="22"/>
  <c r="D105" i="22"/>
  <c r="E105" i="22"/>
  <c r="F105" i="22"/>
  <c r="G105" i="22"/>
  <c r="C106" i="22"/>
  <c r="D106" i="22"/>
  <c r="E106" i="22"/>
  <c r="F106" i="22"/>
  <c r="G106" i="22"/>
  <c r="C107" i="22"/>
  <c r="D107" i="22"/>
  <c r="E107" i="22"/>
  <c r="F107" i="22"/>
  <c r="G107" i="22"/>
  <c r="H63" i="22" l="1"/>
  <c r="H60" i="22"/>
  <c r="H51" i="22"/>
  <c r="C30" i="23"/>
  <c r="C30" i="24" s="1"/>
  <c r="H72" i="22"/>
  <c r="C14" i="23"/>
  <c r="C14" i="24" s="1"/>
  <c r="H24" i="22"/>
  <c r="C35" i="23"/>
  <c r="C35" i="24" s="1"/>
  <c r="H87" i="22"/>
  <c r="H99" i="22"/>
  <c r="C31" i="23"/>
  <c r="C31" i="24" s="1"/>
  <c r="H75" i="22"/>
  <c r="C22" i="23"/>
  <c r="C22" i="24" s="1"/>
  <c r="H48" i="22"/>
  <c r="H69" i="22"/>
  <c r="C29" i="23"/>
  <c r="C29" i="24" s="1"/>
  <c r="H57" i="22"/>
  <c r="C25" i="23"/>
  <c r="C25" i="24" s="1"/>
  <c r="H45" i="22"/>
  <c r="C21" i="23"/>
  <c r="C21" i="24" s="1"/>
  <c r="H90" i="22"/>
  <c r="C36" i="23"/>
  <c r="C36" i="24" s="1"/>
  <c r="H54" i="22"/>
  <c r="C24" i="23"/>
  <c r="C24" i="24" s="1"/>
  <c r="A39" i="12"/>
  <c r="B39" i="12"/>
  <c r="C39" i="12"/>
  <c r="D39" i="12"/>
  <c r="E39" i="12"/>
  <c r="F39" i="12"/>
  <c r="G39" i="12"/>
  <c r="I39" i="12"/>
  <c r="C40" i="12"/>
  <c r="D40" i="12"/>
  <c r="E40" i="12"/>
  <c r="F40" i="12"/>
  <c r="G40" i="12"/>
  <c r="C41" i="12"/>
  <c r="D41" i="12"/>
  <c r="E41" i="12"/>
  <c r="F41" i="12"/>
  <c r="G41" i="12"/>
  <c r="I41" i="12"/>
  <c r="A42" i="12"/>
  <c r="B42" i="12"/>
  <c r="C42" i="12"/>
  <c r="D42" i="12"/>
  <c r="E42" i="12"/>
  <c r="F42" i="12"/>
  <c r="G42" i="12"/>
  <c r="C43" i="12"/>
  <c r="D43" i="12"/>
  <c r="E43" i="12"/>
  <c r="F43" i="12"/>
  <c r="G43" i="12"/>
  <c r="C44" i="12"/>
  <c r="D44" i="12"/>
  <c r="E44" i="12"/>
  <c r="F44" i="12"/>
  <c r="G44" i="12"/>
  <c r="I44" i="12"/>
  <c r="A45" i="12"/>
  <c r="B45" i="12"/>
  <c r="C45" i="12"/>
  <c r="D45" i="12"/>
  <c r="E45" i="12"/>
  <c r="F45" i="12"/>
  <c r="G45" i="12"/>
  <c r="C46" i="12"/>
  <c r="D46" i="12"/>
  <c r="E46" i="12"/>
  <c r="F46" i="12"/>
  <c r="G46" i="12"/>
  <c r="C47" i="12"/>
  <c r="D47" i="12"/>
  <c r="E47" i="12"/>
  <c r="F47" i="12"/>
  <c r="G47" i="12"/>
  <c r="I47" i="12"/>
  <c r="A48" i="12"/>
  <c r="B48" i="12"/>
  <c r="C48" i="12"/>
  <c r="D48" i="12"/>
  <c r="E48" i="12"/>
  <c r="F48" i="12"/>
  <c r="G48" i="12"/>
  <c r="C49" i="12"/>
  <c r="D49" i="12"/>
  <c r="E49" i="12"/>
  <c r="F49" i="12"/>
  <c r="G49" i="12"/>
  <c r="C50" i="12"/>
  <c r="D50" i="12"/>
  <c r="E50" i="12"/>
  <c r="F50" i="12"/>
  <c r="G50" i="12"/>
  <c r="I50" i="12"/>
  <c r="A51" i="12"/>
  <c r="B51" i="12"/>
  <c r="C51" i="12"/>
  <c r="D51" i="12"/>
  <c r="E51" i="12"/>
  <c r="F51" i="12"/>
  <c r="G51" i="12"/>
  <c r="H51" i="12"/>
  <c r="C52" i="12"/>
  <c r="D52" i="12"/>
  <c r="E52" i="12"/>
  <c r="F52" i="12"/>
  <c r="G52" i="12"/>
  <c r="C53" i="12"/>
  <c r="D53" i="12"/>
  <c r="E53" i="12"/>
  <c r="F53" i="12"/>
  <c r="G53" i="12"/>
  <c r="A54" i="12"/>
  <c r="B54" i="12"/>
  <c r="C54" i="12"/>
  <c r="D54" i="12"/>
  <c r="E54" i="12"/>
  <c r="F54" i="12"/>
  <c r="G54" i="12"/>
  <c r="H54" i="12"/>
  <c r="C55" i="12"/>
  <c r="D55" i="12"/>
  <c r="E55" i="12"/>
  <c r="F55" i="12"/>
  <c r="G55" i="12"/>
  <c r="C56" i="12"/>
  <c r="D56" i="12"/>
  <c r="E56" i="12"/>
  <c r="F56" i="12"/>
  <c r="G56" i="12"/>
  <c r="A57" i="12"/>
  <c r="B57" i="12"/>
  <c r="C57" i="12"/>
  <c r="D57" i="12"/>
  <c r="E57" i="12"/>
  <c r="F57" i="12"/>
  <c r="G57" i="12"/>
  <c r="H57" i="12"/>
  <c r="C58" i="12"/>
  <c r="D58" i="12"/>
  <c r="E58" i="12"/>
  <c r="F58" i="12"/>
  <c r="G58" i="12"/>
  <c r="C59" i="12"/>
  <c r="D59" i="12"/>
  <c r="E59" i="12"/>
  <c r="F59" i="12"/>
  <c r="G59" i="12"/>
  <c r="A60" i="12"/>
  <c r="B60" i="12"/>
  <c r="C60" i="12"/>
  <c r="D60" i="12"/>
  <c r="E60" i="12"/>
  <c r="F60" i="12"/>
  <c r="G60" i="12"/>
  <c r="I60" i="12"/>
  <c r="C61" i="12"/>
  <c r="D61" i="12"/>
  <c r="E61" i="12"/>
  <c r="F61" i="12"/>
  <c r="G61" i="12"/>
  <c r="C62" i="12"/>
  <c r="D62" i="12"/>
  <c r="E62" i="12"/>
  <c r="F62" i="12"/>
  <c r="G62" i="12"/>
  <c r="A63" i="12"/>
  <c r="B63" i="12"/>
  <c r="C63" i="12"/>
  <c r="D63" i="12"/>
  <c r="E63" i="12"/>
  <c r="F63" i="12"/>
  <c r="G63" i="12"/>
  <c r="C64" i="12"/>
  <c r="D64" i="12"/>
  <c r="E64" i="12"/>
  <c r="F64" i="12"/>
  <c r="G64" i="12"/>
  <c r="C65" i="12"/>
  <c r="D65" i="12"/>
  <c r="E65" i="12"/>
  <c r="F65" i="12"/>
  <c r="G65" i="12"/>
  <c r="A66" i="12"/>
  <c r="B66" i="12"/>
  <c r="C66" i="12"/>
  <c r="D66" i="12"/>
  <c r="E66" i="12"/>
  <c r="F66" i="12"/>
  <c r="G66" i="12"/>
  <c r="C67" i="12"/>
  <c r="D67" i="12"/>
  <c r="E67" i="12"/>
  <c r="F67" i="12"/>
  <c r="G67" i="12"/>
  <c r="C68" i="12"/>
  <c r="D68" i="12"/>
  <c r="E68" i="12"/>
  <c r="F68" i="12"/>
  <c r="G68" i="12"/>
  <c r="A69" i="12"/>
  <c r="B69" i="12"/>
  <c r="C69" i="12"/>
  <c r="D69" i="12"/>
  <c r="E69" i="12"/>
  <c r="F69" i="12"/>
  <c r="G69" i="12"/>
  <c r="I69" i="12"/>
  <c r="C70" i="12"/>
  <c r="D70" i="12"/>
  <c r="E70" i="12"/>
  <c r="F70" i="12"/>
  <c r="G70" i="12"/>
  <c r="C71" i="12"/>
  <c r="D71" i="12"/>
  <c r="E71" i="12"/>
  <c r="F71" i="12"/>
  <c r="G71" i="12"/>
  <c r="A72" i="12"/>
  <c r="B72" i="12"/>
  <c r="C72" i="12"/>
  <c r="D72" i="12"/>
  <c r="E72" i="12"/>
  <c r="F72" i="12"/>
  <c r="G72" i="12"/>
  <c r="H72" i="12"/>
  <c r="C73" i="12"/>
  <c r="D73" i="12"/>
  <c r="E73" i="12"/>
  <c r="F73" i="12"/>
  <c r="G73" i="12"/>
  <c r="C74" i="12"/>
  <c r="D74" i="12"/>
  <c r="E74" i="12"/>
  <c r="F74" i="12"/>
  <c r="G74" i="12"/>
  <c r="I74" i="12"/>
  <c r="A75" i="12"/>
  <c r="B75" i="12"/>
  <c r="C75" i="12"/>
  <c r="D75" i="12"/>
  <c r="E75" i="12"/>
  <c r="F75" i="12"/>
  <c r="G75" i="12"/>
  <c r="H75" i="12"/>
  <c r="C76" i="12"/>
  <c r="D76" i="12"/>
  <c r="E76" i="12"/>
  <c r="F76" i="12"/>
  <c r="G76" i="12"/>
  <c r="C77" i="12"/>
  <c r="D77" i="12"/>
  <c r="E77" i="12"/>
  <c r="F77" i="12"/>
  <c r="G77" i="12"/>
  <c r="A78" i="12"/>
  <c r="B78" i="12"/>
  <c r="C78" i="12"/>
  <c r="D78" i="12"/>
  <c r="E78" i="12"/>
  <c r="F78" i="12"/>
  <c r="G78" i="12"/>
  <c r="H78" i="12"/>
  <c r="C79" i="12"/>
  <c r="D79" i="12"/>
  <c r="E79" i="12"/>
  <c r="F79" i="12"/>
  <c r="G79" i="12"/>
  <c r="C80" i="12"/>
  <c r="D80" i="12"/>
  <c r="E80" i="12"/>
  <c r="F80" i="12"/>
  <c r="G80" i="12"/>
  <c r="I80" i="12"/>
  <c r="A81" i="12"/>
  <c r="B81" i="12"/>
  <c r="C81" i="12"/>
  <c r="D81" i="12"/>
  <c r="E81" i="12"/>
  <c r="F81" i="12"/>
  <c r="G81" i="12"/>
  <c r="H81" i="12"/>
  <c r="C82" i="12"/>
  <c r="D82" i="12"/>
  <c r="E82" i="12"/>
  <c r="F82" i="12"/>
  <c r="G82" i="12"/>
  <c r="C83" i="12"/>
  <c r="D83" i="12"/>
  <c r="E83" i="12"/>
  <c r="F83" i="12"/>
  <c r="G83" i="12"/>
  <c r="A84" i="12"/>
  <c r="B84" i="12"/>
  <c r="C84" i="12"/>
  <c r="D84" i="12"/>
  <c r="E84" i="12"/>
  <c r="F84" i="12"/>
  <c r="G84" i="12"/>
  <c r="H84" i="12"/>
  <c r="I84" i="12"/>
  <c r="C85" i="12"/>
  <c r="D85" i="12"/>
  <c r="E85" i="12"/>
  <c r="F85" i="12"/>
  <c r="G85" i="12"/>
  <c r="C86" i="12"/>
  <c r="D86" i="12"/>
  <c r="E86" i="12"/>
  <c r="F86" i="12"/>
  <c r="G86" i="12"/>
  <c r="I86" i="12"/>
  <c r="A87" i="12"/>
  <c r="B87" i="12"/>
  <c r="C87" i="12"/>
  <c r="D87" i="12"/>
  <c r="E87" i="12"/>
  <c r="F87" i="12"/>
  <c r="G87" i="12"/>
  <c r="I87" i="12"/>
  <c r="C88" i="12"/>
  <c r="D88" i="12"/>
  <c r="E88" i="12"/>
  <c r="F88" i="12"/>
  <c r="G88" i="12"/>
  <c r="C89" i="12"/>
  <c r="D89" i="12"/>
  <c r="E89" i="12"/>
  <c r="F89" i="12"/>
  <c r="G89" i="12"/>
  <c r="I89" i="12"/>
  <c r="AM197" i="11"/>
  <c r="AC197" i="11"/>
  <c r="S197" i="11"/>
  <c r="I197" i="11"/>
  <c r="A149" i="11"/>
  <c r="B149" i="11"/>
  <c r="C149" i="11"/>
  <c r="D149" i="11"/>
  <c r="E149" i="11"/>
  <c r="F149" i="11"/>
  <c r="G149" i="11"/>
  <c r="I149" i="11" s="1"/>
  <c r="H149" i="11"/>
  <c r="N149" i="11"/>
  <c r="Q149" i="11" s="1"/>
  <c r="R149" i="11" s="1"/>
  <c r="X149" i="11"/>
  <c r="AA149" i="11" s="1"/>
  <c r="AP149" i="11" s="1"/>
  <c r="AH149" i="11"/>
  <c r="K63" i="22" s="1"/>
  <c r="AK149" i="11"/>
  <c r="C150" i="11"/>
  <c r="D150" i="11"/>
  <c r="E150" i="11"/>
  <c r="F150" i="11"/>
  <c r="G150" i="11"/>
  <c r="H150" i="11"/>
  <c r="I150" i="11"/>
  <c r="N150" i="11"/>
  <c r="Q150" i="11" s="1"/>
  <c r="I64" i="22"/>
  <c r="X150" i="11"/>
  <c r="AL150" i="11" s="1"/>
  <c r="AA150" i="11"/>
  <c r="K64" i="22"/>
  <c r="AH150" i="11"/>
  <c r="AK150" i="11"/>
  <c r="C151" i="11"/>
  <c r="D151" i="11"/>
  <c r="E151" i="11"/>
  <c r="F151" i="11"/>
  <c r="G151" i="11"/>
  <c r="I151" i="11" s="1"/>
  <c r="AM151" i="11" s="1"/>
  <c r="H151" i="11"/>
  <c r="N151" i="11"/>
  <c r="Q151" i="11" s="1"/>
  <c r="R151" i="11" s="1"/>
  <c r="S151" i="11"/>
  <c r="I65" i="22"/>
  <c r="X151" i="11"/>
  <c r="AA151" i="11"/>
  <c r="AC151" i="11"/>
  <c r="K65" i="22"/>
  <c r="AH151" i="11"/>
  <c r="AK151" i="11"/>
  <c r="AL151" i="11"/>
  <c r="A152" i="11"/>
  <c r="B152" i="11"/>
  <c r="C152" i="11"/>
  <c r="D152" i="11"/>
  <c r="E152" i="11"/>
  <c r="F152" i="11"/>
  <c r="G152" i="11"/>
  <c r="H152" i="11"/>
  <c r="I152" i="11"/>
  <c r="N152" i="11"/>
  <c r="AB152" i="11" s="1"/>
  <c r="S152" i="11"/>
  <c r="I66" i="22"/>
  <c r="X152" i="11"/>
  <c r="AL152" i="11" s="1"/>
  <c r="AA152" i="11"/>
  <c r="K66" i="22"/>
  <c r="AH152" i="11"/>
  <c r="AK152" i="11" s="1"/>
  <c r="AQ152" i="11" s="1"/>
  <c r="C153" i="11"/>
  <c r="D153" i="11"/>
  <c r="E153" i="11"/>
  <c r="F153" i="11"/>
  <c r="G153" i="11"/>
  <c r="H153" i="11"/>
  <c r="I153" i="11"/>
  <c r="N153" i="11"/>
  <c r="Q153" i="11" s="1"/>
  <c r="R153" i="11" s="1"/>
  <c r="I67" i="22"/>
  <c r="X153" i="11"/>
  <c r="AA153" i="11"/>
  <c r="K67" i="22"/>
  <c r="AH153" i="11"/>
  <c r="AK153" i="11" s="1"/>
  <c r="C154" i="11"/>
  <c r="D154" i="11"/>
  <c r="E154" i="11"/>
  <c r="F154" i="11"/>
  <c r="G154" i="11"/>
  <c r="H154" i="11"/>
  <c r="I154" i="11"/>
  <c r="N154" i="11"/>
  <c r="Q154" i="11" s="1"/>
  <c r="R154" i="11" s="1"/>
  <c r="S154" i="11"/>
  <c r="I68" i="22"/>
  <c r="X154" i="11"/>
  <c r="AL154" i="11" s="1"/>
  <c r="AA154" i="11"/>
  <c r="K68" i="22"/>
  <c r="AH154" i="11"/>
  <c r="AK154" i="11" s="1"/>
  <c r="A155" i="11"/>
  <c r="B155" i="11"/>
  <c r="C155" i="11"/>
  <c r="D155" i="11"/>
  <c r="E155" i="11"/>
  <c r="F155" i="11"/>
  <c r="G155" i="11"/>
  <c r="H155" i="11"/>
  <c r="I155" i="11"/>
  <c r="N155" i="11"/>
  <c r="Q155" i="11" s="1"/>
  <c r="R155" i="11" s="1"/>
  <c r="I69" i="22"/>
  <c r="X155" i="11"/>
  <c r="AA155" i="11" s="1"/>
  <c r="K69" i="22"/>
  <c r="AH155" i="11"/>
  <c r="AK155" i="11" s="1"/>
  <c r="AQ155" i="11" s="1"/>
  <c r="C156" i="11"/>
  <c r="D156" i="11"/>
  <c r="E156" i="11"/>
  <c r="F156" i="11"/>
  <c r="G156" i="11"/>
  <c r="I156" i="11" s="1"/>
  <c r="S156" i="11" s="1"/>
  <c r="H156" i="11"/>
  <c r="N156" i="11"/>
  <c r="I70" i="22"/>
  <c r="X156" i="11"/>
  <c r="AA156" i="11" s="1"/>
  <c r="AC156" i="11"/>
  <c r="K70" i="22"/>
  <c r="AH156" i="11"/>
  <c r="AK156" i="11"/>
  <c r="AL156" i="11"/>
  <c r="AM156" i="11"/>
  <c r="C157" i="11"/>
  <c r="D157" i="11"/>
  <c r="E157" i="11"/>
  <c r="F157" i="11"/>
  <c r="G157" i="11"/>
  <c r="H157" i="11"/>
  <c r="I157" i="11"/>
  <c r="N157" i="11"/>
  <c r="Q157" i="11" s="1"/>
  <c r="I71" i="22"/>
  <c r="X157" i="11"/>
  <c r="AA157" i="11"/>
  <c r="K71" i="22"/>
  <c r="AH157" i="11"/>
  <c r="AK157" i="11" s="1"/>
  <c r="AM157" i="11"/>
  <c r="A158" i="11"/>
  <c r="B158" i="11"/>
  <c r="C158" i="11"/>
  <c r="D158" i="11"/>
  <c r="E158" i="11"/>
  <c r="F158" i="11"/>
  <c r="G158" i="11"/>
  <c r="H158" i="11"/>
  <c r="N158" i="11"/>
  <c r="Q158" i="11" s="1"/>
  <c r="X158" i="11"/>
  <c r="AA158" i="11" s="1"/>
  <c r="AH158" i="11"/>
  <c r="K72" i="22" s="1"/>
  <c r="AK158" i="11"/>
  <c r="AQ158" i="11" s="1"/>
  <c r="C159" i="11"/>
  <c r="D159" i="11"/>
  <c r="E159" i="11"/>
  <c r="F159" i="11"/>
  <c r="G159" i="11"/>
  <c r="I159" i="11" s="1"/>
  <c r="H159" i="11"/>
  <c r="N159" i="11"/>
  <c r="Q159" i="11" s="1"/>
  <c r="S159" i="11"/>
  <c r="I73" i="22"/>
  <c r="X159" i="11"/>
  <c r="AA159" i="11" s="1"/>
  <c r="AC159" i="11"/>
  <c r="K73" i="22"/>
  <c r="AH159" i="11"/>
  <c r="AK159" i="11"/>
  <c r="AM159" i="11"/>
  <c r="C160" i="11"/>
  <c r="D160" i="11"/>
  <c r="E160" i="11"/>
  <c r="F160" i="11"/>
  <c r="G160" i="11"/>
  <c r="H160" i="11"/>
  <c r="I160" i="11"/>
  <c r="S160" i="11" s="1"/>
  <c r="N160" i="11"/>
  <c r="Q160" i="11" s="1"/>
  <c r="I74" i="22"/>
  <c r="X160" i="11"/>
  <c r="AA160" i="11"/>
  <c r="AC160" i="11"/>
  <c r="K74" i="22"/>
  <c r="AH160" i="11"/>
  <c r="AK160" i="11" s="1"/>
  <c r="AL160" i="11"/>
  <c r="AM160" i="11"/>
  <c r="A161" i="11"/>
  <c r="B161" i="11"/>
  <c r="C161" i="11"/>
  <c r="D161" i="11"/>
  <c r="E161" i="11"/>
  <c r="F161" i="11"/>
  <c r="G161" i="11"/>
  <c r="I161" i="11" s="1"/>
  <c r="H161" i="11"/>
  <c r="N161" i="11"/>
  <c r="Q161" i="11" s="1"/>
  <c r="I75" i="22"/>
  <c r="X161" i="11"/>
  <c r="AH161" i="11"/>
  <c r="K75" i="22" s="1"/>
  <c r="AK161" i="11"/>
  <c r="AQ161" i="11" s="1"/>
  <c r="C162" i="11"/>
  <c r="D162" i="11"/>
  <c r="E162" i="11"/>
  <c r="F162" i="11"/>
  <c r="G162" i="11"/>
  <c r="I162" i="11" s="1"/>
  <c r="H162" i="11"/>
  <c r="N162" i="11"/>
  <c r="I76" i="22"/>
  <c r="X162" i="11"/>
  <c r="AA162" i="11"/>
  <c r="AC162" i="11"/>
  <c r="K76" i="22"/>
  <c r="AH162" i="11"/>
  <c r="AK162" i="11" s="1"/>
  <c r="AL162" i="11"/>
  <c r="C163" i="11"/>
  <c r="D163" i="11"/>
  <c r="E163" i="11"/>
  <c r="F163" i="11"/>
  <c r="G163" i="11"/>
  <c r="I163" i="11" s="1"/>
  <c r="S163" i="11" s="1"/>
  <c r="H163" i="11"/>
  <c r="N163" i="11"/>
  <c r="I77" i="22"/>
  <c r="X163" i="11"/>
  <c r="K77" i="22"/>
  <c r="AH163" i="11"/>
  <c r="AK163" i="11"/>
  <c r="AM163" i="11"/>
  <c r="A164" i="11"/>
  <c r="B164" i="11"/>
  <c r="C164" i="11"/>
  <c r="D164" i="11"/>
  <c r="E164" i="11"/>
  <c r="F164" i="11"/>
  <c r="G164" i="11"/>
  <c r="I164" i="11" s="1"/>
  <c r="H164" i="11"/>
  <c r="N164" i="11"/>
  <c r="I78" i="22"/>
  <c r="X164" i="11"/>
  <c r="AA164" i="11"/>
  <c r="AH164" i="11"/>
  <c r="AK164" i="11" s="1"/>
  <c r="AL164" i="11"/>
  <c r="C165" i="11"/>
  <c r="D165" i="11"/>
  <c r="E165" i="11"/>
  <c r="F165" i="11"/>
  <c r="G165" i="11"/>
  <c r="H165" i="11"/>
  <c r="I165" i="11" s="1"/>
  <c r="AC165" i="11" s="1"/>
  <c r="N165" i="11"/>
  <c r="Q165" i="11" s="1"/>
  <c r="S165" i="11"/>
  <c r="X165" i="11"/>
  <c r="AL165" i="11" s="1"/>
  <c r="K79" i="22"/>
  <c r="AH165" i="11"/>
  <c r="AK165" i="11" s="1"/>
  <c r="C166" i="11"/>
  <c r="D166" i="11"/>
  <c r="E166" i="11"/>
  <c r="F166" i="11"/>
  <c r="G166" i="11"/>
  <c r="H166" i="11"/>
  <c r="I166" i="11"/>
  <c r="AM166" i="11" s="1"/>
  <c r="N166" i="11"/>
  <c r="Q166" i="11" s="1"/>
  <c r="R166" i="11" s="1"/>
  <c r="S166" i="11"/>
  <c r="X166" i="11"/>
  <c r="AA166" i="11"/>
  <c r="AC166" i="11"/>
  <c r="AH166" i="11"/>
  <c r="K80" i="22" s="1"/>
  <c r="AK166" i="11"/>
  <c r="A167" i="11"/>
  <c r="B167" i="11"/>
  <c r="C167" i="11"/>
  <c r="D167" i="11"/>
  <c r="E167" i="11"/>
  <c r="F167" i="11"/>
  <c r="G167" i="11"/>
  <c r="H167" i="11"/>
  <c r="I167" i="11"/>
  <c r="AC167" i="11" s="1"/>
  <c r="N167" i="11"/>
  <c r="Q167" i="11" s="1"/>
  <c r="S167" i="11"/>
  <c r="I81" i="22"/>
  <c r="X167" i="11"/>
  <c r="AL167" i="11" s="1"/>
  <c r="K81" i="22"/>
  <c r="AH167" i="11"/>
  <c r="AK167" i="11" s="1"/>
  <c r="AM167" i="11"/>
  <c r="C168" i="11"/>
  <c r="D168" i="11"/>
  <c r="E168" i="11"/>
  <c r="F168" i="11"/>
  <c r="G168" i="11"/>
  <c r="H168" i="11"/>
  <c r="I168" i="11"/>
  <c r="S168" i="11" s="1"/>
  <c r="N168" i="11"/>
  <c r="AB168" i="11" s="1"/>
  <c r="I82" i="22"/>
  <c r="X168" i="11"/>
  <c r="AA168" i="11" s="1"/>
  <c r="K82" i="22"/>
  <c r="AH168" i="11"/>
  <c r="AK168" i="11" s="1"/>
  <c r="C169" i="11"/>
  <c r="D169" i="11"/>
  <c r="E169" i="11"/>
  <c r="F169" i="11"/>
  <c r="G169" i="11"/>
  <c r="H169" i="11"/>
  <c r="I169" i="11"/>
  <c r="AC169" i="11" s="1"/>
  <c r="N169" i="11"/>
  <c r="AB169" i="11" s="1"/>
  <c r="I83" i="22"/>
  <c r="X169" i="11"/>
  <c r="AL169" i="11" s="1"/>
  <c r="AA169" i="11"/>
  <c r="K83" i="22"/>
  <c r="AH169" i="11"/>
  <c r="AK169" i="11"/>
  <c r="A170" i="11"/>
  <c r="B170" i="11"/>
  <c r="C170" i="11"/>
  <c r="D170" i="11"/>
  <c r="E170" i="11"/>
  <c r="F170" i="11"/>
  <c r="G170" i="11"/>
  <c r="I170" i="11" s="1"/>
  <c r="H170" i="11"/>
  <c r="N170" i="11"/>
  <c r="I84" i="22"/>
  <c r="X170" i="11"/>
  <c r="K84" i="22"/>
  <c r="AH170" i="11"/>
  <c r="AK170" i="11" s="1"/>
  <c r="C171" i="11"/>
  <c r="D171" i="11"/>
  <c r="E171" i="11"/>
  <c r="F171" i="11"/>
  <c r="G171" i="11"/>
  <c r="I171" i="11" s="1"/>
  <c r="AM171" i="11" s="1"/>
  <c r="H171" i="11"/>
  <c r="N171" i="11"/>
  <c r="Q171" i="11" s="1"/>
  <c r="I85" i="22"/>
  <c r="X171" i="11"/>
  <c r="AA171" i="11" s="1"/>
  <c r="AB171" i="11"/>
  <c r="K85" i="22"/>
  <c r="AH171" i="11"/>
  <c r="AK171" i="11"/>
  <c r="AL171" i="11"/>
  <c r="C172" i="11"/>
  <c r="D172" i="11"/>
  <c r="E172" i="11"/>
  <c r="F172" i="11"/>
  <c r="G172" i="11"/>
  <c r="I172" i="11" s="1"/>
  <c r="H172" i="11"/>
  <c r="N172" i="11"/>
  <c r="Q172" i="11" s="1"/>
  <c r="I86" i="22"/>
  <c r="X172" i="11"/>
  <c r="AA172" i="11" s="1"/>
  <c r="K86" i="22"/>
  <c r="AH172" i="11"/>
  <c r="AK172" i="11" s="1"/>
  <c r="A173" i="11"/>
  <c r="B173" i="11"/>
  <c r="C173" i="11"/>
  <c r="D173" i="11"/>
  <c r="E173" i="11"/>
  <c r="F173" i="11"/>
  <c r="G173" i="11"/>
  <c r="I173" i="11" s="1"/>
  <c r="H173" i="11"/>
  <c r="N173" i="11"/>
  <c r="I87" i="22"/>
  <c r="X173" i="11"/>
  <c r="K87" i="22"/>
  <c r="AH173" i="11"/>
  <c r="AK173" i="11"/>
  <c r="AM173" i="11"/>
  <c r="C174" i="11"/>
  <c r="D174" i="11"/>
  <c r="E174" i="11"/>
  <c r="F174" i="11"/>
  <c r="G174" i="11"/>
  <c r="H174" i="11"/>
  <c r="I174" i="11"/>
  <c r="AM174" i="11" s="1"/>
  <c r="N174" i="11"/>
  <c r="Q174" i="11" s="1"/>
  <c r="R174" i="11" s="1"/>
  <c r="S174" i="11"/>
  <c r="I88" i="22"/>
  <c r="X174" i="11"/>
  <c r="AA174" i="11"/>
  <c r="AC174" i="11"/>
  <c r="K88" i="22"/>
  <c r="AH174" i="11"/>
  <c r="AK174" i="11"/>
  <c r="AL174" i="11"/>
  <c r="C175" i="11"/>
  <c r="D175" i="11"/>
  <c r="E175" i="11"/>
  <c r="F175" i="11"/>
  <c r="G175" i="11"/>
  <c r="I175" i="11" s="1"/>
  <c r="H175" i="11"/>
  <c r="N175" i="11"/>
  <c r="Q175" i="11" s="1"/>
  <c r="S175" i="11"/>
  <c r="I89" i="22"/>
  <c r="X175" i="11"/>
  <c r="AA175" i="11" s="1"/>
  <c r="AC175" i="11"/>
  <c r="K89" i="22"/>
  <c r="AH175" i="11"/>
  <c r="AK175" i="11"/>
  <c r="AM175" i="11"/>
  <c r="A176" i="11"/>
  <c r="B176" i="11"/>
  <c r="C176" i="11"/>
  <c r="D176" i="11"/>
  <c r="E176" i="11"/>
  <c r="F176" i="11"/>
  <c r="G176" i="11"/>
  <c r="I176" i="11" s="1"/>
  <c r="H176" i="11"/>
  <c r="N176" i="11"/>
  <c r="X176" i="11"/>
  <c r="AA176" i="11" s="1"/>
  <c r="AC176" i="11"/>
  <c r="AH176" i="11"/>
  <c r="AK176" i="11" s="1"/>
  <c r="C177" i="11"/>
  <c r="D177" i="11"/>
  <c r="E177" i="11"/>
  <c r="F177" i="11"/>
  <c r="G177" i="11"/>
  <c r="H177" i="11"/>
  <c r="I177" i="11"/>
  <c r="AC177" i="11" s="1"/>
  <c r="N177" i="11"/>
  <c r="AB177" i="11" s="1"/>
  <c r="Q177" i="11"/>
  <c r="R177" i="11" s="1"/>
  <c r="S177" i="11"/>
  <c r="I91" i="22"/>
  <c r="X177" i="11"/>
  <c r="AL177" i="11" s="1"/>
  <c r="AA177" i="11"/>
  <c r="K91" i="22"/>
  <c r="AH177" i="11"/>
  <c r="AK177" i="11"/>
  <c r="AM177" i="11"/>
  <c r="C178" i="11"/>
  <c r="D178" i="11"/>
  <c r="E178" i="11"/>
  <c r="F178" i="11"/>
  <c r="G178" i="11"/>
  <c r="H178" i="11"/>
  <c r="I178" i="11"/>
  <c r="AM178" i="11" s="1"/>
  <c r="N178" i="11"/>
  <c r="Q178" i="11" s="1"/>
  <c r="R178" i="11" s="1"/>
  <c r="I92" i="22"/>
  <c r="X178" i="11"/>
  <c r="AL178" i="11" s="1"/>
  <c r="K92" i="22"/>
  <c r="AH178" i="11"/>
  <c r="AK178" i="11" s="1"/>
  <c r="A179" i="11"/>
  <c r="B179" i="11"/>
  <c r="C179" i="11"/>
  <c r="D179" i="11"/>
  <c r="E179" i="11"/>
  <c r="F179" i="11"/>
  <c r="G179" i="11"/>
  <c r="I179" i="11" s="1"/>
  <c r="H179" i="11"/>
  <c r="N179" i="11"/>
  <c r="AB179" i="11" s="1"/>
  <c r="I93" i="22"/>
  <c r="X179" i="11"/>
  <c r="AA179" i="11" s="1"/>
  <c r="AP179" i="11" s="1"/>
  <c r="AC179" i="11"/>
  <c r="K93" i="22"/>
  <c r="AH179" i="11"/>
  <c r="AK179" i="11" s="1"/>
  <c r="AL179" i="11"/>
  <c r="AM179" i="11"/>
  <c r="C180" i="11"/>
  <c r="D180" i="11"/>
  <c r="E180" i="11"/>
  <c r="F180" i="11"/>
  <c r="G180" i="11"/>
  <c r="I180" i="11" s="1"/>
  <c r="AM180" i="11" s="1"/>
  <c r="H180" i="11"/>
  <c r="N180" i="11"/>
  <c r="Q180" i="11" s="1"/>
  <c r="S180" i="11"/>
  <c r="I94" i="22"/>
  <c r="X180" i="11"/>
  <c r="AA180" i="11" s="1"/>
  <c r="AB180" i="11"/>
  <c r="AC180" i="11"/>
  <c r="K94" i="22"/>
  <c r="AH180" i="11"/>
  <c r="AK180" i="11"/>
  <c r="AQ179" i="11" s="1"/>
  <c r="AL180" i="11"/>
  <c r="C181" i="11"/>
  <c r="D181" i="11"/>
  <c r="E181" i="11"/>
  <c r="F181" i="11"/>
  <c r="G181" i="11"/>
  <c r="I181" i="11" s="1"/>
  <c r="S181" i="11" s="1"/>
  <c r="H181" i="11"/>
  <c r="N181" i="11"/>
  <c r="AB181" i="11" s="1"/>
  <c r="I95" i="22"/>
  <c r="X181" i="11"/>
  <c r="AA181" i="11" s="1"/>
  <c r="AC181" i="11"/>
  <c r="K95" i="22"/>
  <c r="AH181" i="11"/>
  <c r="AK181" i="11" s="1"/>
  <c r="AL181" i="11"/>
  <c r="AM181" i="11"/>
  <c r="A182" i="11"/>
  <c r="B182" i="11"/>
  <c r="C182" i="11"/>
  <c r="D182" i="11"/>
  <c r="E182" i="11"/>
  <c r="F182" i="11"/>
  <c r="G182" i="11"/>
  <c r="I182" i="11" s="1"/>
  <c r="H182" i="11"/>
  <c r="N182" i="11"/>
  <c r="Q182" i="11" s="1"/>
  <c r="S182" i="11"/>
  <c r="I96" i="22"/>
  <c r="X182" i="11"/>
  <c r="AA182" i="11" s="1"/>
  <c r="AB182" i="11"/>
  <c r="AC182" i="11"/>
  <c r="K96" i="22"/>
  <c r="AH182" i="11"/>
  <c r="AK182" i="11"/>
  <c r="AL182" i="11"/>
  <c r="C183" i="11"/>
  <c r="D183" i="11"/>
  <c r="E183" i="11"/>
  <c r="F183" i="11"/>
  <c r="G183" i="11"/>
  <c r="H183" i="11"/>
  <c r="I183" i="11"/>
  <c r="N183" i="11"/>
  <c r="Q183" i="11" s="1"/>
  <c r="R183" i="11" s="1"/>
  <c r="S183" i="11"/>
  <c r="I97" i="22"/>
  <c r="X183" i="11"/>
  <c r="AA183" i="11"/>
  <c r="AP182" i="11" s="1"/>
  <c r="K97" i="22"/>
  <c r="AH183" i="11"/>
  <c r="AK183" i="11" s="1"/>
  <c r="AL183" i="11"/>
  <c r="C184" i="11"/>
  <c r="D184" i="11"/>
  <c r="E184" i="11"/>
  <c r="F184" i="11"/>
  <c r="G184" i="11"/>
  <c r="I184" i="11" s="1"/>
  <c r="AM184" i="11" s="1"/>
  <c r="H184" i="11"/>
  <c r="N184" i="11"/>
  <c r="Q184" i="11" s="1"/>
  <c r="S184" i="11"/>
  <c r="I98" i="22"/>
  <c r="X184" i="11"/>
  <c r="AA184" i="11" s="1"/>
  <c r="AC184" i="11"/>
  <c r="K98" i="22"/>
  <c r="AH184" i="11"/>
  <c r="AK184" i="11"/>
  <c r="AL184" i="11"/>
  <c r="A185" i="11"/>
  <c r="B185" i="11"/>
  <c r="C185" i="11"/>
  <c r="D185" i="11"/>
  <c r="E185" i="11"/>
  <c r="F185" i="11"/>
  <c r="G185" i="11"/>
  <c r="H185" i="11"/>
  <c r="I185" i="11"/>
  <c r="N185" i="11"/>
  <c r="Q185" i="11" s="1"/>
  <c r="R185" i="11" s="1"/>
  <c r="S185" i="11"/>
  <c r="I99" i="22"/>
  <c r="X185" i="11"/>
  <c r="AA185" i="11"/>
  <c r="AH185" i="11"/>
  <c r="AK185" i="11" s="1"/>
  <c r="AL185" i="11"/>
  <c r="C186" i="11"/>
  <c r="D186" i="11"/>
  <c r="E186" i="11"/>
  <c r="F186" i="11"/>
  <c r="G186" i="11"/>
  <c r="H186" i="11"/>
  <c r="I186" i="11"/>
  <c r="N186" i="11"/>
  <c r="Q186" i="11" s="1"/>
  <c r="R186" i="11" s="1"/>
  <c r="X186" i="11"/>
  <c r="AA186" i="11" s="1"/>
  <c r="K100" i="22"/>
  <c r="AH186" i="11"/>
  <c r="AK186" i="11" s="1"/>
  <c r="C187" i="11"/>
  <c r="D187" i="11"/>
  <c r="E187" i="11"/>
  <c r="F187" i="11"/>
  <c r="G187" i="11"/>
  <c r="H187" i="11"/>
  <c r="I187" i="11"/>
  <c r="N187" i="11"/>
  <c r="Q187" i="11" s="1"/>
  <c r="S187" i="11"/>
  <c r="I101" i="22"/>
  <c r="X187" i="11"/>
  <c r="AA187" i="11"/>
  <c r="K101" i="22"/>
  <c r="AH187" i="11"/>
  <c r="AK187" i="11" s="1"/>
  <c r="AL187" i="11"/>
  <c r="A188" i="11"/>
  <c r="B188" i="11"/>
  <c r="C188" i="11"/>
  <c r="D188" i="11"/>
  <c r="E188" i="11"/>
  <c r="F188" i="11"/>
  <c r="G188" i="11"/>
  <c r="H188" i="11"/>
  <c r="I188" i="11"/>
  <c r="N188" i="11"/>
  <c r="Q188" i="11" s="1"/>
  <c r="R188" i="11" s="1"/>
  <c r="X188" i="11"/>
  <c r="AA188" i="11" s="1"/>
  <c r="K102" i="22"/>
  <c r="AH188" i="11"/>
  <c r="AK188" i="11" s="1"/>
  <c r="C189" i="11"/>
  <c r="D189" i="11"/>
  <c r="E189" i="11"/>
  <c r="F189" i="11"/>
  <c r="G189" i="11"/>
  <c r="I189" i="11" s="1"/>
  <c r="S189" i="11" s="1"/>
  <c r="H189" i="11"/>
  <c r="N189" i="11"/>
  <c r="AB189" i="11" s="1"/>
  <c r="X189" i="11"/>
  <c r="AA189" i="11" s="1"/>
  <c r="AC189" i="11"/>
  <c r="K103" i="22"/>
  <c r="AH189" i="11"/>
  <c r="AK189" i="11" s="1"/>
  <c r="AQ188" i="11" s="1"/>
  <c r="AL189" i="11"/>
  <c r="AM189" i="11"/>
  <c r="C190" i="11"/>
  <c r="D190" i="11"/>
  <c r="E190" i="11"/>
  <c r="F190" i="11"/>
  <c r="G190" i="11"/>
  <c r="H190" i="11"/>
  <c r="I190" i="11"/>
  <c r="N190" i="11"/>
  <c r="Q190" i="11" s="1"/>
  <c r="R190" i="11" s="1"/>
  <c r="I104" i="22"/>
  <c r="X190" i="11"/>
  <c r="AA190" i="11"/>
  <c r="K104" i="22"/>
  <c r="AH190" i="11"/>
  <c r="AK190" i="11" s="1"/>
  <c r="A191" i="11"/>
  <c r="B191" i="11"/>
  <c r="C191" i="11"/>
  <c r="D191" i="11"/>
  <c r="E191" i="11"/>
  <c r="F191" i="11"/>
  <c r="G191" i="11"/>
  <c r="I191" i="11" s="1"/>
  <c r="H191" i="11"/>
  <c r="N191" i="11"/>
  <c r="I105" i="22"/>
  <c r="X191" i="11"/>
  <c r="AA191" i="11" s="1"/>
  <c r="AP191" i="11" s="1"/>
  <c r="AC191" i="11"/>
  <c r="K105" i="22"/>
  <c r="AH191" i="11"/>
  <c r="AK191" i="11" s="1"/>
  <c r="AL191" i="11"/>
  <c r="AM191" i="11"/>
  <c r="C192" i="11"/>
  <c r="D192" i="11"/>
  <c r="E192" i="11"/>
  <c r="F192" i="11"/>
  <c r="G192" i="11"/>
  <c r="I192" i="11" s="1"/>
  <c r="AM192" i="11" s="1"/>
  <c r="H192" i="11"/>
  <c r="N192" i="11"/>
  <c r="Q192" i="11" s="1"/>
  <c r="I106" i="22"/>
  <c r="X192" i="11"/>
  <c r="AA192" i="11" s="1"/>
  <c r="K106" i="22"/>
  <c r="AH192" i="11"/>
  <c r="AK192" i="11"/>
  <c r="AQ191" i="11" s="1"/>
  <c r="AL192" i="11"/>
  <c r="C193" i="11"/>
  <c r="D193" i="11"/>
  <c r="E193" i="11"/>
  <c r="F193" i="11"/>
  <c r="G193" i="11"/>
  <c r="I193" i="11" s="1"/>
  <c r="S193" i="11" s="1"/>
  <c r="H193" i="11"/>
  <c r="N193" i="11"/>
  <c r="I107" i="22"/>
  <c r="X193" i="11"/>
  <c r="AA193" i="11" s="1"/>
  <c r="AC193" i="11"/>
  <c r="K107" i="22"/>
  <c r="AH193" i="11"/>
  <c r="AK193" i="11" s="1"/>
  <c r="AM193" i="11"/>
  <c r="A194" i="11"/>
  <c r="B194" i="11"/>
  <c r="C194" i="11"/>
  <c r="D194" i="11"/>
  <c r="E194" i="11"/>
  <c r="F194" i="11"/>
  <c r="G194" i="11"/>
  <c r="I194" i="11" s="1"/>
  <c r="H194" i="11"/>
  <c r="N194" i="11"/>
  <c r="Q194" i="11" s="1"/>
  <c r="AO194" i="11" s="1"/>
  <c r="S194" i="11"/>
  <c r="I108" i="22"/>
  <c r="X194" i="11"/>
  <c r="AA194" i="11" s="1"/>
  <c r="AC194" i="11"/>
  <c r="K108" i="22"/>
  <c r="AH194" i="11"/>
  <c r="AK194" i="11"/>
  <c r="AL194" i="11"/>
  <c r="C195" i="11"/>
  <c r="D195" i="11"/>
  <c r="E195" i="11"/>
  <c r="F195" i="11"/>
  <c r="G195" i="11"/>
  <c r="I195" i="11" s="1"/>
  <c r="H195" i="11"/>
  <c r="N195" i="11"/>
  <c r="Q195" i="11" s="1"/>
  <c r="R195" i="11"/>
  <c r="I109" i="22"/>
  <c r="X195" i="11"/>
  <c r="AA195" i="11"/>
  <c r="AP194" i="11" s="1"/>
  <c r="K109" i="22"/>
  <c r="AH195" i="11"/>
  <c r="AK195" i="11" s="1"/>
  <c r="AQ194" i="11" s="1"/>
  <c r="AL195" i="11"/>
  <c r="C196" i="11"/>
  <c r="D196" i="11"/>
  <c r="E196" i="11"/>
  <c r="F196" i="11"/>
  <c r="G196" i="11"/>
  <c r="I196" i="11" s="1"/>
  <c r="AM196" i="11" s="1"/>
  <c r="H196" i="11"/>
  <c r="R196" i="11" s="1"/>
  <c r="N196" i="11"/>
  <c r="Q196" i="11"/>
  <c r="I110" i="22"/>
  <c r="X196" i="11"/>
  <c r="AA196" i="11" s="1"/>
  <c r="AB196" i="11"/>
  <c r="K110" i="22"/>
  <c r="AH196" i="11"/>
  <c r="AK196" i="11"/>
  <c r="A110" i="11"/>
  <c r="B110" i="11"/>
  <c r="C110" i="11"/>
  <c r="D110" i="11"/>
  <c r="E110" i="11"/>
  <c r="F110" i="11"/>
  <c r="G110" i="11"/>
  <c r="H110" i="11"/>
  <c r="N110" i="11"/>
  <c r="Q110" i="11" s="1"/>
  <c r="I24" i="22"/>
  <c r="X110" i="11"/>
  <c r="AA110" i="11" s="1"/>
  <c r="K24" i="22"/>
  <c r="AH110" i="11"/>
  <c r="AK110" i="11" s="1"/>
  <c r="C111" i="11"/>
  <c r="D111" i="11"/>
  <c r="E111" i="11"/>
  <c r="F111" i="11"/>
  <c r="G111" i="11"/>
  <c r="I111" i="11" s="1"/>
  <c r="AM111" i="11" s="1"/>
  <c r="H111" i="11"/>
  <c r="N111" i="11"/>
  <c r="Q111" i="11" s="1"/>
  <c r="S111" i="11"/>
  <c r="I25" i="22"/>
  <c r="X111" i="11"/>
  <c r="AC111" i="11"/>
  <c r="K25" i="22"/>
  <c r="AH111" i="11"/>
  <c r="AK111" i="11" s="1"/>
  <c r="C112" i="11"/>
  <c r="D112" i="11"/>
  <c r="E112" i="11"/>
  <c r="F112" i="11"/>
  <c r="G112" i="11"/>
  <c r="I112" i="11" s="1"/>
  <c r="S112" i="11" s="1"/>
  <c r="H112" i="11"/>
  <c r="N112" i="11"/>
  <c r="Q112" i="11" s="1"/>
  <c r="I26" i="22"/>
  <c r="X112" i="11"/>
  <c r="AA112" i="11" s="1"/>
  <c r="K26" i="22"/>
  <c r="AH112" i="11"/>
  <c r="AK112" i="11" s="1"/>
  <c r="A113" i="11"/>
  <c r="B113" i="11"/>
  <c r="C113" i="11"/>
  <c r="D113" i="11"/>
  <c r="E113" i="11"/>
  <c r="F113" i="11"/>
  <c r="G113" i="11"/>
  <c r="I113" i="11" s="1"/>
  <c r="H113" i="11"/>
  <c r="N113" i="11"/>
  <c r="Q113" i="11" s="1"/>
  <c r="S113" i="11"/>
  <c r="I27" i="22"/>
  <c r="X113" i="11"/>
  <c r="AA113" i="11" s="1"/>
  <c r="AB113" i="11"/>
  <c r="AC113" i="11"/>
  <c r="K27" i="22"/>
  <c r="AH113" i="11"/>
  <c r="AK113" i="11"/>
  <c r="AL113" i="11"/>
  <c r="C114" i="11"/>
  <c r="D114" i="11"/>
  <c r="E114" i="11"/>
  <c r="F114" i="11"/>
  <c r="G114" i="11"/>
  <c r="H114" i="11"/>
  <c r="I114" i="11"/>
  <c r="N114" i="11"/>
  <c r="Q114" i="11" s="1"/>
  <c r="R114" i="11" s="1"/>
  <c r="S114" i="11"/>
  <c r="I28" i="22"/>
  <c r="X114" i="11"/>
  <c r="AA114" i="11"/>
  <c r="K28" i="22"/>
  <c r="AH114" i="11"/>
  <c r="AK114" i="11"/>
  <c r="AL114" i="11"/>
  <c r="C115" i="11"/>
  <c r="D115" i="11"/>
  <c r="E115" i="11"/>
  <c r="F115" i="11"/>
  <c r="G115" i="11"/>
  <c r="I115" i="11" s="1"/>
  <c r="AM115" i="11" s="1"/>
  <c r="H115" i="11"/>
  <c r="N115" i="11"/>
  <c r="Q115" i="11" s="1"/>
  <c r="S115" i="11"/>
  <c r="I29" i="22"/>
  <c r="X115" i="11"/>
  <c r="AC115" i="11"/>
  <c r="K29" i="22"/>
  <c r="AH115" i="11"/>
  <c r="AK115" i="11"/>
  <c r="A116" i="11"/>
  <c r="B116" i="11"/>
  <c r="C116" i="11"/>
  <c r="D116" i="11"/>
  <c r="E116" i="11"/>
  <c r="F116" i="11"/>
  <c r="G116" i="11"/>
  <c r="H116" i="11"/>
  <c r="I116" i="11"/>
  <c r="N116" i="11"/>
  <c r="Q116" i="11" s="1"/>
  <c r="R116" i="11" s="1"/>
  <c r="S116" i="11"/>
  <c r="I30" i="22"/>
  <c r="X116" i="11"/>
  <c r="AA116" i="11"/>
  <c r="K30" i="22"/>
  <c r="AH116" i="11"/>
  <c r="AK116" i="11"/>
  <c r="AL116" i="11"/>
  <c r="C117" i="11"/>
  <c r="D117" i="11"/>
  <c r="E117" i="11"/>
  <c r="F117" i="11"/>
  <c r="G117" i="11"/>
  <c r="H117" i="11"/>
  <c r="I117" i="11"/>
  <c r="N117" i="11"/>
  <c r="Q117" i="11" s="1"/>
  <c r="I31" i="22"/>
  <c r="X117" i="11"/>
  <c r="K31" i="22"/>
  <c r="AH117" i="11"/>
  <c r="AK117" i="11" s="1"/>
  <c r="AM117" i="11"/>
  <c r="C118" i="11"/>
  <c r="D118" i="11"/>
  <c r="E118" i="11"/>
  <c r="F118" i="11"/>
  <c r="G118" i="11"/>
  <c r="H118" i="11"/>
  <c r="I118" i="11"/>
  <c r="N118" i="11"/>
  <c r="Q118" i="11" s="1"/>
  <c r="R118" i="11" s="1"/>
  <c r="S118" i="11"/>
  <c r="I32" i="22"/>
  <c r="X118" i="11"/>
  <c r="AA118" i="11"/>
  <c r="K32" i="22"/>
  <c r="AH118" i="11"/>
  <c r="AK118" i="11"/>
  <c r="AL118" i="11"/>
  <c r="A119" i="11"/>
  <c r="B119" i="11"/>
  <c r="C119" i="11"/>
  <c r="D119" i="11"/>
  <c r="E119" i="11"/>
  <c r="F119" i="11"/>
  <c r="G119" i="11"/>
  <c r="I119" i="11" s="1"/>
  <c r="AM119" i="11" s="1"/>
  <c r="H119" i="11"/>
  <c r="N119" i="11"/>
  <c r="Q119" i="11" s="1"/>
  <c r="I33" i="22"/>
  <c r="X119" i="11"/>
  <c r="AL119" i="11" s="1"/>
  <c r="K33" i="22"/>
  <c r="AH119" i="11"/>
  <c r="AK119" i="11" s="1"/>
  <c r="C120" i="11"/>
  <c r="D120" i="11"/>
  <c r="E120" i="11"/>
  <c r="F120" i="11"/>
  <c r="G120" i="11"/>
  <c r="I120" i="11" s="1"/>
  <c r="S120" i="11" s="1"/>
  <c r="H120" i="11"/>
  <c r="N120" i="11"/>
  <c r="Q120" i="11" s="1"/>
  <c r="I34" i="22"/>
  <c r="X120" i="11"/>
  <c r="AA120" i="11" s="1"/>
  <c r="K34" i="22"/>
  <c r="AH120" i="11"/>
  <c r="AK120" i="11" s="1"/>
  <c r="C121" i="11"/>
  <c r="D121" i="11"/>
  <c r="E121" i="11"/>
  <c r="F121" i="11"/>
  <c r="G121" i="11"/>
  <c r="I121" i="11" s="1"/>
  <c r="AM121" i="11" s="1"/>
  <c r="H121" i="11"/>
  <c r="N121" i="11"/>
  <c r="Q121" i="11" s="1"/>
  <c r="I35" i="22"/>
  <c r="X121" i="11"/>
  <c r="K35" i="22"/>
  <c r="AH121" i="11"/>
  <c r="AK121" i="11" s="1"/>
  <c r="A122" i="11"/>
  <c r="B122" i="11"/>
  <c r="C122" i="11"/>
  <c r="D122" i="11"/>
  <c r="E122" i="11"/>
  <c r="F122" i="11"/>
  <c r="G122" i="11"/>
  <c r="H122" i="11"/>
  <c r="N122" i="11"/>
  <c r="I36" i="22"/>
  <c r="X122" i="11"/>
  <c r="AA122" i="11" s="1"/>
  <c r="AH122" i="11"/>
  <c r="AK122" i="11" s="1"/>
  <c r="C123" i="11"/>
  <c r="D123" i="11"/>
  <c r="E123" i="11"/>
  <c r="F123" i="11"/>
  <c r="G123" i="11"/>
  <c r="I123" i="11" s="1"/>
  <c r="AM123" i="11" s="1"/>
  <c r="H123" i="11"/>
  <c r="N123" i="11"/>
  <c r="Q123" i="11" s="1"/>
  <c r="S123" i="11"/>
  <c r="I37" i="22"/>
  <c r="X123" i="11"/>
  <c r="AA123" i="11" s="1"/>
  <c r="AB123" i="11"/>
  <c r="AC123" i="11"/>
  <c r="K37" i="22"/>
  <c r="AH123" i="11"/>
  <c r="AK123" i="11"/>
  <c r="AL123" i="11"/>
  <c r="C124" i="11"/>
  <c r="D124" i="11"/>
  <c r="E124" i="11"/>
  <c r="F124" i="11"/>
  <c r="G124" i="11"/>
  <c r="I124" i="11" s="1"/>
  <c r="S124" i="11" s="1"/>
  <c r="H124" i="11"/>
  <c r="N124" i="11"/>
  <c r="Q124" i="11" s="1"/>
  <c r="I38" i="22"/>
  <c r="X124" i="11"/>
  <c r="AA124" i="11" s="1"/>
  <c r="K38" i="22"/>
  <c r="AH124" i="11"/>
  <c r="AK124" i="11" s="1"/>
  <c r="A125" i="11"/>
  <c r="B125" i="11"/>
  <c r="C125" i="11"/>
  <c r="D125" i="11"/>
  <c r="E125" i="11"/>
  <c r="F125" i="11"/>
  <c r="G125" i="11"/>
  <c r="H125" i="11"/>
  <c r="N125" i="11"/>
  <c r="Q125" i="11" s="1"/>
  <c r="I39" i="22"/>
  <c r="X125" i="11"/>
  <c r="AH125" i="11"/>
  <c r="AK125" i="11" s="1"/>
  <c r="C126" i="11"/>
  <c r="D126" i="11"/>
  <c r="E126" i="11"/>
  <c r="F126" i="11"/>
  <c r="G126" i="11"/>
  <c r="I126" i="11" s="1"/>
  <c r="S126" i="11" s="1"/>
  <c r="H126" i="11"/>
  <c r="N126" i="11"/>
  <c r="I40" i="22"/>
  <c r="X126" i="11"/>
  <c r="AL126" i="11" s="1"/>
  <c r="AA126" i="11"/>
  <c r="K40" i="22"/>
  <c r="AH126" i="11"/>
  <c r="AK126" i="11"/>
  <c r="C127" i="11"/>
  <c r="D127" i="11"/>
  <c r="E127" i="11"/>
  <c r="F127" i="11"/>
  <c r="G127" i="11"/>
  <c r="I127" i="11" s="1"/>
  <c r="AM127" i="11" s="1"/>
  <c r="H127" i="11"/>
  <c r="N127" i="11"/>
  <c r="Q127" i="11" s="1"/>
  <c r="S127" i="11"/>
  <c r="I41" i="22"/>
  <c r="X127" i="11"/>
  <c r="AA127" i="11" s="1"/>
  <c r="AC127" i="11"/>
  <c r="K41" i="22"/>
  <c r="AH127" i="11"/>
  <c r="AK127" i="11"/>
  <c r="AL127" i="11"/>
  <c r="A128" i="11"/>
  <c r="B128" i="11"/>
  <c r="C128" i="11"/>
  <c r="D128" i="11"/>
  <c r="E128" i="11"/>
  <c r="F128" i="11"/>
  <c r="G128" i="11"/>
  <c r="I128" i="11" s="1"/>
  <c r="H128" i="11"/>
  <c r="N128" i="11"/>
  <c r="X128" i="11"/>
  <c r="AH128" i="11"/>
  <c r="K42" i="22" s="1"/>
  <c r="C129" i="11"/>
  <c r="D129" i="11"/>
  <c r="E129" i="11"/>
  <c r="F129" i="11"/>
  <c r="G129" i="11"/>
  <c r="H129" i="11"/>
  <c r="I129" i="11"/>
  <c r="N129" i="11"/>
  <c r="Q129" i="11" s="1"/>
  <c r="R129" i="11" s="1"/>
  <c r="I43" i="22"/>
  <c r="X129" i="11"/>
  <c r="K43" i="22"/>
  <c r="AH129" i="11"/>
  <c r="AK129" i="11" s="1"/>
  <c r="C130" i="11"/>
  <c r="D130" i="11"/>
  <c r="E130" i="11"/>
  <c r="F130" i="11"/>
  <c r="G130" i="11"/>
  <c r="H130" i="11"/>
  <c r="I130" i="11"/>
  <c r="N130" i="11"/>
  <c r="Q130" i="11" s="1"/>
  <c r="R130" i="11" s="1"/>
  <c r="S130" i="11"/>
  <c r="I44" i="22"/>
  <c r="X130" i="11"/>
  <c r="AA130" i="11"/>
  <c r="K44" i="22"/>
  <c r="AH130" i="11"/>
  <c r="AK130" i="11"/>
  <c r="AL130" i="11"/>
  <c r="A131" i="11"/>
  <c r="B131" i="11"/>
  <c r="C131" i="11"/>
  <c r="D131" i="11"/>
  <c r="E131" i="11"/>
  <c r="F131" i="11"/>
  <c r="G131" i="11"/>
  <c r="I131" i="11" s="1"/>
  <c r="AN131" i="11" s="1"/>
  <c r="H131" i="11"/>
  <c r="N131" i="11"/>
  <c r="Q131" i="11" s="1"/>
  <c r="X131" i="11"/>
  <c r="AL131" i="11" s="1"/>
  <c r="K45" i="22"/>
  <c r="AH131" i="11"/>
  <c r="AK131" i="11" s="1"/>
  <c r="C132" i="11"/>
  <c r="D132" i="11"/>
  <c r="E132" i="11"/>
  <c r="F132" i="11"/>
  <c r="G132" i="11"/>
  <c r="I132" i="11" s="1"/>
  <c r="S132" i="11" s="1"/>
  <c r="H132" i="11"/>
  <c r="N132" i="11"/>
  <c r="AB132" i="11" s="1"/>
  <c r="I46" i="22"/>
  <c r="X132" i="11"/>
  <c r="AA132" i="11" s="1"/>
  <c r="K46" i="22"/>
  <c r="AH132" i="11"/>
  <c r="AK132" i="11" s="1"/>
  <c r="C133" i="11"/>
  <c r="D133" i="11"/>
  <c r="E133" i="11"/>
  <c r="F133" i="11"/>
  <c r="G133" i="11"/>
  <c r="I133" i="11" s="1"/>
  <c r="H133" i="11"/>
  <c r="N133" i="11"/>
  <c r="Q133" i="11" s="1"/>
  <c r="I47" i="22"/>
  <c r="X133" i="11"/>
  <c r="AL133" i="11" s="1"/>
  <c r="AA133" i="11"/>
  <c r="K47" i="22"/>
  <c r="AH133" i="11"/>
  <c r="AK133" i="11" s="1"/>
  <c r="A134" i="11"/>
  <c r="B134" i="11"/>
  <c r="C134" i="11"/>
  <c r="D134" i="11"/>
  <c r="E134" i="11"/>
  <c r="F134" i="11"/>
  <c r="G134" i="11"/>
  <c r="H134" i="11"/>
  <c r="N134" i="11"/>
  <c r="I48" i="22"/>
  <c r="X134" i="11"/>
  <c r="AH134" i="11"/>
  <c r="AK134" i="11" s="1"/>
  <c r="C135" i="11"/>
  <c r="D135" i="11"/>
  <c r="E135" i="11"/>
  <c r="F135" i="11"/>
  <c r="G135" i="11"/>
  <c r="H135" i="11"/>
  <c r="N135" i="11"/>
  <c r="X135" i="11"/>
  <c r="I49" i="22" s="1"/>
  <c r="AH135" i="11"/>
  <c r="AK135" i="11" s="1"/>
  <c r="C136" i="11"/>
  <c r="D136" i="11"/>
  <c r="E136" i="11"/>
  <c r="F136" i="11"/>
  <c r="G136" i="11"/>
  <c r="H136" i="11"/>
  <c r="I136" i="11"/>
  <c r="N136" i="11"/>
  <c r="Q136" i="11" s="1"/>
  <c r="I50" i="22"/>
  <c r="X136" i="11"/>
  <c r="AA136" i="11"/>
  <c r="K50" i="22"/>
  <c r="AH136" i="11"/>
  <c r="AK136" i="11"/>
  <c r="A137" i="11"/>
  <c r="B137" i="11"/>
  <c r="C137" i="11"/>
  <c r="D137" i="11"/>
  <c r="E137" i="11"/>
  <c r="F137" i="11"/>
  <c r="G137" i="11"/>
  <c r="I137" i="11" s="1"/>
  <c r="S137" i="11" s="1"/>
  <c r="H137" i="11"/>
  <c r="N137" i="11"/>
  <c r="I51" i="22"/>
  <c r="X137" i="11"/>
  <c r="AH137" i="11"/>
  <c r="AK137" i="11" s="1"/>
  <c r="C138" i="11"/>
  <c r="D138" i="11"/>
  <c r="E138" i="11"/>
  <c r="F138" i="11"/>
  <c r="G138" i="11"/>
  <c r="I138" i="11" s="1"/>
  <c r="H138" i="11"/>
  <c r="N138" i="11"/>
  <c r="Q138" i="11" s="1"/>
  <c r="I52" i="22"/>
  <c r="X138" i="11"/>
  <c r="AA138" i="11" s="1"/>
  <c r="K52" i="22"/>
  <c r="AH138" i="11"/>
  <c r="AK138" i="11"/>
  <c r="C139" i="11"/>
  <c r="D139" i="11"/>
  <c r="E139" i="11"/>
  <c r="F139" i="11"/>
  <c r="G139" i="11"/>
  <c r="H139" i="11"/>
  <c r="I139" i="11"/>
  <c r="S139" i="11" s="1"/>
  <c r="N139" i="11"/>
  <c r="Q139" i="11"/>
  <c r="R139" i="11" s="1"/>
  <c r="I53" i="22"/>
  <c r="X139" i="11"/>
  <c r="AA139" i="11"/>
  <c r="K53" i="22"/>
  <c r="AH139" i="11"/>
  <c r="AK139" i="11" s="1"/>
  <c r="A140" i="11"/>
  <c r="B140" i="11"/>
  <c r="C140" i="11"/>
  <c r="D140" i="11"/>
  <c r="E140" i="11"/>
  <c r="F140" i="11"/>
  <c r="G140" i="11"/>
  <c r="I140" i="11" s="1"/>
  <c r="H140" i="11"/>
  <c r="N140" i="11"/>
  <c r="AB140" i="11" s="1"/>
  <c r="I54" i="22"/>
  <c r="X140" i="11"/>
  <c r="AA140" i="11" s="1"/>
  <c r="AH140" i="11"/>
  <c r="AK140" i="11" s="1"/>
  <c r="AQ140" i="11" s="1"/>
  <c r="C141" i="11"/>
  <c r="D141" i="11"/>
  <c r="E141" i="11"/>
  <c r="F141" i="11"/>
  <c r="G141" i="11"/>
  <c r="I141" i="11" s="1"/>
  <c r="H141" i="11"/>
  <c r="AL141" i="11" s="1"/>
  <c r="N141" i="11"/>
  <c r="Q141" i="11" s="1"/>
  <c r="R141" i="11"/>
  <c r="I55" i="22"/>
  <c r="X141" i="11"/>
  <c r="AA141" i="11"/>
  <c r="K55" i="22"/>
  <c r="AH141" i="11"/>
  <c r="AK141" i="11" s="1"/>
  <c r="C142" i="11"/>
  <c r="D142" i="11"/>
  <c r="E142" i="11"/>
  <c r="F142" i="11"/>
  <c r="G142" i="11"/>
  <c r="I142" i="11" s="1"/>
  <c r="H142" i="11"/>
  <c r="N142" i="11"/>
  <c r="AB142" i="11" s="1"/>
  <c r="Q142" i="11"/>
  <c r="I56" i="22"/>
  <c r="X142" i="11"/>
  <c r="AA142" i="11" s="1"/>
  <c r="K56" i="22"/>
  <c r="AH142" i="11"/>
  <c r="AK142" i="11" s="1"/>
  <c r="A143" i="11"/>
  <c r="B143" i="11"/>
  <c r="C143" i="11"/>
  <c r="D143" i="11"/>
  <c r="E143" i="11"/>
  <c r="F143" i="11"/>
  <c r="G143" i="11"/>
  <c r="H143" i="11"/>
  <c r="N143" i="11"/>
  <c r="Q143" i="11" s="1"/>
  <c r="X143" i="11"/>
  <c r="AA143" i="11" s="1"/>
  <c r="AP143" i="11" s="1"/>
  <c r="AH143" i="11"/>
  <c r="K57" i="22" s="1"/>
  <c r="C144" i="11"/>
  <c r="D144" i="11"/>
  <c r="E144" i="11"/>
  <c r="F144" i="11"/>
  <c r="G144" i="11"/>
  <c r="H144" i="11"/>
  <c r="I144" i="11"/>
  <c r="AC144" i="11" s="1"/>
  <c r="N144" i="11"/>
  <c r="AB144" i="11" s="1"/>
  <c r="S144" i="11"/>
  <c r="I58" i="22"/>
  <c r="X144" i="11"/>
  <c r="AL144" i="11" s="1"/>
  <c r="AA144" i="11"/>
  <c r="K58" i="22"/>
  <c r="AH144" i="11"/>
  <c r="AK144" i="11"/>
  <c r="C145" i="11"/>
  <c r="D145" i="11"/>
  <c r="E145" i="11"/>
  <c r="F145" i="11"/>
  <c r="G145" i="11"/>
  <c r="I145" i="11" s="1"/>
  <c r="H145" i="11"/>
  <c r="N145" i="11"/>
  <c r="Q145" i="11" s="1"/>
  <c r="I59" i="22"/>
  <c r="X145" i="11"/>
  <c r="AA145" i="11"/>
  <c r="K59" i="22"/>
  <c r="AH145" i="11"/>
  <c r="AK145" i="11"/>
  <c r="AL145" i="11"/>
  <c r="A146" i="11"/>
  <c r="B146" i="11"/>
  <c r="C146" i="11"/>
  <c r="D146" i="11"/>
  <c r="E146" i="11"/>
  <c r="F146" i="11"/>
  <c r="G146" i="11"/>
  <c r="I146" i="11" s="1"/>
  <c r="AC146" i="11" s="1"/>
  <c r="H146" i="11"/>
  <c r="N146" i="11"/>
  <c r="Q146" i="11" s="1"/>
  <c r="R146" i="11" s="1"/>
  <c r="S146" i="11"/>
  <c r="X146" i="11"/>
  <c r="AL146" i="11" s="1"/>
  <c r="K60" i="22"/>
  <c r="AH146" i="11"/>
  <c r="AK146" i="11"/>
  <c r="C147" i="11"/>
  <c r="D147" i="11"/>
  <c r="E147" i="11"/>
  <c r="F147" i="11"/>
  <c r="G147" i="11"/>
  <c r="I147" i="11" s="1"/>
  <c r="S147" i="11" s="1"/>
  <c r="H147" i="11"/>
  <c r="N147" i="11"/>
  <c r="Q147" i="11"/>
  <c r="I61" i="22"/>
  <c r="X147" i="11"/>
  <c r="AA147" i="11"/>
  <c r="K61" i="22"/>
  <c r="AH147" i="11"/>
  <c r="AK147" i="11" s="1"/>
  <c r="C148" i="11"/>
  <c r="D148" i="11"/>
  <c r="E148" i="11"/>
  <c r="F148" i="11"/>
  <c r="G148" i="11"/>
  <c r="I148" i="11" s="1"/>
  <c r="AC148" i="11" s="1"/>
  <c r="H148" i="11"/>
  <c r="N148" i="11"/>
  <c r="Q148" i="11" s="1"/>
  <c r="R148" i="11"/>
  <c r="S148" i="11"/>
  <c r="I62" i="22"/>
  <c r="X148" i="11"/>
  <c r="AL148" i="11" s="1"/>
  <c r="AA148" i="11"/>
  <c r="K62" i="22"/>
  <c r="AH148" i="11"/>
  <c r="AK148" i="11"/>
  <c r="A90" i="11"/>
  <c r="B90" i="11"/>
  <c r="C90" i="11"/>
  <c r="D90" i="11"/>
  <c r="E90" i="11"/>
  <c r="F90" i="11"/>
  <c r="G90" i="11"/>
  <c r="I90" i="11" s="1"/>
  <c r="H90" i="11"/>
  <c r="N90" i="11"/>
  <c r="Q90" i="11" s="1"/>
  <c r="X90" i="11"/>
  <c r="AA90" i="11" s="1"/>
  <c r="AH90" i="11"/>
  <c r="AK90" i="11"/>
  <c r="C91" i="11"/>
  <c r="D91" i="11"/>
  <c r="E91" i="11"/>
  <c r="F91" i="11"/>
  <c r="G91" i="11"/>
  <c r="I91" i="11" s="1"/>
  <c r="AM91" i="11" s="1"/>
  <c r="H91" i="11"/>
  <c r="R91" i="11" s="1"/>
  <c r="N91" i="11"/>
  <c r="Q91" i="11" s="1"/>
  <c r="X91" i="11"/>
  <c r="AL91" i="11" s="1"/>
  <c r="AH91" i="11"/>
  <c r="AK91" i="11" s="1"/>
  <c r="C92" i="11"/>
  <c r="D92" i="11"/>
  <c r="E92" i="11"/>
  <c r="F92" i="11"/>
  <c r="G92" i="11"/>
  <c r="I92" i="11" s="1"/>
  <c r="H92" i="11"/>
  <c r="R92" i="11" s="1"/>
  <c r="N92" i="11"/>
  <c r="X92" i="11"/>
  <c r="AA92" i="11" s="1"/>
  <c r="AH92" i="11"/>
  <c r="AK92" i="11" s="1"/>
  <c r="A60" i="11"/>
  <c r="B60" i="11"/>
  <c r="C60" i="11"/>
  <c r="D60" i="11"/>
  <c r="E60" i="11"/>
  <c r="F60" i="11"/>
  <c r="G60" i="11"/>
  <c r="I60" i="11" s="1"/>
  <c r="S60" i="11" s="1"/>
  <c r="H60" i="11"/>
  <c r="N60" i="11"/>
  <c r="Q60" i="11" s="1"/>
  <c r="X60" i="11"/>
  <c r="K60" i="12"/>
  <c r="AH60" i="11"/>
  <c r="AK60" i="11" s="1"/>
  <c r="C61" i="11"/>
  <c r="D61" i="11"/>
  <c r="E61" i="11"/>
  <c r="F61" i="11"/>
  <c r="G61" i="11"/>
  <c r="I61" i="11" s="1"/>
  <c r="H61" i="11"/>
  <c r="N61" i="11"/>
  <c r="Q61" i="11" s="1"/>
  <c r="I61" i="12"/>
  <c r="X61" i="11"/>
  <c r="AA61" i="11"/>
  <c r="K61" i="12"/>
  <c r="AH61" i="11"/>
  <c r="AK61" i="11" s="1"/>
  <c r="AL61" i="11"/>
  <c r="C62" i="11"/>
  <c r="D62" i="11"/>
  <c r="E62" i="11"/>
  <c r="F62" i="11"/>
  <c r="G62" i="11"/>
  <c r="I62" i="11" s="1"/>
  <c r="S62" i="11" s="1"/>
  <c r="H62" i="11"/>
  <c r="R62" i="11" s="1"/>
  <c r="N62" i="11"/>
  <c r="Q62" i="11" s="1"/>
  <c r="I62" i="12"/>
  <c r="X62" i="11"/>
  <c r="AA62" i="11" s="1"/>
  <c r="K62" i="12"/>
  <c r="AH62" i="11"/>
  <c r="AK62" i="11" s="1"/>
  <c r="A63" i="11"/>
  <c r="B63" i="11"/>
  <c r="C63" i="11"/>
  <c r="D63" i="11"/>
  <c r="E63" i="11"/>
  <c r="F63" i="11"/>
  <c r="G63" i="11"/>
  <c r="I63" i="11" s="1"/>
  <c r="AM63" i="11" s="1"/>
  <c r="H63" i="11"/>
  <c r="N63" i="11"/>
  <c r="Q63" i="11" s="1"/>
  <c r="I63" i="12"/>
  <c r="X63" i="11"/>
  <c r="AA63" i="11" s="1"/>
  <c r="K63" i="12"/>
  <c r="AH63" i="11"/>
  <c r="AK63" i="11" s="1"/>
  <c r="C64" i="11"/>
  <c r="D64" i="11"/>
  <c r="E64" i="11"/>
  <c r="F64" i="11"/>
  <c r="G64" i="11"/>
  <c r="I64" i="11" s="1"/>
  <c r="H64" i="11"/>
  <c r="N64" i="11"/>
  <c r="Q64" i="11" s="1"/>
  <c r="I64" i="12"/>
  <c r="X64" i="11"/>
  <c r="K64" i="12"/>
  <c r="AH64" i="11"/>
  <c r="AK64" i="11" s="1"/>
  <c r="C65" i="11"/>
  <c r="D65" i="11"/>
  <c r="E65" i="11"/>
  <c r="F65" i="11"/>
  <c r="G65" i="11"/>
  <c r="I65" i="11" s="1"/>
  <c r="H65" i="11"/>
  <c r="N65" i="11"/>
  <c r="Q65" i="11" s="1"/>
  <c r="I65" i="12"/>
  <c r="X65" i="11"/>
  <c r="AA65" i="11" s="1"/>
  <c r="K65" i="12"/>
  <c r="AH65" i="11"/>
  <c r="AK65" i="11" s="1"/>
  <c r="A66" i="11"/>
  <c r="B66" i="11"/>
  <c r="C66" i="11"/>
  <c r="D66" i="11"/>
  <c r="E66" i="11"/>
  <c r="F66" i="11"/>
  <c r="G66" i="11"/>
  <c r="I66" i="11" s="1"/>
  <c r="H66" i="11"/>
  <c r="R66" i="11" s="1"/>
  <c r="N66" i="11"/>
  <c r="Q66" i="11" s="1"/>
  <c r="I66" i="12"/>
  <c r="X66" i="11"/>
  <c r="K66" i="12"/>
  <c r="AH66" i="11"/>
  <c r="AK66" i="11" s="1"/>
  <c r="C67" i="11"/>
  <c r="D67" i="11"/>
  <c r="E67" i="11"/>
  <c r="F67" i="11"/>
  <c r="G67" i="11"/>
  <c r="I67" i="11" s="1"/>
  <c r="H67" i="11"/>
  <c r="N67" i="11"/>
  <c r="I67" i="12"/>
  <c r="X67" i="11"/>
  <c r="AA67" i="11" s="1"/>
  <c r="K67" i="12"/>
  <c r="AH67" i="11"/>
  <c r="AK67" i="11" s="1"/>
  <c r="C68" i="11"/>
  <c r="D68" i="11"/>
  <c r="E68" i="11"/>
  <c r="F68" i="11"/>
  <c r="G68" i="11"/>
  <c r="I68" i="11" s="1"/>
  <c r="H68" i="11"/>
  <c r="N68" i="11"/>
  <c r="I68" i="12"/>
  <c r="X68" i="11"/>
  <c r="AL68" i="11" s="1"/>
  <c r="AA68" i="11"/>
  <c r="K68" i="12"/>
  <c r="AH68" i="11"/>
  <c r="AK68" i="11" s="1"/>
  <c r="A69" i="11"/>
  <c r="B69" i="11"/>
  <c r="C69" i="11"/>
  <c r="D69" i="11"/>
  <c r="E69" i="11"/>
  <c r="F69" i="11"/>
  <c r="G69" i="11"/>
  <c r="I69" i="11" s="1"/>
  <c r="H69" i="11"/>
  <c r="N69" i="11"/>
  <c r="Q69" i="11" s="1"/>
  <c r="X69" i="11"/>
  <c r="AA69" i="11" s="1"/>
  <c r="K69" i="12"/>
  <c r="AH69" i="11"/>
  <c r="AK69" i="11" s="1"/>
  <c r="C70" i="11"/>
  <c r="D70" i="11"/>
  <c r="E70" i="11"/>
  <c r="F70" i="11"/>
  <c r="G70" i="11"/>
  <c r="I70" i="11" s="1"/>
  <c r="AC70" i="11" s="1"/>
  <c r="H70" i="11"/>
  <c r="N70" i="11"/>
  <c r="Q70" i="11" s="1"/>
  <c r="S70" i="11"/>
  <c r="I70" i="12"/>
  <c r="X70" i="11"/>
  <c r="AA70" i="11" s="1"/>
  <c r="K70" i="12"/>
  <c r="AH70" i="11"/>
  <c r="AK70" i="11" s="1"/>
  <c r="C71" i="11"/>
  <c r="D71" i="11"/>
  <c r="E71" i="11"/>
  <c r="F71" i="11"/>
  <c r="G71" i="11"/>
  <c r="I71" i="11" s="1"/>
  <c r="H71" i="11"/>
  <c r="R71" i="11" s="1"/>
  <c r="N71" i="11"/>
  <c r="Q71" i="11" s="1"/>
  <c r="I71" i="12"/>
  <c r="X71" i="11"/>
  <c r="AA71" i="11" s="1"/>
  <c r="K71" i="12"/>
  <c r="AH71" i="11"/>
  <c r="AK71" i="11" s="1"/>
  <c r="A72" i="11"/>
  <c r="B72" i="11"/>
  <c r="C72" i="11"/>
  <c r="D72" i="11"/>
  <c r="E72" i="11"/>
  <c r="F72" i="11"/>
  <c r="G72" i="11"/>
  <c r="H72" i="11"/>
  <c r="N72" i="11"/>
  <c r="Q72" i="11" s="1"/>
  <c r="X72" i="11"/>
  <c r="AA72" i="11" s="1"/>
  <c r="K72" i="12"/>
  <c r="AH72" i="11"/>
  <c r="AK72" i="11" s="1"/>
  <c r="C73" i="11"/>
  <c r="D73" i="11"/>
  <c r="E73" i="11"/>
  <c r="F73" i="11"/>
  <c r="G73" i="11"/>
  <c r="H73" i="11"/>
  <c r="N73" i="11"/>
  <c r="Q73" i="11" s="1"/>
  <c r="I73" i="12"/>
  <c r="X73" i="11"/>
  <c r="AA73" i="11" s="1"/>
  <c r="AH73" i="11"/>
  <c r="AK73" i="11" s="1"/>
  <c r="C74" i="11"/>
  <c r="D74" i="11"/>
  <c r="E74" i="11"/>
  <c r="F74" i="11"/>
  <c r="G74" i="11"/>
  <c r="I74" i="11" s="1"/>
  <c r="AC74" i="11" s="1"/>
  <c r="H74" i="11"/>
  <c r="N74" i="11"/>
  <c r="Q74" i="11" s="1"/>
  <c r="S74" i="11"/>
  <c r="X74" i="11"/>
  <c r="AA74" i="11" s="1"/>
  <c r="K74" i="12"/>
  <c r="AH74" i="11"/>
  <c r="AK74" i="11"/>
  <c r="A75" i="11"/>
  <c r="B75" i="11"/>
  <c r="C75" i="11"/>
  <c r="D75" i="11"/>
  <c r="E75" i="11"/>
  <c r="F75" i="11"/>
  <c r="G75" i="11"/>
  <c r="H75" i="11"/>
  <c r="N75" i="11"/>
  <c r="Q75" i="11" s="1"/>
  <c r="X75" i="11"/>
  <c r="AA75" i="11" s="1"/>
  <c r="K75" i="12"/>
  <c r="AH75" i="11"/>
  <c r="AK75" i="11" s="1"/>
  <c r="C76" i="11"/>
  <c r="D76" i="11"/>
  <c r="E76" i="11"/>
  <c r="F76" i="11"/>
  <c r="G76" i="11"/>
  <c r="I76" i="11" s="1"/>
  <c r="H76" i="11"/>
  <c r="N76" i="11"/>
  <c r="I76" i="12"/>
  <c r="X76" i="11"/>
  <c r="AL76" i="11" s="1"/>
  <c r="K76" i="12"/>
  <c r="AH76" i="11"/>
  <c r="AK76" i="11" s="1"/>
  <c r="C77" i="11"/>
  <c r="D77" i="11"/>
  <c r="E77" i="11"/>
  <c r="F77" i="11"/>
  <c r="G77" i="11"/>
  <c r="I77" i="11" s="1"/>
  <c r="H77" i="11"/>
  <c r="N77" i="11"/>
  <c r="Q77" i="11" s="1"/>
  <c r="I77" i="12"/>
  <c r="X77" i="11"/>
  <c r="K77" i="12"/>
  <c r="AH77" i="11"/>
  <c r="AK77" i="11" s="1"/>
  <c r="A78" i="11"/>
  <c r="B78" i="11"/>
  <c r="C78" i="11"/>
  <c r="D78" i="11"/>
  <c r="E78" i="11"/>
  <c r="F78" i="11"/>
  <c r="G78" i="11"/>
  <c r="H78" i="11"/>
  <c r="N78" i="11"/>
  <c r="Q78" i="11" s="1"/>
  <c r="X78" i="11"/>
  <c r="I78" i="12" s="1"/>
  <c r="AH78" i="11"/>
  <c r="AK78" i="11" s="1"/>
  <c r="C79" i="11"/>
  <c r="D79" i="11"/>
  <c r="E79" i="11"/>
  <c r="F79" i="11"/>
  <c r="G79" i="11"/>
  <c r="H79" i="11"/>
  <c r="N79" i="11"/>
  <c r="Q79" i="11" s="1"/>
  <c r="R79" i="11" s="1"/>
  <c r="X79" i="11"/>
  <c r="I79" i="12" s="1"/>
  <c r="AA79" i="11"/>
  <c r="K79" i="12"/>
  <c r="AH79" i="11"/>
  <c r="AK79" i="11" s="1"/>
  <c r="C80" i="11"/>
  <c r="D80" i="11"/>
  <c r="E80" i="11"/>
  <c r="F80" i="11"/>
  <c r="G80" i="11"/>
  <c r="I80" i="11" s="1"/>
  <c r="AC80" i="11" s="1"/>
  <c r="H80" i="11"/>
  <c r="N80" i="11"/>
  <c r="X80" i="11"/>
  <c r="AL80" i="11" s="1"/>
  <c r="K80" i="12"/>
  <c r="AH80" i="11"/>
  <c r="AK80" i="11" s="1"/>
  <c r="A81" i="11"/>
  <c r="B81" i="11"/>
  <c r="C81" i="11"/>
  <c r="D81" i="11"/>
  <c r="E81" i="11"/>
  <c r="F81" i="11"/>
  <c r="G81" i="11"/>
  <c r="H81" i="11"/>
  <c r="N81" i="11"/>
  <c r="X81" i="11"/>
  <c r="AA81" i="11" s="1"/>
  <c r="K81" i="12"/>
  <c r="AH81" i="11"/>
  <c r="AK81" i="11" s="1"/>
  <c r="C82" i="11"/>
  <c r="D82" i="11"/>
  <c r="E82" i="11"/>
  <c r="F82" i="11"/>
  <c r="G82" i="11"/>
  <c r="I82" i="11" s="1"/>
  <c r="AM82" i="11" s="1"/>
  <c r="H82" i="11"/>
  <c r="N82" i="11"/>
  <c r="Q82" i="11" s="1"/>
  <c r="I82" i="12"/>
  <c r="X82" i="11"/>
  <c r="AA82" i="11" s="1"/>
  <c r="K82" i="12"/>
  <c r="AH82" i="11"/>
  <c r="AK82" i="11"/>
  <c r="C83" i="11"/>
  <c r="D83" i="11"/>
  <c r="E83" i="11"/>
  <c r="F83" i="11"/>
  <c r="G83" i="11"/>
  <c r="I83" i="11" s="1"/>
  <c r="H83" i="11"/>
  <c r="N83" i="11"/>
  <c r="Q83" i="11" s="1"/>
  <c r="I83" i="12"/>
  <c r="X83" i="11"/>
  <c r="AA83" i="11" s="1"/>
  <c r="K83" i="12"/>
  <c r="AH83" i="11"/>
  <c r="AK83" i="11" s="1"/>
  <c r="A84" i="11"/>
  <c r="B84" i="11"/>
  <c r="C84" i="11"/>
  <c r="D84" i="11"/>
  <c r="E84" i="11"/>
  <c r="F84" i="11"/>
  <c r="G84" i="11"/>
  <c r="H84" i="11"/>
  <c r="N84" i="11"/>
  <c r="Q84" i="11" s="1"/>
  <c r="X84" i="11"/>
  <c r="AA84" i="11" s="1"/>
  <c r="AH84" i="11"/>
  <c r="AK84" i="11" s="1"/>
  <c r="C85" i="11"/>
  <c r="D85" i="11"/>
  <c r="E85" i="11"/>
  <c r="F85" i="11"/>
  <c r="G85" i="11"/>
  <c r="I85" i="11" s="1"/>
  <c r="H85" i="11"/>
  <c r="N85" i="11"/>
  <c r="Q85" i="11" s="1"/>
  <c r="I85" i="12"/>
  <c r="X85" i="11"/>
  <c r="AA85" i="11" s="1"/>
  <c r="K85" i="12"/>
  <c r="AH85" i="11"/>
  <c r="AK85" i="11" s="1"/>
  <c r="C86" i="11"/>
  <c r="D86" i="11"/>
  <c r="E86" i="11"/>
  <c r="F86" i="11"/>
  <c r="G86" i="11"/>
  <c r="I86" i="11" s="1"/>
  <c r="S86" i="11" s="1"/>
  <c r="H86" i="11"/>
  <c r="N86" i="11"/>
  <c r="Q86" i="11" s="1"/>
  <c r="X86" i="11"/>
  <c r="AA86" i="11" s="1"/>
  <c r="K86" i="12"/>
  <c r="AH86" i="11"/>
  <c r="AK86" i="11" s="1"/>
  <c r="A87" i="11"/>
  <c r="B87" i="11"/>
  <c r="C87" i="11"/>
  <c r="D87" i="11"/>
  <c r="E87" i="11"/>
  <c r="F87" i="11"/>
  <c r="G87" i="11"/>
  <c r="I87" i="11" s="1"/>
  <c r="H87" i="11"/>
  <c r="R87" i="11" s="1"/>
  <c r="N87" i="11"/>
  <c r="Q87" i="11"/>
  <c r="X87" i="11"/>
  <c r="AA87" i="11" s="1"/>
  <c r="K87" i="12"/>
  <c r="AH87" i="11"/>
  <c r="AK87" i="11" s="1"/>
  <c r="C88" i="11"/>
  <c r="D88" i="11"/>
  <c r="E88" i="11"/>
  <c r="F88" i="11"/>
  <c r="G88" i="11"/>
  <c r="I88" i="11" s="1"/>
  <c r="H88" i="11"/>
  <c r="N88" i="11"/>
  <c r="Q88" i="11" s="1"/>
  <c r="I88" i="12"/>
  <c r="X88" i="11"/>
  <c r="AA88" i="11" s="1"/>
  <c r="K88" i="12"/>
  <c r="AH88" i="11"/>
  <c r="AK88" i="11" s="1"/>
  <c r="C89" i="11"/>
  <c r="D89" i="11"/>
  <c r="E89" i="11"/>
  <c r="F89" i="11"/>
  <c r="G89" i="11"/>
  <c r="I89" i="11" s="1"/>
  <c r="H89" i="11"/>
  <c r="N89" i="11"/>
  <c r="Q89" i="11" s="1"/>
  <c r="X89" i="11"/>
  <c r="AA89" i="11" s="1"/>
  <c r="K89" i="12"/>
  <c r="AH89" i="11"/>
  <c r="AK89" i="11" s="1"/>
  <c r="A39" i="11"/>
  <c r="B39" i="11"/>
  <c r="C39" i="11"/>
  <c r="D39" i="11"/>
  <c r="E39" i="11"/>
  <c r="F39" i="11"/>
  <c r="G39" i="11"/>
  <c r="H39" i="11"/>
  <c r="R39" i="11" s="1"/>
  <c r="N39" i="11"/>
  <c r="Q39" i="11" s="1"/>
  <c r="X39" i="11"/>
  <c r="K39" i="12"/>
  <c r="AH39" i="11"/>
  <c r="AK39" i="11" s="1"/>
  <c r="C40" i="11"/>
  <c r="D40" i="11"/>
  <c r="E40" i="11"/>
  <c r="F40" i="11"/>
  <c r="G40" i="11"/>
  <c r="H40" i="11"/>
  <c r="N40" i="11"/>
  <c r="X40" i="11"/>
  <c r="AA40" i="11" s="1"/>
  <c r="K40" i="12"/>
  <c r="AH40" i="11"/>
  <c r="AK40" i="11" s="1"/>
  <c r="C41" i="11"/>
  <c r="D41" i="11"/>
  <c r="E41" i="11"/>
  <c r="F41" i="11"/>
  <c r="G41" i="11"/>
  <c r="I41" i="11" s="1"/>
  <c r="H41" i="11"/>
  <c r="N41" i="11"/>
  <c r="X41" i="11"/>
  <c r="K41" i="12"/>
  <c r="AH41" i="11"/>
  <c r="AK41" i="11" s="1"/>
  <c r="A42" i="11"/>
  <c r="B42" i="11"/>
  <c r="C42" i="11"/>
  <c r="D42" i="11"/>
  <c r="E42" i="11"/>
  <c r="F42" i="11"/>
  <c r="G42" i="11"/>
  <c r="H42" i="11"/>
  <c r="N42" i="11"/>
  <c r="X42" i="11"/>
  <c r="AA42" i="11" s="1"/>
  <c r="AH42" i="11"/>
  <c r="AK42" i="11" s="1"/>
  <c r="C43" i="11"/>
  <c r="D43" i="11"/>
  <c r="E43" i="11"/>
  <c r="F43" i="11"/>
  <c r="G43" i="11"/>
  <c r="I43" i="11" s="1"/>
  <c r="H43" i="11"/>
  <c r="N43" i="11"/>
  <c r="Q43" i="11" s="1"/>
  <c r="I43" i="12"/>
  <c r="X43" i="11"/>
  <c r="AL43" i="11" s="1"/>
  <c r="K43" i="12"/>
  <c r="AH43" i="11"/>
  <c r="AK43" i="11" s="1"/>
  <c r="C44" i="11"/>
  <c r="D44" i="11"/>
  <c r="E44" i="11"/>
  <c r="F44" i="11"/>
  <c r="G44" i="11"/>
  <c r="I44" i="11" s="1"/>
  <c r="AC44" i="11" s="1"/>
  <c r="H44" i="11"/>
  <c r="N44" i="11"/>
  <c r="X44" i="11"/>
  <c r="AA44" i="11" s="1"/>
  <c r="K44" i="12"/>
  <c r="AH44" i="11"/>
  <c r="AK44" i="11" s="1"/>
  <c r="A45" i="11"/>
  <c r="B45" i="11"/>
  <c r="C45" i="11"/>
  <c r="D45" i="11"/>
  <c r="E45" i="11"/>
  <c r="F45" i="11"/>
  <c r="G45" i="11"/>
  <c r="H45" i="11"/>
  <c r="R45" i="11" s="1"/>
  <c r="N45" i="11"/>
  <c r="Q45" i="11" s="1"/>
  <c r="X45" i="11"/>
  <c r="AL45" i="11" s="1"/>
  <c r="K45" i="12"/>
  <c r="AH45" i="11"/>
  <c r="AK45" i="11" s="1"/>
  <c r="C46" i="11"/>
  <c r="D46" i="11"/>
  <c r="E46" i="11"/>
  <c r="F46" i="11"/>
  <c r="G46" i="11"/>
  <c r="I46" i="11" s="1"/>
  <c r="H46" i="11"/>
  <c r="N46" i="11"/>
  <c r="Q46" i="11" s="1"/>
  <c r="I46" i="12"/>
  <c r="X46" i="11"/>
  <c r="AA46" i="11" s="1"/>
  <c r="K46" i="12"/>
  <c r="AH46" i="11"/>
  <c r="AK46" i="11" s="1"/>
  <c r="C47" i="11"/>
  <c r="D47" i="11"/>
  <c r="E47" i="11"/>
  <c r="F47" i="11"/>
  <c r="G47" i="11"/>
  <c r="I47" i="11" s="1"/>
  <c r="H47" i="11"/>
  <c r="R47" i="11" s="1"/>
  <c r="N47" i="11"/>
  <c r="Q47" i="11" s="1"/>
  <c r="X47" i="11"/>
  <c r="AA47" i="11" s="1"/>
  <c r="K47" i="12"/>
  <c r="AH47" i="11"/>
  <c r="AK47" i="11" s="1"/>
  <c r="A48" i="11"/>
  <c r="B48" i="11"/>
  <c r="C48" i="11"/>
  <c r="D48" i="11"/>
  <c r="E48" i="11"/>
  <c r="F48" i="11"/>
  <c r="G48" i="11"/>
  <c r="H48" i="11"/>
  <c r="N48" i="11"/>
  <c r="Q48" i="11" s="1"/>
  <c r="X48" i="11"/>
  <c r="AA48" i="11" s="1"/>
  <c r="AH48" i="11"/>
  <c r="AK48" i="11" s="1"/>
  <c r="C49" i="11"/>
  <c r="D49" i="11"/>
  <c r="E49" i="11"/>
  <c r="F49" i="11"/>
  <c r="G49" i="11"/>
  <c r="I49" i="11" s="1"/>
  <c r="H49" i="11"/>
  <c r="N49" i="11"/>
  <c r="Q49" i="11" s="1"/>
  <c r="I49" i="12"/>
  <c r="X49" i="11"/>
  <c r="K49" i="12"/>
  <c r="AH49" i="11"/>
  <c r="AK49" i="11" s="1"/>
  <c r="AM49" i="11"/>
  <c r="C50" i="11"/>
  <c r="D50" i="11"/>
  <c r="E50" i="11"/>
  <c r="F50" i="11"/>
  <c r="G50" i="11"/>
  <c r="I50" i="11" s="1"/>
  <c r="H50" i="11"/>
  <c r="N50" i="11"/>
  <c r="Q50" i="11" s="1"/>
  <c r="R50" i="11" s="1"/>
  <c r="X50" i="11"/>
  <c r="AL50" i="11" s="1"/>
  <c r="K50" i="12"/>
  <c r="AH50" i="11"/>
  <c r="AK50" i="11" s="1"/>
  <c r="A51" i="11"/>
  <c r="B51" i="11"/>
  <c r="C51" i="11"/>
  <c r="D51" i="11"/>
  <c r="E51" i="11"/>
  <c r="F51" i="11"/>
  <c r="G51" i="11"/>
  <c r="H51" i="11"/>
  <c r="N51" i="11"/>
  <c r="Q51" i="11"/>
  <c r="X51" i="11"/>
  <c r="AA51" i="11" s="1"/>
  <c r="AH51" i="11"/>
  <c r="AK51" i="11" s="1"/>
  <c r="C52" i="11"/>
  <c r="D52" i="11"/>
  <c r="E52" i="11"/>
  <c r="F52" i="11"/>
  <c r="G52" i="11"/>
  <c r="H52" i="11"/>
  <c r="N52" i="11"/>
  <c r="Q52" i="11" s="1"/>
  <c r="I52" i="12"/>
  <c r="X52" i="11"/>
  <c r="AA52" i="11" s="1"/>
  <c r="K52" i="12"/>
  <c r="AH52" i="11"/>
  <c r="AK52" i="11" s="1"/>
  <c r="C53" i="11"/>
  <c r="D53" i="11"/>
  <c r="E53" i="11"/>
  <c r="F53" i="11"/>
  <c r="G53" i="11"/>
  <c r="H53" i="11"/>
  <c r="N53" i="11"/>
  <c r="Q53" i="11" s="1"/>
  <c r="X53" i="11"/>
  <c r="AA53" i="11" s="1"/>
  <c r="AH53" i="11"/>
  <c r="AK53" i="11" s="1"/>
  <c r="A54" i="11"/>
  <c r="B54" i="11"/>
  <c r="C54" i="11"/>
  <c r="D54" i="11"/>
  <c r="E54" i="11"/>
  <c r="F54" i="11"/>
  <c r="G54" i="11"/>
  <c r="I54" i="11" s="1"/>
  <c r="S54" i="11" s="1"/>
  <c r="H54" i="11"/>
  <c r="N54" i="11"/>
  <c r="Q54" i="11" s="1"/>
  <c r="X54" i="11"/>
  <c r="AA54" i="11" s="1"/>
  <c r="AH54" i="11"/>
  <c r="K54" i="12" s="1"/>
  <c r="AK54" i="11"/>
  <c r="AL54" i="11"/>
  <c r="C55" i="11"/>
  <c r="D55" i="11"/>
  <c r="E55" i="11"/>
  <c r="F55" i="11"/>
  <c r="G55" i="11"/>
  <c r="I55" i="11" s="1"/>
  <c r="S55" i="11" s="1"/>
  <c r="H55" i="11"/>
  <c r="N55" i="11"/>
  <c r="Q55" i="11" s="1"/>
  <c r="X55" i="11"/>
  <c r="AL55" i="11" s="1"/>
  <c r="AA55" i="11"/>
  <c r="AH55" i="11"/>
  <c r="AK55" i="11" s="1"/>
  <c r="C56" i="11"/>
  <c r="D56" i="11"/>
  <c r="E56" i="11"/>
  <c r="F56" i="11"/>
  <c r="G56" i="11"/>
  <c r="H56" i="11"/>
  <c r="N56" i="11"/>
  <c r="Q56" i="11" s="1"/>
  <c r="X56" i="11"/>
  <c r="AA56" i="11" s="1"/>
  <c r="K56" i="12"/>
  <c r="AH56" i="11"/>
  <c r="AK56" i="11"/>
  <c r="A57" i="11"/>
  <c r="B57" i="11"/>
  <c r="C57" i="11"/>
  <c r="D57" i="11"/>
  <c r="E57" i="11"/>
  <c r="F57" i="11"/>
  <c r="G57" i="11"/>
  <c r="H57" i="11"/>
  <c r="N57" i="11"/>
  <c r="Q57" i="11" s="1"/>
  <c r="X57" i="11"/>
  <c r="I57" i="12" s="1"/>
  <c r="AH57" i="11"/>
  <c r="AK57" i="11" s="1"/>
  <c r="C58" i="11"/>
  <c r="D58" i="11"/>
  <c r="E58" i="11"/>
  <c r="F58" i="11"/>
  <c r="G58" i="11"/>
  <c r="I58" i="11" s="1"/>
  <c r="AM58" i="11" s="1"/>
  <c r="H58" i="11"/>
  <c r="N58" i="11"/>
  <c r="Q58" i="11" s="1"/>
  <c r="I58" i="12"/>
  <c r="X58" i="11"/>
  <c r="K58" i="12"/>
  <c r="AH58" i="11"/>
  <c r="AK58" i="11" s="1"/>
  <c r="C59" i="11"/>
  <c r="D59" i="11"/>
  <c r="E59" i="11"/>
  <c r="F59" i="11"/>
  <c r="G59" i="11"/>
  <c r="I59" i="11" s="1"/>
  <c r="S59" i="11" s="1"/>
  <c r="H59" i="11"/>
  <c r="N59" i="11"/>
  <c r="Q59" i="11" s="1"/>
  <c r="I59" i="12"/>
  <c r="X59" i="11"/>
  <c r="AA59" i="11" s="1"/>
  <c r="K59" i="12"/>
  <c r="AH59" i="11"/>
  <c r="AK59" i="11" s="1"/>
  <c r="C96" i="11"/>
  <c r="C97" i="11"/>
  <c r="C98" i="11"/>
  <c r="C99" i="11"/>
  <c r="C100" i="11"/>
  <c r="C101" i="11"/>
  <c r="C102" i="11"/>
  <c r="C103" i="11"/>
  <c r="C104" i="11"/>
  <c r="C105" i="11"/>
  <c r="C106" i="11"/>
  <c r="C107" i="11"/>
  <c r="C108" i="11"/>
  <c r="C109" i="11"/>
  <c r="C95" i="11"/>
  <c r="C94" i="13"/>
  <c r="C15" i="11"/>
  <c r="C16" i="11"/>
  <c r="C17" i="11"/>
  <c r="C18" i="11"/>
  <c r="C19" i="11"/>
  <c r="C20" i="11"/>
  <c r="C21" i="11"/>
  <c r="C22" i="11"/>
  <c r="C23" i="11"/>
  <c r="C24" i="11"/>
  <c r="C25" i="11"/>
  <c r="C26" i="11"/>
  <c r="C27" i="11"/>
  <c r="C28" i="11"/>
  <c r="C29" i="11"/>
  <c r="C30" i="11"/>
  <c r="C31" i="11"/>
  <c r="C32" i="11"/>
  <c r="C33" i="11"/>
  <c r="C34" i="11"/>
  <c r="C35" i="11"/>
  <c r="C36" i="11"/>
  <c r="C37" i="11"/>
  <c r="C38" i="11"/>
  <c r="C12" i="11"/>
  <c r="C13" i="11"/>
  <c r="C14" i="11"/>
  <c r="C10" i="11"/>
  <c r="C11" i="11"/>
  <c r="C9" i="11"/>
  <c r="C9" i="13"/>
  <c r="A184" i="13"/>
  <c r="B184" i="13"/>
  <c r="C184" i="13"/>
  <c r="D184" i="13"/>
  <c r="E184" i="13"/>
  <c r="J184" i="13"/>
  <c r="C185" i="13"/>
  <c r="D185" i="13"/>
  <c r="E185" i="13"/>
  <c r="J185" i="13"/>
  <c r="C186" i="13"/>
  <c r="D186" i="13"/>
  <c r="E186" i="13"/>
  <c r="J186" i="13"/>
  <c r="A187" i="13"/>
  <c r="B187" i="13"/>
  <c r="C187" i="13"/>
  <c r="D187" i="13"/>
  <c r="E187" i="13"/>
  <c r="J187" i="13"/>
  <c r="C188" i="13"/>
  <c r="D188" i="13"/>
  <c r="E188" i="13"/>
  <c r="J188" i="13"/>
  <c r="C189" i="13"/>
  <c r="D189" i="13"/>
  <c r="E189" i="13"/>
  <c r="J189" i="13"/>
  <c r="A190" i="13"/>
  <c r="B190" i="13"/>
  <c r="C190" i="13"/>
  <c r="D190" i="13"/>
  <c r="E190" i="13"/>
  <c r="J190" i="13"/>
  <c r="C191" i="13"/>
  <c r="D191" i="13"/>
  <c r="E191" i="13"/>
  <c r="J191" i="13"/>
  <c r="C192" i="13"/>
  <c r="D192" i="13"/>
  <c r="E192" i="13"/>
  <c r="J192" i="13"/>
  <c r="A193" i="13"/>
  <c r="B193" i="13"/>
  <c r="C193" i="13"/>
  <c r="D193" i="13"/>
  <c r="E193" i="13"/>
  <c r="J193" i="13"/>
  <c r="C194" i="13"/>
  <c r="D194" i="13"/>
  <c r="E194" i="13"/>
  <c r="J194" i="13"/>
  <c r="C195" i="13"/>
  <c r="D195" i="13"/>
  <c r="E195" i="13"/>
  <c r="J195" i="13"/>
  <c r="A166" i="13"/>
  <c r="B166" i="13"/>
  <c r="C166" i="13"/>
  <c r="D166" i="13"/>
  <c r="E166" i="13"/>
  <c r="J166" i="13"/>
  <c r="C167" i="13"/>
  <c r="D167" i="13"/>
  <c r="E167" i="13"/>
  <c r="J167" i="13"/>
  <c r="C168" i="13"/>
  <c r="D168" i="13"/>
  <c r="E168" i="13"/>
  <c r="J168" i="13"/>
  <c r="A169" i="13"/>
  <c r="B169" i="13"/>
  <c r="C169" i="13"/>
  <c r="D169" i="13"/>
  <c r="E169" i="13"/>
  <c r="J169" i="13"/>
  <c r="C170" i="13"/>
  <c r="D170" i="13"/>
  <c r="E170" i="13"/>
  <c r="J170" i="13"/>
  <c r="C171" i="13"/>
  <c r="D171" i="13"/>
  <c r="E171" i="13"/>
  <c r="J171" i="13"/>
  <c r="A172" i="13"/>
  <c r="B172" i="13"/>
  <c r="C172" i="13"/>
  <c r="D172" i="13"/>
  <c r="E172" i="13"/>
  <c r="J172" i="13"/>
  <c r="C173" i="13"/>
  <c r="D173" i="13"/>
  <c r="E173" i="13"/>
  <c r="J173" i="13"/>
  <c r="C174" i="13"/>
  <c r="D174" i="13"/>
  <c r="E174" i="13"/>
  <c r="J174" i="13"/>
  <c r="A175" i="13"/>
  <c r="B175" i="13"/>
  <c r="C175" i="13"/>
  <c r="D175" i="13"/>
  <c r="E175" i="13"/>
  <c r="J175" i="13"/>
  <c r="C176" i="13"/>
  <c r="D176" i="13"/>
  <c r="E176" i="13"/>
  <c r="J176" i="13"/>
  <c r="C177" i="13"/>
  <c r="D177" i="13"/>
  <c r="E177" i="13"/>
  <c r="J177" i="13"/>
  <c r="A178" i="13"/>
  <c r="B178" i="13"/>
  <c r="C178" i="13"/>
  <c r="D178" i="13"/>
  <c r="E178" i="13"/>
  <c r="J178" i="13"/>
  <c r="C179" i="13"/>
  <c r="D179" i="13"/>
  <c r="E179" i="13"/>
  <c r="J179" i="13"/>
  <c r="C180" i="13"/>
  <c r="D180" i="13"/>
  <c r="E180" i="13"/>
  <c r="J180" i="13"/>
  <c r="A181" i="13"/>
  <c r="B181" i="13"/>
  <c r="C181" i="13"/>
  <c r="D181" i="13"/>
  <c r="E181" i="13"/>
  <c r="J181" i="13"/>
  <c r="C182" i="13"/>
  <c r="D182" i="13"/>
  <c r="E182" i="13"/>
  <c r="J182" i="13"/>
  <c r="C183" i="13"/>
  <c r="D183" i="13"/>
  <c r="E183" i="13"/>
  <c r="J183" i="13"/>
  <c r="A130" i="13"/>
  <c r="B130" i="13"/>
  <c r="C130" i="13"/>
  <c r="D130" i="13"/>
  <c r="E130" i="13"/>
  <c r="J130" i="13"/>
  <c r="C131" i="13"/>
  <c r="D131" i="13"/>
  <c r="E131" i="13"/>
  <c r="J131" i="13"/>
  <c r="C132" i="13"/>
  <c r="D132" i="13"/>
  <c r="E132" i="13"/>
  <c r="J132" i="13"/>
  <c r="A133" i="13"/>
  <c r="B133" i="13"/>
  <c r="C133" i="13"/>
  <c r="D133" i="13"/>
  <c r="E133" i="13"/>
  <c r="J133" i="13"/>
  <c r="C134" i="13"/>
  <c r="D134" i="13"/>
  <c r="E134" i="13"/>
  <c r="J134" i="13"/>
  <c r="C135" i="13"/>
  <c r="D135" i="13"/>
  <c r="E135" i="13"/>
  <c r="J135" i="13"/>
  <c r="A136" i="13"/>
  <c r="B136" i="13"/>
  <c r="C136" i="13"/>
  <c r="D136" i="13"/>
  <c r="E136" i="13"/>
  <c r="J136" i="13"/>
  <c r="C137" i="13"/>
  <c r="D137" i="13"/>
  <c r="E137" i="13"/>
  <c r="J137" i="13"/>
  <c r="C138" i="13"/>
  <c r="D138" i="13"/>
  <c r="E138" i="13"/>
  <c r="J138" i="13"/>
  <c r="A139" i="13"/>
  <c r="B139" i="13"/>
  <c r="C139" i="13"/>
  <c r="D139" i="13"/>
  <c r="E139" i="13"/>
  <c r="J139" i="13"/>
  <c r="C140" i="13"/>
  <c r="D140" i="13"/>
  <c r="E140" i="13"/>
  <c r="J140" i="13"/>
  <c r="C141" i="13"/>
  <c r="D141" i="13"/>
  <c r="E141" i="13"/>
  <c r="J141" i="13"/>
  <c r="A142" i="13"/>
  <c r="B142" i="13"/>
  <c r="C142" i="13"/>
  <c r="D142" i="13"/>
  <c r="E142" i="13"/>
  <c r="J142" i="13"/>
  <c r="C143" i="13"/>
  <c r="D143" i="13"/>
  <c r="E143" i="13"/>
  <c r="J143" i="13"/>
  <c r="C144" i="13"/>
  <c r="D144" i="13"/>
  <c r="E144" i="13"/>
  <c r="J144" i="13"/>
  <c r="A145" i="13"/>
  <c r="B145" i="13"/>
  <c r="C145" i="13"/>
  <c r="D145" i="13"/>
  <c r="E145" i="13"/>
  <c r="J145" i="13"/>
  <c r="C146" i="13"/>
  <c r="D146" i="13"/>
  <c r="E146" i="13"/>
  <c r="J146" i="13"/>
  <c r="C147" i="13"/>
  <c r="D147" i="13"/>
  <c r="E147" i="13"/>
  <c r="J147" i="13"/>
  <c r="A148" i="13"/>
  <c r="B148" i="13"/>
  <c r="C148" i="13"/>
  <c r="D148" i="13"/>
  <c r="E148" i="13"/>
  <c r="J148" i="13"/>
  <c r="C149" i="13"/>
  <c r="D149" i="13"/>
  <c r="E149" i="13"/>
  <c r="J149" i="13"/>
  <c r="C150" i="13"/>
  <c r="D150" i="13"/>
  <c r="E150" i="13"/>
  <c r="J150" i="13"/>
  <c r="A151" i="13"/>
  <c r="B151" i="13"/>
  <c r="C151" i="13"/>
  <c r="D151" i="13"/>
  <c r="E151" i="13"/>
  <c r="J151" i="13"/>
  <c r="C152" i="13"/>
  <c r="D152" i="13"/>
  <c r="E152" i="13"/>
  <c r="J152" i="13"/>
  <c r="C153" i="13"/>
  <c r="D153" i="13"/>
  <c r="E153" i="13"/>
  <c r="J153" i="13"/>
  <c r="A154" i="13"/>
  <c r="B154" i="13"/>
  <c r="C154" i="13"/>
  <c r="D154" i="13"/>
  <c r="E154" i="13"/>
  <c r="J154" i="13"/>
  <c r="C155" i="13"/>
  <c r="D155" i="13"/>
  <c r="E155" i="13"/>
  <c r="J155" i="13"/>
  <c r="C156" i="13"/>
  <c r="D156" i="13"/>
  <c r="E156" i="13"/>
  <c r="J156" i="13"/>
  <c r="A157" i="13"/>
  <c r="B157" i="13"/>
  <c r="C157" i="13"/>
  <c r="D157" i="13"/>
  <c r="E157" i="13"/>
  <c r="J157" i="13"/>
  <c r="C158" i="13"/>
  <c r="D158" i="13"/>
  <c r="E158" i="13"/>
  <c r="J158" i="13"/>
  <c r="C159" i="13"/>
  <c r="D159" i="13"/>
  <c r="E159" i="13"/>
  <c r="J159" i="13"/>
  <c r="A160" i="13"/>
  <c r="B160" i="13"/>
  <c r="C160" i="13"/>
  <c r="D160" i="13"/>
  <c r="E160" i="13"/>
  <c r="J160" i="13"/>
  <c r="C161" i="13"/>
  <c r="D161" i="13"/>
  <c r="E161" i="13"/>
  <c r="J161" i="13"/>
  <c r="C162" i="13"/>
  <c r="D162" i="13"/>
  <c r="E162" i="13"/>
  <c r="J162" i="13"/>
  <c r="A163" i="13"/>
  <c r="B163" i="13"/>
  <c r="C163" i="13"/>
  <c r="D163" i="13"/>
  <c r="E163" i="13"/>
  <c r="J163" i="13"/>
  <c r="C164" i="13"/>
  <c r="D164" i="13"/>
  <c r="E164" i="13"/>
  <c r="J164" i="13"/>
  <c r="C165" i="13"/>
  <c r="D165" i="13"/>
  <c r="E165" i="13"/>
  <c r="J165" i="13"/>
  <c r="A109" i="13"/>
  <c r="B109" i="13"/>
  <c r="C109" i="13"/>
  <c r="D109" i="13"/>
  <c r="E109" i="13"/>
  <c r="J109" i="13"/>
  <c r="C110" i="13"/>
  <c r="D110" i="13"/>
  <c r="E110" i="13"/>
  <c r="J110" i="13"/>
  <c r="C111" i="13"/>
  <c r="D111" i="13"/>
  <c r="E111" i="13"/>
  <c r="J111" i="13"/>
  <c r="A112" i="13"/>
  <c r="B112" i="13"/>
  <c r="C112" i="13"/>
  <c r="D112" i="13"/>
  <c r="E112" i="13"/>
  <c r="J112" i="13"/>
  <c r="C113" i="13"/>
  <c r="D113" i="13"/>
  <c r="E113" i="13"/>
  <c r="J113" i="13"/>
  <c r="C114" i="13"/>
  <c r="D114" i="13"/>
  <c r="E114" i="13"/>
  <c r="J114" i="13"/>
  <c r="A115" i="13"/>
  <c r="B115" i="13"/>
  <c r="C115" i="13"/>
  <c r="D115" i="13"/>
  <c r="E115" i="13"/>
  <c r="J115" i="13"/>
  <c r="C116" i="13"/>
  <c r="D116" i="13"/>
  <c r="E116" i="13"/>
  <c r="J116" i="13"/>
  <c r="C117" i="13"/>
  <c r="D117" i="13"/>
  <c r="E117" i="13"/>
  <c r="J117" i="13"/>
  <c r="A118" i="13"/>
  <c r="B118" i="13"/>
  <c r="C118" i="13"/>
  <c r="D118" i="13"/>
  <c r="E118" i="13"/>
  <c r="J118" i="13"/>
  <c r="C119" i="13"/>
  <c r="D119" i="13"/>
  <c r="E119" i="13"/>
  <c r="J119" i="13"/>
  <c r="C120" i="13"/>
  <c r="D120" i="13"/>
  <c r="E120" i="13"/>
  <c r="J120" i="13"/>
  <c r="A121" i="13"/>
  <c r="B121" i="13"/>
  <c r="C121" i="13"/>
  <c r="D121" i="13"/>
  <c r="E121" i="13"/>
  <c r="J121" i="13"/>
  <c r="C122" i="13"/>
  <c r="D122" i="13"/>
  <c r="E122" i="13"/>
  <c r="J122" i="13"/>
  <c r="C123" i="13"/>
  <c r="D123" i="13"/>
  <c r="E123" i="13"/>
  <c r="J123" i="13"/>
  <c r="A124" i="13"/>
  <c r="B124" i="13"/>
  <c r="C124" i="13"/>
  <c r="D124" i="13"/>
  <c r="E124" i="13"/>
  <c r="J124" i="13"/>
  <c r="C125" i="13"/>
  <c r="D125" i="13"/>
  <c r="E125" i="13"/>
  <c r="J125" i="13"/>
  <c r="C126" i="13"/>
  <c r="D126" i="13"/>
  <c r="E126" i="13"/>
  <c r="J126" i="13"/>
  <c r="A127" i="13"/>
  <c r="B127" i="13"/>
  <c r="C127" i="13"/>
  <c r="D127" i="13"/>
  <c r="E127" i="13"/>
  <c r="J127" i="13"/>
  <c r="C128" i="13"/>
  <c r="D128" i="13"/>
  <c r="E128" i="13"/>
  <c r="J128" i="13"/>
  <c r="C129" i="13"/>
  <c r="D129" i="13"/>
  <c r="E129" i="13"/>
  <c r="J129" i="13"/>
  <c r="A39" i="13"/>
  <c r="B39" i="13"/>
  <c r="C39" i="13"/>
  <c r="D39" i="13"/>
  <c r="E39" i="13"/>
  <c r="J39" i="13"/>
  <c r="C40" i="13"/>
  <c r="D40" i="13"/>
  <c r="E40" i="13"/>
  <c r="J40" i="13"/>
  <c r="C41" i="13"/>
  <c r="D41" i="13"/>
  <c r="E41" i="13"/>
  <c r="J41" i="13"/>
  <c r="A42" i="13"/>
  <c r="B42" i="13"/>
  <c r="C42" i="13"/>
  <c r="D42" i="13"/>
  <c r="E42" i="13"/>
  <c r="J42" i="13"/>
  <c r="C43" i="13"/>
  <c r="D43" i="13"/>
  <c r="E43" i="13"/>
  <c r="J43" i="13"/>
  <c r="C44" i="13"/>
  <c r="D44" i="13"/>
  <c r="E44" i="13"/>
  <c r="J44" i="13"/>
  <c r="A45" i="13"/>
  <c r="B45" i="13"/>
  <c r="C45" i="13"/>
  <c r="D45" i="13"/>
  <c r="E45" i="13"/>
  <c r="J45" i="13"/>
  <c r="C46" i="13"/>
  <c r="D46" i="13"/>
  <c r="E46" i="13"/>
  <c r="J46" i="13"/>
  <c r="C47" i="13"/>
  <c r="D47" i="13"/>
  <c r="E47" i="13"/>
  <c r="J47" i="13"/>
  <c r="A48" i="13"/>
  <c r="B48" i="13"/>
  <c r="C48" i="13"/>
  <c r="D48" i="13"/>
  <c r="E48" i="13"/>
  <c r="J48" i="13"/>
  <c r="C49" i="13"/>
  <c r="D49" i="13"/>
  <c r="E49" i="13"/>
  <c r="J49" i="13"/>
  <c r="C50" i="13"/>
  <c r="D50" i="13"/>
  <c r="E50" i="13"/>
  <c r="J50" i="13"/>
  <c r="A51" i="13"/>
  <c r="B51" i="13"/>
  <c r="C51" i="13"/>
  <c r="D51" i="13"/>
  <c r="E51" i="13"/>
  <c r="J51" i="13"/>
  <c r="C52" i="13"/>
  <c r="D52" i="13"/>
  <c r="E52" i="13"/>
  <c r="J52" i="13"/>
  <c r="C53" i="13"/>
  <c r="D53" i="13"/>
  <c r="E53" i="13"/>
  <c r="J53" i="13"/>
  <c r="A54" i="13"/>
  <c r="B54" i="13"/>
  <c r="C54" i="13"/>
  <c r="D54" i="13"/>
  <c r="E54" i="13"/>
  <c r="J54" i="13"/>
  <c r="C55" i="13"/>
  <c r="D55" i="13"/>
  <c r="E55" i="13"/>
  <c r="J55" i="13"/>
  <c r="C56" i="13"/>
  <c r="D56" i="13"/>
  <c r="E56" i="13"/>
  <c r="J56" i="13"/>
  <c r="A57" i="13"/>
  <c r="B57" i="13"/>
  <c r="C57" i="13"/>
  <c r="D57" i="13"/>
  <c r="E57" i="13"/>
  <c r="J57" i="13"/>
  <c r="C58" i="13"/>
  <c r="D58" i="13"/>
  <c r="E58" i="13"/>
  <c r="J58" i="13"/>
  <c r="C59" i="13"/>
  <c r="D59" i="13"/>
  <c r="E59" i="13"/>
  <c r="J59" i="13"/>
  <c r="A60" i="13"/>
  <c r="B60" i="13"/>
  <c r="C60" i="13"/>
  <c r="D60" i="13"/>
  <c r="E60" i="13"/>
  <c r="J60" i="13"/>
  <c r="C61" i="13"/>
  <c r="D61" i="13"/>
  <c r="E61" i="13"/>
  <c r="J61" i="13"/>
  <c r="C62" i="13"/>
  <c r="D62" i="13"/>
  <c r="E62" i="13"/>
  <c r="J62" i="13"/>
  <c r="A63" i="13"/>
  <c r="B63" i="13"/>
  <c r="C63" i="13"/>
  <c r="D63" i="13"/>
  <c r="E63" i="13"/>
  <c r="J63" i="13"/>
  <c r="C64" i="13"/>
  <c r="D64" i="13"/>
  <c r="E64" i="13"/>
  <c r="J64" i="13"/>
  <c r="C65" i="13"/>
  <c r="D65" i="13"/>
  <c r="E65" i="13"/>
  <c r="J65" i="13"/>
  <c r="A66" i="13"/>
  <c r="B66" i="13"/>
  <c r="C66" i="13"/>
  <c r="D66" i="13"/>
  <c r="E66" i="13"/>
  <c r="J66" i="13"/>
  <c r="C67" i="13"/>
  <c r="D67" i="13"/>
  <c r="E67" i="13"/>
  <c r="J67" i="13"/>
  <c r="C68" i="13"/>
  <c r="D68" i="13"/>
  <c r="E68" i="13"/>
  <c r="J68" i="13"/>
  <c r="A69" i="13"/>
  <c r="B69" i="13"/>
  <c r="C69" i="13"/>
  <c r="D69" i="13"/>
  <c r="E69" i="13"/>
  <c r="J69" i="13"/>
  <c r="C70" i="13"/>
  <c r="D70" i="13"/>
  <c r="E70" i="13"/>
  <c r="J70" i="13"/>
  <c r="C71" i="13"/>
  <c r="D71" i="13"/>
  <c r="E71" i="13"/>
  <c r="J71" i="13"/>
  <c r="A72" i="13"/>
  <c r="B72" i="13"/>
  <c r="C72" i="13"/>
  <c r="D72" i="13"/>
  <c r="E72" i="13"/>
  <c r="J72" i="13"/>
  <c r="C73" i="13"/>
  <c r="D73" i="13"/>
  <c r="E73" i="13"/>
  <c r="J73" i="13"/>
  <c r="C74" i="13"/>
  <c r="D74" i="13"/>
  <c r="E74" i="13"/>
  <c r="J74" i="13"/>
  <c r="A75" i="13"/>
  <c r="B75" i="13"/>
  <c r="C75" i="13"/>
  <c r="D75" i="13"/>
  <c r="E75" i="13"/>
  <c r="J75" i="13"/>
  <c r="C76" i="13"/>
  <c r="D76" i="13"/>
  <c r="E76" i="13"/>
  <c r="J76" i="13"/>
  <c r="C77" i="13"/>
  <c r="D77" i="13"/>
  <c r="E77" i="13"/>
  <c r="J77" i="13"/>
  <c r="A78" i="13"/>
  <c r="B78" i="13"/>
  <c r="C78" i="13"/>
  <c r="D78" i="13"/>
  <c r="E78" i="13"/>
  <c r="J78" i="13"/>
  <c r="C79" i="13"/>
  <c r="D79" i="13"/>
  <c r="E79" i="13"/>
  <c r="J79" i="13"/>
  <c r="C80" i="13"/>
  <c r="D80" i="13"/>
  <c r="E80" i="13"/>
  <c r="J80" i="13"/>
  <c r="A81" i="13"/>
  <c r="B81" i="13"/>
  <c r="C81" i="13"/>
  <c r="D81" i="13"/>
  <c r="E81" i="13"/>
  <c r="J81" i="13"/>
  <c r="C82" i="13"/>
  <c r="D82" i="13"/>
  <c r="E82" i="13"/>
  <c r="J82" i="13"/>
  <c r="C83" i="13"/>
  <c r="D83" i="13"/>
  <c r="E83" i="13"/>
  <c r="J83" i="13"/>
  <c r="A84" i="13"/>
  <c r="B84" i="13"/>
  <c r="C84" i="13"/>
  <c r="D84" i="13"/>
  <c r="E84" i="13"/>
  <c r="J84" i="13"/>
  <c r="C85" i="13"/>
  <c r="D85" i="13"/>
  <c r="E85" i="13"/>
  <c r="J85" i="13"/>
  <c r="C86" i="13"/>
  <c r="D86" i="13"/>
  <c r="E86" i="13"/>
  <c r="J86" i="13"/>
  <c r="A87" i="13"/>
  <c r="B87" i="13"/>
  <c r="C87" i="13"/>
  <c r="D87" i="13"/>
  <c r="E87" i="13"/>
  <c r="J87" i="13"/>
  <c r="C88" i="13"/>
  <c r="D88" i="13"/>
  <c r="E88" i="13"/>
  <c r="J88" i="13"/>
  <c r="C89" i="13"/>
  <c r="D89" i="13"/>
  <c r="E89" i="13"/>
  <c r="J89" i="13"/>
  <c r="A90" i="13"/>
  <c r="B90" i="13"/>
  <c r="C90" i="13"/>
  <c r="D90" i="13"/>
  <c r="E90" i="13"/>
  <c r="J90" i="13"/>
  <c r="C91" i="13"/>
  <c r="D91" i="13"/>
  <c r="E91" i="13"/>
  <c r="J91" i="13"/>
  <c r="C92" i="13"/>
  <c r="D92" i="13"/>
  <c r="E92" i="13"/>
  <c r="J92" i="13"/>
  <c r="AD194" i="8"/>
  <c r="AD191" i="8"/>
  <c r="AD188" i="8"/>
  <c r="AD185" i="8"/>
  <c r="AD182" i="8"/>
  <c r="AD179" i="8"/>
  <c r="AD176" i="8"/>
  <c r="AD173" i="8"/>
  <c r="AD170" i="8"/>
  <c r="AD167" i="8"/>
  <c r="AD164" i="8"/>
  <c r="AD161" i="8"/>
  <c r="AD158" i="8"/>
  <c r="AD155" i="8"/>
  <c r="AD152" i="8"/>
  <c r="AD149" i="8"/>
  <c r="AD146" i="8"/>
  <c r="AD143" i="8"/>
  <c r="AD140" i="8"/>
  <c r="AD137" i="8"/>
  <c r="AD134" i="8"/>
  <c r="AD131" i="8"/>
  <c r="AD128" i="8"/>
  <c r="AD125" i="8"/>
  <c r="AD122" i="8"/>
  <c r="AD119" i="8"/>
  <c r="AD116" i="8"/>
  <c r="AD113" i="8"/>
  <c r="AD110" i="8"/>
  <c r="AD92" i="8"/>
  <c r="AD91" i="8"/>
  <c r="AD89" i="8"/>
  <c r="AD88" i="8"/>
  <c r="AD86" i="8"/>
  <c r="AD85" i="8"/>
  <c r="AD83" i="8"/>
  <c r="AD82" i="8"/>
  <c r="AD80" i="8"/>
  <c r="AD79" i="8"/>
  <c r="AD77" i="8"/>
  <c r="AD76" i="8"/>
  <c r="AD74" i="8"/>
  <c r="AD73" i="8"/>
  <c r="AD71" i="8"/>
  <c r="AD70" i="8"/>
  <c r="AD68" i="8"/>
  <c r="AD67" i="8"/>
  <c r="AD65" i="8"/>
  <c r="AD64" i="8"/>
  <c r="AD62" i="8"/>
  <c r="AD61" i="8"/>
  <c r="AD59" i="8"/>
  <c r="AD58" i="8"/>
  <c r="AD56" i="8"/>
  <c r="AD55" i="8"/>
  <c r="AD53" i="8"/>
  <c r="AD52" i="8"/>
  <c r="AD50" i="8"/>
  <c r="AD49" i="8"/>
  <c r="AD47" i="8"/>
  <c r="AD46" i="8"/>
  <c r="AD44" i="8"/>
  <c r="AD43" i="8"/>
  <c r="AD41" i="8"/>
  <c r="AD40" i="8"/>
  <c r="I193" i="6"/>
  <c r="I190" i="6"/>
  <c r="I187" i="6"/>
  <c r="I184" i="6"/>
  <c r="I181" i="6"/>
  <c r="I178" i="6"/>
  <c r="I175" i="6"/>
  <c r="I172" i="6"/>
  <c r="I169" i="6"/>
  <c r="I166" i="6"/>
  <c r="I163" i="6"/>
  <c r="I160" i="6"/>
  <c r="I157" i="6"/>
  <c r="I154" i="6"/>
  <c r="I151" i="6"/>
  <c r="I148" i="6"/>
  <c r="I145" i="6"/>
  <c r="I142" i="6"/>
  <c r="I139" i="6"/>
  <c r="I136" i="6"/>
  <c r="I133" i="6"/>
  <c r="I130" i="6"/>
  <c r="I127" i="6"/>
  <c r="I124" i="6"/>
  <c r="I121" i="6"/>
  <c r="I118" i="6"/>
  <c r="I115" i="6"/>
  <c r="I112" i="6"/>
  <c r="I109" i="6"/>
  <c r="F193" i="6"/>
  <c r="F190" i="6"/>
  <c r="F187" i="6"/>
  <c r="F184" i="6"/>
  <c r="F181" i="6"/>
  <c r="F178" i="6"/>
  <c r="F175" i="6"/>
  <c r="F172" i="6"/>
  <c r="F169" i="6"/>
  <c r="F166" i="6"/>
  <c r="F163" i="6"/>
  <c r="F160" i="6"/>
  <c r="F157" i="6"/>
  <c r="F154" i="6"/>
  <c r="F151" i="6"/>
  <c r="F148" i="6"/>
  <c r="F145" i="6"/>
  <c r="F142" i="6"/>
  <c r="F139" i="6"/>
  <c r="F136" i="6"/>
  <c r="F133" i="6"/>
  <c r="F130" i="6"/>
  <c r="F127" i="6"/>
  <c r="F124" i="6"/>
  <c r="F121" i="6"/>
  <c r="F118" i="6"/>
  <c r="F115" i="6"/>
  <c r="F112" i="6"/>
  <c r="F109" i="6"/>
  <c r="E193" i="6"/>
  <c r="E190" i="6"/>
  <c r="E187" i="6"/>
  <c r="E184" i="6"/>
  <c r="E181" i="6"/>
  <c r="E178" i="6"/>
  <c r="E175" i="6"/>
  <c r="E172" i="6"/>
  <c r="E169" i="6"/>
  <c r="E166" i="6"/>
  <c r="E163" i="6"/>
  <c r="E160" i="6"/>
  <c r="E157" i="6"/>
  <c r="E154" i="6"/>
  <c r="E151" i="6"/>
  <c r="E148" i="6"/>
  <c r="E145" i="6"/>
  <c r="E142" i="6"/>
  <c r="E139" i="6"/>
  <c r="E136" i="6"/>
  <c r="E133" i="6"/>
  <c r="E130" i="6"/>
  <c r="E127" i="6"/>
  <c r="E124" i="6"/>
  <c r="E121" i="6"/>
  <c r="E118" i="6"/>
  <c r="E115" i="6"/>
  <c r="E112" i="6"/>
  <c r="E109" i="6"/>
  <c r="D193" i="6"/>
  <c r="D190" i="6"/>
  <c r="D187" i="6"/>
  <c r="D184" i="6"/>
  <c r="D181" i="6"/>
  <c r="D178" i="6"/>
  <c r="D175" i="6"/>
  <c r="D172" i="6"/>
  <c r="D169" i="6"/>
  <c r="D166" i="6"/>
  <c r="D163" i="6"/>
  <c r="D160" i="6"/>
  <c r="D157" i="6"/>
  <c r="D154" i="6"/>
  <c r="D151" i="6"/>
  <c r="D148" i="6"/>
  <c r="D145" i="6"/>
  <c r="D142" i="6"/>
  <c r="D139" i="6"/>
  <c r="D136" i="6"/>
  <c r="D133" i="6"/>
  <c r="D130" i="6"/>
  <c r="D127" i="6"/>
  <c r="D124" i="6"/>
  <c r="D121" i="6"/>
  <c r="D118" i="6"/>
  <c r="D115" i="6"/>
  <c r="D112" i="6"/>
  <c r="D109" i="6"/>
  <c r="C193" i="6"/>
  <c r="C190" i="6"/>
  <c r="C187" i="6"/>
  <c r="C184" i="6"/>
  <c r="C181" i="6"/>
  <c r="C178" i="6"/>
  <c r="C175" i="6"/>
  <c r="C172" i="6"/>
  <c r="C169" i="6"/>
  <c r="K99" i="22" l="1"/>
  <c r="K90" i="22"/>
  <c r="AQ164" i="11"/>
  <c r="K78" i="22"/>
  <c r="AK143" i="11"/>
  <c r="AQ143" i="11" s="1"/>
  <c r="K54" i="22"/>
  <c r="K51" i="22"/>
  <c r="K49" i="22"/>
  <c r="K48" i="22"/>
  <c r="AQ134" i="11"/>
  <c r="AL128" i="11"/>
  <c r="AK128" i="11"/>
  <c r="K39" i="22"/>
  <c r="AQ122" i="11"/>
  <c r="K36" i="22"/>
  <c r="AQ110" i="11"/>
  <c r="K84" i="12"/>
  <c r="K78" i="12"/>
  <c r="K73" i="12"/>
  <c r="K53" i="12"/>
  <c r="K57" i="12"/>
  <c r="K55" i="12"/>
  <c r="K51" i="12"/>
  <c r="K48" i="12"/>
  <c r="K42" i="12"/>
  <c r="I80" i="22"/>
  <c r="I79" i="22"/>
  <c r="I48" i="12"/>
  <c r="I45" i="12"/>
  <c r="I42" i="12"/>
  <c r="I40" i="12"/>
  <c r="I42" i="22"/>
  <c r="AA128" i="11"/>
  <c r="I103" i="22"/>
  <c r="I102" i="22"/>
  <c r="I100" i="22"/>
  <c r="I90" i="22"/>
  <c r="AL176" i="11"/>
  <c r="I81" i="12"/>
  <c r="I72" i="22"/>
  <c r="AP158" i="11"/>
  <c r="I75" i="12"/>
  <c r="I72" i="12"/>
  <c r="AA57" i="11"/>
  <c r="I63" i="22"/>
  <c r="AL149" i="11"/>
  <c r="I60" i="22"/>
  <c r="AA146" i="11"/>
  <c r="AB146" i="11" s="1"/>
  <c r="I57" i="22"/>
  <c r="I45" i="22"/>
  <c r="I56" i="12"/>
  <c r="AP54" i="11"/>
  <c r="I55" i="12"/>
  <c r="I54" i="12"/>
  <c r="I53" i="12"/>
  <c r="I51" i="12"/>
  <c r="AP51" i="11"/>
  <c r="AB184" i="11"/>
  <c r="R172" i="11"/>
  <c r="Q132" i="11"/>
  <c r="AO131" i="11" s="1"/>
  <c r="AB129" i="11"/>
  <c r="Q152" i="11"/>
  <c r="R152" i="11" s="1"/>
  <c r="R123" i="11"/>
  <c r="AB178" i="11"/>
  <c r="R171" i="11"/>
  <c r="R113" i="11"/>
  <c r="AB185" i="11"/>
  <c r="R184" i="11"/>
  <c r="AB166" i="11"/>
  <c r="AL166" i="11" s="1"/>
  <c r="R138" i="11"/>
  <c r="AB115" i="11"/>
  <c r="AB148" i="11"/>
  <c r="AB116" i="11"/>
  <c r="Q169" i="11"/>
  <c r="R169" i="11" s="1"/>
  <c r="AB154" i="11"/>
  <c r="Q144" i="11"/>
  <c r="R144" i="11" s="1"/>
  <c r="R142" i="11"/>
  <c r="Q140" i="11"/>
  <c r="AO140" i="11" s="1"/>
  <c r="R110" i="11"/>
  <c r="AB110" i="11" s="1"/>
  <c r="AL110" i="11" s="1"/>
  <c r="R157" i="11"/>
  <c r="AO146" i="11"/>
  <c r="AB130" i="11"/>
  <c r="AO116" i="11"/>
  <c r="R115" i="11"/>
  <c r="AB183" i="11"/>
  <c r="AO182" i="11"/>
  <c r="R180" i="11"/>
  <c r="AB151" i="11"/>
  <c r="AO149" i="11"/>
  <c r="R150" i="11"/>
  <c r="AO185" i="11"/>
  <c r="R156" i="11"/>
  <c r="AB161" i="11"/>
  <c r="R145" i="11"/>
  <c r="R143" i="11"/>
  <c r="R127" i="11"/>
  <c r="AB114" i="11"/>
  <c r="R112" i="11"/>
  <c r="R194" i="11"/>
  <c r="R192" i="11"/>
  <c r="AB187" i="11"/>
  <c r="AB174" i="11"/>
  <c r="R161" i="11"/>
  <c r="R160" i="11"/>
  <c r="R159" i="11"/>
  <c r="R158" i="11"/>
  <c r="AB150" i="11"/>
  <c r="AB192" i="11"/>
  <c r="R147" i="11"/>
  <c r="R136" i="11"/>
  <c r="R124" i="11"/>
  <c r="AB121" i="11"/>
  <c r="R120" i="11"/>
  <c r="AB118" i="11"/>
  <c r="AB117" i="11"/>
  <c r="AB190" i="11"/>
  <c r="AB188" i="11"/>
  <c r="R187" i="11"/>
  <c r="AB186" i="11"/>
  <c r="R182" i="11"/>
  <c r="R175" i="11"/>
  <c r="AB167" i="11"/>
  <c r="R167" i="11"/>
  <c r="AO152" i="11"/>
  <c r="R83" i="11"/>
  <c r="R57" i="11"/>
  <c r="R55" i="11"/>
  <c r="R78" i="11"/>
  <c r="R59" i="11"/>
  <c r="R56" i="11"/>
  <c r="R67" i="11"/>
  <c r="R53" i="11"/>
  <c r="R52" i="11"/>
  <c r="R86" i="11"/>
  <c r="R85" i="11"/>
  <c r="R84" i="11"/>
  <c r="R82" i="11"/>
  <c r="R77" i="11"/>
  <c r="R74" i="11"/>
  <c r="R73" i="11"/>
  <c r="R70" i="11"/>
  <c r="R69" i="11"/>
  <c r="R90" i="11"/>
  <c r="R54" i="11"/>
  <c r="R51" i="11"/>
  <c r="AB51" i="11" s="1"/>
  <c r="AL51" i="11" s="1"/>
  <c r="R49" i="11"/>
  <c r="R48" i="11"/>
  <c r="R43" i="11"/>
  <c r="R89" i="11"/>
  <c r="R72" i="11"/>
  <c r="R65" i="11"/>
  <c r="R64" i="11"/>
  <c r="R61" i="11"/>
  <c r="R60" i="11"/>
  <c r="AM195" i="11"/>
  <c r="AC195" i="11"/>
  <c r="S195" i="11"/>
  <c r="AQ185" i="11"/>
  <c r="AC190" i="11"/>
  <c r="S190" i="11"/>
  <c r="AN182" i="11"/>
  <c r="AM182" i="11"/>
  <c r="AQ176" i="11"/>
  <c r="Q173" i="11"/>
  <c r="AO173" i="11" s="1"/>
  <c r="AB173" i="11"/>
  <c r="AN167" i="11"/>
  <c r="Q163" i="11"/>
  <c r="R163" i="11" s="1"/>
  <c r="AB163" i="11"/>
  <c r="AM162" i="11"/>
  <c r="S162" i="11"/>
  <c r="AA161" i="11"/>
  <c r="AP161" i="11" s="1"/>
  <c r="AL161" i="11"/>
  <c r="AC155" i="11"/>
  <c r="S155" i="11"/>
  <c r="AM155" i="11"/>
  <c r="AN149" i="11"/>
  <c r="AM149" i="11"/>
  <c r="AC149" i="11"/>
  <c r="S149" i="11"/>
  <c r="AB194" i="11"/>
  <c r="AN194" i="11"/>
  <c r="AL196" i="11"/>
  <c r="AC196" i="11"/>
  <c r="S196" i="11"/>
  <c r="AB195" i="11"/>
  <c r="AM194" i="11"/>
  <c r="AB193" i="11"/>
  <c r="AB191" i="11"/>
  <c r="Q189" i="11"/>
  <c r="AO188" i="11" s="1"/>
  <c r="AP185" i="11"/>
  <c r="Q181" i="11"/>
  <c r="R181" i="11" s="1"/>
  <c r="Q179" i="11"/>
  <c r="AO179" i="11" s="1"/>
  <c r="S179" i="11"/>
  <c r="AN179" i="11"/>
  <c r="Q176" i="11"/>
  <c r="AB176" i="11"/>
  <c r="AL175" i="11"/>
  <c r="AQ173" i="11"/>
  <c r="AL172" i="11"/>
  <c r="AC171" i="11"/>
  <c r="S171" i="11"/>
  <c r="AQ170" i="11"/>
  <c r="AB170" i="11"/>
  <c r="Q170" i="11"/>
  <c r="AO170" i="11" s="1"/>
  <c r="AM168" i="11"/>
  <c r="AN164" i="11"/>
  <c r="Q164" i="11"/>
  <c r="AB164" i="11"/>
  <c r="AL159" i="11"/>
  <c r="AB156" i="11"/>
  <c r="Q156" i="11"/>
  <c r="AO155" i="11" s="1"/>
  <c r="AC192" i="11"/>
  <c r="S192" i="11"/>
  <c r="AC188" i="11"/>
  <c r="S188" i="11"/>
  <c r="AC186" i="11"/>
  <c r="S186" i="11"/>
  <c r="AN188" i="11"/>
  <c r="AP188" i="11"/>
  <c r="AN185" i="11"/>
  <c r="AQ182" i="11"/>
  <c r="AC178" i="11"/>
  <c r="S178" i="11"/>
  <c r="S172" i="11"/>
  <c r="AC172" i="11"/>
  <c r="AM172" i="11"/>
  <c r="AA170" i="11"/>
  <c r="AP170" i="11" s="1"/>
  <c r="AL170" i="11"/>
  <c r="Q162" i="11"/>
  <c r="AB162" i="11"/>
  <c r="AB157" i="11"/>
  <c r="AM150" i="11"/>
  <c r="AC150" i="11"/>
  <c r="S150" i="11"/>
  <c r="AL193" i="11"/>
  <c r="Q193" i="11"/>
  <c r="R193" i="11" s="1"/>
  <c r="Q191" i="11"/>
  <c r="S191" i="11"/>
  <c r="AN191" i="11"/>
  <c r="AM190" i="11"/>
  <c r="AL190" i="11"/>
  <c r="AM188" i="11"/>
  <c r="AL188" i="11"/>
  <c r="AM187" i="11"/>
  <c r="AC187" i="11"/>
  <c r="AM186" i="11"/>
  <c r="AL186" i="11"/>
  <c r="AM185" i="11"/>
  <c r="AC185" i="11"/>
  <c r="AM183" i="11"/>
  <c r="AC183" i="11"/>
  <c r="AA178" i="11"/>
  <c r="AP176" i="11" s="1"/>
  <c r="AN176" i="11"/>
  <c r="AM176" i="11"/>
  <c r="S176" i="11"/>
  <c r="AA173" i="11"/>
  <c r="AP173" i="11" s="1"/>
  <c r="AL173" i="11"/>
  <c r="AB172" i="11"/>
  <c r="AN170" i="11"/>
  <c r="S170" i="11"/>
  <c r="AC170" i="11"/>
  <c r="AM170" i="11"/>
  <c r="AM169" i="11"/>
  <c r="S169" i="11"/>
  <c r="AC168" i="11"/>
  <c r="AQ167" i="11"/>
  <c r="AM165" i="11"/>
  <c r="AM164" i="11"/>
  <c r="AC164" i="11"/>
  <c r="S164" i="11"/>
  <c r="AA163" i="11"/>
  <c r="AL163" i="11"/>
  <c r="AN161" i="11"/>
  <c r="AM161" i="11"/>
  <c r="S161" i="11"/>
  <c r="AC161" i="11"/>
  <c r="AO158" i="11"/>
  <c r="I158" i="11"/>
  <c r="AL157" i="11"/>
  <c r="AN155" i="11"/>
  <c r="AC153" i="11"/>
  <c r="S153" i="11"/>
  <c r="AM153" i="11"/>
  <c r="AN152" i="11"/>
  <c r="AN173" i="11"/>
  <c r="AC157" i="11"/>
  <c r="S157" i="11"/>
  <c r="AQ149" i="11"/>
  <c r="AB149" i="11"/>
  <c r="AP155" i="11"/>
  <c r="AB175" i="11"/>
  <c r="AC173" i="11"/>
  <c r="S173" i="11"/>
  <c r="AL168" i="11"/>
  <c r="Q168" i="11"/>
  <c r="AA167" i="11"/>
  <c r="AP167" i="11" s="1"/>
  <c r="AA165" i="11"/>
  <c r="AP164" i="11" s="1"/>
  <c r="R165" i="11"/>
  <c r="AC163" i="11"/>
  <c r="AB160" i="11"/>
  <c r="AB159" i="11"/>
  <c r="AL158" i="11"/>
  <c r="AB158" i="11"/>
  <c r="AL155" i="11"/>
  <c r="AB155" i="11"/>
  <c r="AM154" i="11"/>
  <c r="AC154" i="11"/>
  <c r="AL153" i="11"/>
  <c r="AB153" i="11"/>
  <c r="AP152" i="11"/>
  <c r="AM152" i="11"/>
  <c r="AC152" i="11"/>
  <c r="AN128" i="11"/>
  <c r="S128" i="11"/>
  <c r="Q126" i="11"/>
  <c r="AO125" i="11" s="1"/>
  <c r="AB126" i="11"/>
  <c r="AO113" i="11"/>
  <c r="AA111" i="11"/>
  <c r="AP110" i="11" s="1"/>
  <c r="AL111" i="11"/>
  <c r="AA60" i="11"/>
  <c r="AL60" i="11"/>
  <c r="AL136" i="11"/>
  <c r="AB136" i="11"/>
  <c r="Q135" i="11"/>
  <c r="R135" i="11" s="1"/>
  <c r="AB135" i="11" s="1"/>
  <c r="AL135" i="11" s="1"/>
  <c r="AA134" i="11"/>
  <c r="AL134" i="11"/>
  <c r="Q128" i="11"/>
  <c r="R128" i="11" s="1"/>
  <c r="AB128" i="11"/>
  <c r="AA125" i="11"/>
  <c r="AP125" i="11" s="1"/>
  <c r="AL125" i="11"/>
  <c r="R125" i="11"/>
  <c r="AA115" i="11"/>
  <c r="AP113" i="11" s="1"/>
  <c r="AL115" i="11"/>
  <c r="R111" i="11"/>
  <c r="AB111" i="11"/>
  <c r="AB91" i="11"/>
  <c r="AB147" i="11"/>
  <c r="AB137" i="11"/>
  <c r="Q137" i="11"/>
  <c r="AA135" i="11"/>
  <c r="AB133" i="11"/>
  <c r="R133" i="11"/>
  <c r="AL75" i="11"/>
  <c r="AL73" i="11"/>
  <c r="AA91" i="11"/>
  <c r="AL147" i="11"/>
  <c r="AL143" i="11"/>
  <c r="AL137" i="11"/>
  <c r="AA137" i="11"/>
  <c r="AP137" i="11" s="1"/>
  <c r="AC136" i="11"/>
  <c r="S136" i="11"/>
  <c r="R131" i="11"/>
  <c r="AB122" i="11"/>
  <c r="Q122" i="11"/>
  <c r="R122" i="11" s="1"/>
  <c r="AB127" i="11"/>
  <c r="I125" i="11"/>
  <c r="AP122" i="11"/>
  <c r="AL121" i="11"/>
  <c r="AL79" i="11"/>
  <c r="AB68" i="11"/>
  <c r="I143" i="11"/>
  <c r="AC143" i="11" s="1"/>
  <c r="AL139" i="11"/>
  <c r="AB139" i="11"/>
  <c r="AB138" i="11"/>
  <c r="I135" i="11"/>
  <c r="AB134" i="11"/>
  <c r="AL132" i="11"/>
  <c r="AQ131" i="11"/>
  <c r="AL129" i="11"/>
  <c r="AB124" i="11"/>
  <c r="I122" i="11"/>
  <c r="AN122" i="11" s="1"/>
  <c r="AQ119" i="11"/>
  <c r="AB119" i="11"/>
  <c r="AL117" i="11"/>
  <c r="AO143" i="11"/>
  <c r="S142" i="11"/>
  <c r="AC142" i="11"/>
  <c r="AM142" i="11"/>
  <c r="AN140" i="11"/>
  <c r="S140" i="11"/>
  <c r="AC140" i="11"/>
  <c r="AM140" i="11"/>
  <c r="AQ137" i="11"/>
  <c r="AQ146" i="11"/>
  <c r="AP140" i="11"/>
  <c r="S138" i="11"/>
  <c r="AC138" i="11"/>
  <c r="AN137" i="11"/>
  <c r="AM138" i="11"/>
  <c r="AM141" i="11"/>
  <c r="S141" i="11"/>
  <c r="AC141" i="11"/>
  <c r="AM145" i="11"/>
  <c r="S145" i="11"/>
  <c r="AC145" i="11"/>
  <c r="AN143" i="11"/>
  <c r="S143" i="11"/>
  <c r="AQ128" i="11"/>
  <c r="AO122" i="11"/>
  <c r="S122" i="11"/>
  <c r="AC118" i="11"/>
  <c r="AM118" i="11"/>
  <c r="AC116" i="11"/>
  <c r="AM116" i="11"/>
  <c r="AC114" i="11"/>
  <c r="AM114" i="11"/>
  <c r="AM147" i="11"/>
  <c r="AN146" i="11"/>
  <c r="AB145" i="11"/>
  <c r="AB143" i="11"/>
  <c r="AL142" i="11"/>
  <c r="AB141" i="11"/>
  <c r="AL140" i="11"/>
  <c r="AM139" i="11"/>
  <c r="AL138" i="11"/>
  <c r="AM137" i="11"/>
  <c r="AM122" i="11"/>
  <c r="AC122" i="11"/>
  <c r="AO110" i="11"/>
  <c r="AM148" i="11"/>
  <c r="AC147" i="11"/>
  <c r="AM146" i="11"/>
  <c r="AM144" i="11"/>
  <c r="AC139" i="11"/>
  <c r="AC137" i="11"/>
  <c r="AM136" i="11"/>
  <c r="AA131" i="11"/>
  <c r="AB131" i="11" s="1"/>
  <c r="AA129" i="11"/>
  <c r="AQ125" i="11"/>
  <c r="AL124" i="11"/>
  <c r="AL122" i="11"/>
  <c r="R121" i="11"/>
  <c r="S121" i="11"/>
  <c r="AC121" i="11"/>
  <c r="AM120" i="11"/>
  <c r="AC120" i="11"/>
  <c r="AB120" i="11"/>
  <c r="R119" i="11"/>
  <c r="S119" i="11"/>
  <c r="AC119" i="11"/>
  <c r="R117" i="11"/>
  <c r="S117" i="11"/>
  <c r="AC117" i="11"/>
  <c r="AM113" i="11"/>
  <c r="AN113" i="11"/>
  <c r="AM112" i="11"/>
  <c r="AC112" i="11"/>
  <c r="AB112" i="11"/>
  <c r="S133" i="11"/>
  <c r="AC133" i="11"/>
  <c r="AM132" i="11"/>
  <c r="AC132" i="11"/>
  <c r="S131" i="11"/>
  <c r="AC131" i="11"/>
  <c r="S129" i="11"/>
  <c r="AC129" i="11"/>
  <c r="AM125" i="11"/>
  <c r="AN125" i="11"/>
  <c r="AM124" i="11"/>
  <c r="AC124" i="11"/>
  <c r="AQ116" i="11"/>
  <c r="I110" i="11"/>
  <c r="Q134" i="11"/>
  <c r="I134" i="11"/>
  <c r="AM133" i="11"/>
  <c r="AM131" i="11"/>
  <c r="AC130" i="11"/>
  <c r="AM130" i="11"/>
  <c r="AM129" i="11"/>
  <c r="AC128" i="11"/>
  <c r="AM128" i="11"/>
  <c r="AC126" i="11"/>
  <c r="AM126" i="11"/>
  <c r="AA121" i="11"/>
  <c r="AL120" i="11"/>
  <c r="AN119" i="11"/>
  <c r="AA119" i="11"/>
  <c r="AO119" i="11"/>
  <c r="AA117" i="11"/>
  <c r="AP116" i="11" s="1"/>
  <c r="AN116" i="11"/>
  <c r="AQ113" i="11"/>
  <c r="AL112" i="11"/>
  <c r="AQ72" i="11"/>
  <c r="AP90" i="11"/>
  <c r="AL83" i="11"/>
  <c r="AB80" i="11"/>
  <c r="AL78" i="11"/>
  <c r="AB76" i="11"/>
  <c r="R75" i="11"/>
  <c r="I75" i="11"/>
  <c r="AC75" i="11" s="1"/>
  <c r="AM74" i="11"/>
  <c r="I73" i="11"/>
  <c r="AC73" i="11" s="1"/>
  <c r="AB63" i="11"/>
  <c r="AL92" i="11"/>
  <c r="AB92" i="11"/>
  <c r="S91" i="11"/>
  <c r="AL90" i="11"/>
  <c r="AQ90" i="11"/>
  <c r="I78" i="11"/>
  <c r="AB81" i="11"/>
  <c r="AO63" i="11"/>
  <c r="AB62" i="11"/>
  <c r="AC92" i="11"/>
  <c r="AM92" i="11"/>
  <c r="S92" i="11"/>
  <c r="AN90" i="11"/>
  <c r="AM90" i="11"/>
  <c r="S90" i="11"/>
  <c r="AC90" i="11"/>
  <c r="AB90" i="11"/>
  <c r="Q92" i="11"/>
  <c r="AO90" i="11" s="1"/>
  <c r="AC91" i="11"/>
  <c r="AC64" i="11"/>
  <c r="S64" i="11"/>
  <c r="AM64" i="11"/>
  <c r="I79" i="11"/>
  <c r="AC79" i="11" s="1"/>
  <c r="R63" i="11"/>
  <c r="AC60" i="11"/>
  <c r="AB41" i="11"/>
  <c r="AB87" i="11"/>
  <c r="AL82" i="11"/>
  <c r="AC82" i="11"/>
  <c r="AA80" i="11"/>
  <c r="Q80" i="11"/>
  <c r="AL77" i="11"/>
  <c r="Q76" i="11"/>
  <c r="AO75" i="11" s="1"/>
  <c r="AM70" i="11"/>
  <c r="AL63" i="11"/>
  <c r="AQ69" i="11"/>
  <c r="AB89" i="11"/>
  <c r="AL88" i="11"/>
  <c r="AQ87" i="11"/>
  <c r="AC66" i="11"/>
  <c r="AM66" i="11"/>
  <c r="S66" i="11"/>
  <c r="AC76" i="11"/>
  <c r="S76" i="11"/>
  <c r="AM76" i="11"/>
  <c r="AM85" i="11"/>
  <c r="S85" i="11"/>
  <c r="AC85" i="11"/>
  <c r="AC78" i="11"/>
  <c r="S78" i="11"/>
  <c r="AM78" i="11"/>
  <c r="AC68" i="11"/>
  <c r="S68" i="11"/>
  <c r="AM68" i="11"/>
  <c r="AM77" i="11"/>
  <c r="S77" i="11"/>
  <c r="AC77" i="11"/>
  <c r="S71" i="11"/>
  <c r="AC71" i="11"/>
  <c r="AM71" i="11"/>
  <c r="AO87" i="11"/>
  <c r="AQ78" i="11"/>
  <c r="AA78" i="11"/>
  <c r="AP78" i="11" s="1"/>
  <c r="AA77" i="11"/>
  <c r="AA76" i="11"/>
  <c r="AQ75" i="11"/>
  <c r="AB72" i="11"/>
  <c r="AL71" i="11"/>
  <c r="AL70" i="11"/>
  <c r="AL69" i="11"/>
  <c r="Q68" i="11"/>
  <c r="R68" i="11" s="1"/>
  <c r="AB67" i="11"/>
  <c r="AQ66" i="11"/>
  <c r="AQ60" i="11"/>
  <c r="I57" i="11"/>
  <c r="S57" i="11" s="1"/>
  <c r="I48" i="11"/>
  <c r="S48" i="11" s="1"/>
  <c r="R88" i="11"/>
  <c r="AL85" i="11"/>
  <c r="AO84" i="11"/>
  <c r="S63" i="11"/>
  <c r="AO60" i="11"/>
  <c r="I45" i="11"/>
  <c r="AM45" i="11" s="1"/>
  <c r="AB85" i="11"/>
  <c r="AP75" i="11"/>
  <c r="AP72" i="11"/>
  <c r="AO69" i="11"/>
  <c r="AL66" i="11"/>
  <c r="AL65" i="11"/>
  <c r="AL64" i="11"/>
  <c r="AP60" i="11"/>
  <c r="AP81" i="11"/>
  <c r="AL57" i="11"/>
  <c r="AA43" i="11"/>
  <c r="AP42" i="11" s="1"/>
  <c r="AL86" i="11"/>
  <c r="AB86" i="11"/>
  <c r="AP84" i="11"/>
  <c r="S82" i="11"/>
  <c r="AQ81" i="11"/>
  <c r="I81" i="11"/>
  <c r="AN81" i="11" s="1"/>
  <c r="AM80" i="11"/>
  <c r="S80" i="11"/>
  <c r="AB77" i="11"/>
  <c r="I72" i="11"/>
  <c r="AM72" i="11" s="1"/>
  <c r="AP69" i="11"/>
  <c r="S89" i="11"/>
  <c r="AC89" i="11"/>
  <c r="AM89" i="11"/>
  <c r="AN87" i="11"/>
  <c r="S87" i="11"/>
  <c r="AC87" i="11"/>
  <c r="AM87" i="11"/>
  <c r="AM88" i="11"/>
  <c r="S88" i="11"/>
  <c r="AC88" i="11"/>
  <c r="S75" i="11"/>
  <c r="AM73" i="11"/>
  <c r="S73" i="11"/>
  <c r="AM65" i="11"/>
  <c r="S65" i="11"/>
  <c r="AC65" i="11"/>
  <c r="AM61" i="11"/>
  <c r="S61" i="11"/>
  <c r="AC61" i="11"/>
  <c r="AP87" i="11"/>
  <c r="AQ84" i="11"/>
  <c r="S83" i="11"/>
  <c r="AC83" i="11"/>
  <c r="AM83" i="11"/>
  <c r="S69" i="11"/>
  <c r="AC69" i="11"/>
  <c r="AM69" i="11"/>
  <c r="AN69" i="11"/>
  <c r="AC81" i="11"/>
  <c r="AM81" i="11"/>
  <c r="AO72" i="11"/>
  <c r="S67" i="11"/>
  <c r="AC67" i="11"/>
  <c r="AM67" i="11"/>
  <c r="AN66" i="11"/>
  <c r="AQ63" i="11"/>
  <c r="AL89" i="11"/>
  <c r="AB88" i="11"/>
  <c r="AL87" i="11"/>
  <c r="AM86" i="11"/>
  <c r="AB83" i="11"/>
  <c r="AB82" i="11"/>
  <c r="AB69" i="11"/>
  <c r="AB60" i="11"/>
  <c r="AN60" i="11"/>
  <c r="AC86" i="11"/>
  <c r="AL84" i="11"/>
  <c r="AL74" i="11"/>
  <c r="AB73" i="11"/>
  <c r="AB71" i="11"/>
  <c r="AB70" i="11"/>
  <c r="AB66" i="11"/>
  <c r="AB65" i="11"/>
  <c r="AB64" i="11"/>
  <c r="AN63" i="11"/>
  <c r="AM62" i="11"/>
  <c r="AB84" i="11"/>
  <c r="I84" i="11"/>
  <c r="AL81" i="11"/>
  <c r="Q81" i="11"/>
  <c r="AO81" i="11" s="1"/>
  <c r="AB79" i="11"/>
  <c r="AB75" i="11"/>
  <c r="AB74" i="11"/>
  <c r="AL72" i="11"/>
  <c r="AL67" i="11"/>
  <c r="Q67" i="11"/>
  <c r="AA66" i="11"/>
  <c r="AP66" i="11" s="1"/>
  <c r="AA64" i="11"/>
  <c r="AP63" i="11" s="1"/>
  <c r="AC63" i="11"/>
  <c r="AL62" i="11"/>
  <c r="AC62" i="11"/>
  <c r="AB61" i="11"/>
  <c r="AM60" i="11"/>
  <c r="S45" i="11"/>
  <c r="AO54" i="11"/>
  <c r="AL40" i="11"/>
  <c r="AO57" i="11"/>
  <c r="AB58" i="11"/>
  <c r="AB57" i="11"/>
  <c r="AB55" i="11"/>
  <c r="AB48" i="11"/>
  <c r="AA45" i="11"/>
  <c r="AP45" i="11" s="1"/>
  <c r="AL42" i="11"/>
  <c r="I42" i="11"/>
  <c r="AC42" i="11" s="1"/>
  <c r="Q41" i="11"/>
  <c r="R41" i="11" s="1"/>
  <c r="AC54" i="11"/>
  <c r="AB54" i="11"/>
  <c r="AQ51" i="11"/>
  <c r="AB46" i="11"/>
  <c r="AB45" i="11"/>
  <c r="AC47" i="11"/>
  <c r="S47" i="11"/>
  <c r="AC43" i="11"/>
  <c r="S43" i="11"/>
  <c r="AB56" i="11"/>
  <c r="AQ39" i="11"/>
  <c r="AL58" i="11"/>
  <c r="I51" i="11"/>
  <c r="S51" i="11" s="1"/>
  <c r="AO48" i="11"/>
  <c r="AL46" i="11"/>
  <c r="AL59" i="11"/>
  <c r="AB59" i="11"/>
  <c r="AL52" i="11"/>
  <c r="I52" i="11"/>
  <c r="AL48" i="11"/>
  <c r="AL47" i="11"/>
  <c r="AB47" i="11"/>
  <c r="AQ45" i="11"/>
  <c r="R58" i="11"/>
  <c r="AL56" i="11"/>
  <c r="I56" i="11"/>
  <c r="AB52" i="11"/>
  <c r="AA50" i="11"/>
  <c r="AB50" i="11"/>
  <c r="R46" i="11"/>
  <c r="AO45" i="11"/>
  <c r="AL44" i="11"/>
  <c r="AB43" i="11"/>
  <c r="I40" i="11"/>
  <c r="AM40" i="11" s="1"/>
  <c r="AC59" i="11"/>
  <c r="AM59" i="11"/>
  <c r="AC55" i="11"/>
  <c r="AM55" i="11"/>
  <c r="AO51" i="11"/>
  <c r="AA49" i="11"/>
  <c r="AL49" i="11"/>
  <c r="AC48" i="11"/>
  <c r="Q44" i="11"/>
  <c r="R44" i="11" s="1"/>
  <c r="AB44" i="11"/>
  <c r="Q42" i="11"/>
  <c r="R42" i="11" s="1"/>
  <c r="AB42" i="11"/>
  <c r="AC41" i="11"/>
  <c r="S41" i="11"/>
  <c r="AA39" i="11"/>
  <c r="AB39" i="11" s="1"/>
  <c r="AL39" i="11"/>
  <c r="AQ57" i="11"/>
  <c r="I53" i="11"/>
  <c r="S50" i="11"/>
  <c r="AC50" i="11"/>
  <c r="AM50" i="11"/>
  <c r="Q40" i="11"/>
  <c r="R40" i="11" s="1"/>
  <c r="AB40" i="11"/>
  <c r="S58" i="11"/>
  <c r="AC58" i="11"/>
  <c r="AM54" i="11"/>
  <c r="AB53" i="11"/>
  <c r="S49" i="11"/>
  <c r="AC49" i="11"/>
  <c r="AQ42" i="11"/>
  <c r="AA41" i="11"/>
  <c r="AL41" i="11"/>
  <c r="I39" i="11"/>
  <c r="AA58" i="11"/>
  <c r="AP57" i="11" s="1"/>
  <c r="AQ54" i="11"/>
  <c r="AL53" i="11"/>
  <c r="AB49" i="11"/>
  <c r="AQ48" i="11"/>
  <c r="S46" i="11"/>
  <c r="AM46" i="11"/>
  <c r="AC46" i="11"/>
  <c r="AM44" i="11"/>
  <c r="S44" i="11"/>
  <c r="AM42" i="11"/>
  <c r="AM41" i="11"/>
  <c r="AM47" i="11"/>
  <c r="AM43" i="11"/>
  <c r="AB165" i="11" l="1"/>
  <c r="AP128" i="11"/>
  <c r="AB125" i="11"/>
  <c r="AB78" i="11"/>
  <c r="AP146" i="11"/>
  <c r="AP131" i="11"/>
  <c r="AO191" i="11"/>
  <c r="R132" i="11"/>
  <c r="R140" i="11"/>
  <c r="AO134" i="11"/>
  <c r="R173" i="11"/>
  <c r="R126" i="11"/>
  <c r="AO137" i="11"/>
  <c r="R137" i="11"/>
  <c r="R189" i="11"/>
  <c r="AO167" i="11"/>
  <c r="R168" i="11"/>
  <c r="AO164" i="11"/>
  <c r="R164" i="11"/>
  <c r="AO176" i="11"/>
  <c r="R176" i="11"/>
  <c r="R170" i="11"/>
  <c r="R179" i="11"/>
  <c r="AO161" i="11"/>
  <c r="R162" i="11"/>
  <c r="R134" i="11"/>
  <c r="AO128" i="11"/>
  <c r="R191" i="11"/>
  <c r="R76" i="11"/>
  <c r="AO78" i="11"/>
  <c r="R80" i="11"/>
  <c r="R81" i="11"/>
  <c r="S158" i="11"/>
  <c r="AN158" i="11"/>
  <c r="AC158" i="11"/>
  <c r="AM158" i="11"/>
  <c r="AM48" i="11"/>
  <c r="AM75" i="11"/>
  <c r="S135" i="11"/>
  <c r="AM135" i="11"/>
  <c r="AP134" i="11"/>
  <c r="AN48" i="11"/>
  <c r="AO39" i="11"/>
  <c r="S72" i="11"/>
  <c r="AN72" i="11"/>
  <c r="S81" i="11"/>
  <c r="AN75" i="11"/>
  <c r="AP119" i="11"/>
  <c r="AM143" i="11"/>
  <c r="S125" i="11"/>
  <c r="AC125" i="11"/>
  <c r="AC72" i="11"/>
  <c r="AC135" i="11"/>
  <c r="AN134" i="11"/>
  <c r="S134" i="11"/>
  <c r="AC134" i="11"/>
  <c r="AM134" i="11"/>
  <c r="AN110" i="11"/>
  <c r="S110" i="11"/>
  <c r="AC110" i="11"/>
  <c r="AM110" i="11"/>
  <c r="AN45" i="11"/>
  <c r="AC57" i="11"/>
  <c r="S79" i="11"/>
  <c r="AN78" i="11"/>
  <c r="AC45" i="11"/>
  <c r="AO66" i="11"/>
  <c r="AM79" i="11"/>
  <c r="AN57" i="11"/>
  <c r="AM57" i="11"/>
  <c r="AP48" i="11"/>
  <c r="S42" i="11"/>
  <c r="AN42" i="11"/>
  <c r="AN84" i="11"/>
  <c r="S84" i="11"/>
  <c r="AC84" i="11"/>
  <c r="AM84" i="11"/>
  <c r="AC51" i="11"/>
  <c r="AM51" i="11"/>
  <c r="AM56" i="11"/>
  <c r="S56" i="11"/>
  <c r="AC56" i="11"/>
  <c r="AM52" i="11"/>
  <c r="S52" i="11"/>
  <c r="AC52" i="11"/>
  <c r="AC40" i="11"/>
  <c r="S40" i="11"/>
  <c r="AN54" i="11"/>
  <c r="AN39" i="11"/>
  <c r="S39" i="11"/>
  <c r="AC39" i="11"/>
  <c r="AM39" i="11"/>
  <c r="S53" i="11"/>
  <c r="AC53" i="11"/>
  <c r="AM53" i="11"/>
  <c r="AP39" i="11"/>
  <c r="AN51" i="11"/>
  <c r="AO42" i="11"/>
  <c r="C166" i="6" l="1"/>
  <c r="C163" i="6"/>
  <c r="C160" i="6"/>
  <c r="C157" i="6"/>
  <c r="C154" i="6"/>
  <c r="C151" i="6"/>
  <c r="C148" i="6"/>
  <c r="C145" i="6"/>
  <c r="C142" i="6"/>
  <c r="C139" i="6"/>
  <c r="C136" i="6"/>
  <c r="C133" i="6"/>
  <c r="C130" i="6"/>
  <c r="C127" i="6"/>
  <c r="C124" i="6"/>
  <c r="C121" i="6"/>
  <c r="C118" i="6"/>
  <c r="C115" i="6"/>
  <c r="C112" i="6"/>
  <c r="C109" i="6"/>
  <c r="A184" i="6"/>
  <c r="B184" i="6"/>
  <c r="J184" i="6"/>
  <c r="K184" i="6"/>
  <c r="L184" i="6"/>
  <c r="J185" i="6"/>
  <c r="K185" i="6"/>
  <c r="J186" i="6"/>
  <c r="K186" i="6"/>
  <c r="A187" i="6"/>
  <c r="B187" i="6"/>
  <c r="J187" i="6"/>
  <c r="K187" i="6"/>
  <c r="L187" i="6"/>
  <c r="J188" i="6"/>
  <c r="K188" i="6"/>
  <c r="J189" i="6"/>
  <c r="K189" i="6"/>
  <c r="A190" i="6"/>
  <c r="B190" i="6"/>
  <c r="J190" i="6"/>
  <c r="K190" i="6"/>
  <c r="L190" i="6"/>
  <c r="J191" i="6"/>
  <c r="K191" i="6"/>
  <c r="J192" i="6"/>
  <c r="K192" i="6"/>
  <c r="A193" i="6"/>
  <c r="B193" i="6"/>
  <c r="J193" i="6"/>
  <c r="K193" i="6"/>
  <c r="L193" i="6"/>
  <c r="J194" i="6"/>
  <c r="K194" i="6"/>
  <c r="J195" i="6"/>
  <c r="K195" i="6"/>
  <c r="A172" i="6"/>
  <c r="B172" i="6"/>
  <c r="J172" i="6"/>
  <c r="K172" i="6"/>
  <c r="L172" i="6"/>
  <c r="J173" i="6"/>
  <c r="K173" i="6"/>
  <c r="J174" i="6"/>
  <c r="K174" i="6"/>
  <c r="A175" i="6"/>
  <c r="B175" i="6"/>
  <c r="J175" i="6"/>
  <c r="K175" i="6"/>
  <c r="L175" i="6"/>
  <c r="J176" i="6"/>
  <c r="K176" i="6"/>
  <c r="J177" i="6"/>
  <c r="K177" i="6"/>
  <c r="A178" i="6"/>
  <c r="B178" i="6"/>
  <c r="J178" i="6"/>
  <c r="K178" i="6"/>
  <c r="L178" i="6"/>
  <c r="J179" i="6"/>
  <c r="K179" i="6"/>
  <c r="J180" i="6"/>
  <c r="K180" i="6"/>
  <c r="A181" i="6"/>
  <c r="B181" i="6"/>
  <c r="J181" i="6"/>
  <c r="K181" i="6"/>
  <c r="L181" i="6"/>
  <c r="J182" i="6"/>
  <c r="K182" i="6"/>
  <c r="J183" i="6"/>
  <c r="K183" i="6"/>
  <c r="A148" i="6" l="1"/>
  <c r="B148" i="6"/>
  <c r="J148" i="6"/>
  <c r="K148" i="6"/>
  <c r="L148" i="6"/>
  <c r="J149" i="6"/>
  <c r="K149" i="6"/>
  <c r="J150" i="6"/>
  <c r="K150" i="6"/>
  <c r="A151" i="6"/>
  <c r="B151" i="6"/>
  <c r="J151" i="6"/>
  <c r="K151" i="6"/>
  <c r="L151" i="6"/>
  <c r="J152" i="6"/>
  <c r="K152" i="6"/>
  <c r="J153" i="6"/>
  <c r="K153" i="6"/>
  <c r="A154" i="6"/>
  <c r="B154" i="6"/>
  <c r="J154" i="6"/>
  <c r="K154" i="6"/>
  <c r="L154" i="6"/>
  <c r="J155" i="6"/>
  <c r="K155" i="6"/>
  <c r="J156" i="6"/>
  <c r="K156" i="6"/>
  <c r="A157" i="6"/>
  <c r="B157" i="6"/>
  <c r="J157" i="6"/>
  <c r="K157" i="6"/>
  <c r="L157" i="6"/>
  <c r="J158" i="6"/>
  <c r="K158" i="6"/>
  <c r="J159" i="6"/>
  <c r="K159" i="6"/>
  <c r="A160" i="6"/>
  <c r="B160" i="6"/>
  <c r="J160" i="6"/>
  <c r="K160" i="6"/>
  <c r="L160" i="6"/>
  <c r="J161" i="6"/>
  <c r="K161" i="6"/>
  <c r="J162" i="6"/>
  <c r="K162" i="6"/>
  <c r="A163" i="6"/>
  <c r="B163" i="6"/>
  <c r="J163" i="6"/>
  <c r="K163" i="6"/>
  <c r="L163" i="6"/>
  <c r="J164" i="6"/>
  <c r="K164" i="6"/>
  <c r="J165" i="6"/>
  <c r="K165" i="6"/>
  <c r="A166" i="6"/>
  <c r="B166" i="6"/>
  <c r="J166" i="6"/>
  <c r="K166" i="6"/>
  <c r="L166" i="6"/>
  <c r="J167" i="6"/>
  <c r="K167" i="6"/>
  <c r="J168" i="6"/>
  <c r="K168" i="6"/>
  <c r="A169" i="6"/>
  <c r="B169" i="6"/>
  <c r="J169" i="6"/>
  <c r="K169" i="6"/>
  <c r="L169" i="6"/>
  <c r="J170" i="6"/>
  <c r="K170" i="6"/>
  <c r="J171" i="6"/>
  <c r="K171" i="6"/>
  <c r="A130" i="6"/>
  <c r="B130" i="6"/>
  <c r="J130" i="6"/>
  <c r="K130" i="6"/>
  <c r="L130" i="6"/>
  <c r="J131" i="6"/>
  <c r="K131" i="6"/>
  <c r="J132" i="6"/>
  <c r="K132" i="6"/>
  <c r="A133" i="6"/>
  <c r="B133" i="6"/>
  <c r="J133" i="6"/>
  <c r="K133" i="6"/>
  <c r="L133" i="6"/>
  <c r="J134" i="6"/>
  <c r="K134" i="6"/>
  <c r="J135" i="6"/>
  <c r="K135" i="6"/>
  <c r="A136" i="6"/>
  <c r="B136" i="6"/>
  <c r="J136" i="6"/>
  <c r="K136" i="6"/>
  <c r="L136" i="6"/>
  <c r="J137" i="6"/>
  <c r="K137" i="6"/>
  <c r="J138" i="6"/>
  <c r="K138" i="6"/>
  <c r="A139" i="6"/>
  <c r="B139" i="6"/>
  <c r="J139" i="6"/>
  <c r="K139" i="6"/>
  <c r="L139" i="6"/>
  <c r="J140" i="6"/>
  <c r="K140" i="6"/>
  <c r="J141" i="6"/>
  <c r="K141" i="6"/>
  <c r="A142" i="6"/>
  <c r="B142" i="6"/>
  <c r="J142" i="6"/>
  <c r="K142" i="6"/>
  <c r="L142" i="6"/>
  <c r="J143" i="6"/>
  <c r="K143" i="6"/>
  <c r="J144" i="6"/>
  <c r="K144" i="6"/>
  <c r="A145" i="6"/>
  <c r="B145" i="6"/>
  <c r="J145" i="6"/>
  <c r="K145" i="6"/>
  <c r="L145" i="6"/>
  <c r="J146" i="6"/>
  <c r="K146" i="6"/>
  <c r="J147" i="6"/>
  <c r="K147" i="6"/>
  <c r="A109" i="6"/>
  <c r="B109" i="6"/>
  <c r="J109" i="6"/>
  <c r="K109" i="6"/>
  <c r="L109" i="6"/>
  <c r="J110" i="6"/>
  <c r="K110" i="6"/>
  <c r="J111" i="6"/>
  <c r="K111" i="6"/>
  <c r="A112" i="6"/>
  <c r="B112" i="6"/>
  <c r="J112" i="6"/>
  <c r="K112" i="6"/>
  <c r="L112" i="6"/>
  <c r="J113" i="6"/>
  <c r="K113" i="6"/>
  <c r="J114" i="6"/>
  <c r="K114" i="6"/>
  <c r="A115" i="6"/>
  <c r="B115" i="6"/>
  <c r="J115" i="6"/>
  <c r="K115" i="6"/>
  <c r="L115" i="6"/>
  <c r="J116" i="6"/>
  <c r="K116" i="6"/>
  <c r="J117" i="6"/>
  <c r="K117" i="6"/>
  <c r="A118" i="6"/>
  <c r="B118" i="6"/>
  <c r="J118" i="6"/>
  <c r="K118" i="6"/>
  <c r="L118" i="6"/>
  <c r="J119" i="6"/>
  <c r="K119" i="6"/>
  <c r="J120" i="6"/>
  <c r="K120" i="6"/>
  <c r="A121" i="6"/>
  <c r="B121" i="6"/>
  <c r="J121" i="6"/>
  <c r="K121" i="6"/>
  <c r="L121" i="6"/>
  <c r="J122" i="6"/>
  <c r="K122" i="6"/>
  <c r="J123" i="6"/>
  <c r="K123" i="6"/>
  <c r="A124" i="6"/>
  <c r="B124" i="6"/>
  <c r="J124" i="6"/>
  <c r="K124" i="6"/>
  <c r="L124" i="6"/>
  <c r="J125" i="6"/>
  <c r="K125" i="6"/>
  <c r="J126" i="6"/>
  <c r="K126" i="6"/>
  <c r="A127" i="6"/>
  <c r="B127" i="6"/>
  <c r="J127" i="6"/>
  <c r="K127" i="6"/>
  <c r="L127" i="6"/>
  <c r="J128" i="6"/>
  <c r="K128" i="6"/>
  <c r="J129" i="6"/>
  <c r="K129" i="6"/>
  <c r="I90" i="6"/>
  <c r="I87" i="6"/>
  <c r="I84" i="6"/>
  <c r="I81" i="6"/>
  <c r="I78" i="6"/>
  <c r="I75" i="6"/>
  <c r="I72" i="6"/>
  <c r="I69" i="6"/>
  <c r="I66" i="6"/>
  <c r="I63" i="6"/>
  <c r="I60" i="6"/>
  <c r="I57" i="6"/>
  <c r="I54" i="6"/>
  <c r="I51" i="6"/>
  <c r="I48" i="6"/>
  <c r="I45" i="6"/>
  <c r="I42" i="6"/>
  <c r="I39" i="6"/>
  <c r="H90" i="6"/>
  <c r="H87" i="6"/>
  <c r="H84" i="6"/>
  <c r="H81" i="6"/>
  <c r="H78" i="6"/>
  <c r="H75" i="6"/>
  <c r="H72" i="6"/>
  <c r="H69" i="6"/>
  <c r="H66" i="6"/>
  <c r="H63" i="6"/>
  <c r="H60" i="6"/>
  <c r="H57" i="6"/>
  <c r="H54" i="6"/>
  <c r="H51" i="6"/>
  <c r="H48" i="6"/>
  <c r="H45" i="6"/>
  <c r="H42" i="6"/>
  <c r="H39" i="6"/>
  <c r="G90" i="6"/>
  <c r="G87" i="6"/>
  <c r="G84" i="6"/>
  <c r="G81" i="6"/>
  <c r="G78" i="6"/>
  <c r="G75" i="6"/>
  <c r="G72" i="6"/>
  <c r="G69" i="6"/>
  <c r="G66" i="6"/>
  <c r="G63" i="6"/>
  <c r="G60" i="6"/>
  <c r="G57" i="6"/>
  <c r="G54" i="6"/>
  <c r="G51" i="6"/>
  <c r="G48" i="6"/>
  <c r="G45" i="6"/>
  <c r="G42" i="6"/>
  <c r="G39" i="6"/>
  <c r="F90" i="6"/>
  <c r="F87" i="6"/>
  <c r="F84" i="6"/>
  <c r="F81" i="6"/>
  <c r="F78" i="6"/>
  <c r="F75" i="6"/>
  <c r="F72" i="6"/>
  <c r="F69" i="6"/>
  <c r="F66" i="6"/>
  <c r="F63" i="6"/>
  <c r="F60" i="6"/>
  <c r="F57" i="6"/>
  <c r="F54" i="6"/>
  <c r="F51" i="6"/>
  <c r="F48" i="6"/>
  <c r="F45" i="6"/>
  <c r="F42" i="6"/>
  <c r="F39" i="6"/>
  <c r="E90" i="6"/>
  <c r="E87" i="6"/>
  <c r="E84" i="6"/>
  <c r="E81" i="6"/>
  <c r="E78" i="6"/>
  <c r="E75" i="6"/>
  <c r="E72" i="6"/>
  <c r="E69" i="6"/>
  <c r="E66" i="6"/>
  <c r="E63" i="6"/>
  <c r="E60" i="6"/>
  <c r="E57" i="6"/>
  <c r="E54" i="6"/>
  <c r="E51" i="6"/>
  <c r="E48" i="6"/>
  <c r="E45" i="6"/>
  <c r="E42" i="6"/>
  <c r="E39" i="6"/>
  <c r="D90" i="6"/>
  <c r="D87" i="6"/>
  <c r="D84" i="6"/>
  <c r="D81" i="6"/>
  <c r="D78" i="6"/>
  <c r="D75" i="6"/>
  <c r="D72" i="6"/>
  <c r="D69" i="6"/>
  <c r="D66" i="6"/>
  <c r="D63" i="6"/>
  <c r="D60" i="6"/>
  <c r="D57" i="6"/>
  <c r="D54" i="6"/>
  <c r="D51" i="6"/>
  <c r="D48" i="6"/>
  <c r="D45" i="6"/>
  <c r="D42" i="6"/>
  <c r="D39" i="6"/>
  <c r="C90" i="6"/>
  <c r="C87" i="6"/>
  <c r="C84" i="6"/>
  <c r="C81" i="6"/>
  <c r="C78" i="6"/>
  <c r="C75" i="6"/>
  <c r="C72" i="6"/>
  <c r="C69" i="6"/>
  <c r="C66" i="6"/>
  <c r="C63" i="6"/>
  <c r="C60" i="6"/>
  <c r="C57" i="6"/>
  <c r="C54" i="6"/>
  <c r="C51" i="6"/>
  <c r="C48" i="6"/>
  <c r="C45" i="6"/>
  <c r="C42" i="6"/>
  <c r="C39" i="6"/>
  <c r="A78" i="6" l="1"/>
  <c r="B78" i="6"/>
  <c r="J78" i="6"/>
  <c r="K78" i="6"/>
  <c r="L78" i="6"/>
  <c r="J79" i="6"/>
  <c r="K79" i="6"/>
  <c r="J80" i="6"/>
  <c r="K80" i="6"/>
  <c r="A81" i="6"/>
  <c r="B81" i="6"/>
  <c r="J81" i="6"/>
  <c r="K81" i="6"/>
  <c r="L81" i="6"/>
  <c r="J82" i="6"/>
  <c r="K82" i="6"/>
  <c r="J83" i="6"/>
  <c r="K83" i="6"/>
  <c r="A84" i="6"/>
  <c r="B84" i="6"/>
  <c r="J84" i="6"/>
  <c r="K84" i="6"/>
  <c r="L84" i="6"/>
  <c r="J85" i="6"/>
  <c r="K85" i="6"/>
  <c r="J86" i="6"/>
  <c r="K86" i="6"/>
  <c r="A87" i="6"/>
  <c r="B87" i="6"/>
  <c r="J87" i="6"/>
  <c r="K87" i="6"/>
  <c r="L87" i="6"/>
  <c r="J88" i="6"/>
  <c r="K88" i="6"/>
  <c r="J89" i="6"/>
  <c r="K89" i="6"/>
  <c r="A90" i="6"/>
  <c r="B90" i="6"/>
  <c r="J90" i="6"/>
  <c r="K90" i="6"/>
  <c r="L90" i="6"/>
  <c r="J91" i="6"/>
  <c r="K91" i="6"/>
  <c r="J92" i="6"/>
  <c r="K92" i="6"/>
  <c r="A60" i="6"/>
  <c r="B60" i="6"/>
  <c r="J60" i="6"/>
  <c r="K60" i="6"/>
  <c r="L60" i="6"/>
  <c r="J61" i="6"/>
  <c r="K61" i="6"/>
  <c r="J62" i="6"/>
  <c r="K62" i="6"/>
  <c r="A63" i="6"/>
  <c r="B63" i="6"/>
  <c r="J63" i="6"/>
  <c r="K63" i="6"/>
  <c r="L63" i="6"/>
  <c r="J64" i="6"/>
  <c r="K64" i="6"/>
  <c r="J65" i="6"/>
  <c r="K65" i="6"/>
  <c r="A66" i="6"/>
  <c r="B66" i="6"/>
  <c r="J66" i="6"/>
  <c r="K66" i="6"/>
  <c r="L66" i="6"/>
  <c r="J67" i="6"/>
  <c r="K67" i="6"/>
  <c r="J68" i="6"/>
  <c r="K68" i="6"/>
  <c r="A69" i="6"/>
  <c r="B69" i="6"/>
  <c r="J69" i="6"/>
  <c r="K69" i="6"/>
  <c r="L69" i="6"/>
  <c r="J70" i="6"/>
  <c r="K70" i="6"/>
  <c r="J71" i="6"/>
  <c r="K71" i="6"/>
  <c r="A72" i="6"/>
  <c r="B72" i="6"/>
  <c r="J72" i="6"/>
  <c r="K72" i="6"/>
  <c r="L72" i="6"/>
  <c r="J73" i="6"/>
  <c r="K73" i="6"/>
  <c r="J74" i="6"/>
  <c r="K74" i="6"/>
  <c r="A75" i="6"/>
  <c r="B75" i="6"/>
  <c r="J75" i="6"/>
  <c r="K75" i="6"/>
  <c r="L75" i="6"/>
  <c r="J76" i="6"/>
  <c r="K76" i="6"/>
  <c r="J77" i="6"/>
  <c r="K77" i="6"/>
  <c r="A42" i="6"/>
  <c r="B42" i="6"/>
  <c r="J42" i="6"/>
  <c r="K42" i="6"/>
  <c r="L42" i="6"/>
  <c r="J43" i="6"/>
  <c r="K43" i="6"/>
  <c r="J44" i="6"/>
  <c r="K44" i="6"/>
  <c r="A45" i="6"/>
  <c r="B45" i="6"/>
  <c r="J45" i="6"/>
  <c r="K45" i="6"/>
  <c r="L45" i="6"/>
  <c r="J46" i="6"/>
  <c r="K46" i="6"/>
  <c r="J47" i="6"/>
  <c r="K47" i="6"/>
  <c r="A48" i="6"/>
  <c r="B48" i="6"/>
  <c r="J48" i="6"/>
  <c r="K48" i="6"/>
  <c r="L48" i="6"/>
  <c r="J49" i="6"/>
  <c r="K49" i="6"/>
  <c r="J50" i="6"/>
  <c r="K50" i="6"/>
  <c r="A51" i="6"/>
  <c r="B51" i="6"/>
  <c r="J51" i="6"/>
  <c r="K51" i="6"/>
  <c r="L51" i="6"/>
  <c r="J52" i="6"/>
  <c r="K52" i="6"/>
  <c r="J53" i="6"/>
  <c r="K53" i="6"/>
  <c r="A54" i="6"/>
  <c r="B54" i="6"/>
  <c r="J54" i="6"/>
  <c r="K54" i="6"/>
  <c r="L54" i="6"/>
  <c r="J55" i="6"/>
  <c r="K55" i="6"/>
  <c r="J56" i="6"/>
  <c r="K56" i="6"/>
  <c r="A57" i="6"/>
  <c r="B57" i="6"/>
  <c r="J57" i="6"/>
  <c r="K57" i="6"/>
  <c r="L57" i="6"/>
  <c r="J58" i="6"/>
  <c r="K58" i="6"/>
  <c r="J59" i="6"/>
  <c r="K59" i="6"/>
  <c r="A39" i="6"/>
  <c r="B39" i="6"/>
  <c r="J39" i="6"/>
  <c r="K39" i="6"/>
  <c r="L39" i="6"/>
  <c r="J40" i="6"/>
  <c r="K40" i="6"/>
  <c r="J41" i="6"/>
  <c r="K41" i="6"/>
  <c r="J171" i="8" l="1"/>
  <c r="B194" i="8" l="1"/>
  <c r="B191" i="8"/>
  <c r="B188" i="8"/>
  <c r="B185" i="8"/>
  <c r="B182" i="8"/>
  <c r="B179" i="8"/>
  <c r="B176" i="8"/>
  <c r="B173" i="8"/>
  <c r="B170" i="8"/>
  <c r="B167" i="8"/>
  <c r="B164" i="8"/>
  <c r="B161" i="8"/>
  <c r="B158" i="8"/>
  <c r="B155" i="8"/>
  <c r="B152" i="8"/>
  <c r="B149" i="8"/>
  <c r="B146" i="8"/>
  <c r="B143" i="8"/>
  <c r="B140" i="8"/>
  <c r="B137" i="8"/>
  <c r="B134" i="8"/>
  <c r="B131" i="8"/>
  <c r="B128" i="8"/>
  <c r="B125" i="8"/>
  <c r="B122" i="8"/>
  <c r="B119" i="8"/>
  <c r="B116" i="8"/>
  <c r="B113" i="8"/>
  <c r="B110" i="8"/>
  <c r="A194" i="8"/>
  <c r="A191" i="8"/>
  <c r="A188" i="8"/>
  <c r="A185" i="8"/>
  <c r="A182" i="8"/>
  <c r="A179" i="8"/>
  <c r="A176" i="8"/>
  <c r="A173" i="8"/>
  <c r="A170" i="8"/>
  <c r="A167" i="8"/>
  <c r="A164" i="8"/>
  <c r="A161" i="8"/>
  <c r="A158" i="8"/>
  <c r="A155" i="8"/>
  <c r="A152" i="8"/>
  <c r="E152" i="8"/>
  <c r="G152" i="8"/>
  <c r="I152" i="8"/>
  <c r="J152" i="8"/>
  <c r="L152" i="8"/>
  <c r="N152" i="8"/>
  <c r="BH152" i="8" s="1"/>
  <c r="P152" i="8"/>
  <c r="R152" i="8"/>
  <c r="T152" i="8"/>
  <c r="V152" i="8"/>
  <c r="BL152" i="8" s="1"/>
  <c r="AP152" i="8"/>
  <c r="AV152" i="8" s="1"/>
  <c r="BM152" i="8"/>
  <c r="E153" i="8"/>
  <c r="G153" i="8"/>
  <c r="I153" i="8"/>
  <c r="J153" i="8"/>
  <c r="L153" i="8"/>
  <c r="N153" i="8"/>
  <c r="P153" i="8"/>
  <c r="R153" i="8"/>
  <c r="T153" i="8"/>
  <c r="V153" i="8"/>
  <c r="W153" i="8"/>
  <c r="X153" i="8"/>
  <c r="AP153" i="8"/>
  <c r="BH153" i="8"/>
  <c r="BI153" i="8"/>
  <c r="BJ153" i="8"/>
  <c r="BK153" i="8"/>
  <c r="BL153" i="8"/>
  <c r="BM153" i="8"/>
  <c r="E154" i="8"/>
  <c r="G154" i="8"/>
  <c r="I154" i="8"/>
  <c r="J154" i="8"/>
  <c r="L154" i="8"/>
  <c r="BC154" i="8" s="1"/>
  <c r="N154" i="8"/>
  <c r="BK154" i="8" s="1"/>
  <c r="P154" i="8"/>
  <c r="R154" i="8"/>
  <c r="T154" i="8"/>
  <c r="V154" i="8"/>
  <c r="W154" i="8"/>
  <c r="Y154" i="8" s="1"/>
  <c r="X154" i="8"/>
  <c r="AN154" i="8"/>
  <c r="BH154" i="8"/>
  <c r="E155" i="8"/>
  <c r="G155" i="8"/>
  <c r="I155" i="8"/>
  <c r="J155" i="8"/>
  <c r="L155" i="8"/>
  <c r="N155" i="8"/>
  <c r="P155" i="8"/>
  <c r="R155" i="8"/>
  <c r="T155" i="8"/>
  <c r="V155" i="8"/>
  <c r="E156" i="8"/>
  <c r="G156" i="8"/>
  <c r="I156" i="8"/>
  <c r="J156" i="8"/>
  <c r="L156" i="8"/>
  <c r="N156" i="8"/>
  <c r="BD156" i="8" s="1"/>
  <c r="P156" i="8"/>
  <c r="R156" i="8"/>
  <c r="T156" i="8"/>
  <c r="V156" i="8"/>
  <c r="E157" i="8"/>
  <c r="G157" i="8"/>
  <c r="I157" i="8"/>
  <c r="J157" i="8"/>
  <c r="L157" i="8"/>
  <c r="N157" i="8"/>
  <c r="P157" i="8"/>
  <c r="R157" i="8"/>
  <c r="AN157" i="8" s="1"/>
  <c r="T157" i="8"/>
  <c r="V157" i="8"/>
  <c r="W157" i="8"/>
  <c r="Y157" i="8" s="1"/>
  <c r="X157" i="8"/>
  <c r="AM157" i="8"/>
  <c r="BH157" i="8"/>
  <c r="E158" i="8"/>
  <c r="G158" i="8"/>
  <c r="I158" i="8"/>
  <c r="J158" i="8"/>
  <c r="L158" i="8"/>
  <c r="N158" i="8"/>
  <c r="P158" i="8"/>
  <c r="R158" i="8"/>
  <c r="T158" i="8"/>
  <c r="V158" i="8"/>
  <c r="BL158" i="8" s="1"/>
  <c r="BH158" i="8"/>
  <c r="BI158" i="8"/>
  <c r="BM158" i="8"/>
  <c r="E159" i="8"/>
  <c r="G159" i="8"/>
  <c r="I159" i="8"/>
  <c r="J159" i="8"/>
  <c r="L159" i="8"/>
  <c r="N159" i="8"/>
  <c r="BI159" i="8" s="1"/>
  <c r="P159" i="8"/>
  <c r="R159" i="8"/>
  <c r="T159" i="8"/>
  <c r="V159" i="8"/>
  <c r="BM159" i="8" s="1"/>
  <c r="AP159" i="8"/>
  <c r="E160" i="8"/>
  <c r="G160" i="8"/>
  <c r="I160" i="8"/>
  <c r="J160" i="8"/>
  <c r="L160" i="8"/>
  <c r="N160" i="8"/>
  <c r="P160" i="8"/>
  <c r="R160" i="8"/>
  <c r="T160" i="8"/>
  <c r="V160" i="8"/>
  <c r="W160" i="8"/>
  <c r="X160" i="8"/>
  <c r="BD160" i="8"/>
  <c r="E161" i="8"/>
  <c r="G161" i="8"/>
  <c r="I161" i="8"/>
  <c r="J161" i="8"/>
  <c r="L161" i="8"/>
  <c r="N161" i="8"/>
  <c r="P161" i="8"/>
  <c r="R161" i="8"/>
  <c r="T161" i="8"/>
  <c r="V161" i="8"/>
  <c r="BM161" i="8" s="1"/>
  <c r="BI161" i="8"/>
  <c r="BJ161" i="8"/>
  <c r="E162" i="8"/>
  <c r="G162" i="8"/>
  <c r="I162" i="8"/>
  <c r="J162" i="8"/>
  <c r="L162" i="8"/>
  <c r="N162" i="8"/>
  <c r="BM162" i="8" s="1"/>
  <c r="P162" i="8"/>
  <c r="R162" i="8"/>
  <c r="T162" i="8"/>
  <c r="V162" i="8"/>
  <c r="AP162" i="8"/>
  <c r="BL162" i="8"/>
  <c r="E163" i="8"/>
  <c r="G163" i="8"/>
  <c r="I163" i="8"/>
  <c r="J163" i="8"/>
  <c r="L163" i="8"/>
  <c r="N163" i="8"/>
  <c r="BH163" i="8" s="1"/>
  <c r="P163" i="8"/>
  <c r="R163" i="8"/>
  <c r="T163" i="8"/>
  <c r="V163" i="8"/>
  <c r="BL163" i="8" s="1"/>
  <c r="BC163" i="8"/>
  <c r="BK163" i="8"/>
  <c r="E164" i="8"/>
  <c r="G164" i="8"/>
  <c r="I164" i="8"/>
  <c r="J164" i="8"/>
  <c r="L164" i="8"/>
  <c r="N164" i="8"/>
  <c r="P164" i="8"/>
  <c r="R164" i="8"/>
  <c r="T164" i="8"/>
  <c r="V164" i="8"/>
  <c r="BM164" i="8" s="1"/>
  <c r="BE164" i="8"/>
  <c r="BJ164" i="8"/>
  <c r="BK164" i="8"/>
  <c r="E165" i="8"/>
  <c r="G165" i="8"/>
  <c r="I165" i="8"/>
  <c r="J165" i="8"/>
  <c r="L165" i="8"/>
  <c r="N165" i="8"/>
  <c r="P165" i="8"/>
  <c r="R165" i="8"/>
  <c r="BE165" i="8" s="1"/>
  <c r="T165" i="8"/>
  <c r="V165" i="8"/>
  <c r="AN165" i="8"/>
  <c r="BH165" i="8"/>
  <c r="BK165" i="8"/>
  <c r="BL165" i="8"/>
  <c r="BM165" i="8"/>
  <c r="E166" i="8"/>
  <c r="G166" i="8"/>
  <c r="I166" i="8"/>
  <c r="J166" i="8"/>
  <c r="L166" i="8"/>
  <c r="N166" i="8"/>
  <c r="P166" i="8"/>
  <c r="R166" i="8"/>
  <c r="T166" i="8"/>
  <c r="V166" i="8"/>
  <c r="W166" i="8"/>
  <c r="Y166" i="8" s="1"/>
  <c r="X166" i="8"/>
  <c r="BK166" i="8"/>
  <c r="E167" i="8"/>
  <c r="G167" i="8"/>
  <c r="I167" i="8"/>
  <c r="J167" i="8"/>
  <c r="L167" i="8"/>
  <c r="N167" i="8"/>
  <c r="P167" i="8"/>
  <c r="R167" i="8"/>
  <c r="T167" i="8"/>
  <c r="V167" i="8"/>
  <c r="AP167" i="8" s="1"/>
  <c r="AV167" i="8" s="1"/>
  <c r="E168" i="8"/>
  <c r="G168" i="8"/>
  <c r="I168" i="8"/>
  <c r="J168" i="8"/>
  <c r="L168" i="8"/>
  <c r="N168" i="8"/>
  <c r="BI168" i="8" s="1"/>
  <c r="P168" i="8"/>
  <c r="R168" i="8"/>
  <c r="T168" i="8"/>
  <c r="V168" i="8"/>
  <c r="E169" i="8"/>
  <c r="G169" i="8"/>
  <c r="I169" i="8"/>
  <c r="J169" i="8"/>
  <c r="L169" i="8"/>
  <c r="N169" i="8"/>
  <c r="BK169" i="8" s="1"/>
  <c r="P169" i="8"/>
  <c r="R169" i="8"/>
  <c r="AN169" i="8" s="1"/>
  <c r="T169" i="8"/>
  <c r="V169" i="8"/>
  <c r="E170" i="8"/>
  <c r="G170" i="8"/>
  <c r="I170" i="8"/>
  <c r="J170" i="8"/>
  <c r="L170" i="8"/>
  <c r="N170" i="8"/>
  <c r="BH170" i="8" s="1"/>
  <c r="P170" i="8"/>
  <c r="R170" i="8"/>
  <c r="T170" i="8"/>
  <c r="V170" i="8"/>
  <c r="BL170" i="8" s="1"/>
  <c r="AP170" i="8"/>
  <c r="AV170" i="8" s="1"/>
  <c r="E171" i="8"/>
  <c r="G171" i="8"/>
  <c r="I171" i="8"/>
  <c r="L171" i="8"/>
  <c r="N171" i="8"/>
  <c r="P171" i="8"/>
  <c r="R171" i="8"/>
  <c r="T171" i="8"/>
  <c r="V171" i="8"/>
  <c r="E172" i="8"/>
  <c r="G172" i="8"/>
  <c r="I172" i="8"/>
  <c r="J172" i="8"/>
  <c r="L172" i="8"/>
  <c r="N172" i="8"/>
  <c r="BK172" i="8" s="1"/>
  <c r="P172" i="8"/>
  <c r="R172" i="8"/>
  <c r="T172" i="8"/>
  <c r="V172" i="8"/>
  <c r="W172" i="8"/>
  <c r="Y172" i="8" s="1"/>
  <c r="X172" i="8"/>
  <c r="E173" i="8"/>
  <c r="G173" i="8"/>
  <c r="I173" i="8"/>
  <c r="J173" i="8"/>
  <c r="L173" i="8"/>
  <c r="N173" i="8"/>
  <c r="BJ173" i="8" s="1"/>
  <c r="P173" i="8"/>
  <c r="R173" i="8"/>
  <c r="T173" i="8"/>
  <c r="V173" i="8"/>
  <c r="E174" i="8"/>
  <c r="G174" i="8"/>
  <c r="I174" i="8"/>
  <c r="J174" i="8"/>
  <c r="L174" i="8"/>
  <c r="N174" i="8"/>
  <c r="P174" i="8"/>
  <c r="R174" i="8"/>
  <c r="BD174" i="8" s="1"/>
  <c r="T174" i="8"/>
  <c r="V174" i="8"/>
  <c r="W174" i="8"/>
  <c r="X174" i="8"/>
  <c r="Y174" i="8"/>
  <c r="AP174" i="8"/>
  <c r="BG174" i="8"/>
  <c r="BH174" i="8"/>
  <c r="BI174" i="8"/>
  <c r="BJ174" i="8"/>
  <c r="BK174" i="8"/>
  <c r="BL174" i="8"/>
  <c r="BM174" i="8"/>
  <c r="E175" i="8"/>
  <c r="G175" i="8"/>
  <c r="I175" i="8"/>
  <c r="J175" i="8"/>
  <c r="L175" i="8"/>
  <c r="N175" i="8"/>
  <c r="AN175" i="8" s="1"/>
  <c r="P175" i="8"/>
  <c r="R175" i="8"/>
  <c r="T175" i="8"/>
  <c r="V175" i="8"/>
  <c r="W175" i="8"/>
  <c r="Y175" i="8" s="1"/>
  <c r="X175" i="8"/>
  <c r="E176" i="8"/>
  <c r="G176" i="8"/>
  <c r="I176" i="8"/>
  <c r="J176" i="8"/>
  <c r="L176" i="8"/>
  <c r="N176" i="8"/>
  <c r="BH176" i="8" s="1"/>
  <c r="P176" i="8"/>
  <c r="R176" i="8"/>
  <c r="T176" i="8"/>
  <c r="V176" i="8"/>
  <c r="AP176" i="8" s="1"/>
  <c r="AV176" i="8" s="1"/>
  <c r="AY176" i="8"/>
  <c r="BI176" i="8"/>
  <c r="BK176" i="8"/>
  <c r="BM176" i="8"/>
  <c r="E177" i="8"/>
  <c r="G177" i="8"/>
  <c r="I177" i="8"/>
  <c r="J177" i="8"/>
  <c r="L177" i="8"/>
  <c r="N177" i="8"/>
  <c r="BH177" i="8" s="1"/>
  <c r="P177" i="8"/>
  <c r="R177" i="8"/>
  <c r="T177" i="8"/>
  <c r="V177" i="8"/>
  <c r="W177" i="8"/>
  <c r="Y177" i="8" s="1"/>
  <c r="X177" i="8"/>
  <c r="E178" i="8"/>
  <c r="G178" i="8"/>
  <c r="I178" i="8"/>
  <c r="J178" i="8"/>
  <c r="L178" i="8"/>
  <c r="BC178" i="8" s="1"/>
  <c r="N178" i="8"/>
  <c r="P178" i="8"/>
  <c r="R178" i="8"/>
  <c r="T178" i="8"/>
  <c r="BG178" i="8" s="1"/>
  <c r="V178" i="8"/>
  <c r="W178" i="8"/>
  <c r="X178" i="8"/>
  <c r="AM178" i="8"/>
  <c r="AO178" i="8"/>
  <c r="BH178" i="8"/>
  <c r="BI178" i="8"/>
  <c r="BK178" i="8"/>
  <c r="BL178" i="8"/>
  <c r="BM178" i="8"/>
  <c r="E179" i="8"/>
  <c r="G179" i="8"/>
  <c r="I179" i="8"/>
  <c r="J179" i="8"/>
  <c r="L179" i="8"/>
  <c r="N179" i="8"/>
  <c r="BC179" i="8" s="1"/>
  <c r="P179" i="8"/>
  <c r="R179" i="8"/>
  <c r="T179" i="8"/>
  <c r="V179" i="8"/>
  <c r="AN179" i="8"/>
  <c r="AR179" i="8" s="1"/>
  <c r="E180" i="8"/>
  <c r="G180" i="8"/>
  <c r="I180" i="8"/>
  <c r="J180" i="8"/>
  <c r="L180" i="8"/>
  <c r="N180" i="8"/>
  <c r="P180" i="8"/>
  <c r="R180" i="8"/>
  <c r="BD180" i="8" s="1"/>
  <c r="T180" i="8"/>
  <c r="V180" i="8"/>
  <c r="E181" i="8"/>
  <c r="G181" i="8"/>
  <c r="I181" i="8"/>
  <c r="J181" i="8"/>
  <c r="L181" i="8"/>
  <c r="N181" i="8"/>
  <c r="P181" i="8"/>
  <c r="R181" i="8"/>
  <c r="T181" i="8"/>
  <c r="V181" i="8"/>
  <c r="W181" i="8"/>
  <c r="X181" i="8"/>
  <c r="BC181" i="8"/>
  <c r="E182" i="8"/>
  <c r="G182" i="8"/>
  <c r="I182" i="8"/>
  <c r="J182" i="8"/>
  <c r="L182" i="8"/>
  <c r="N182" i="8"/>
  <c r="P182" i="8"/>
  <c r="R182" i="8"/>
  <c r="BE182" i="8" s="1"/>
  <c r="T182" i="8"/>
  <c r="BG182" i="8" s="1"/>
  <c r="V182" i="8"/>
  <c r="BJ182" i="8"/>
  <c r="BK182" i="8"/>
  <c r="BM182" i="8"/>
  <c r="E183" i="8"/>
  <c r="G183" i="8"/>
  <c r="I183" i="8"/>
  <c r="J183" i="8"/>
  <c r="L183" i="8"/>
  <c r="N183" i="8"/>
  <c r="BG183" i="8" s="1"/>
  <c r="P183" i="8"/>
  <c r="R183" i="8"/>
  <c r="T183" i="8"/>
  <c r="V183" i="8"/>
  <c r="BL183" i="8"/>
  <c r="E184" i="8"/>
  <c r="G184" i="8"/>
  <c r="I184" i="8"/>
  <c r="J184" i="8"/>
  <c r="L184" i="8"/>
  <c r="N184" i="8"/>
  <c r="AO184" i="8" s="1"/>
  <c r="P184" i="8"/>
  <c r="R184" i="8"/>
  <c r="T184" i="8"/>
  <c r="V184" i="8"/>
  <c r="BH184" i="8"/>
  <c r="E185" i="8"/>
  <c r="G185" i="8"/>
  <c r="I185" i="8"/>
  <c r="J185" i="8"/>
  <c r="L185" i="8"/>
  <c r="N185" i="8"/>
  <c r="BH185" i="8" s="1"/>
  <c r="P185" i="8"/>
  <c r="R185" i="8"/>
  <c r="T185" i="8"/>
  <c r="V185" i="8"/>
  <c r="BK185" i="8"/>
  <c r="E186" i="8"/>
  <c r="G186" i="8"/>
  <c r="I186" i="8"/>
  <c r="J186" i="8"/>
  <c r="L186" i="8"/>
  <c r="BB186" i="8" s="1"/>
  <c r="N186" i="8"/>
  <c r="BE186" i="8" s="1"/>
  <c r="P186" i="8"/>
  <c r="R186" i="8"/>
  <c r="T186" i="8"/>
  <c r="V186" i="8"/>
  <c r="W186" i="8"/>
  <c r="Y186" i="8" s="1"/>
  <c r="X186" i="8"/>
  <c r="AM186" i="8"/>
  <c r="AP186" i="8"/>
  <c r="BJ186" i="8"/>
  <c r="BM186" i="8"/>
  <c r="E187" i="8"/>
  <c r="G187" i="8"/>
  <c r="I187" i="8"/>
  <c r="J187" i="8"/>
  <c r="Y187" i="8" s="1"/>
  <c r="L187" i="8"/>
  <c r="N187" i="8"/>
  <c r="P187" i="8"/>
  <c r="R187" i="8"/>
  <c r="T187" i="8"/>
  <c r="BG187" i="8" s="1"/>
  <c r="V187" i="8"/>
  <c r="W187" i="8"/>
  <c r="X187" i="8"/>
  <c r="AO187" i="8"/>
  <c r="AP187" i="8"/>
  <c r="BB187" i="8"/>
  <c r="BE187" i="8"/>
  <c r="BF187" i="8"/>
  <c r="BH187" i="8"/>
  <c r="BI187" i="8"/>
  <c r="BJ187" i="8"/>
  <c r="BK187" i="8"/>
  <c r="BL187" i="8"/>
  <c r="BM187" i="8"/>
  <c r="E188" i="8"/>
  <c r="G188" i="8"/>
  <c r="I188" i="8"/>
  <c r="J188" i="8"/>
  <c r="L188" i="8"/>
  <c r="N188" i="8"/>
  <c r="BH188" i="8" s="1"/>
  <c r="P188" i="8"/>
  <c r="R188" i="8"/>
  <c r="T188" i="8"/>
  <c r="BG188" i="8" s="1"/>
  <c r="V188" i="8"/>
  <c r="E189" i="8"/>
  <c r="G189" i="8"/>
  <c r="I189" i="8"/>
  <c r="J189" i="8"/>
  <c r="L189" i="8"/>
  <c r="N189" i="8"/>
  <c r="BJ189" i="8" s="1"/>
  <c r="P189" i="8"/>
  <c r="R189" i="8"/>
  <c r="T189" i="8"/>
  <c r="AB188" i="8" s="1"/>
  <c r="V189" i="8"/>
  <c r="E190" i="8"/>
  <c r="G190" i="8"/>
  <c r="I190" i="8"/>
  <c r="J190" i="8"/>
  <c r="L190" i="8"/>
  <c r="N190" i="8"/>
  <c r="BH190" i="8" s="1"/>
  <c r="P190" i="8"/>
  <c r="R190" i="8"/>
  <c r="T190" i="8"/>
  <c r="V190" i="8"/>
  <c r="E191" i="8"/>
  <c r="G191" i="8"/>
  <c r="I191" i="8"/>
  <c r="J191" i="8"/>
  <c r="L191" i="8"/>
  <c r="N191" i="8"/>
  <c r="P191" i="8"/>
  <c r="R191" i="8"/>
  <c r="T191" i="8"/>
  <c r="V191" i="8"/>
  <c r="E192" i="8"/>
  <c r="G192" i="8"/>
  <c r="I192" i="8"/>
  <c r="J192" i="8"/>
  <c r="L192" i="8"/>
  <c r="BB192" i="8" s="1"/>
  <c r="N192" i="8"/>
  <c r="P192" i="8"/>
  <c r="R192" i="8"/>
  <c r="T192" i="8"/>
  <c r="BF192" i="8" s="1"/>
  <c r="V192" i="8"/>
  <c r="W192" i="8"/>
  <c r="X192" i="8"/>
  <c r="AM192" i="8"/>
  <c r="AP192" i="8"/>
  <c r="BE192" i="8"/>
  <c r="BI192" i="8"/>
  <c r="BJ192" i="8"/>
  <c r="BM192" i="8"/>
  <c r="E193" i="8"/>
  <c r="G193" i="8"/>
  <c r="I193" i="8"/>
  <c r="J193" i="8"/>
  <c r="Y193" i="8" s="1"/>
  <c r="L193" i="8"/>
  <c r="N193" i="8"/>
  <c r="P193" i="8"/>
  <c r="R193" i="8"/>
  <c r="BE193" i="8" s="1"/>
  <c r="T193" i="8"/>
  <c r="V193" i="8"/>
  <c r="W193" i="8"/>
  <c r="X193" i="8"/>
  <c r="AP193" i="8"/>
  <c r="BF193" i="8"/>
  <c r="BH193" i="8"/>
  <c r="BI193" i="8"/>
  <c r="BJ193" i="8"/>
  <c r="BK193" i="8"/>
  <c r="BL193" i="8"/>
  <c r="BM193" i="8"/>
  <c r="E194" i="8"/>
  <c r="G194" i="8"/>
  <c r="I194" i="8"/>
  <c r="J194" i="8"/>
  <c r="L194" i="8"/>
  <c r="N194" i="8"/>
  <c r="BL194" i="8" s="1"/>
  <c r="P194" i="8"/>
  <c r="R194" i="8"/>
  <c r="T194" i="8"/>
  <c r="V194" i="8"/>
  <c r="E195" i="8"/>
  <c r="G195" i="8"/>
  <c r="I195" i="8"/>
  <c r="J195" i="8"/>
  <c r="L195" i="8"/>
  <c r="N195" i="8"/>
  <c r="P195" i="8"/>
  <c r="R195" i="8"/>
  <c r="T195" i="8"/>
  <c r="V195" i="8"/>
  <c r="W195" i="8"/>
  <c r="X195" i="8"/>
  <c r="AM195" i="8"/>
  <c r="AP195" i="8"/>
  <c r="BB195" i="8"/>
  <c r="BE195" i="8"/>
  <c r="BF195" i="8"/>
  <c r="BJ195" i="8"/>
  <c r="BM195" i="8"/>
  <c r="E196" i="8"/>
  <c r="G196" i="8"/>
  <c r="I196" i="8"/>
  <c r="J196" i="8"/>
  <c r="L196" i="8"/>
  <c r="BB196" i="8" s="1"/>
  <c r="N196" i="8"/>
  <c r="P196" i="8"/>
  <c r="R196" i="8"/>
  <c r="T196" i="8"/>
  <c r="BG196" i="8" s="1"/>
  <c r="V196" i="8"/>
  <c r="W196" i="8"/>
  <c r="X196" i="8"/>
  <c r="Y196" i="8"/>
  <c r="AP196" i="8"/>
  <c r="BH196" i="8"/>
  <c r="BI196" i="8"/>
  <c r="BK196" i="8"/>
  <c r="BL196" i="8"/>
  <c r="BM196" i="8"/>
  <c r="A149" i="8"/>
  <c r="A146" i="8"/>
  <c r="A143" i="8"/>
  <c r="A140" i="8"/>
  <c r="A137" i="8"/>
  <c r="A134" i="8"/>
  <c r="A131" i="8"/>
  <c r="A128" i="8"/>
  <c r="E128" i="8"/>
  <c r="G128" i="8"/>
  <c r="I128" i="8"/>
  <c r="J128" i="8"/>
  <c r="L128" i="8"/>
  <c r="N128" i="8"/>
  <c r="P128" i="8"/>
  <c r="R128" i="8"/>
  <c r="T128" i="8"/>
  <c r="V128" i="8"/>
  <c r="W128" i="8"/>
  <c r="Y128" i="8" s="1"/>
  <c r="X128" i="8"/>
  <c r="AP128" i="8"/>
  <c r="AV128" i="8" s="1"/>
  <c r="AV129" i="8" s="1"/>
  <c r="AY128" i="8"/>
  <c r="BH128" i="8"/>
  <c r="BI128" i="8"/>
  <c r="BJ128" i="8"/>
  <c r="BL128" i="8"/>
  <c r="BM128" i="8"/>
  <c r="E129" i="8"/>
  <c r="G129" i="8"/>
  <c r="I129" i="8"/>
  <c r="J129" i="8"/>
  <c r="L129" i="8"/>
  <c r="N129" i="8"/>
  <c r="P129" i="8"/>
  <c r="R129" i="8"/>
  <c r="BE129" i="8" s="1"/>
  <c r="T129" i="8"/>
  <c r="BG129" i="8" s="1"/>
  <c r="V129" i="8"/>
  <c r="W129" i="8"/>
  <c r="X129" i="8"/>
  <c r="Y129" i="8"/>
  <c r="AP129" i="8"/>
  <c r="BH129" i="8"/>
  <c r="BI129" i="8"/>
  <c r="BJ129" i="8"/>
  <c r="BK129" i="8"/>
  <c r="BL129" i="8"/>
  <c r="BM129" i="8"/>
  <c r="E130" i="8"/>
  <c r="G130" i="8"/>
  <c r="I130" i="8"/>
  <c r="J130" i="8"/>
  <c r="L130" i="8"/>
  <c r="N130" i="8"/>
  <c r="BG130" i="8" s="1"/>
  <c r="P130" i="8"/>
  <c r="R130" i="8"/>
  <c r="T130" i="8"/>
  <c r="V130" i="8"/>
  <c r="W130" i="8"/>
  <c r="Y130" i="8" s="1"/>
  <c r="X130" i="8"/>
  <c r="E131" i="8"/>
  <c r="G131" i="8"/>
  <c r="I131" i="8"/>
  <c r="J131" i="8"/>
  <c r="L131" i="8"/>
  <c r="N131" i="8"/>
  <c r="BK131" i="8" s="1"/>
  <c r="P131" i="8"/>
  <c r="R131" i="8"/>
  <c r="T131" i="8"/>
  <c r="V131" i="8"/>
  <c r="BM131" i="8" s="1"/>
  <c r="AP131" i="8"/>
  <c r="AV131" i="8" s="1"/>
  <c r="BH131" i="8"/>
  <c r="BI131" i="8"/>
  <c r="BJ131" i="8"/>
  <c r="BL131" i="8"/>
  <c r="E132" i="8"/>
  <c r="G132" i="8"/>
  <c r="I132" i="8"/>
  <c r="J132" i="8"/>
  <c r="Y132" i="8" s="1"/>
  <c r="L132" i="8"/>
  <c r="N132" i="8"/>
  <c r="P132" i="8"/>
  <c r="R132" i="8"/>
  <c r="BD132" i="8" s="1"/>
  <c r="T132" i="8"/>
  <c r="V132" i="8"/>
  <c r="W132" i="8"/>
  <c r="X132" i="8"/>
  <c r="AP132" i="8"/>
  <c r="BC132" i="8"/>
  <c r="BH132" i="8"/>
  <c r="BI132" i="8"/>
  <c r="BJ132" i="8"/>
  <c r="BL132" i="8"/>
  <c r="BM132" i="8"/>
  <c r="E133" i="8"/>
  <c r="G133" i="8"/>
  <c r="I133" i="8"/>
  <c r="J133" i="8"/>
  <c r="L133" i="8"/>
  <c r="N133" i="8"/>
  <c r="P133" i="8"/>
  <c r="R133" i="8"/>
  <c r="AN133" i="8" s="1"/>
  <c r="T133" i="8"/>
  <c r="BG133" i="8" s="1"/>
  <c r="V133" i="8"/>
  <c r="W133" i="8"/>
  <c r="X133" i="8"/>
  <c r="AM133" i="8"/>
  <c r="BH133" i="8"/>
  <c r="BL133" i="8"/>
  <c r="E134" i="8"/>
  <c r="G134" i="8"/>
  <c r="I134" i="8"/>
  <c r="J134" i="8"/>
  <c r="L134" i="8"/>
  <c r="N134" i="8"/>
  <c r="P134" i="8"/>
  <c r="R134" i="8"/>
  <c r="T134" i="8"/>
  <c r="V134" i="8"/>
  <c r="AP134" i="8" s="1"/>
  <c r="AV134" i="8" s="1"/>
  <c r="E135" i="8"/>
  <c r="G135" i="8"/>
  <c r="I135" i="8"/>
  <c r="J135" i="8"/>
  <c r="L135" i="8"/>
  <c r="N135" i="8"/>
  <c r="BK135" i="8" s="1"/>
  <c r="P135" i="8"/>
  <c r="R135" i="8"/>
  <c r="BE135" i="8" s="1"/>
  <c r="T135" i="8"/>
  <c r="V135" i="8"/>
  <c r="AP135" i="8"/>
  <c r="BI135" i="8"/>
  <c r="BL135" i="8"/>
  <c r="E136" i="8"/>
  <c r="G136" i="8"/>
  <c r="I136" i="8"/>
  <c r="J136" i="8"/>
  <c r="L136" i="8"/>
  <c r="N136" i="8"/>
  <c r="P136" i="8"/>
  <c r="R136" i="8"/>
  <c r="T136" i="8"/>
  <c r="V136" i="8"/>
  <c r="W136" i="8"/>
  <c r="Y136" i="8" s="1"/>
  <c r="X136" i="8"/>
  <c r="BC136" i="8"/>
  <c r="BD136" i="8"/>
  <c r="BL136" i="8"/>
  <c r="E137" i="8"/>
  <c r="G137" i="8"/>
  <c r="I137" i="8"/>
  <c r="J137" i="8"/>
  <c r="L137" i="8"/>
  <c r="N137" i="8"/>
  <c r="P137" i="8"/>
  <c r="R137" i="8"/>
  <c r="T137" i="8"/>
  <c r="V137" i="8"/>
  <c r="E138" i="8"/>
  <c r="G138" i="8"/>
  <c r="I138" i="8"/>
  <c r="J138" i="8"/>
  <c r="L138" i="8"/>
  <c r="N138" i="8"/>
  <c r="BJ138" i="8" s="1"/>
  <c r="P138" i="8"/>
  <c r="R138" i="8"/>
  <c r="T138" i="8"/>
  <c r="V138" i="8"/>
  <c r="E139" i="8"/>
  <c r="G139" i="8"/>
  <c r="I139" i="8"/>
  <c r="J139" i="8"/>
  <c r="L139" i="8"/>
  <c r="N139" i="8"/>
  <c r="P139" i="8"/>
  <c r="R139" i="8"/>
  <c r="T139" i="8"/>
  <c r="V139" i="8"/>
  <c r="BH139" i="8"/>
  <c r="E140" i="8"/>
  <c r="G140" i="8"/>
  <c r="I140" i="8"/>
  <c r="J140" i="8"/>
  <c r="L140" i="8"/>
  <c r="N140" i="8"/>
  <c r="BI140" i="8" s="1"/>
  <c r="P140" i="8"/>
  <c r="R140" i="8"/>
  <c r="T140" i="8"/>
  <c r="V140" i="8"/>
  <c r="AP140" i="8" s="1"/>
  <c r="AV140" i="8" s="1"/>
  <c r="E141" i="8"/>
  <c r="G141" i="8"/>
  <c r="I141" i="8"/>
  <c r="J141" i="8"/>
  <c r="L141" i="8"/>
  <c r="N141" i="8"/>
  <c r="P141" i="8"/>
  <c r="R141" i="8"/>
  <c r="BD141" i="8" s="1"/>
  <c r="T141" i="8"/>
  <c r="V141" i="8"/>
  <c r="BK141" i="8"/>
  <c r="E142" i="8"/>
  <c r="G142" i="8"/>
  <c r="I142" i="8"/>
  <c r="J142" i="8"/>
  <c r="L142" i="8"/>
  <c r="N142" i="8"/>
  <c r="BB142" i="8" s="1"/>
  <c r="P142" i="8"/>
  <c r="R142" i="8"/>
  <c r="T142" i="8"/>
  <c r="V142" i="8"/>
  <c r="W142" i="8"/>
  <c r="X142" i="8"/>
  <c r="Y142" i="8"/>
  <c r="AM142" i="8"/>
  <c r="E143" i="8"/>
  <c r="G143" i="8"/>
  <c r="I143" i="8"/>
  <c r="J143" i="8"/>
  <c r="L143" i="8"/>
  <c r="N143" i="8"/>
  <c r="BE143" i="8" s="1"/>
  <c r="P143" i="8"/>
  <c r="R143" i="8"/>
  <c r="T143" i="8"/>
  <c r="V143" i="8"/>
  <c r="AP143" i="8"/>
  <c r="AV143" i="8" s="1"/>
  <c r="BH143" i="8"/>
  <c r="BI143" i="8"/>
  <c r="BL143" i="8"/>
  <c r="BM143" i="8"/>
  <c r="E144" i="8"/>
  <c r="G144" i="8"/>
  <c r="I144" i="8"/>
  <c r="J144" i="8"/>
  <c r="L144" i="8"/>
  <c r="N144" i="8"/>
  <c r="BJ144" i="8" s="1"/>
  <c r="P144" i="8"/>
  <c r="R144" i="8"/>
  <c r="T144" i="8"/>
  <c r="V144" i="8"/>
  <c r="E145" i="8"/>
  <c r="G145" i="8"/>
  <c r="I145" i="8"/>
  <c r="J145" i="8"/>
  <c r="L145" i="8"/>
  <c r="AM145" i="8" s="1"/>
  <c r="N145" i="8"/>
  <c r="P145" i="8"/>
  <c r="R145" i="8"/>
  <c r="T145" i="8"/>
  <c r="BG145" i="8" s="1"/>
  <c r="V145" i="8"/>
  <c r="W145" i="8"/>
  <c r="Y145" i="8" s="1"/>
  <c r="X145" i="8"/>
  <c r="AP145" i="8"/>
  <c r="BD145" i="8"/>
  <c r="BH145" i="8"/>
  <c r="BJ145" i="8"/>
  <c r="BK145" i="8"/>
  <c r="BL145" i="8"/>
  <c r="E146" i="8"/>
  <c r="G146" i="8"/>
  <c r="I146" i="8"/>
  <c r="J146" i="8"/>
  <c r="L146" i="8"/>
  <c r="N146" i="8"/>
  <c r="BB146" i="8" s="1"/>
  <c r="P146" i="8"/>
  <c r="R146" i="8"/>
  <c r="T146" i="8"/>
  <c r="V146" i="8"/>
  <c r="BI146" i="8"/>
  <c r="E147" i="8"/>
  <c r="G147" i="8"/>
  <c r="I147" i="8"/>
  <c r="J147" i="8"/>
  <c r="L147" i="8"/>
  <c r="N147" i="8"/>
  <c r="AP147" i="8" s="1"/>
  <c r="P147" i="8"/>
  <c r="R147" i="8"/>
  <c r="T147" i="8"/>
  <c r="V147" i="8"/>
  <c r="AO147" i="8"/>
  <c r="BJ147" i="8"/>
  <c r="E148" i="8"/>
  <c r="G148" i="8"/>
  <c r="I148" i="8"/>
  <c r="J148" i="8"/>
  <c r="L148" i="8"/>
  <c r="N148" i="8"/>
  <c r="BF148" i="8" s="1"/>
  <c r="P148" i="8"/>
  <c r="R148" i="8"/>
  <c r="T148" i="8"/>
  <c r="V148" i="8"/>
  <c r="W148" i="8"/>
  <c r="X148" i="8"/>
  <c r="Y148" i="8"/>
  <c r="AP148" i="8"/>
  <c r="BJ148" i="8"/>
  <c r="E149" i="8"/>
  <c r="G149" i="8"/>
  <c r="I149" i="8"/>
  <c r="J149" i="8"/>
  <c r="L149" i="8"/>
  <c r="N149" i="8"/>
  <c r="BH149" i="8" s="1"/>
  <c r="P149" i="8"/>
  <c r="R149" i="8"/>
  <c r="W149" i="8" s="1"/>
  <c r="T149" i="8"/>
  <c r="V149" i="8"/>
  <c r="AM149" i="8"/>
  <c r="AQ149" i="8" s="1"/>
  <c r="E150" i="8"/>
  <c r="G150" i="8"/>
  <c r="I150" i="8"/>
  <c r="J150" i="8"/>
  <c r="L150" i="8"/>
  <c r="N150" i="8"/>
  <c r="BH150" i="8" s="1"/>
  <c r="P150" i="8"/>
  <c r="R150" i="8"/>
  <c r="T150" i="8"/>
  <c r="V150" i="8"/>
  <c r="AP150" i="8" s="1"/>
  <c r="BL150" i="8"/>
  <c r="E151" i="8"/>
  <c r="G151" i="8"/>
  <c r="I151" i="8"/>
  <c r="J151" i="8"/>
  <c r="L151" i="8"/>
  <c r="N151" i="8"/>
  <c r="P151" i="8"/>
  <c r="R151" i="8"/>
  <c r="T151" i="8"/>
  <c r="V151" i="8"/>
  <c r="W151" i="8"/>
  <c r="X151" i="8"/>
  <c r="AN151" i="8"/>
  <c r="AP151" i="8"/>
  <c r="BB151" i="8"/>
  <c r="BD151" i="8"/>
  <c r="BG151" i="8"/>
  <c r="BH151" i="8"/>
  <c r="BL151" i="8"/>
  <c r="A125" i="8"/>
  <c r="A122" i="8"/>
  <c r="A119" i="8"/>
  <c r="A116" i="8"/>
  <c r="A113" i="8"/>
  <c r="A110" i="8"/>
  <c r="E110" i="8"/>
  <c r="G110" i="8"/>
  <c r="I110" i="8"/>
  <c r="J110" i="8"/>
  <c r="L110" i="8"/>
  <c r="N110" i="8"/>
  <c r="BI110" i="8" s="1"/>
  <c r="P110" i="8"/>
  <c r="R110" i="8"/>
  <c r="T110" i="8"/>
  <c r="V110" i="8"/>
  <c r="E111" i="8"/>
  <c r="G111" i="8"/>
  <c r="I111" i="8"/>
  <c r="J111" i="8"/>
  <c r="L111" i="8"/>
  <c r="BC111" i="8" s="1"/>
  <c r="N111" i="8"/>
  <c r="P111" i="8"/>
  <c r="R111" i="8"/>
  <c r="BD111" i="8" s="1"/>
  <c r="T111" i="8"/>
  <c r="V111" i="8"/>
  <c r="BI111" i="8"/>
  <c r="BM111" i="8"/>
  <c r="E112" i="8"/>
  <c r="G112" i="8"/>
  <c r="I112" i="8"/>
  <c r="J112" i="8"/>
  <c r="L112" i="8"/>
  <c r="N112" i="8"/>
  <c r="P112" i="8"/>
  <c r="R112" i="8"/>
  <c r="BE112" i="8" s="1"/>
  <c r="T112" i="8"/>
  <c r="V112" i="8"/>
  <c r="W112" i="8"/>
  <c r="X112" i="8"/>
  <c r="AO112" i="8"/>
  <c r="BC112" i="8"/>
  <c r="BH112" i="8"/>
  <c r="BI112" i="8"/>
  <c r="BK112" i="8"/>
  <c r="BM112" i="8"/>
  <c r="E113" i="8"/>
  <c r="G113" i="8"/>
  <c r="I113" i="8"/>
  <c r="J113" i="8"/>
  <c r="L113" i="8"/>
  <c r="N113" i="8"/>
  <c r="BJ113" i="8" s="1"/>
  <c r="P113" i="8"/>
  <c r="R113" i="8"/>
  <c r="T113" i="8"/>
  <c r="V113" i="8"/>
  <c r="BI113" i="8"/>
  <c r="BK113" i="8"/>
  <c r="E114" i="8"/>
  <c r="G114" i="8"/>
  <c r="I114" i="8"/>
  <c r="J114" i="8"/>
  <c r="L114" i="8"/>
  <c r="BC114" i="8" s="1"/>
  <c r="N114" i="8"/>
  <c r="P114" i="8"/>
  <c r="R114" i="8"/>
  <c r="T114" i="8"/>
  <c r="AO114" i="8" s="1"/>
  <c r="V114" i="8"/>
  <c r="W114" i="8"/>
  <c r="X114" i="8"/>
  <c r="Y114" i="8"/>
  <c r="AP114" i="8"/>
  <c r="BI114" i="8"/>
  <c r="BK114" i="8"/>
  <c r="BL114" i="8"/>
  <c r="E115" i="8"/>
  <c r="G115" i="8"/>
  <c r="I115" i="8"/>
  <c r="J115" i="8"/>
  <c r="L115" i="8"/>
  <c r="N115" i="8"/>
  <c r="P115" i="8"/>
  <c r="R115" i="8"/>
  <c r="T115" i="8"/>
  <c r="V115" i="8"/>
  <c r="W115" i="8"/>
  <c r="Y115" i="8" s="1"/>
  <c r="X115" i="8"/>
  <c r="BC115" i="8"/>
  <c r="BD115" i="8"/>
  <c r="BK115" i="8"/>
  <c r="E116" i="8"/>
  <c r="G116" i="8"/>
  <c r="I116" i="8"/>
  <c r="J116" i="8"/>
  <c r="L116" i="8"/>
  <c r="N116" i="8"/>
  <c r="P116" i="8"/>
  <c r="R116" i="8"/>
  <c r="T116" i="8"/>
  <c r="BF116" i="8" s="1"/>
  <c r="V116" i="8"/>
  <c r="E117" i="8"/>
  <c r="G117" i="8"/>
  <c r="I117" i="8"/>
  <c r="J117" i="8"/>
  <c r="L117" i="8"/>
  <c r="N117" i="8"/>
  <c r="BI117" i="8" s="1"/>
  <c r="P117" i="8"/>
  <c r="R117" i="8"/>
  <c r="T117" i="8"/>
  <c r="V117" i="8"/>
  <c r="E118" i="8"/>
  <c r="G118" i="8"/>
  <c r="I118" i="8"/>
  <c r="J118" i="8"/>
  <c r="L118" i="8"/>
  <c r="N118" i="8"/>
  <c r="P118" i="8"/>
  <c r="R118" i="8"/>
  <c r="BD118" i="8" s="1"/>
  <c r="T118" i="8"/>
  <c r="V118" i="8"/>
  <c r="W118" i="8"/>
  <c r="Y118" i="8" s="1"/>
  <c r="X118" i="8"/>
  <c r="AO118" i="8"/>
  <c r="E119" i="8"/>
  <c r="G119" i="8"/>
  <c r="I119" i="8"/>
  <c r="J119" i="8"/>
  <c r="L119" i="8"/>
  <c r="N119" i="8"/>
  <c r="BE119" i="8" s="1"/>
  <c r="P119" i="8"/>
  <c r="R119" i="8"/>
  <c r="T119" i="8"/>
  <c r="V119" i="8"/>
  <c r="E120" i="8"/>
  <c r="G120" i="8"/>
  <c r="I120" i="8"/>
  <c r="J120" i="8"/>
  <c r="L120" i="8"/>
  <c r="N120" i="8"/>
  <c r="P120" i="8"/>
  <c r="R120" i="8"/>
  <c r="T120" i="8"/>
  <c r="V120" i="8"/>
  <c r="W120" i="8"/>
  <c r="X120" i="8"/>
  <c r="BI120" i="8"/>
  <c r="BK120" i="8"/>
  <c r="E121" i="8"/>
  <c r="G121" i="8"/>
  <c r="I121" i="8"/>
  <c r="J121" i="8"/>
  <c r="L121" i="8"/>
  <c r="N121" i="8"/>
  <c r="P121" i="8"/>
  <c r="R121" i="8"/>
  <c r="T121" i="8"/>
  <c r="V121" i="8"/>
  <c r="W121" i="8"/>
  <c r="X121" i="8"/>
  <c r="AN121" i="8"/>
  <c r="BC121" i="8"/>
  <c r="BG121" i="8"/>
  <c r="BL121" i="8"/>
  <c r="BM121" i="8"/>
  <c r="E122" i="8"/>
  <c r="G122" i="8"/>
  <c r="I122" i="8"/>
  <c r="J122" i="8"/>
  <c r="L122" i="8"/>
  <c r="N122" i="8"/>
  <c r="P122" i="8"/>
  <c r="R122" i="8"/>
  <c r="T122" i="8"/>
  <c r="V122" i="8"/>
  <c r="AY122" i="8"/>
  <c r="E123" i="8"/>
  <c r="G123" i="8"/>
  <c r="I123" i="8"/>
  <c r="J123" i="8"/>
  <c r="L123" i="8"/>
  <c r="BB123" i="8" s="1"/>
  <c r="N123" i="8"/>
  <c r="P123" i="8"/>
  <c r="R123" i="8"/>
  <c r="T123" i="8"/>
  <c r="V123" i="8"/>
  <c r="W123" i="8"/>
  <c r="X123" i="8"/>
  <c r="Y123" i="8"/>
  <c r="AP123" i="8"/>
  <c r="BE123" i="8"/>
  <c r="BJ123" i="8"/>
  <c r="BM123" i="8"/>
  <c r="E124" i="8"/>
  <c r="G124" i="8"/>
  <c r="I124" i="8"/>
  <c r="J124" i="8"/>
  <c r="L124" i="8"/>
  <c r="N124" i="8"/>
  <c r="P124" i="8"/>
  <c r="R124" i="8"/>
  <c r="T124" i="8"/>
  <c r="V124" i="8"/>
  <c r="W124" i="8"/>
  <c r="X124" i="8"/>
  <c r="BB124" i="8"/>
  <c r="BE124" i="8"/>
  <c r="BH124" i="8"/>
  <c r="BJ124" i="8"/>
  <c r="BL124" i="8"/>
  <c r="BM124" i="8"/>
  <c r="E125" i="8"/>
  <c r="G125" i="8"/>
  <c r="I125" i="8"/>
  <c r="J125" i="8"/>
  <c r="L125" i="8"/>
  <c r="N125" i="8"/>
  <c r="AY125" i="8" s="1"/>
  <c r="P125" i="8"/>
  <c r="R125" i="8"/>
  <c r="T125" i="8"/>
  <c r="V125" i="8"/>
  <c r="W125" i="8"/>
  <c r="Y125" i="8" s="1"/>
  <c r="X125" i="8"/>
  <c r="AN125" i="8"/>
  <c r="AR125" i="8" s="1"/>
  <c r="AO125" i="8"/>
  <c r="AT125" i="8" s="1"/>
  <c r="E126" i="8"/>
  <c r="G126" i="8"/>
  <c r="I126" i="8"/>
  <c r="J126" i="8"/>
  <c r="L126" i="8"/>
  <c r="BB126" i="8" s="1"/>
  <c r="N126" i="8"/>
  <c r="P126" i="8"/>
  <c r="R126" i="8"/>
  <c r="T126" i="8"/>
  <c r="V126" i="8"/>
  <c r="W126" i="8"/>
  <c r="X126" i="8"/>
  <c r="AM126" i="8"/>
  <c r="BJ126" i="8"/>
  <c r="E127" i="8"/>
  <c r="G127" i="8"/>
  <c r="I127" i="8"/>
  <c r="J127" i="8"/>
  <c r="Y127" i="8" s="1"/>
  <c r="L127" i="8"/>
  <c r="N127" i="8"/>
  <c r="P127" i="8"/>
  <c r="R127" i="8"/>
  <c r="BE127" i="8" s="1"/>
  <c r="T127" i="8"/>
  <c r="V127" i="8"/>
  <c r="W127" i="8"/>
  <c r="X127" i="8"/>
  <c r="AP127" i="8"/>
  <c r="BF127" i="8"/>
  <c r="BJ127" i="8"/>
  <c r="BK127" i="8"/>
  <c r="BL127" i="8"/>
  <c r="B91" i="8"/>
  <c r="B88" i="8"/>
  <c r="B85" i="8"/>
  <c r="B82" i="8"/>
  <c r="B79" i="8"/>
  <c r="B76" i="8"/>
  <c r="B73" i="8"/>
  <c r="B70" i="8"/>
  <c r="B67" i="8"/>
  <c r="B64" i="8"/>
  <c r="B61" i="8"/>
  <c r="B58" i="8"/>
  <c r="B55" i="8"/>
  <c r="B52" i="8"/>
  <c r="B49" i="8"/>
  <c r="B46" i="8"/>
  <c r="B43" i="8"/>
  <c r="B40" i="8"/>
  <c r="A91" i="8"/>
  <c r="A88" i="8"/>
  <c r="A85" i="8"/>
  <c r="A82" i="8"/>
  <c r="A79" i="8"/>
  <c r="A76" i="8"/>
  <c r="A73" i="8"/>
  <c r="E73" i="8"/>
  <c r="G73" i="8"/>
  <c r="I73" i="8"/>
  <c r="J73" i="8"/>
  <c r="L73" i="8"/>
  <c r="N73" i="8"/>
  <c r="BI73" i="8" s="1"/>
  <c r="P73" i="8"/>
  <c r="R73" i="8"/>
  <c r="T73" i="8"/>
  <c r="V73" i="8"/>
  <c r="E74" i="8"/>
  <c r="G74" i="8"/>
  <c r="I74" i="8"/>
  <c r="J74" i="8"/>
  <c r="L74" i="8"/>
  <c r="N74" i="8"/>
  <c r="P74" i="8"/>
  <c r="R74" i="8"/>
  <c r="T74" i="8"/>
  <c r="V74" i="8"/>
  <c r="BL74" i="8" s="1"/>
  <c r="BI74" i="8"/>
  <c r="E75" i="8"/>
  <c r="G75" i="8"/>
  <c r="I75" i="8"/>
  <c r="J75" i="8"/>
  <c r="L75" i="8"/>
  <c r="BB75" i="8" s="1"/>
  <c r="N75" i="8"/>
  <c r="P75" i="8"/>
  <c r="R75" i="8"/>
  <c r="T75" i="8"/>
  <c r="AO75" i="8" s="1"/>
  <c r="V75" i="8"/>
  <c r="W75" i="8"/>
  <c r="X75" i="8"/>
  <c r="AM75" i="8"/>
  <c r="AN75" i="8"/>
  <c r="BC75" i="8"/>
  <c r="BD75" i="8"/>
  <c r="BH75" i="8"/>
  <c r="BI75" i="8"/>
  <c r="BK75" i="8"/>
  <c r="BL75" i="8"/>
  <c r="BM75" i="8"/>
  <c r="E76" i="8"/>
  <c r="G76" i="8"/>
  <c r="I76" i="8"/>
  <c r="J76" i="8"/>
  <c r="L76" i="8"/>
  <c r="N76" i="8"/>
  <c r="AY76" i="8" s="1"/>
  <c r="P76" i="8"/>
  <c r="R76" i="8"/>
  <c r="T76" i="8"/>
  <c r="V76" i="8"/>
  <c r="AP76" i="8" s="1"/>
  <c r="AV76" i="8" s="1"/>
  <c r="AB76" i="8"/>
  <c r="BK76" i="8"/>
  <c r="E77" i="8"/>
  <c r="G77" i="8"/>
  <c r="I77" i="8"/>
  <c r="J77" i="8"/>
  <c r="L77" i="8"/>
  <c r="N77" i="8"/>
  <c r="P77" i="8"/>
  <c r="R77" i="8"/>
  <c r="T77" i="8"/>
  <c r="V77" i="8"/>
  <c r="W77" i="8"/>
  <c r="X77" i="8"/>
  <c r="AO77" i="8"/>
  <c r="AP77" i="8"/>
  <c r="BE77" i="8"/>
  <c r="BH77" i="8"/>
  <c r="BL77" i="8"/>
  <c r="BM77" i="8"/>
  <c r="E78" i="8"/>
  <c r="G78" i="8"/>
  <c r="I78" i="8"/>
  <c r="J78" i="8"/>
  <c r="L78" i="8"/>
  <c r="N78" i="8"/>
  <c r="AO78" i="8" s="1"/>
  <c r="P78" i="8"/>
  <c r="R78" i="8"/>
  <c r="T78" i="8"/>
  <c r="V78" i="8"/>
  <c r="W78" i="8"/>
  <c r="X78" i="8"/>
  <c r="AP78" i="8"/>
  <c r="BG78" i="8"/>
  <c r="BL78" i="8"/>
  <c r="E79" i="8"/>
  <c r="G79" i="8"/>
  <c r="I79" i="8"/>
  <c r="J79" i="8"/>
  <c r="L79" i="8"/>
  <c r="N79" i="8"/>
  <c r="P79" i="8"/>
  <c r="R79" i="8"/>
  <c r="T79" i="8"/>
  <c r="V79" i="8"/>
  <c r="BH79" i="8"/>
  <c r="E80" i="8"/>
  <c r="G80" i="8"/>
  <c r="I80" i="8"/>
  <c r="J80" i="8"/>
  <c r="L80" i="8"/>
  <c r="N80" i="8"/>
  <c r="AY79" i="8" s="1"/>
  <c r="P80" i="8"/>
  <c r="R80" i="8"/>
  <c r="T80" i="8"/>
  <c r="V80" i="8"/>
  <c r="E81" i="8"/>
  <c r="G81" i="8"/>
  <c r="I81" i="8"/>
  <c r="J81" i="8"/>
  <c r="L81" i="8"/>
  <c r="BB81" i="8" s="1"/>
  <c r="N81" i="8"/>
  <c r="P81" i="8"/>
  <c r="R81" i="8"/>
  <c r="BD81" i="8" s="1"/>
  <c r="T81" i="8"/>
  <c r="BF81" i="8" s="1"/>
  <c r="V81" i="8"/>
  <c r="W81" i="8"/>
  <c r="X81" i="8"/>
  <c r="AM81" i="8"/>
  <c r="AP81" i="8"/>
  <c r="BC81" i="8"/>
  <c r="BH81" i="8"/>
  <c r="BI81" i="8"/>
  <c r="BJ81" i="8"/>
  <c r="BK81" i="8"/>
  <c r="BL81" i="8"/>
  <c r="BM81" i="8"/>
  <c r="E82" i="8"/>
  <c r="G82" i="8"/>
  <c r="I82" i="8"/>
  <c r="J82" i="8"/>
  <c r="L82" i="8"/>
  <c r="N82" i="8"/>
  <c r="P82" i="8"/>
  <c r="R82" i="8"/>
  <c r="T82" i="8"/>
  <c r="V82" i="8"/>
  <c r="W82" i="8"/>
  <c r="X82" i="8"/>
  <c r="AO82" i="8"/>
  <c r="AT82" i="8" s="1"/>
  <c r="BI82" i="8"/>
  <c r="E83" i="8"/>
  <c r="G83" i="8"/>
  <c r="I83" i="8"/>
  <c r="J83" i="8"/>
  <c r="L83" i="8"/>
  <c r="BB83" i="8" s="1"/>
  <c r="N83" i="8"/>
  <c r="P83" i="8"/>
  <c r="R83" i="8"/>
  <c r="T83" i="8"/>
  <c r="AB82" i="8" s="1"/>
  <c r="AA82" i="8" s="1"/>
  <c r="V83" i="8"/>
  <c r="W83" i="8"/>
  <c r="X83" i="8"/>
  <c r="AP83" i="8"/>
  <c r="BF83" i="8"/>
  <c r="BH83" i="8"/>
  <c r="BL83" i="8"/>
  <c r="BM83" i="8"/>
  <c r="E84" i="8"/>
  <c r="G84" i="8"/>
  <c r="I84" i="8"/>
  <c r="J84" i="8"/>
  <c r="L84" i="8"/>
  <c r="BB84" i="8" s="1"/>
  <c r="N84" i="8"/>
  <c r="P84" i="8"/>
  <c r="R84" i="8"/>
  <c r="T84" i="8"/>
  <c r="BF84" i="8" s="1"/>
  <c r="V84" i="8"/>
  <c r="W84" i="8"/>
  <c r="X84" i="8"/>
  <c r="AO84" i="8"/>
  <c r="AP84" i="8"/>
  <c r="BH84" i="8"/>
  <c r="BI84" i="8"/>
  <c r="BJ84" i="8"/>
  <c r="BK84" i="8"/>
  <c r="BL84" i="8"/>
  <c r="BM84" i="8"/>
  <c r="E85" i="8"/>
  <c r="G85" i="8"/>
  <c r="I85" i="8"/>
  <c r="J85" i="8"/>
  <c r="L85" i="8"/>
  <c r="N85" i="8"/>
  <c r="AO85" i="8" s="1"/>
  <c r="AT85" i="8" s="1"/>
  <c r="P85" i="8"/>
  <c r="R85" i="8"/>
  <c r="T85" i="8"/>
  <c r="V85" i="8"/>
  <c r="E86" i="8"/>
  <c r="G86" i="8"/>
  <c r="I86" i="8"/>
  <c r="J86" i="8"/>
  <c r="L86" i="8"/>
  <c r="N86" i="8"/>
  <c r="P86" i="8"/>
  <c r="R86" i="8"/>
  <c r="T86" i="8"/>
  <c r="V86" i="8"/>
  <c r="BM86" i="8"/>
  <c r="E87" i="8"/>
  <c r="G87" i="8"/>
  <c r="I87" i="8"/>
  <c r="J87" i="8"/>
  <c r="L87" i="8"/>
  <c r="N87" i="8"/>
  <c r="AM87" i="8" s="1"/>
  <c r="P87" i="8"/>
  <c r="R87" i="8"/>
  <c r="BE87" i="8" s="1"/>
  <c r="T87" i="8"/>
  <c r="V87" i="8"/>
  <c r="W87" i="8"/>
  <c r="X87" i="8"/>
  <c r="AO87" i="8"/>
  <c r="AP87" i="8"/>
  <c r="BC87" i="8"/>
  <c r="BG87" i="8"/>
  <c r="BI87" i="8"/>
  <c r="BJ87" i="8"/>
  <c r="BK87" i="8"/>
  <c r="BM87" i="8"/>
  <c r="E88" i="8"/>
  <c r="G88" i="8"/>
  <c r="I88" i="8"/>
  <c r="J88" i="8"/>
  <c r="L88" i="8"/>
  <c r="N88" i="8"/>
  <c r="P88" i="8"/>
  <c r="R88" i="8"/>
  <c r="T88" i="8"/>
  <c r="V88" i="8"/>
  <c r="E89" i="8"/>
  <c r="G89" i="8"/>
  <c r="I89" i="8"/>
  <c r="J89" i="8"/>
  <c r="L89" i="8"/>
  <c r="N89" i="8"/>
  <c r="BI89" i="8" s="1"/>
  <c r="P89" i="8"/>
  <c r="R89" i="8"/>
  <c r="BE89" i="8" s="1"/>
  <c r="T89" i="8"/>
  <c r="V89" i="8"/>
  <c r="AP89" i="8" s="1"/>
  <c r="BH89" i="8"/>
  <c r="BL89" i="8"/>
  <c r="BM89" i="8"/>
  <c r="E90" i="8"/>
  <c r="G90" i="8"/>
  <c r="I90" i="8"/>
  <c r="J90" i="8"/>
  <c r="L90" i="8"/>
  <c r="BC90" i="8" s="1"/>
  <c r="N90" i="8"/>
  <c r="BJ90" i="8" s="1"/>
  <c r="P90" i="8"/>
  <c r="R90" i="8"/>
  <c r="T90" i="8"/>
  <c r="V90" i="8"/>
  <c r="BM90" i="8" s="1"/>
  <c r="AO90" i="8"/>
  <c r="E91" i="8"/>
  <c r="G91" i="8"/>
  <c r="I91" i="8"/>
  <c r="J91" i="8"/>
  <c r="L91" i="8"/>
  <c r="N91" i="8"/>
  <c r="P91" i="8"/>
  <c r="R91" i="8"/>
  <c r="T91" i="8"/>
  <c r="V91" i="8"/>
  <c r="BM91" i="8" s="1"/>
  <c r="E92" i="8"/>
  <c r="G92" i="8"/>
  <c r="I92" i="8"/>
  <c r="J92" i="8"/>
  <c r="L92" i="8"/>
  <c r="N92" i="8"/>
  <c r="BI92" i="8" s="1"/>
  <c r="P92" i="8"/>
  <c r="R92" i="8"/>
  <c r="T92" i="8"/>
  <c r="V92" i="8"/>
  <c r="E93" i="8"/>
  <c r="G93" i="8"/>
  <c r="I93" i="8"/>
  <c r="J93" i="8"/>
  <c r="L93" i="8"/>
  <c r="N93" i="8"/>
  <c r="AM93" i="8" s="1"/>
  <c r="P93" i="8"/>
  <c r="R93" i="8"/>
  <c r="T93" i="8"/>
  <c r="V93" i="8"/>
  <c r="BH93" i="8"/>
  <c r="BJ93" i="8"/>
  <c r="A70" i="8"/>
  <c r="A67" i="8"/>
  <c r="A64" i="8"/>
  <c r="A61" i="8"/>
  <c r="A58" i="8"/>
  <c r="A55" i="8"/>
  <c r="A52" i="8"/>
  <c r="A49" i="8"/>
  <c r="A46" i="8"/>
  <c r="A43" i="8"/>
  <c r="A40" i="8"/>
  <c r="E43" i="8"/>
  <c r="G43" i="8"/>
  <c r="I43" i="8"/>
  <c r="J43" i="8"/>
  <c r="L43" i="8"/>
  <c r="N43" i="8"/>
  <c r="BI43" i="8" s="1"/>
  <c r="P43" i="8"/>
  <c r="R43" i="8"/>
  <c r="T43" i="8"/>
  <c r="V43" i="8"/>
  <c r="AP43" i="8"/>
  <c r="AV43" i="8" s="1"/>
  <c r="BH43" i="8"/>
  <c r="E44" i="8"/>
  <c r="G44" i="8"/>
  <c r="I44" i="8"/>
  <c r="J44" i="8"/>
  <c r="L44" i="8"/>
  <c r="N44" i="8"/>
  <c r="P44" i="8"/>
  <c r="R44" i="8"/>
  <c r="T44" i="8"/>
  <c r="V44" i="8"/>
  <c r="AO44" i="8"/>
  <c r="E45" i="8"/>
  <c r="G45" i="8"/>
  <c r="I45" i="8"/>
  <c r="J45" i="8"/>
  <c r="L45" i="8"/>
  <c r="N45" i="8"/>
  <c r="BG45" i="8" s="1"/>
  <c r="P45" i="8"/>
  <c r="R45" i="8"/>
  <c r="T45" i="8"/>
  <c r="V45" i="8"/>
  <c r="W45" i="8"/>
  <c r="X45" i="8"/>
  <c r="E46" i="8"/>
  <c r="G46" i="8"/>
  <c r="I46" i="8"/>
  <c r="J46" i="8"/>
  <c r="L46" i="8"/>
  <c r="N46" i="8"/>
  <c r="BH46" i="8" s="1"/>
  <c r="P46" i="8"/>
  <c r="R46" i="8"/>
  <c r="T46" i="8"/>
  <c r="V46" i="8"/>
  <c r="E47" i="8"/>
  <c r="G47" i="8"/>
  <c r="I47" i="8"/>
  <c r="J47" i="8"/>
  <c r="L47" i="8"/>
  <c r="N47" i="8"/>
  <c r="W47" i="8" s="1"/>
  <c r="P47" i="8"/>
  <c r="R47" i="8"/>
  <c r="T47" i="8"/>
  <c r="V47" i="8"/>
  <c r="BI47" i="8"/>
  <c r="E48" i="8"/>
  <c r="G48" i="8"/>
  <c r="I48" i="8"/>
  <c r="J48" i="8"/>
  <c r="L48" i="8"/>
  <c r="N48" i="8"/>
  <c r="BH48" i="8" s="1"/>
  <c r="P48" i="8"/>
  <c r="R48" i="8"/>
  <c r="T48" i="8"/>
  <c r="V48" i="8"/>
  <c r="E49" i="8"/>
  <c r="G49" i="8"/>
  <c r="I49" i="8"/>
  <c r="J49" i="8"/>
  <c r="L49" i="8"/>
  <c r="N49" i="8"/>
  <c r="P49" i="8"/>
  <c r="R49" i="8"/>
  <c r="T49" i="8"/>
  <c r="V49" i="8"/>
  <c r="AP49" i="8" s="1"/>
  <c r="AV49" i="8" s="1"/>
  <c r="BH49" i="8"/>
  <c r="E50" i="8"/>
  <c r="G50" i="8"/>
  <c r="I50" i="8"/>
  <c r="J50" i="8"/>
  <c r="L50" i="8"/>
  <c r="N50" i="8"/>
  <c r="BI50" i="8" s="1"/>
  <c r="P50" i="8"/>
  <c r="R50" i="8"/>
  <c r="AN50" i="8" s="1"/>
  <c r="T50" i="8"/>
  <c r="AO50" i="8" s="1"/>
  <c r="V50" i="8"/>
  <c r="E51" i="8"/>
  <c r="G51" i="8"/>
  <c r="I51" i="8"/>
  <c r="J51" i="8"/>
  <c r="L51" i="8"/>
  <c r="N51" i="8"/>
  <c r="BH51" i="8" s="1"/>
  <c r="P51" i="8"/>
  <c r="R51" i="8"/>
  <c r="T51" i="8"/>
  <c r="V51" i="8"/>
  <c r="E52" i="8"/>
  <c r="G52" i="8"/>
  <c r="I52" i="8"/>
  <c r="J52" i="8"/>
  <c r="L52" i="8"/>
  <c r="N52" i="8"/>
  <c r="P52" i="8"/>
  <c r="R52" i="8"/>
  <c r="T52" i="8"/>
  <c r="V52" i="8"/>
  <c r="E53" i="8"/>
  <c r="G53" i="8"/>
  <c r="I53" i="8"/>
  <c r="J53" i="8"/>
  <c r="L53" i="8"/>
  <c r="N53" i="8"/>
  <c r="BH53" i="8" s="1"/>
  <c r="P53" i="8"/>
  <c r="R53" i="8"/>
  <c r="T53" i="8"/>
  <c r="V53" i="8"/>
  <c r="E54" i="8"/>
  <c r="G54" i="8"/>
  <c r="I54" i="8"/>
  <c r="J54" i="8"/>
  <c r="L54" i="8"/>
  <c r="N54" i="8"/>
  <c r="P54" i="8"/>
  <c r="R54" i="8"/>
  <c r="T54" i="8"/>
  <c r="V54" i="8"/>
  <c r="E55" i="8"/>
  <c r="G55" i="8"/>
  <c r="I55" i="8"/>
  <c r="J55" i="8"/>
  <c r="L55" i="8"/>
  <c r="N55" i="8"/>
  <c r="BK55" i="8" s="1"/>
  <c r="P55" i="8"/>
  <c r="R55" i="8"/>
  <c r="T55" i="8"/>
  <c r="V55" i="8"/>
  <c r="E56" i="8"/>
  <c r="G56" i="8"/>
  <c r="I56" i="8"/>
  <c r="J56" i="8"/>
  <c r="L56" i="8"/>
  <c r="N56" i="8"/>
  <c r="P56" i="8"/>
  <c r="R56" i="8"/>
  <c r="T56" i="8"/>
  <c r="V56" i="8"/>
  <c r="E57" i="8"/>
  <c r="G57" i="8"/>
  <c r="I57" i="8"/>
  <c r="J57" i="8"/>
  <c r="L57" i="8"/>
  <c r="N57" i="8"/>
  <c r="BH57" i="8" s="1"/>
  <c r="P57" i="8"/>
  <c r="R57" i="8"/>
  <c r="T57" i="8"/>
  <c r="V57" i="8"/>
  <c r="E58" i="8"/>
  <c r="G58" i="8"/>
  <c r="I58" i="8"/>
  <c r="J58" i="8"/>
  <c r="L58" i="8"/>
  <c r="N58" i="8"/>
  <c r="BH58" i="8" s="1"/>
  <c r="P58" i="8"/>
  <c r="R58" i="8"/>
  <c r="T58" i="8"/>
  <c r="V58" i="8"/>
  <c r="BM58" i="8"/>
  <c r="E59" i="8"/>
  <c r="G59" i="8"/>
  <c r="I59" i="8"/>
  <c r="J59" i="8"/>
  <c r="L59" i="8"/>
  <c r="N59" i="8"/>
  <c r="BH59" i="8" s="1"/>
  <c r="P59" i="8"/>
  <c r="R59" i="8"/>
  <c r="T59" i="8"/>
  <c r="V59" i="8"/>
  <c r="E60" i="8"/>
  <c r="G60" i="8"/>
  <c r="I60" i="8"/>
  <c r="J60" i="8"/>
  <c r="L60" i="8"/>
  <c r="N60" i="8"/>
  <c r="BK60" i="8" s="1"/>
  <c r="P60" i="8"/>
  <c r="R60" i="8"/>
  <c r="T60" i="8"/>
  <c r="V60" i="8"/>
  <c r="W60" i="8"/>
  <c r="X60" i="8"/>
  <c r="E61" i="8"/>
  <c r="G61" i="8"/>
  <c r="I61" i="8"/>
  <c r="J61" i="8"/>
  <c r="L61" i="8"/>
  <c r="N61" i="8"/>
  <c r="P61" i="8"/>
  <c r="R61" i="8"/>
  <c r="T61" i="8"/>
  <c r="V61" i="8"/>
  <c r="W61" i="8"/>
  <c r="X61" i="8"/>
  <c r="AP61" i="8"/>
  <c r="AV61" i="8" s="1"/>
  <c r="BI61" i="8"/>
  <c r="E62" i="8"/>
  <c r="G62" i="8"/>
  <c r="I62" i="8"/>
  <c r="J62" i="8"/>
  <c r="L62" i="8"/>
  <c r="N62" i="8"/>
  <c r="P62" i="8"/>
  <c r="R62" i="8"/>
  <c r="T62" i="8"/>
  <c r="V62" i="8"/>
  <c r="W62" i="8"/>
  <c r="X62" i="8"/>
  <c r="BL62" i="8"/>
  <c r="E63" i="8"/>
  <c r="G63" i="8"/>
  <c r="I63" i="8"/>
  <c r="J63" i="8"/>
  <c r="L63" i="8"/>
  <c r="N63" i="8"/>
  <c r="BD63" i="8" s="1"/>
  <c r="P63" i="8"/>
  <c r="R63" i="8"/>
  <c r="BE63" i="8" s="1"/>
  <c r="T63" i="8"/>
  <c r="V63" i="8"/>
  <c r="W63" i="8"/>
  <c r="X63" i="8"/>
  <c r="E64" i="8"/>
  <c r="G64" i="8"/>
  <c r="I64" i="8"/>
  <c r="J64" i="8"/>
  <c r="L64" i="8"/>
  <c r="N64" i="8"/>
  <c r="P64" i="8"/>
  <c r="R64" i="8"/>
  <c r="T64" i="8"/>
  <c r="V64" i="8"/>
  <c r="E65" i="8"/>
  <c r="G65" i="8"/>
  <c r="I65" i="8"/>
  <c r="J65" i="8"/>
  <c r="L65" i="8"/>
  <c r="N65" i="8"/>
  <c r="P65" i="8"/>
  <c r="R65" i="8"/>
  <c r="T65" i="8"/>
  <c r="V65" i="8"/>
  <c r="W65" i="8"/>
  <c r="X65" i="8"/>
  <c r="BJ65" i="8"/>
  <c r="E66" i="8"/>
  <c r="G66" i="8"/>
  <c r="I66" i="8"/>
  <c r="J66" i="8"/>
  <c r="L66" i="8"/>
  <c r="N66" i="8"/>
  <c r="AP66" i="8" s="1"/>
  <c r="P66" i="8"/>
  <c r="R66" i="8"/>
  <c r="T66" i="8"/>
  <c r="V66" i="8"/>
  <c r="W66" i="8"/>
  <c r="X66" i="8"/>
  <c r="BJ66" i="8"/>
  <c r="BK66" i="8"/>
  <c r="E67" i="8"/>
  <c r="G67" i="8"/>
  <c r="I67" i="8"/>
  <c r="J67" i="8"/>
  <c r="L67" i="8"/>
  <c r="N67" i="8"/>
  <c r="BI67" i="8" s="1"/>
  <c r="P67" i="8"/>
  <c r="R67" i="8"/>
  <c r="T67" i="8"/>
  <c r="V67" i="8"/>
  <c r="E68" i="8"/>
  <c r="G68" i="8"/>
  <c r="I68" i="8"/>
  <c r="J68" i="8"/>
  <c r="L68" i="8"/>
  <c r="N68" i="8"/>
  <c r="P68" i="8"/>
  <c r="R68" i="8"/>
  <c r="T68" i="8"/>
  <c r="BF68" i="8" s="1"/>
  <c r="V68" i="8"/>
  <c r="E69" i="8"/>
  <c r="G69" i="8"/>
  <c r="I69" i="8"/>
  <c r="J69" i="8"/>
  <c r="L69" i="8"/>
  <c r="N69" i="8"/>
  <c r="BI69" i="8" s="1"/>
  <c r="P69" i="8"/>
  <c r="R69" i="8"/>
  <c r="T69" i="8"/>
  <c r="V69" i="8"/>
  <c r="E70" i="8"/>
  <c r="G70" i="8"/>
  <c r="I70" i="8"/>
  <c r="J70" i="8"/>
  <c r="L70" i="8"/>
  <c r="N70" i="8"/>
  <c r="AY70" i="8" s="1"/>
  <c r="P70" i="8"/>
  <c r="R70" i="8"/>
  <c r="T70" i="8"/>
  <c r="V70" i="8"/>
  <c r="BL70" i="8" s="1"/>
  <c r="E71" i="8"/>
  <c r="G71" i="8"/>
  <c r="I71" i="8"/>
  <c r="J71" i="8"/>
  <c r="L71" i="8"/>
  <c r="N71" i="8"/>
  <c r="BI71" i="8" s="1"/>
  <c r="P71" i="8"/>
  <c r="R71" i="8"/>
  <c r="T71" i="8"/>
  <c r="V71" i="8"/>
  <c r="W71" i="8"/>
  <c r="X71" i="8"/>
  <c r="AM71" i="8"/>
  <c r="AO71" i="8"/>
  <c r="BM71" i="8"/>
  <c r="E72" i="8"/>
  <c r="G72" i="8"/>
  <c r="I72" i="8"/>
  <c r="J72" i="8"/>
  <c r="Y72" i="8" s="1"/>
  <c r="L72" i="8"/>
  <c r="N72" i="8"/>
  <c r="P72" i="8"/>
  <c r="R72" i="8"/>
  <c r="BE72" i="8" s="1"/>
  <c r="T72" i="8"/>
  <c r="V72" i="8"/>
  <c r="W72" i="8"/>
  <c r="X72" i="8"/>
  <c r="BJ72" i="8"/>
  <c r="BK72" i="8"/>
  <c r="E40" i="8"/>
  <c r="G40" i="8"/>
  <c r="I40" i="8"/>
  <c r="J40" i="8"/>
  <c r="L40" i="8"/>
  <c r="N40" i="8"/>
  <c r="BJ40" i="8" s="1"/>
  <c r="P40" i="8"/>
  <c r="R40" i="8"/>
  <c r="T40" i="8"/>
  <c r="V40" i="8"/>
  <c r="E41" i="8"/>
  <c r="G41" i="8"/>
  <c r="I41" i="8"/>
  <c r="J41" i="8"/>
  <c r="L41" i="8"/>
  <c r="N41" i="8"/>
  <c r="BH41" i="8" s="1"/>
  <c r="P41" i="8"/>
  <c r="R41" i="8"/>
  <c r="T41" i="8"/>
  <c r="V41" i="8"/>
  <c r="E42" i="8"/>
  <c r="G42" i="8"/>
  <c r="I42" i="8"/>
  <c r="J42" i="8"/>
  <c r="L42" i="8"/>
  <c r="N42" i="8"/>
  <c r="AM42" i="8" s="1"/>
  <c r="P42" i="8"/>
  <c r="R42" i="8"/>
  <c r="T42" i="8"/>
  <c r="V42" i="8"/>
  <c r="W42" i="8"/>
  <c r="X42" i="8"/>
  <c r="BG42" i="8"/>
  <c r="BK42" i="8"/>
  <c r="BM42" i="8"/>
  <c r="J74" i="3"/>
  <c r="A67" i="3"/>
  <c r="B67" i="3"/>
  <c r="C67" i="3"/>
  <c r="E67" i="3"/>
  <c r="J67" i="3"/>
  <c r="A68" i="3"/>
  <c r="B68" i="3"/>
  <c r="C68" i="3"/>
  <c r="E68" i="3"/>
  <c r="J68" i="3"/>
  <c r="A69" i="3"/>
  <c r="B69" i="3"/>
  <c r="C69" i="3"/>
  <c r="E69" i="3"/>
  <c r="J69" i="3"/>
  <c r="A70" i="3"/>
  <c r="B70" i="3"/>
  <c r="C70" i="3"/>
  <c r="E70" i="3"/>
  <c r="J70" i="3"/>
  <c r="A71" i="3"/>
  <c r="B71" i="3"/>
  <c r="C71" i="3"/>
  <c r="E71" i="3"/>
  <c r="J71" i="3"/>
  <c r="A72" i="3"/>
  <c r="B72" i="3"/>
  <c r="C72" i="3"/>
  <c r="E72" i="3"/>
  <c r="J72" i="3"/>
  <c r="A73" i="3"/>
  <c r="B73" i="3"/>
  <c r="C73" i="3"/>
  <c r="E73" i="3"/>
  <c r="J73" i="3"/>
  <c r="A46" i="3"/>
  <c r="B46" i="3"/>
  <c r="C46" i="3"/>
  <c r="E46" i="3"/>
  <c r="J46" i="3"/>
  <c r="A47" i="3"/>
  <c r="B47" i="3"/>
  <c r="C47" i="3"/>
  <c r="E47" i="3"/>
  <c r="J47" i="3"/>
  <c r="A48" i="3"/>
  <c r="B48" i="3"/>
  <c r="C48" i="3"/>
  <c r="E48" i="3"/>
  <c r="J48" i="3"/>
  <c r="A49" i="3"/>
  <c r="B49" i="3"/>
  <c r="C49" i="3"/>
  <c r="E49" i="3"/>
  <c r="J49" i="3"/>
  <c r="A50" i="3"/>
  <c r="B50" i="3"/>
  <c r="C50" i="3"/>
  <c r="E50" i="3"/>
  <c r="J50" i="3"/>
  <c r="A51" i="3"/>
  <c r="B51" i="3"/>
  <c r="C51" i="3"/>
  <c r="E51" i="3"/>
  <c r="J51" i="3"/>
  <c r="A52" i="3"/>
  <c r="B52" i="3"/>
  <c r="C52" i="3"/>
  <c r="E52" i="3"/>
  <c r="J52" i="3"/>
  <c r="A53" i="3"/>
  <c r="B53" i="3"/>
  <c r="C53" i="3"/>
  <c r="E53" i="3"/>
  <c r="J53" i="3"/>
  <c r="A54" i="3"/>
  <c r="B54" i="3"/>
  <c r="C54" i="3"/>
  <c r="E54" i="3"/>
  <c r="J54" i="3"/>
  <c r="A55" i="3"/>
  <c r="B55" i="3"/>
  <c r="C55" i="3"/>
  <c r="E55" i="3"/>
  <c r="J55" i="3"/>
  <c r="A56" i="3"/>
  <c r="B56" i="3"/>
  <c r="C56" i="3"/>
  <c r="E56" i="3"/>
  <c r="J56" i="3"/>
  <c r="A57" i="3"/>
  <c r="B57" i="3"/>
  <c r="C57" i="3"/>
  <c r="E57" i="3"/>
  <c r="J57" i="3"/>
  <c r="A58" i="3"/>
  <c r="B58" i="3"/>
  <c r="C58" i="3"/>
  <c r="E58" i="3"/>
  <c r="J58" i="3"/>
  <c r="A59" i="3"/>
  <c r="B59" i="3"/>
  <c r="C59" i="3"/>
  <c r="E59" i="3"/>
  <c r="J59" i="3"/>
  <c r="A60" i="3"/>
  <c r="B60" i="3"/>
  <c r="C60" i="3"/>
  <c r="E60" i="3"/>
  <c r="J60" i="3"/>
  <c r="A61" i="3"/>
  <c r="B61" i="3"/>
  <c r="C61" i="3"/>
  <c r="E61" i="3"/>
  <c r="J61" i="3"/>
  <c r="A62" i="3"/>
  <c r="B62" i="3"/>
  <c r="C62" i="3"/>
  <c r="E62" i="3"/>
  <c r="J62" i="3"/>
  <c r="A63" i="3"/>
  <c r="B63" i="3"/>
  <c r="C63" i="3"/>
  <c r="E63" i="3"/>
  <c r="J63" i="3"/>
  <c r="A64" i="3"/>
  <c r="B64" i="3"/>
  <c r="C64" i="3"/>
  <c r="E64" i="3"/>
  <c r="J64" i="3"/>
  <c r="A65" i="3"/>
  <c r="B65" i="3"/>
  <c r="C65" i="3"/>
  <c r="E65" i="3"/>
  <c r="J65" i="3"/>
  <c r="A66" i="3"/>
  <c r="B66" i="3"/>
  <c r="C66" i="3"/>
  <c r="E66" i="3"/>
  <c r="J66" i="3"/>
  <c r="J45" i="3"/>
  <c r="A45" i="3"/>
  <c r="C45" i="3"/>
  <c r="B45" i="3"/>
  <c r="E45" i="3"/>
  <c r="A27" i="3"/>
  <c r="B27" i="3"/>
  <c r="C27" i="3"/>
  <c r="E27" i="3"/>
  <c r="F27" i="3"/>
  <c r="H27" i="3"/>
  <c r="I27" i="3"/>
  <c r="N27" i="3" s="1"/>
  <c r="A28" i="3"/>
  <c r="B28" i="3"/>
  <c r="C28" i="3"/>
  <c r="E28" i="3"/>
  <c r="F28" i="3"/>
  <c r="H28" i="3"/>
  <c r="I28" i="3"/>
  <c r="M28" i="3" s="1"/>
  <c r="A29" i="3"/>
  <c r="B29" i="3"/>
  <c r="C29" i="3"/>
  <c r="E29" i="3"/>
  <c r="F29" i="3"/>
  <c r="H29" i="3"/>
  <c r="I29" i="3"/>
  <c r="L29" i="3" s="1"/>
  <c r="M29" i="3"/>
  <c r="O29" i="3"/>
  <c r="A30" i="3"/>
  <c r="B30" i="3"/>
  <c r="C30" i="3"/>
  <c r="E30" i="3"/>
  <c r="F30" i="3"/>
  <c r="H30" i="3"/>
  <c r="I30" i="3"/>
  <c r="K30" i="3" s="1"/>
  <c r="M30" i="3"/>
  <c r="A31" i="3"/>
  <c r="B31" i="3"/>
  <c r="C31" i="3"/>
  <c r="E31" i="3"/>
  <c r="F31" i="3"/>
  <c r="H31" i="3"/>
  <c r="I31" i="3"/>
  <c r="N31" i="3" s="1"/>
  <c r="A32" i="3"/>
  <c r="B32" i="3"/>
  <c r="C32" i="3"/>
  <c r="E32" i="3"/>
  <c r="F32" i="3"/>
  <c r="H32" i="3"/>
  <c r="I32" i="3"/>
  <c r="M32" i="3" s="1"/>
  <c r="A33" i="3"/>
  <c r="B33" i="3"/>
  <c r="C33" i="3"/>
  <c r="E33" i="3"/>
  <c r="F33" i="3"/>
  <c r="H33" i="3"/>
  <c r="I33" i="3"/>
  <c r="L33" i="3" s="1"/>
  <c r="A34" i="3"/>
  <c r="B34" i="3"/>
  <c r="C34" i="3"/>
  <c r="E34" i="3"/>
  <c r="F34" i="3"/>
  <c r="H34" i="3"/>
  <c r="I34" i="3"/>
  <c r="K34" i="3" s="1"/>
  <c r="A35" i="3"/>
  <c r="B35" i="3"/>
  <c r="C35" i="3"/>
  <c r="E35" i="3"/>
  <c r="F35" i="3"/>
  <c r="H35" i="3"/>
  <c r="I35" i="3"/>
  <c r="N35" i="3" s="1"/>
  <c r="M35" i="3"/>
  <c r="A36" i="3"/>
  <c r="B36" i="3"/>
  <c r="C36" i="3"/>
  <c r="E36" i="3"/>
  <c r="F36" i="3"/>
  <c r="H36" i="3"/>
  <c r="I36" i="3"/>
  <c r="K36" i="3" s="1"/>
  <c r="A37" i="3"/>
  <c r="B37" i="3"/>
  <c r="C37" i="3"/>
  <c r="E37" i="3"/>
  <c r="F37" i="3"/>
  <c r="H37" i="3"/>
  <c r="I37" i="3"/>
  <c r="L37" i="3" s="1"/>
  <c r="A38" i="3"/>
  <c r="B38" i="3"/>
  <c r="C38" i="3"/>
  <c r="E38" i="3"/>
  <c r="F38" i="3"/>
  <c r="H38" i="3"/>
  <c r="I38" i="3"/>
  <c r="K38" i="3" s="1"/>
  <c r="A26" i="3"/>
  <c r="B26" i="3"/>
  <c r="C26" i="3"/>
  <c r="E26" i="3"/>
  <c r="F26" i="3"/>
  <c r="H26" i="3"/>
  <c r="I26" i="3"/>
  <c r="L26" i="3" s="1"/>
  <c r="A24" i="3"/>
  <c r="B24" i="3"/>
  <c r="C24" i="3"/>
  <c r="E24" i="3"/>
  <c r="F24" i="3"/>
  <c r="H24" i="3"/>
  <c r="I24" i="3"/>
  <c r="K24" i="3" s="1"/>
  <c r="A25" i="3"/>
  <c r="B25" i="3"/>
  <c r="C25" i="3"/>
  <c r="E25" i="3"/>
  <c r="F25" i="3"/>
  <c r="H25" i="3"/>
  <c r="I25" i="3"/>
  <c r="N25" i="3" s="1"/>
  <c r="A22" i="3"/>
  <c r="B22" i="3"/>
  <c r="C22" i="3"/>
  <c r="E22" i="3"/>
  <c r="F22" i="3"/>
  <c r="H22" i="3"/>
  <c r="I22" i="3"/>
  <c r="L22" i="3" s="1"/>
  <c r="A23" i="3"/>
  <c r="B23" i="3"/>
  <c r="C23" i="3"/>
  <c r="E23" i="3"/>
  <c r="F23" i="3"/>
  <c r="H23" i="3"/>
  <c r="I23" i="3"/>
  <c r="L23" i="3" s="1"/>
  <c r="A39" i="3"/>
  <c r="A21" i="3"/>
  <c r="B21" i="3"/>
  <c r="C21" i="3"/>
  <c r="E21" i="3"/>
  <c r="F21" i="3"/>
  <c r="H21" i="3"/>
  <c r="I21" i="3"/>
  <c r="K21" i="3" s="1"/>
  <c r="AP91" i="8" l="1"/>
  <c r="AV91" i="8" s="1"/>
  <c r="X93" i="8"/>
  <c r="BD89" i="8"/>
  <c r="W89" i="8"/>
  <c r="BI88" i="8"/>
  <c r="BH91" i="8"/>
  <c r="BH92" i="8"/>
  <c r="BL93" i="8"/>
  <c r="BC93" i="8"/>
  <c r="BK93" i="8"/>
  <c r="AP93" i="8"/>
  <c r="BE93" i="8"/>
  <c r="W92" i="8"/>
  <c r="Z92" i="8" s="1"/>
  <c r="W91" i="8"/>
  <c r="Y91" i="8" s="1"/>
  <c r="W90" i="8"/>
  <c r="Z90" i="8" s="1"/>
  <c r="X90" i="8"/>
  <c r="X89" i="8"/>
  <c r="W88" i="8"/>
  <c r="Y88" i="8" s="1"/>
  <c r="X92" i="8"/>
  <c r="BK194" i="8"/>
  <c r="BH194" i="8"/>
  <c r="BG194" i="8"/>
  <c r="BC194" i="8"/>
  <c r="AN194" i="8"/>
  <c r="AR194" i="8" s="1"/>
  <c r="X194" i="8"/>
  <c r="W194" i="8"/>
  <c r="Y194" i="8" s="1"/>
  <c r="AC194" i="8" s="1"/>
  <c r="AE194" i="8" s="1"/>
  <c r="AB191" i="8"/>
  <c r="W191" i="8"/>
  <c r="X191" i="8" s="1"/>
  <c r="X189" i="8"/>
  <c r="W189" i="8"/>
  <c r="Y189" i="8" s="1"/>
  <c r="BB189" i="8"/>
  <c r="BK190" i="8"/>
  <c r="AN188" i="8"/>
  <c r="AR188" i="8" s="1"/>
  <c r="W188" i="8"/>
  <c r="AB185" i="8"/>
  <c r="AY185" i="8"/>
  <c r="AN185" i="8"/>
  <c r="AR185" i="8" s="1"/>
  <c r="X188" i="8"/>
  <c r="BF182" i="8"/>
  <c r="X183" i="8"/>
  <c r="W184" i="8"/>
  <c r="Y184" i="8" s="1"/>
  <c r="X184" i="8"/>
  <c r="W183" i="8"/>
  <c r="Y183" i="8" s="1"/>
  <c r="W182" i="8"/>
  <c r="Y182" i="8" s="1"/>
  <c r="W180" i="8"/>
  <c r="Y180" i="8" s="1"/>
  <c r="W179" i="8"/>
  <c r="Y179" i="8" s="1"/>
  <c r="X180" i="8"/>
  <c r="X179" i="8"/>
  <c r="BG176" i="8"/>
  <c r="AM176" i="8"/>
  <c r="AQ176" i="8" s="1"/>
  <c r="AQ177" i="8" s="1"/>
  <c r="AQ178" i="8" s="1"/>
  <c r="X176" i="8"/>
  <c r="BL176" i="8"/>
  <c r="W176" i="8"/>
  <c r="Y176" i="8" s="1"/>
  <c r="AC176" i="8" s="1"/>
  <c r="AE176" i="8" s="1"/>
  <c r="X173" i="8"/>
  <c r="W173" i="8"/>
  <c r="Y173" i="8" s="1"/>
  <c r="AC173" i="8" s="1"/>
  <c r="AE173" i="8" s="1"/>
  <c r="AO86" i="8"/>
  <c r="AT86" i="8" s="1"/>
  <c r="AT87" i="8" s="1"/>
  <c r="X86" i="8"/>
  <c r="W86" i="8"/>
  <c r="Y86" i="8" s="1"/>
  <c r="AN85" i="8"/>
  <c r="AR85" i="8" s="1"/>
  <c r="BI85" i="8"/>
  <c r="AY85" i="8"/>
  <c r="X85" i="8"/>
  <c r="BF80" i="8"/>
  <c r="W80" i="8"/>
  <c r="Y80" i="8" s="1"/>
  <c r="BM79" i="8"/>
  <c r="BI79" i="8"/>
  <c r="W79" i="8"/>
  <c r="X79" i="8" s="1"/>
  <c r="AN79" i="8"/>
  <c r="AR79" i="8" s="1"/>
  <c r="BI76" i="8"/>
  <c r="BH76" i="8"/>
  <c r="BE76" i="8"/>
  <c r="BM76" i="8"/>
  <c r="AP74" i="8"/>
  <c r="BH74" i="8"/>
  <c r="AO74" i="8"/>
  <c r="BM74" i="8"/>
  <c r="BE74" i="8"/>
  <c r="W74" i="8"/>
  <c r="Y74" i="8" s="1"/>
  <c r="X74" i="8"/>
  <c r="AP73" i="8"/>
  <c r="AV73" i="8" s="1"/>
  <c r="BM73" i="8"/>
  <c r="BH73" i="8"/>
  <c r="W73" i="8"/>
  <c r="Y73" i="8" s="1"/>
  <c r="BL171" i="8"/>
  <c r="W170" i="8"/>
  <c r="Y170" i="8" s="1"/>
  <c r="AN171" i="8"/>
  <c r="BH169" i="8"/>
  <c r="BL169" i="8"/>
  <c r="BC169" i="8"/>
  <c r="W169" i="8"/>
  <c r="Y169" i="8" s="1"/>
  <c r="W168" i="8"/>
  <c r="Y168" i="8" s="1"/>
  <c r="W167" i="8"/>
  <c r="Y167" i="8" s="1"/>
  <c r="X170" i="8"/>
  <c r="X167" i="8"/>
  <c r="BF164" i="8"/>
  <c r="X165" i="8"/>
  <c r="X164" i="8"/>
  <c r="W165" i="8"/>
  <c r="W164" i="8"/>
  <c r="Y164" i="8" s="1"/>
  <c r="AC164" i="8" s="1"/>
  <c r="AE164" i="8" s="1"/>
  <c r="W163" i="8"/>
  <c r="Y163" i="8" s="1"/>
  <c r="W162" i="8"/>
  <c r="BG162" i="8"/>
  <c r="AY161" i="8"/>
  <c r="X162" i="8"/>
  <c r="W161" i="8"/>
  <c r="Y161" i="8" s="1"/>
  <c r="AP161" i="8"/>
  <c r="AV161" i="8" s="1"/>
  <c r="BF161" i="8"/>
  <c r="W159" i="8"/>
  <c r="X159" i="8"/>
  <c r="AP158" i="8"/>
  <c r="AV158" i="8" s="1"/>
  <c r="BK158" i="8"/>
  <c r="BF158" i="8"/>
  <c r="BJ158" i="8"/>
  <c r="W158" i="8"/>
  <c r="X158" i="8"/>
  <c r="X156" i="8"/>
  <c r="W156" i="8"/>
  <c r="Y156" i="8" s="1"/>
  <c r="BM155" i="8"/>
  <c r="BJ155" i="8"/>
  <c r="W155" i="8"/>
  <c r="Y155" i="8" s="1"/>
  <c r="BI155" i="8"/>
  <c r="X152" i="8"/>
  <c r="W152" i="8"/>
  <c r="Y152" i="8" s="1"/>
  <c r="AP68" i="8"/>
  <c r="X68" i="8"/>
  <c r="BH70" i="8"/>
  <c r="AO70" i="8"/>
  <c r="AT70" i="8" s="1"/>
  <c r="AT71" i="8" s="1"/>
  <c r="X70" i="8"/>
  <c r="W67" i="8"/>
  <c r="Y67" i="8" s="1"/>
  <c r="AP67" i="8"/>
  <c r="AV67" i="8" s="1"/>
  <c r="AV68" i="8" s="1"/>
  <c r="W68" i="8"/>
  <c r="Y68" i="8" s="1"/>
  <c r="W69" i="8"/>
  <c r="Z69" i="8" s="1"/>
  <c r="W70" i="8"/>
  <c r="Y70" i="8" s="1"/>
  <c r="AC70" i="8" s="1"/>
  <c r="AE70" i="8" s="1"/>
  <c r="AM146" i="8"/>
  <c r="AQ146" i="8" s="1"/>
  <c r="BG147" i="8"/>
  <c r="BF147" i="8"/>
  <c r="BC147" i="8"/>
  <c r="BI147" i="8"/>
  <c r="BM147" i="8"/>
  <c r="BK147" i="8"/>
  <c r="BK150" i="8"/>
  <c r="AM150" i="8"/>
  <c r="BI150" i="8"/>
  <c r="AN150" i="8"/>
  <c r="AY149" i="8"/>
  <c r="BM150" i="8"/>
  <c r="BB150" i="8"/>
  <c r="X150" i="8"/>
  <c r="BF144" i="8"/>
  <c r="W143" i="8"/>
  <c r="Y143" i="8" s="1"/>
  <c r="W140" i="8"/>
  <c r="Y140" i="8" s="1"/>
  <c r="W144" i="8"/>
  <c r="Y144" i="8" s="1"/>
  <c r="X149" i="8"/>
  <c r="W147" i="8"/>
  <c r="Y147" i="8" s="1"/>
  <c r="W146" i="8"/>
  <c r="Y146" i="8" s="1"/>
  <c r="AC146" i="8" s="1"/>
  <c r="AE146" i="8" s="1"/>
  <c r="X144" i="8"/>
  <c r="X143" i="8"/>
  <c r="X141" i="8"/>
  <c r="W141" i="8"/>
  <c r="Y141" i="8" s="1"/>
  <c r="X140" i="8"/>
  <c r="AN139" i="8"/>
  <c r="W64" i="8"/>
  <c r="Z64" i="8" s="1"/>
  <c r="AO59" i="8"/>
  <c r="AY58" i="8"/>
  <c r="W58" i="8"/>
  <c r="X59" i="8"/>
  <c r="X58" i="8"/>
  <c r="AP138" i="8"/>
  <c r="AV138" i="8" s="1"/>
  <c r="W138" i="8"/>
  <c r="Y138" i="8" s="1"/>
  <c r="X138" i="8"/>
  <c r="AP137" i="8"/>
  <c r="AV137" i="8" s="1"/>
  <c r="BJ137" i="8"/>
  <c r="BH137" i="8"/>
  <c r="BK137" i="8"/>
  <c r="BE137" i="8"/>
  <c r="W137" i="8"/>
  <c r="Y137" i="8" s="1"/>
  <c r="X137" i="8"/>
  <c r="BG135" i="8"/>
  <c r="BC135" i="8"/>
  <c r="W135" i="8"/>
  <c r="BL134" i="8"/>
  <c r="BM134" i="8"/>
  <c r="W134" i="8"/>
  <c r="Y134" i="8" s="1"/>
  <c r="BF134" i="8"/>
  <c r="X134" i="8"/>
  <c r="BJ55" i="8"/>
  <c r="W55" i="8"/>
  <c r="BL56" i="8"/>
  <c r="W56" i="8"/>
  <c r="Y56" i="8" s="1"/>
  <c r="AY55" i="8"/>
  <c r="W57" i="8"/>
  <c r="Y57" i="8" s="1"/>
  <c r="W54" i="8"/>
  <c r="Y54" i="8" s="1"/>
  <c r="X54" i="8"/>
  <c r="BI53" i="8"/>
  <c r="W53" i="8"/>
  <c r="Y53" i="8" s="1"/>
  <c r="X53" i="8"/>
  <c r="X52" i="8"/>
  <c r="W52" i="8"/>
  <c r="X131" i="8"/>
  <c r="W131" i="8"/>
  <c r="Y131" i="8" s="1"/>
  <c r="AP122" i="8"/>
  <c r="AV122" i="8" s="1"/>
  <c r="X122" i="8"/>
  <c r="W122" i="8"/>
  <c r="Y122" i="8" s="1"/>
  <c r="W51" i="8"/>
  <c r="Y51" i="8" s="1"/>
  <c r="W50" i="8"/>
  <c r="Z50" i="8" s="1"/>
  <c r="W49" i="8"/>
  <c r="Z49" i="8" s="1"/>
  <c r="W48" i="8"/>
  <c r="Y48" i="8" s="1"/>
  <c r="W46" i="8"/>
  <c r="Z46" i="8" s="1"/>
  <c r="X48" i="8"/>
  <c r="X47" i="8"/>
  <c r="X46" i="8"/>
  <c r="W44" i="8"/>
  <c r="Z44" i="8" s="1"/>
  <c r="X43" i="8"/>
  <c r="W43" i="8"/>
  <c r="Z43" i="8" s="1"/>
  <c r="X44" i="8"/>
  <c r="AP41" i="8"/>
  <c r="BD41" i="8"/>
  <c r="W41" i="8"/>
  <c r="Y41" i="8" s="1"/>
  <c r="W40" i="8"/>
  <c r="X40" i="8"/>
  <c r="W119" i="8"/>
  <c r="Y119" i="8" s="1"/>
  <c r="W117" i="8"/>
  <c r="BK117" i="8"/>
  <c r="X117" i="8"/>
  <c r="BG116" i="8"/>
  <c r="W116" i="8"/>
  <c r="Y116" i="8" s="1"/>
  <c r="X116" i="8"/>
  <c r="AY113" i="8"/>
  <c r="X113" i="8"/>
  <c r="BM113" i="8"/>
  <c r="AP113" i="8"/>
  <c r="AV113" i="8" s="1"/>
  <c r="W113" i="8"/>
  <c r="Y113" i="8" s="1"/>
  <c r="AC113" i="8" s="1"/>
  <c r="AE113" i="8" s="1"/>
  <c r="AF113" i="8" s="1"/>
  <c r="AG113" i="8" s="1"/>
  <c r="W111" i="8"/>
  <c r="Y111" i="8" s="1"/>
  <c r="W110" i="8"/>
  <c r="Y110" i="8" s="1"/>
  <c r="AY194" i="8"/>
  <c r="BD194" i="8"/>
  <c r="AO194" i="8"/>
  <c r="AT194" i="8" s="1"/>
  <c r="AP190" i="8"/>
  <c r="BE190" i="8"/>
  <c r="W190" i="8"/>
  <c r="Y190" i="8" s="1"/>
  <c r="BJ190" i="8"/>
  <c r="AO190" i="8"/>
  <c r="AY188" i="8"/>
  <c r="AO188" i="8"/>
  <c r="AT188" i="8" s="1"/>
  <c r="W185" i="8"/>
  <c r="Y185" i="8" s="1"/>
  <c r="AC185" i="8" s="1"/>
  <c r="AE185" i="8" s="1"/>
  <c r="BC185" i="8"/>
  <c r="BD184" i="8"/>
  <c r="AY182" i="8"/>
  <c r="AN182" i="8"/>
  <c r="AR182" i="8" s="1"/>
  <c r="BK179" i="8"/>
  <c r="BC176" i="8"/>
  <c r="BB176" i="8"/>
  <c r="W171" i="8"/>
  <c r="BJ170" i="8"/>
  <c r="BF170" i="8"/>
  <c r="X169" i="8"/>
  <c r="AY167" i="8"/>
  <c r="AN168" i="8"/>
  <c r="BK167" i="8"/>
  <c r="BH167" i="8"/>
  <c r="Y165" i="8"/>
  <c r="AY164" i="8"/>
  <c r="AN163" i="8"/>
  <c r="Y162" i="8"/>
  <c r="BL161" i="8"/>
  <c r="BH161" i="8"/>
  <c r="BK161" i="8"/>
  <c r="BE161" i="8"/>
  <c r="BH159" i="8"/>
  <c r="BK159" i="8"/>
  <c r="AO159" i="8"/>
  <c r="BF159" i="8"/>
  <c r="BC159" i="8"/>
  <c r="AV159" i="8"/>
  <c r="BB158" i="8"/>
  <c r="Y158" i="8"/>
  <c r="AY158" i="8"/>
  <c r="BC155" i="8"/>
  <c r="AY152" i="8"/>
  <c r="W150" i="8"/>
  <c r="Y150" i="8" s="1"/>
  <c r="AO150" i="8"/>
  <c r="BC150" i="8"/>
  <c r="X147" i="8"/>
  <c r="X146" i="8"/>
  <c r="AB146" i="8"/>
  <c r="BB144" i="8"/>
  <c r="BL144" i="8"/>
  <c r="AY143" i="8"/>
  <c r="BJ143" i="8"/>
  <c r="BB143" i="8"/>
  <c r="BK143" i="8"/>
  <c r="BL142" i="8"/>
  <c r="BK140" i="8"/>
  <c r="BK139" i="8"/>
  <c r="W139" i="8"/>
  <c r="Y139" i="8" s="1"/>
  <c r="BC139" i="8"/>
  <c r="AN138" i="8"/>
  <c r="BL138" i="8"/>
  <c r="X135" i="8"/>
  <c r="Y135" i="8"/>
  <c r="AV135" i="8"/>
  <c r="BH134" i="8"/>
  <c r="AY131" i="8"/>
  <c r="AB125" i="8"/>
  <c r="AA125" i="8" s="1"/>
  <c r="BE122" i="8"/>
  <c r="BK119" i="8"/>
  <c r="BG117" i="8"/>
  <c r="Y117" i="8"/>
  <c r="BJ116" i="8"/>
  <c r="BE116" i="8"/>
  <c r="BG113" i="8"/>
  <c r="AM113" i="8"/>
  <c r="AQ113" i="8" s="1"/>
  <c r="AQ114" i="8" s="1"/>
  <c r="X111" i="8"/>
  <c r="W93" i="8"/>
  <c r="Z93" i="8" s="1"/>
  <c r="BM93" i="8"/>
  <c r="BI93" i="8"/>
  <c r="BF93" i="8"/>
  <c r="BB93" i="8"/>
  <c r="BL91" i="8"/>
  <c r="AY91" i="8"/>
  <c r="BC91" i="8"/>
  <c r="BK91" i="8"/>
  <c r="BE91" i="8"/>
  <c r="BI91" i="8"/>
  <c r="AP90" i="8"/>
  <c r="BI90" i="8"/>
  <c r="AN90" i="8"/>
  <c r="BD90" i="8"/>
  <c r="AO89" i="8"/>
  <c r="AM88" i="8"/>
  <c r="AQ88" i="8" s="1"/>
  <c r="BE86" i="8"/>
  <c r="AN86" i="8"/>
  <c r="AR86" i="8" s="1"/>
  <c r="AR87" i="8" s="1"/>
  <c r="W85" i="8"/>
  <c r="Y85" i="8" s="1"/>
  <c r="BK85" i="8"/>
  <c r="AP82" i="8"/>
  <c r="AV82" i="8" s="1"/>
  <c r="BH82" i="8"/>
  <c r="BM82" i="8"/>
  <c r="BG82" i="8"/>
  <c r="AN82" i="8"/>
  <c r="AR82" i="8" s="1"/>
  <c r="BL82" i="8"/>
  <c r="AY82" i="8"/>
  <c r="AP79" i="8"/>
  <c r="AV79" i="8" s="1"/>
  <c r="BL79" i="8"/>
  <c r="BG79" i="8"/>
  <c r="BK79" i="8"/>
  <c r="BD79" i="8"/>
  <c r="W76" i="8"/>
  <c r="Z76" i="8" s="1"/>
  <c r="BL76" i="8"/>
  <c r="BD74" i="8"/>
  <c r="AV74" i="8"/>
  <c r="AV75" i="8" s="1"/>
  <c r="BK69" i="8"/>
  <c r="AY67" i="8"/>
  <c r="AN67" i="8"/>
  <c r="AR67" i="8" s="1"/>
  <c r="AY64" i="8"/>
  <c r="W59" i="8"/>
  <c r="Z59" i="8" s="1"/>
  <c r="Z58" i="8"/>
  <c r="BD54" i="8"/>
  <c r="BB52" i="8"/>
  <c r="AY49" i="8"/>
  <c r="AM48" i="8"/>
  <c r="BD46" i="8"/>
  <c r="BL41" i="8"/>
  <c r="AO40" i="8"/>
  <c r="AT40" i="8" s="1"/>
  <c r="Y40" i="8"/>
  <c r="O23" i="3"/>
  <c r="K23" i="3"/>
  <c r="M23" i="3"/>
  <c r="AB91" i="8"/>
  <c r="AQ150" i="8"/>
  <c r="BD149" i="8"/>
  <c r="BI149" i="8"/>
  <c r="BM149" i="8"/>
  <c r="BE146" i="8"/>
  <c r="BJ146" i="8"/>
  <c r="BH141" i="8"/>
  <c r="BL141" i="8"/>
  <c r="BC131" i="8"/>
  <c r="AM131" i="8"/>
  <c r="AQ131" i="8" s="1"/>
  <c r="AN191" i="8"/>
  <c r="AR191" i="8" s="1"/>
  <c r="AY191" i="8"/>
  <c r="AO185" i="8"/>
  <c r="AT185" i="8" s="1"/>
  <c r="BG185" i="8"/>
  <c r="BD181" i="8"/>
  <c r="BK181" i="8"/>
  <c r="BE181" i="8"/>
  <c r="AP180" i="8"/>
  <c r="BL180" i="8"/>
  <c r="BI180" i="8"/>
  <c r="AP173" i="8"/>
  <c r="AV173" i="8" s="1"/>
  <c r="AV174" i="8" s="1"/>
  <c r="BE173" i="8"/>
  <c r="BK173" i="8"/>
  <c r="BB173" i="8"/>
  <c r="BL173" i="8"/>
  <c r="BD171" i="8"/>
  <c r="BJ171" i="8"/>
  <c r="AP171" i="8"/>
  <c r="BK171" i="8"/>
  <c r="AP168" i="8"/>
  <c r="BH168" i="8"/>
  <c r="BL168" i="8"/>
  <c r="BC168" i="8"/>
  <c r="BJ168" i="8"/>
  <c r="BC160" i="8"/>
  <c r="AM160" i="8"/>
  <c r="BH160" i="8"/>
  <c r="BG160" i="8"/>
  <c r="BG156" i="8"/>
  <c r="BK156" i="8"/>
  <c r="BH156" i="8"/>
  <c r="BM156" i="8"/>
  <c r="AO62" i="8"/>
  <c r="Y92" i="8"/>
  <c r="BG91" i="8"/>
  <c r="BM88" i="8"/>
  <c r="BH88" i="8"/>
  <c r="BC88" i="8"/>
  <c r="BD87" i="8"/>
  <c r="Z87" i="8"/>
  <c r="BL86" i="8"/>
  <c r="BD86" i="8"/>
  <c r="BG84" i="8"/>
  <c r="BK78" i="8"/>
  <c r="BF78" i="8"/>
  <c r="AM78" i="8"/>
  <c r="AN73" i="8"/>
  <c r="AR73" i="8" s="1"/>
  <c r="BC73" i="8"/>
  <c r="BK73" i="8"/>
  <c r="Y120" i="8"/>
  <c r="AN116" i="8"/>
  <c r="AR116" i="8" s="1"/>
  <c r="BE115" i="8"/>
  <c r="BM115" i="8"/>
  <c r="BB113" i="8"/>
  <c r="BE113" i="8"/>
  <c r="AN113" i="8"/>
  <c r="AR113" i="8" s="1"/>
  <c r="AR114" i="8" s="1"/>
  <c r="AR115" i="8" s="1"/>
  <c r="BL149" i="8"/>
  <c r="BF149" i="8"/>
  <c r="BM146" i="8"/>
  <c r="BH146" i="8"/>
  <c r="AY146" i="8"/>
  <c r="AO144" i="8"/>
  <c r="BG144" i="8"/>
  <c r="BK144" i="8"/>
  <c r="BJ141" i="8"/>
  <c r="AP141" i="8"/>
  <c r="AV141" i="8" s="1"/>
  <c r="AY140" i="8"/>
  <c r="BJ140" i="8"/>
  <c r="BD138" i="8"/>
  <c r="BK138" i="8"/>
  <c r="AM136" i="8"/>
  <c r="BG136" i="8"/>
  <c r="AM134" i="8"/>
  <c r="AQ134" i="8" s="1"/>
  <c r="BB134" i="8"/>
  <c r="BJ134" i="8"/>
  <c r="AV132" i="8"/>
  <c r="BI183" i="8"/>
  <c r="BK183" i="8"/>
  <c r="BM181" i="8"/>
  <c r="AO181" i="8"/>
  <c r="AO180" i="8"/>
  <c r="BH175" i="8"/>
  <c r="BI173" i="8"/>
  <c r="BI171" i="8"/>
  <c r="BG168" i="8"/>
  <c r="BF168" i="8"/>
  <c r="AN166" i="8"/>
  <c r="BC166" i="8"/>
  <c r="BD163" i="8"/>
  <c r="AN162" i="8"/>
  <c r="BD162" i="8"/>
  <c r="BJ162" i="8"/>
  <c r="BC162" i="8"/>
  <c r="BK162" i="8"/>
  <c r="BC161" i="8"/>
  <c r="AM161" i="8"/>
  <c r="AQ161" i="8" s="1"/>
  <c r="BB161" i="8"/>
  <c r="AN160" i="8"/>
  <c r="BL156" i="8"/>
  <c r="AP156" i="8"/>
  <c r="BB155" i="8"/>
  <c r="BE153" i="8"/>
  <c r="AN153" i="8"/>
  <c r="AN72" i="8"/>
  <c r="BL67" i="8"/>
  <c r="Z65" i="8"/>
  <c r="BF59" i="8"/>
  <c r="AP54" i="8"/>
  <c r="BG93" i="8"/>
  <c r="AO93" i="8"/>
  <c r="BD91" i="8"/>
  <c r="AN91" i="8"/>
  <c r="AR91" i="8" s="1"/>
  <c r="BL90" i="8"/>
  <c r="BH90" i="8"/>
  <c r="AM90" i="8"/>
  <c r="BF90" i="8"/>
  <c r="BB90" i="8"/>
  <c r="BL88" i="8"/>
  <c r="BD88" i="8"/>
  <c r="AP88" i="8"/>
  <c r="AV88" i="8" s="1"/>
  <c r="AV89" i="8" s="1"/>
  <c r="AV90" i="8" s="1"/>
  <c r="BE88" i="8"/>
  <c r="AN87" i="8"/>
  <c r="BI86" i="8"/>
  <c r="BM85" i="8"/>
  <c r="BH85" i="8"/>
  <c r="AP85" i="8"/>
  <c r="AV85" i="8" s="1"/>
  <c r="BC84" i="8"/>
  <c r="Y84" i="8"/>
  <c r="AV83" i="8"/>
  <c r="AV84" i="8" s="1"/>
  <c r="BG81" i="8"/>
  <c r="AO81" i="8"/>
  <c r="AB79" i="8"/>
  <c r="BJ78" i="8"/>
  <c r="BC78" i="8"/>
  <c r="AV77" i="8"/>
  <c r="AV78" i="8" s="1"/>
  <c r="Y77" i="8"/>
  <c r="Z77" i="8"/>
  <c r="BD76" i="8"/>
  <c r="AN76" i="8"/>
  <c r="AR76" i="8" s="1"/>
  <c r="BG75" i="8"/>
  <c r="BL73" i="8"/>
  <c r="AY73" i="8"/>
  <c r="BB127" i="8"/>
  <c r="BI127" i="8"/>
  <c r="BM127" i="8"/>
  <c r="BH125" i="8"/>
  <c r="BF124" i="8"/>
  <c r="BK124" i="8"/>
  <c r="BJ122" i="8"/>
  <c r="AN120" i="8"/>
  <c r="AO117" i="8"/>
  <c r="AM116" i="8"/>
  <c r="AQ116" i="8" s="1"/>
  <c r="BB116" i="8"/>
  <c r="BK116" i="8"/>
  <c r="BI115" i="8"/>
  <c r="AO115" i="8"/>
  <c r="Y151" i="8"/>
  <c r="BG150" i="8"/>
  <c r="BK149" i="8"/>
  <c r="BE149" i="8"/>
  <c r="AP149" i="8"/>
  <c r="AV149" i="8" s="1"/>
  <c r="AV150" i="8" s="1"/>
  <c r="AV151" i="8" s="1"/>
  <c r="AN149" i="8"/>
  <c r="AR149" i="8" s="1"/>
  <c r="AM148" i="8"/>
  <c r="BL146" i="8"/>
  <c r="BF146" i="8"/>
  <c r="AP146" i="8"/>
  <c r="AV146" i="8" s="1"/>
  <c r="AV147" i="8" s="1"/>
  <c r="AV148" i="8" s="1"/>
  <c r="AN146" i="8"/>
  <c r="AR146" i="8" s="1"/>
  <c r="BI144" i="8"/>
  <c r="AP144" i="8"/>
  <c r="AV144" i="8" s="1"/>
  <c r="AV145" i="8" s="1"/>
  <c r="BI141" i="8"/>
  <c r="BM140" i="8"/>
  <c r="BH140" i="8"/>
  <c r="BI138" i="8"/>
  <c r="AY137" i="8"/>
  <c r="BI137" i="8"/>
  <c r="BM137" i="8"/>
  <c r="BK136" i="8"/>
  <c r="AN136" i="8"/>
  <c r="AN135" i="8"/>
  <c r="BD135" i="8"/>
  <c r="BJ135" i="8"/>
  <c r="BK134" i="8"/>
  <c r="AY134" i="8"/>
  <c r="BC134" i="8"/>
  <c r="Y133" i="8"/>
  <c r="BD129" i="8"/>
  <c r="AC128" i="8"/>
  <c r="Y195" i="8"/>
  <c r="AM189" i="8"/>
  <c r="AO183" i="8"/>
  <c r="BI181" i="8"/>
  <c r="AN181" i="8"/>
  <c r="BM180" i="8"/>
  <c r="AY179" i="8"/>
  <c r="BJ179" i="8"/>
  <c r="BB179" i="8"/>
  <c r="AN178" i="8"/>
  <c r="BE178" i="8"/>
  <c r="BI177" i="8"/>
  <c r="BH173" i="8"/>
  <c r="BH171" i="8"/>
  <c r="AV171" i="8"/>
  <c r="BM168" i="8"/>
  <c r="BD168" i="8"/>
  <c r="AV168" i="8"/>
  <c r="BI167" i="8"/>
  <c r="BM167" i="8"/>
  <c r="BF167" i="8"/>
  <c r="BL167" i="8"/>
  <c r="BH166" i="8"/>
  <c r="BI162" i="8"/>
  <c r="AO162" i="8"/>
  <c r="BJ156" i="8"/>
  <c r="Y153" i="8"/>
  <c r="AV153" i="8"/>
  <c r="BE152" i="8"/>
  <c r="BK152" i="8"/>
  <c r="BI152" i="8"/>
  <c r="BB42" i="8"/>
  <c r="BH72" i="8"/>
  <c r="BD66" i="8"/>
  <c r="BC61" i="8"/>
  <c r="AP59" i="8"/>
  <c r="BD56" i="8"/>
  <c r="BK54" i="8"/>
  <c r="BL52" i="8"/>
  <c r="BC48" i="8"/>
  <c r="BD93" i="8"/>
  <c r="AN93" i="8"/>
  <c r="BK90" i="8"/>
  <c r="BG90" i="8"/>
  <c r="BE90" i="8"/>
  <c r="AN89" i="8"/>
  <c r="BK88" i="8"/>
  <c r="AY88" i="8"/>
  <c r="AN88" i="8"/>
  <c r="AR88" i="8" s="1"/>
  <c r="BL87" i="8"/>
  <c r="BH87" i="8"/>
  <c r="BF87" i="8"/>
  <c r="BB87" i="8"/>
  <c r="BH86" i="8"/>
  <c r="AP86" i="8"/>
  <c r="BL85" i="8"/>
  <c r="BC85" i="8"/>
  <c r="BD85" i="8"/>
  <c r="Z85" i="8"/>
  <c r="AO83" i="8"/>
  <c r="AT83" i="8" s="1"/>
  <c r="AT84" i="8" s="1"/>
  <c r="BD83" i="8"/>
  <c r="BK82" i="8"/>
  <c r="BC82" i="8"/>
  <c r="BE81" i="8"/>
  <c r="AN81" i="8"/>
  <c r="BJ79" i="8"/>
  <c r="BE79" i="8"/>
  <c r="BF79" i="8"/>
  <c r="BC79" i="8"/>
  <c r="BH78" i="8"/>
  <c r="BB78" i="8"/>
  <c r="BD77" i="8"/>
  <c r="AO76" i="8"/>
  <c r="AT76" i="8" s="1"/>
  <c r="AT77" i="8" s="1"/>
  <c r="AT78" i="8" s="1"/>
  <c r="BC76" i="8"/>
  <c r="BJ76" i="8"/>
  <c r="AP75" i="8"/>
  <c r="BF75" i="8"/>
  <c r="BJ75" i="8"/>
  <c r="BJ73" i="8"/>
  <c r="BE73" i="8"/>
  <c r="BH127" i="8"/>
  <c r="AO127" i="8"/>
  <c r="BG127" i="8"/>
  <c r="Y126" i="8"/>
  <c r="BG125" i="8"/>
  <c r="BI124" i="8"/>
  <c r="AP124" i="8"/>
  <c r="BG124" i="8"/>
  <c r="BI122" i="8"/>
  <c r="AM121" i="8"/>
  <c r="BH121" i="8"/>
  <c r="BD120" i="8"/>
  <c r="AM119" i="8"/>
  <c r="AQ119" i="8" s="1"/>
  <c r="BL117" i="8"/>
  <c r="BD117" i="8"/>
  <c r="BM116" i="8"/>
  <c r="AY116" i="8"/>
  <c r="BH115" i="8"/>
  <c r="BH114" i="8"/>
  <c r="BM114" i="8"/>
  <c r="AV114" i="8"/>
  <c r="AM112" i="8"/>
  <c r="BG112" i="8"/>
  <c r="BL112" i="8"/>
  <c r="AM151" i="8"/>
  <c r="BC151" i="8"/>
  <c r="BJ151" i="8"/>
  <c r="BD150" i="8"/>
  <c r="BJ150" i="8"/>
  <c r="BJ149" i="8"/>
  <c r="BB149" i="8"/>
  <c r="AO149" i="8"/>
  <c r="AT149" i="8" s="1"/>
  <c r="AT150" i="8" s="1"/>
  <c r="Y149" i="8"/>
  <c r="BK148" i="8"/>
  <c r="AM147" i="8"/>
  <c r="BB147" i="8"/>
  <c r="BH147" i="8"/>
  <c r="BL147" i="8"/>
  <c r="BK146" i="8"/>
  <c r="BD146" i="8"/>
  <c r="AO146" i="8"/>
  <c r="AT146" i="8" s="1"/>
  <c r="AT147" i="8" s="1"/>
  <c r="BF145" i="8"/>
  <c r="BM144" i="8"/>
  <c r="BH144" i="8"/>
  <c r="BE144" i="8"/>
  <c r="AN143" i="8"/>
  <c r="AR143" i="8" s="1"/>
  <c r="BD143" i="8"/>
  <c r="BM141" i="8"/>
  <c r="BG141" i="8"/>
  <c r="BL140" i="8"/>
  <c r="BB140" i="8"/>
  <c r="BM138" i="8"/>
  <c r="BH138" i="8"/>
  <c r="BL137" i="8"/>
  <c r="BF137" i="8"/>
  <c r="AM137" i="8"/>
  <c r="AQ137" i="8" s="1"/>
  <c r="BH136" i="8"/>
  <c r="BM135" i="8"/>
  <c r="BH135" i="8"/>
  <c r="AO135" i="8"/>
  <c r="BI134" i="8"/>
  <c r="BD133" i="8"/>
  <c r="AO132" i="8"/>
  <c r="BG132" i="8"/>
  <c r="BK132" i="8"/>
  <c r="BB131" i="8"/>
  <c r="BE128" i="8"/>
  <c r="BK128" i="8"/>
  <c r="BF196" i="8"/>
  <c r="BG193" i="8"/>
  <c r="AO193" i="8"/>
  <c r="BG191" i="8"/>
  <c r="BB190" i="8"/>
  <c r="BI190" i="8"/>
  <c r="BM190" i="8"/>
  <c r="BF190" i="8"/>
  <c r="BL190" i="8"/>
  <c r="BD183" i="8"/>
  <c r="AM182" i="8"/>
  <c r="AQ182" i="8" s="1"/>
  <c r="BB182" i="8"/>
  <c r="BH181" i="8"/>
  <c r="BE180" i="8"/>
  <c r="BG179" i="8"/>
  <c r="BD178" i="8"/>
  <c r="BM173" i="8"/>
  <c r="AY173" i="8"/>
  <c r="BM171" i="8"/>
  <c r="BG171" i="8"/>
  <c r="AY170" i="8"/>
  <c r="BI170" i="8"/>
  <c r="BM170" i="8"/>
  <c r="BE170" i="8"/>
  <c r="BK170" i="8"/>
  <c r="BK168" i="8"/>
  <c r="AO168" i="8"/>
  <c r="BJ167" i="8"/>
  <c r="BD165" i="8"/>
  <c r="AM165" i="8"/>
  <c r="AP165" i="8"/>
  <c r="BJ165" i="8"/>
  <c r="BI165" i="8"/>
  <c r="AP164" i="8"/>
  <c r="AV164" i="8" s="1"/>
  <c r="BH164" i="8"/>
  <c r="BL164" i="8"/>
  <c r="AM164" i="8"/>
  <c r="AQ164" i="8" s="1"/>
  <c r="BI164" i="8"/>
  <c r="BH162" i="8"/>
  <c r="BE162" i="8"/>
  <c r="BL160" i="8"/>
  <c r="BD159" i="8"/>
  <c r="BJ159" i="8"/>
  <c r="BG159" i="8"/>
  <c r="BL159" i="8"/>
  <c r="BI156" i="8"/>
  <c r="AM155" i="8"/>
  <c r="AQ155" i="8" s="1"/>
  <c r="AP155" i="8"/>
  <c r="AV155" i="8" s="1"/>
  <c r="BH155" i="8"/>
  <c r="BL155" i="8"/>
  <c r="AY155" i="8"/>
  <c r="BK155" i="8"/>
  <c r="BD153" i="8"/>
  <c r="BJ152" i="8"/>
  <c r="BF76" i="8"/>
  <c r="BE75" i="8"/>
  <c r="BF126" i="8"/>
  <c r="Y124" i="8"/>
  <c r="AV123" i="8"/>
  <c r="BC122" i="8"/>
  <c r="AN115" i="8"/>
  <c r="AP111" i="8"/>
  <c r="BE150" i="8"/>
  <c r="BG149" i="8"/>
  <c r="BC149" i="8"/>
  <c r="BG146" i="8"/>
  <c r="BC146" i="8"/>
  <c r="AM144" i="8"/>
  <c r="BC140" i="8"/>
  <c r="BE138" i="8"/>
  <c r="BF135" i="8"/>
  <c r="BF132" i="8"/>
  <c r="AM128" i="8"/>
  <c r="AQ128" i="8" s="1"/>
  <c r="BE196" i="8"/>
  <c r="BJ196" i="8"/>
  <c r="Y192" i="8"/>
  <c r="BG190" i="8"/>
  <c r="BF176" i="8"/>
  <c r="BJ176" i="8"/>
  <c r="BC173" i="8"/>
  <c r="AM169" i="8"/>
  <c r="BD169" i="8"/>
  <c r="AM163" i="8"/>
  <c r="BG163" i="8"/>
  <c r="AV162" i="8"/>
  <c r="Y160" i="8"/>
  <c r="BC158" i="8"/>
  <c r="AM158" i="8"/>
  <c r="AQ158" i="8" s="1"/>
  <c r="Y191" i="8"/>
  <c r="AN184" i="8"/>
  <c r="Y181" i="8"/>
  <c r="AP178" i="8"/>
  <c r="BE171" i="8"/>
  <c r="BE168" i="8"/>
  <c r="BF162" i="8"/>
  <c r="Y159" i="8"/>
  <c r="BG157" i="8"/>
  <c r="AP191" i="8"/>
  <c r="AV191" i="8" s="1"/>
  <c r="AV192" i="8" s="1"/>
  <c r="AV193" i="8" s="1"/>
  <c r="BE191" i="8"/>
  <c r="BI191" i="8"/>
  <c r="BM191" i="8"/>
  <c r="AM191" i="8"/>
  <c r="AQ191" i="8" s="1"/>
  <c r="AQ192" i="8" s="1"/>
  <c r="BB191" i="8"/>
  <c r="BF191" i="8"/>
  <c r="BJ191" i="8"/>
  <c r="AN189" i="8"/>
  <c r="AR189" i="8" s="1"/>
  <c r="BC189" i="8"/>
  <c r="BG189" i="8"/>
  <c r="BK189" i="8"/>
  <c r="AO189" i="8"/>
  <c r="BD189" i="8"/>
  <c r="BH189" i="8"/>
  <c r="BL189" i="8"/>
  <c r="AN187" i="8"/>
  <c r="BD187" i="8"/>
  <c r="AN196" i="8"/>
  <c r="BD196" i="8"/>
  <c r="BL191" i="8"/>
  <c r="BI189" i="8"/>
  <c r="AP188" i="8"/>
  <c r="AV188" i="8" s="1"/>
  <c r="BE188" i="8"/>
  <c r="BI188" i="8"/>
  <c r="BM188" i="8"/>
  <c r="AM188" i="8"/>
  <c r="AQ188" i="8" s="1"/>
  <c r="BB188" i="8"/>
  <c r="BF188" i="8"/>
  <c r="BJ188" i="8"/>
  <c r="AN186" i="8"/>
  <c r="BC186" i="8"/>
  <c r="BG186" i="8"/>
  <c r="BK186" i="8"/>
  <c r="AO186" i="8"/>
  <c r="BD186" i="8"/>
  <c r="BH186" i="8"/>
  <c r="BL186" i="8"/>
  <c r="BC167" i="8"/>
  <c r="BB167" i="8"/>
  <c r="AM167" i="8"/>
  <c r="AQ167" i="8" s="1"/>
  <c r="BF165" i="8"/>
  <c r="AO165" i="8"/>
  <c r="BG165" i="8"/>
  <c r="AB152" i="8"/>
  <c r="AA152" i="8" s="1"/>
  <c r="AO152" i="8"/>
  <c r="AT152" i="8" s="1"/>
  <c r="BG152" i="8"/>
  <c r="BF152" i="8"/>
  <c r="AN195" i="8"/>
  <c r="AR195" i="8" s="1"/>
  <c r="AR196" i="8" s="1"/>
  <c r="BC195" i="8"/>
  <c r="BG195" i="8"/>
  <c r="BK195" i="8"/>
  <c r="AO195" i="8"/>
  <c r="AT195" i="8" s="1"/>
  <c r="BD195" i="8"/>
  <c r="BH195" i="8"/>
  <c r="BL195" i="8"/>
  <c r="AN193" i="8"/>
  <c r="BD193" i="8"/>
  <c r="BK191" i="8"/>
  <c r="BC191" i="8"/>
  <c r="AM190" i="8"/>
  <c r="BC190" i="8"/>
  <c r="BF189" i="8"/>
  <c r="BL188" i="8"/>
  <c r="BD188" i="8"/>
  <c r="BI186" i="8"/>
  <c r="AP185" i="8"/>
  <c r="AV185" i="8" s="1"/>
  <c r="AV186" i="8" s="1"/>
  <c r="AV187" i="8" s="1"/>
  <c r="BE185" i="8"/>
  <c r="BI185" i="8"/>
  <c r="BM185" i="8"/>
  <c r="AM185" i="8"/>
  <c r="AQ185" i="8" s="1"/>
  <c r="AQ186" i="8" s="1"/>
  <c r="BB185" i="8"/>
  <c r="BF185" i="8"/>
  <c r="BJ185" i="8"/>
  <c r="BM184" i="8"/>
  <c r="BC184" i="8"/>
  <c r="AN176" i="8"/>
  <c r="AR176" i="8" s="1"/>
  <c r="AR177" i="8" s="1"/>
  <c r="BD176" i="8"/>
  <c r="BE176" i="8"/>
  <c r="AN167" i="8"/>
  <c r="AR167" i="8" s="1"/>
  <c r="AR168" i="8" s="1"/>
  <c r="AR169" i="8" s="1"/>
  <c r="BD167" i="8"/>
  <c r="BE167" i="8"/>
  <c r="BD155" i="8"/>
  <c r="AN155" i="8"/>
  <c r="AR155" i="8" s="1"/>
  <c r="BE155" i="8"/>
  <c r="BF153" i="8"/>
  <c r="AO153" i="8"/>
  <c r="BG153" i="8"/>
  <c r="AM153" i="8"/>
  <c r="BB153" i="8"/>
  <c r="BC153" i="8"/>
  <c r="AM196" i="8"/>
  <c r="BC196" i="8"/>
  <c r="AM193" i="8"/>
  <c r="BC193" i="8"/>
  <c r="BD191" i="8"/>
  <c r="AP184" i="8"/>
  <c r="BB184" i="8"/>
  <c r="BF184" i="8"/>
  <c r="BJ184" i="8"/>
  <c r="BE184" i="8"/>
  <c r="BK184" i="8"/>
  <c r="AM184" i="8"/>
  <c r="BG184" i="8"/>
  <c r="BL184" i="8"/>
  <c r="AO172" i="8"/>
  <c r="BE172" i="8"/>
  <c r="BI172" i="8"/>
  <c r="BM172" i="8"/>
  <c r="AP172" i="8"/>
  <c r="BB172" i="8"/>
  <c r="BF172" i="8"/>
  <c r="BJ172" i="8"/>
  <c r="AM172" i="8"/>
  <c r="BG172" i="8"/>
  <c r="BD172" i="8"/>
  <c r="BL172" i="8"/>
  <c r="BC172" i="8"/>
  <c r="AN172" i="8"/>
  <c r="BH172" i="8"/>
  <c r="AB167" i="8"/>
  <c r="AO167" i="8"/>
  <c r="AT167" i="8" s="1"/>
  <c r="BG167" i="8"/>
  <c r="BB165" i="8"/>
  <c r="BC165" i="8"/>
  <c r="BC152" i="8"/>
  <c r="BB152" i="8"/>
  <c r="AM152" i="8"/>
  <c r="AQ152" i="8" s="1"/>
  <c r="AO196" i="8"/>
  <c r="BI195" i="8"/>
  <c r="AB194" i="8"/>
  <c r="AP194" i="8"/>
  <c r="AV194" i="8" s="1"/>
  <c r="AV195" i="8" s="1"/>
  <c r="AV196" i="8" s="1"/>
  <c r="BE194" i="8"/>
  <c r="BI194" i="8"/>
  <c r="BM194" i="8"/>
  <c r="AM194" i="8"/>
  <c r="AQ194" i="8" s="1"/>
  <c r="AQ195" i="8" s="1"/>
  <c r="AQ196" i="8" s="1"/>
  <c r="BB194" i="8"/>
  <c r="BF194" i="8"/>
  <c r="BJ194" i="8"/>
  <c r="BB193" i="8"/>
  <c r="AN192" i="8"/>
  <c r="BC192" i="8"/>
  <c r="BG192" i="8"/>
  <c r="BK192" i="8"/>
  <c r="AO192" i="8"/>
  <c r="BD192" i="8"/>
  <c r="BH192" i="8"/>
  <c r="BL192" i="8"/>
  <c r="BH191" i="8"/>
  <c r="AO191" i="8"/>
  <c r="AT191" i="8" s="1"/>
  <c r="AN190" i="8"/>
  <c r="BD190" i="8"/>
  <c r="BM189" i="8"/>
  <c r="BE189" i="8"/>
  <c r="AP189" i="8"/>
  <c r="BK188" i="8"/>
  <c r="BC188" i="8"/>
  <c r="AM187" i="8"/>
  <c r="BC187" i="8"/>
  <c r="BF186" i="8"/>
  <c r="BL185" i="8"/>
  <c r="BD185" i="8"/>
  <c r="BI184" i="8"/>
  <c r="BE183" i="8"/>
  <c r="AN183" i="8"/>
  <c r="AN177" i="8"/>
  <c r="BC177" i="8"/>
  <c r="BG177" i="8"/>
  <c r="BK177" i="8"/>
  <c r="AM177" i="8"/>
  <c r="BB177" i="8"/>
  <c r="BF177" i="8"/>
  <c r="BJ177" i="8"/>
  <c r="AO177" i="8"/>
  <c r="BD177" i="8"/>
  <c r="BL177" i="8"/>
  <c r="AP177" i="8"/>
  <c r="AV177" i="8" s="1"/>
  <c r="AV178" i="8" s="1"/>
  <c r="BE177" i="8"/>
  <c r="BM177" i="8"/>
  <c r="AM183" i="8"/>
  <c r="BB183" i="8"/>
  <c r="BF183" i="8"/>
  <c r="BJ183" i="8"/>
  <c r="AO182" i="8"/>
  <c r="AT182" i="8" s="1"/>
  <c r="BD182" i="8"/>
  <c r="BH182" i="8"/>
  <c r="BL182" i="8"/>
  <c r="AP181" i="8"/>
  <c r="BB181" i="8"/>
  <c r="BF181" i="8"/>
  <c r="BJ181" i="8"/>
  <c r="AN180" i="8"/>
  <c r="AR180" i="8" s="1"/>
  <c r="AR181" i="8" s="1"/>
  <c r="BC180" i="8"/>
  <c r="BG180" i="8"/>
  <c r="BK180" i="8"/>
  <c r="AM180" i="8"/>
  <c r="BB180" i="8"/>
  <c r="BF180" i="8"/>
  <c r="BJ180" i="8"/>
  <c r="AP179" i="8"/>
  <c r="AV179" i="8" s="1"/>
  <c r="BE179" i="8"/>
  <c r="BI179" i="8"/>
  <c r="BM179" i="8"/>
  <c r="AO179" i="8"/>
  <c r="AT179" i="8" s="1"/>
  <c r="BD179" i="8"/>
  <c r="BH179" i="8"/>
  <c r="BL179" i="8"/>
  <c r="AO175" i="8"/>
  <c r="BE175" i="8"/>
  <c r="BI175" i="8"/>
  <c r="BM175" i="8"/>
  <c r="AP175" i="8"/>
  <c r="BB175" i="8"/>
  <c r="BF175" i="8"/>
  <c r="BJ175" i="8"/>
  <c r="BD175" i="8"/>
  <c r="BL175" i="8"/>
  <c r="BC175" i="8"/>
  <c r="BK175" i="8"/>
  <c r="BF174" i="8"/>
  <c r="AO174" i="8"/>
  <c r="AM174" i="8"/>
  <c r="BB174" i="8"/>
  <c r="BC174" i="8"/>
  <c r="BG173" i="8"/>
  <c r="AB173" i="8"/>
  <c r="AA173" i="8" s="1"/>
  <c r="AO173" i="8"/>
  <c r="AT173" i="8" s="1"/>
  <c r="BF173" i="8"/>
  <c r="BG170" i="8"/>
  <c r="AB170" i="8"/>
  <c r="AO170" i="8"/>
  <c r="AT170" i="8" s="1"/>
  <c r="BC170" i="8"/>
  <c r="BB170" i="8"/>
  <c r="AB164" i="8"/>
  <c r="AA164" i="8" s="1"/>
  <c r="BG164" i="8"/>
  <c r="BC164" i="8"/>
  <c r="BB164" i="8"/>
  <c r="BF156" i="8"/>
  <c r="AO156" i="8"/>
  <c r="AM156" i="8"/>
  <c r="BB156" i="8"/>
  <c r="BC156" i="8"/>
  <c r="BM183" i="8"/>
  <c r="BH183" i="8"/>
  <c r="BC183" i="8"/>
  <c r="AP183" i="8"/>
  <c r="BI182" i="8"/>
  <c r="BC182" i="8"/>
  <c r="AP182" i="8"/>
  <c r="AV182" i="8" s="1"/>
  <c r="AB182" i="8"/>
  <c r="BL181" i="8"/>
  <c r="BG181" i="8"/>
  <c r="AM181" i="8"/>
  <c r="BH180" i="8"/>
  <c r="BF179" i="8"/>
  <c r="AM179" i="8"/>
  <c r="AQ179" i="8" s="1"/>
  <c r="AB179" i="8"/>
  <c r="AA179" i="8" s="1"/>
  <c r="Y178" i="8"/>
  <c r="BG175" i="8"/>
  <c r="AM175" i="8"/>
  <c r="BE174" i="8"/>
  <c r="AN174" i="8"/>
  <c r="AM173" i="8"/>
  <c r="AQ173" i="8" s="1"/>
  <c r="AN173" i="8"/>
  <c r="AR173" i="8" s="1"/>
  <c r="BD173" i="8"/>
  <c r="BF171" i="8"/>
  <c r="AO171" i="8"/>
  <c r="AM171" i="8"/>
  <c r="BB171" i="8"/>
  <c r="BC171" i="8"/>
  <c r="AM170" i="8"/>
  <c r="AQ170" i="8" s="1"/>
  <c r="AP157" i="8"/>
  <c r="BB157" i="8"/>
  <c r="BF157" i="8"/>
  <c r="BJ157" i="8"/>
  <c r="AO157" i="8"/>
  <c r="BE157" i="8"/>
  <c r="BI157" i="8"/>
  <c r="BM157" i="8"/>
  <c r="BC157" i="8"/>
  <c r="BK157" i="8"/>
  <c r="BD157" i="8"/>
  <c r="BL157" i="8"/>
  <c r="BE156" i="8"/>
  <c r="AN156" i="8"/>
  <c r="AB155" i="8"/>
  <c r="AO155" i="8"/>
  <c r="AT155" i="8" s="1"/>
  <c r="BG155" i="8"/>
  <c r="BF155" i="8"/>
  <c r="BJ178" i="8"/>
  <c r="BF178" i="8"/>
  <c r="BB178" i="8"/>
  <c r="AB176" i="8"/>
  <c r="AO176" i="8"/>
  <c r="AT176" i="8" s="1"/>
  <c r="AT177" i="8" s="1"/>
  <c r="AT178" i="8" s="1"/>
  <c r="BG169" i="8"/>
  <c r="AP166" i="8"/>
  <c r="BB166" i="8"/>
  <c r="BF166" i="8"/>
  <c r="BJ166" i="8"/>
  <c r="AO166" i="8"/>
  <c r="BE166" i="8"/>
  <c r="BI166" i="8"/>
  <c r="BM166" i="8"/>
  <c r="BD166" i="8"/>
  <c r="BL166" i="8"/>
  <c r="AM166" i="8"/>
  <c r="BG166" i="8"/>
  <c r="AO164" i="8"/>
  <c r="AT164" i="8" s="1"/>
  <c r="AP154" i="8"/>
  <c r="BB154" i="8"/>
  <c r="BF154" i="8"/>
  <c r="BJ154" i="8"/>
  <c r="AO154" i="8"/>
  <c r="BE154" i="8"/>
  <c r="BI154" i="8"/>
  <c r="BM154" i="8"/>
  <c r="BD154" i="8"/>
  <c r="BL154" i="8"/>
  <c r="AM154" i="8"/>
  <c r="BG154" i="8"/>
  <c r="AN170" i="8"/>
  <c r="AR170" i="8" s="1"/>
  <c r="AR171" i="8" s="1"/>
  <c r="AR172" i="8" s="1"/>
  <c r="BD170" i="8"/>
  <c r="AO169" i="8"/>
  <c r="BE169" i="8"/>
  <c r="BI169" i="8"/>
  <c r="BM169" i="8"/>
  <c r="AP169" i="8"/>
  <c r="BB169" i="8"/>
  <c r="BF169" i="8"/>
  <c r="BJ169" i="8"/>
  <c r="AM168" i="8"/>
  <c r="BB168" i="8"/>
  <c r="BE159" i="8"/>
  <c r="AN159" i="8"/>
  <c r="BD158" i="8"/>
  <c r="AN158" i="8"/>
  <c r="AR158" i="8" s="1"/>
  <c r="BE158" i="8"/>
  <c r="BD164" i="8"/>
  <c r="AN164" i="8"/>
  <c r="AR164" i="8" s="1"/>
  <c r="AR165" i="8" s="1"/>
  <c r="AP163" i="8"/>
  <c r="AV163" i="8" s="1"/>
  <c r="BB163" i="8"/>
  <c r="BF163" i="8"/>
  <c r="BJ163" i="8"/>
  <c r="AO163" i="8"/>
  <c r="BE163" i="8"/>
  <c r="BI163" i="8"/>
  <c r="BM163" i="8"/>
  <c r="AM162" i="8"/>
  <c r="AQ162" i="8" s="1"/>
  <c r="BB162" i="8"/>
  <c r="AB161" i="8"/>
  <c r="AO161" i="8"/>
  <c r="AT161" i="8" s="1"/>
  <c r="BG161" i="8"/>
  <c r="BK160" i="8"/>
  <c r="BD152" i="8"/>
  <c r="AN152" i="8"/>
  <c r="AR152" i="8" s="1"/>
  <c r="AR153" i="8" s="1"/>
  <c r="AR154" i="8" s="1"/>
  <c r="BD161" i="8"/>
  <c r="AN161" i="8"/>
  <c r="AR161" i="8" s="1"/>
  <c r="AP160" i="8"/>
  <c r="BB160" i="8"/>
  <c r="BF160" i="8"/>
  <c r="BJ160" i="8"/>
  <c r="AO160" i="8"/>
  <c r="BE160" i="8"/>
  <c r="BI160" i="8"/>
  <c r="BM160" i="8"/>
  <c r="AM159" i="8"/>
  <c r="BB159" i="8"/>
  <c r="AB158" i="8"/>
  <c r="AA158" i="8" s="1"/>
  <c r="AO158" i="8"/>
  <c r="AT158" i="8" s="1"/>
  <c r="BG158" i="8"/>
  <c r="AB143" i="8"/>
  <c r="AO142" i="8"/>
  <c r="BE142" i="8"/>
  <c r="BI142" i="8"/>
  <c r="BM142" i="8"/>
  <c r="AP142" i="8"/>
  <c r="BD142" i="8"/>
  <c r="BJ142" i="8"/>
  <c r="AN142" i="8"/>
  <c r="BC142" i="8"/>
  <c r="BH142" i="8"/>
  <c r="BF141" i="8"/>
  <c r="AO141" i="8"/>
  <c r="AM141" i="8"/>
  <c r="BB141" i="8"/>
  <c r="BC141" i="8"/>
  <c r="AB137" i="8"/>
  <c r="AO137" i="8"/>
  <c r="AT137" i="8" s="1"/>
  <c r="BG137" i="8"/>
  <c r="AB128" i="8"/>
  <c r="AA128" i="8" s="1"/>
  <c r="AO128" i="8"/>
  <c r="AT128" i="8" s="1"/>
  <c r="BG128" i="8"/>
  <c r="BF128" i="8"/>
  <c r="BC148" i="8"/>
  <c r="BE147" i="8"/>
  <c r="BD147" i="8"/>
  <c r="BD144" i="8"/>
  <c r="BG143" i="8"/>
  <c r="AO143" i="8"/>
  <c r="AT143" i="8" s="1"/>
  <c r="BF143" i="8"/>
  <c r="BC143" i="8"/>
  <c r="AM143" i="8"/>
  <c r="AQ143" i="8" s="1"/>
  <c r="BK142" i="8"/>
  <c r="BE141" i="8"/>
  <c r="AN141" i="8"/>
  <c r="AM140" i="8"/>
  <c r="AQ140" i="8" s="1"/>
  <c r="BD140" i="8"/>
  <c r="AN140" i="8"/>
  <c r="AR140" i="8" s="1"/>
  <c r="BF138" i="8"/>
  <c r="AO138" i="8"/>
  <c r="AM138" i="8"/>
  <c r="BB138" i="8"/>
  <c r="BC138" i="8"/>
  <c r="BD131" i="8"/>
  <c r="AN131" i="8"/>
  <c r="AR131" i="8" s="1"/>
  <c r="BE131" i="8"/>
  <c r="AO151" i="8"/>
  <c r="BE151" i="8"/>
  <c r="BI151" i="8"/>
  <c r="BM151" i="8"/>
  <c r="AB149" i="8"/>
  <c r="AA149" i="8" s="1"/>
  <c r="BB148" i="8"/>
  <c r="BC145" i="8"/>
  <c r="BG142" i="8"/>
  <c r="BE132" i="8"/>
  <c r="AN132" i="8"/>
  <c r="AP130" i="8"/>
  <c r="AV130" i="8" s="1"/>
  <c r="BB130" i="8"/>
  <c r="BF130" i="8"/>
  <c r="BJ130" i="8"/>
  <c r="AO130" i="8"/>
  <c r="BE130" i="8"/>
  <c r="BI130" i="8"/>
  <c r="BM130" i="8"/>
  <c r="BD130" i="8"/>
  <c r="BL130" i="8"/>
  <c r="AM130" i="8"/>
  <c r="BC130" i="8"/>
  <c r="BK130" i="8"/>
  <c r="BF129" i="8"/>
  <c r="AO129" i="8"/>
  <c r="AM129" i="8"/>
  <c r="BB129" i="8"/>
  <c r="BC129" i="8"/>
  <c r="BK151" i="8"/>
  <c r="BF151" i="8"/>
  <c r="BF150" i="8"/>
  <c r="BG148" i="8"/>
  <c r="AO148" i="8"/>
  <c r="BE148" i="8"/>
  <c r="BI148" i="8"/>
  <c r="BM148" i="8"/>
  <c r="AN148" i="8"/>
  <c r="BD148" i="8"/>
  <c r="BH148" i="8"/>
  <c r="BL148" i="8"/>
  <c r="AN147" i="8"/>
  <c r="BB145" i="8"/>
  <c r="AN144" i="8"/>
  <c r="BF142" i="8"/>
  <c r="BE140" i="8"/>
  <c r="AP139" i="8"/>
  <c r="BB139" i="8"/>
  <c r="BF139" i="8"/>
  <c r="BJ139" i="8"/>
  <c r="AO139" i="8"/>
  <c r="BE139" i="8"/>
  <c r="BI139" i="8"/>
  <c r="BM139" i="8"/>
  <c r="AM139" i="8"/>
  <c r="BG139" i="8"/>
  <c r="BD139" i="8"/>
  <c r="BL139" i="8"/>
  <c r="BG138" i="8"/>
  <c r="BH130" i="8"/>
  <c r="AN130" i="8"/>
  <c r="AB140" i="8"/>
  <c r="AO140" i="8"/>
  <c r="AT140" i="8" s="1"/>
  <c r="BG140" i="8"/>
  <c r="BF140" i="8"/>
  <c r="BC137" i="8"/>
  <c r="BB137" i="8"/>
  <c r="BC128" i="8"/>
  <c r="BB128" i="8"/>
  <c r="AO145" i="8"/>
  <c r="BD134" i="8"/>
  <c r="AN134" i="8"/>
  <c r="AR134" i="8" s="1"/>
  <c r="AP133" i="8"/>
  <c r="AV133" i="8" s="1"/>
  <c r="BB133" i="8"/>
  <c r="BF133" i="8"/>
  <c r="BJ133" i="8"/>
  <c r="AO133" i="8"/>
  <c r="BE133" i="8"/>
  <c r="BI133" i="8"/>
  <c r="BM133" i="8"/>
  <c r="AM132" i="8"/>
  <c r="AQ132" i="8" s="1"/>
  <c r="AQ133" i="8" s="1"/>
  <c r="BB132" i="8"/>
  <c r="AB131" i="8"/>
  <c r="AA131" i="8" s="1"/>
  <c r="AO131" i="8"/>
  <c r="AT131" i="8" s="1"/>
  <c r="AT132" i="8" s="1"/>
  <c r="AT133" i="8" s="1"/>
  <c r="BG131" i="8"/>
  <c r="AN129" i="8"/>
  <c r="BD128" i="8"/>
  <c r="AN128" i="8"/>
  <c r="AR128" i="8" s="1"/>
  <c r="BM145" i="8"/>
  <c r="BI145" i="8"/>
  <c r="BE145" i="8"/>
  <c r="AN145" i="8"/>
  <c r="BC144" i="8"/>
  <c r="BD137" i="8"/>
  <c r="AN137" i="8"/>
  <c r="AR137" i="8" s="1"/>
  <c r="AP136" i="8"/>
  <c r="BB136" i="8"/>
  <c r="BF136" i="8"/>
  <c r="BJ136" i="8"/>
  <c r="AO136" i="8"/>
  <c r="BE136" i="8"/>
  <c r="BI136" i="8"/>
  <c r="BM136" i="8"/>
  <c r="AM135" i="8"/>
  <c r="BB135" i="8"/>
  <c r="BE134" i="8"/>
  <c r="AB134" i="8"/>
  <c r="AO134" i="8"/>
  <c r="AT134" i="8" s="1"/>
  <c r="BG134" i="8"/>
  <c r="BK133" i="8"/>
  <c r="BC133" i="8"/>
  <c r="BF131" i="8"/>
  <c r="AE128" i="8"/>
  <c r="AC125" i="8"/>
  <c r="AE125" i="8" s="1"/>
  <c r="AN124" i="8"/>
  <c r="BD124" i="8"/>
  <c r="AP118" i="8"/>
  <c r="BB118" i="8"/>
  <c r="BF118" i="8"/>
  <c r="BJ118" i="8"/>
  <c r="BE118" i="8"/>
  <c r="BK118" i="8"/>
  <c r="AM118" i="8"/>
  <c r="BG118" i="8"/>
  <c r="BL118" i="8"/>
  <c r="AN112" i="8"/>
  <c r="BD112" i="8"/>
  <c r="BC110" i="8"/>
  <c r="AP110" i="8"/>
  <c r="AV110" i="8" s="1"/>
  <c r="AV111" i="8" s="1"/>
  <c r="AV112" i="8" s="1"/>
  <c r="BI126" i="8"/>
  <c r="AP125" i="8"/>
  <c r="AV125" i="8" s="1"/>
  <c r="BE125" i="8"/>
  <c r="BI125" i="8"/>
  <c r="BM125" i="8"/>
  <c r="AM125" i="8"/>
  <c r="AQ125" i="8" s="1"/>
  <c r="AQ126" i="8" s="1"/>
  <c r="BB125" i="8"/>
  <c r="BF125" i="8"/>
  <c r="BJ125" i="8"/>
  <c r="AM123" i="8"/>
  <c r="AN123" i="8"/>
  <c r="BC123" i="8"/>
  <c r="BG123" i="8"/>
  <c r="BK123" i="8"/>
  <c r="AO123" i="8"/>
  <c r="BD123" i="8"/>
  <c r="BH123" i="8"/>
  <c r="BL123" i="8"/>
  <c r="AO119" i="8"/>
  <c r="AT119" i="8" s="1"/>
  <c r="BD119" i="8"/>
  <c r="BH119" i="8"/>
  <c r="BL119" i="8"/>
  <c r="AN119" i="8"/>
  <c r="AR119" i="8" s="1"/>
  <c r="BB119" i="8"/>
  <c r="BG119" i="8"/>
  <c r="BM119" i="8"/>
  <c r="AP119" i="8"/>
  <c r="AV119" i="8" s="1"/>
  <c r="BC119" i="8"/>
  <c r="BI119" i="8"/>
  <c r="BM118" i="8"/>
  <c r="BC118" i="8"/>
  <c r="AN118" i="8"/>
  <c r="BD114" i="8"/>
  <c r="AN114" i="8"/>
  <c r="BE114" i="8"/>
  <c r="BJ110" i="8"/>
  <c r="AY110" i="8"/>
  <c r="AM127" i="8"/>
  <c r="BC127" i="8"/>
  <c r="BL125" i="8"/>
  <c r="BD125" i="8"/>
  <c r="AO124" i="8"/>
  <c r="BI123" i="8"/>
  <c r="AO122" i="8"/>
  <c r="AT122" i="8" s="1"/>
  <c r="BD122" i="8"/>
  <c r="BH122" i="8"/>
  <c r="BL122" i="8"/>
  <c r="AM122" i="8"/>
  <c r="AQ122" i="8" s="1"/>
  <c r="BF122" i="8"/>
  <c r="BK122" i="8"/>
  <c r="AN122" i="8"/>
  <c r="AR122" i="8" s="1"/>
  <c r="AR123" i="8" s="1"/>
  <c r="BB122" i="8"/>
  <c r="BG122" i="8"/>
  <c r="BM122" i="8"/>
  <c r="AP121" i="8"/>
  <c r="BB121" i="8"/>
  <c r="BF121" i="8"/>
  <c r="BJ121" i="8"/>
  <c r="AO121" i="8"/>
  <c r="BD121" i="8"/>
  <c r="BI121" i="8"/>
  <c r="BE121" i="8"/>
  <c r="BK121" i="8"/>
  <c r="BE120" i="8"/>
  <c r="BJ119" i="8"/>
  <c r="AY119" i="8"/>
  <c r="BI118" i="8"/>
  <c r="BE117" i="8"/>
  <c r="AN117" i="8"/>
  <c r="AR117" i="8" s="1"/>
  <c r="BC113" i="8"/>
  <c r="BH111" i="8"/>
  <c r="AN126" i="8"/>
  <c r="AR126" i="8" s="1"/>
  <c r="AR127" i="8" s="1"/>
  <c r="BC126" i="8"/>
  <c r="BG126" i="8"/>
  <c r="BK126" i="8"/>
  <c r="AO126" i="8"/>
  <c r="AT126" i="8" s="1"/>
  <c r="AT127" i="8" s="1"/>
  <c r="BD126" i="8"/>
  <c r="BH126" i="8"/>
  <c r="BL126" i="8"/>
  <c r="AO110" i="8"/>
  <c r="AT110" i="8" s="1"/>
  <c r="BD110" i="8"/>
  <c r="BH110" i="8"/>
  <c r="BL110" i="8"/>
  <c r="AM110" i="8"/>
  <c r="AQ110" i="8" s="1"/>
  <c r="BF110" i="8"/>
  <c r="BK110" i="8"/>
  <c r="AN110" i="8"/>
  <c r="AR110" i="8" s="1"/>
  <c r="BB110" i="8"/>
  <c r="BG110" i="8"/>
  <c r="BM110" i="8"/>
  <c r="AN127" i="8"/>
  <c r="BD127" i="8"/>
  <c r="BM126" i="8"/>
  <c r="BE126" i="8"/>
  <c r="AP126" i="8"/>
  <c r="BK125" i="8"/>
  <c r="BC125" i="8"/>
  <c r="AM124" i="8"/>
  <c r="BC124" i="8"/>
  <c r="BF123" i="8"/>
  <c r="AC122" i="8"/>
  <c r="AE122" i="8" s="1"/>
  <c r="AB122" i="8"/>
  <c r="AA122" i="8" s="1"/>
  <c r="AM120" i="8"/>
  <c r="AQ120" i="8" s="1"/>
  <c r="AQ121" i="8" s="1"/>
  <c r="BB120" i="8"/>
  <c r="BF120" i="8"/>
  <c r="BJ120" i="8"/>
  <c r="AO120" i="8"/>
  <c r="BG120" i="8"/>
  <c r="BL120" i="8"/>
  <c r="AP120" i="8"/>
  <c r="BC120" i="8"/>
  <c r="BH120" i="8"/>
  <c r="BM120" i="8"/>
  <c r="BF119" i="8"/>
  <c r="BH118" i="8"/>
  <c r="BG114" i="8"/>
  <c r="AB113" i="8"/>
  <c r="AA113" i="8" s="1"/>
  <c r="BF113" i="8"/>
  <c r="AM111" i="8"/>
  <c r="BB111" i="8"/>
  <c r="BF111" i="8"/>
  <c r="BJ111" i="8"/>
  <c r="AN111" i="8"/>
  <c r="BE111" i="8"/>
  <c r="BK111" i="8"/>
  <c r="AO111" i="8"/>
  <c r="BG111" i="8"/>
  <c r="BL111" i="8"/>
  <c r="BE110" i="8"/>
  <c r="AB110" i="8"/>
  <c r="AB119" i="8"/>
  <c r="AA119" i="8" s="1"/>
  <c r="AM117" i="8"/>
  <c r="BB117" i="8"/>
  <c r="BF117" i="8"/>
  <c r="BJ117" i="8"/>
  <c r="AO116" i="8"/>
  <c r="AT116" i="8" s="1"/>
  <c r="BD116" i="8"/>
  <c r="BH116" i="8"/>
  <c r="BL116" i="8"/>
  <c r="AP115" i="8"/>
  <c r="BB115" i="8"/>
  <c r="BF115" i="8"/>
  <c r="BJ115" i="8"/>
  <c r="Y112" i="8"/>
  <c r="Y121" i="8"/>
  <c r="BM117" i="8"/>
  <c r="BH117" i="8"/>
  <c r="BC117" i="8"/>
  <c r="AP117" i="8"/>
  <c r="BI116" i="8"/>
  <c r="BC116" i="8"/>
  <c r="AP116" i="8"/>
  <c r="AV116" i="8" s="1"/>
  <c r="AB116" i="8"/>
  <c r="BL115" i="8"/>
  <c r="BG115" i="8"/>
  <c r="AM115" i="8"/>
  <c r="AM114" i="8"/>
  <c r="BB114" i="8"/>
  <c r="BF114" i="8"/>
  <c r="BJ114" i="8"/>
  <c r="AO113" i="8"/>
  <c r="AT113" i="8" s="1"/>
  <c r="AT114" i="8" s="1"/>
  <c r="AT115" i="8" s="1"/>
  <c r="BD113" i="8"/>
  <c r="BH113" i="8"/>
  <c r="BL113" i="8"/>
  <c r="AP112" i="8"/>
  <c r="BB112" i="8"/>
  <c r="BF112" i="8"/>
  <c r="BJ112" i="8"/>
  <c r="Z81" i="8"/>
  <c r="Y81" i="8"/>
  <c r="Y89" i="8"/>
  <c r="Z89" i="8"/>
  <c r="AN92" i="8"/>
  <c r="BC92" i="8"/>
  <c r="BG92" i="8"/>
  <c r="BK92" i="8"/>
  <c r="AM92" i="8"/>
  <c r="BB92" i="8"/>
  <c r="BF92" i="8"/>
  <c r="BJ92" i="8"/>
  <c r="AO91" i="8"/>
  <c r="AT91" i="8" s="1"/>
  <c r="AB88" i="8"/>
  <c r="BG88" i="8"/>
  <c r="AB85" i="8"/>
  <c r="BG85" i="8"/>
  <c r="Y83" i="8"/>
  <c r="Z83" i="8"/>
  <c r="AN80" i="8"/>
  <c r="BC80" i="8"/>
  <c r="BG80" i="8"/>
  <c r="BK80" i="8"/>
  <c r="BD80" i="8"/>
  <c r="BI80" i="8"/>
  <c r="AM80" i="8"/>
  <c r="BE80" i="8"/>
  <c r="BJ80" i="8"/>
  <c r="AP80" i="8"/>
  <c r="AV80" i="8" s="1"/>
  <c r="AV81" i="8" s="1"/>
  <c r="BB80" i="8"/>
  <c r="BH80" i="8"/>
  <c r="BM80" i="8"/>
  <c r="AR80" i="8"/>
  <c r="Z75" i="8"/>
  <c r="Y75" i="8"/>
  <c r="BF73" i="8"/>
  <c r="BG73" i="8"/>
  <c r="AB73" i="8"/>
  <c r="AO73" i="8"/>
  <c r="AT73" i="8" s="1"/>
  <c r="AT74" i="8" s="1"/>
  <c r="AT75" i="8" s="1"/>
  <c r="AM73" i="8"/>
  <c r="AQ73" i="8" s="1"/>
  <c r="BB73" i="8"/>
  <c r="BM92" i="8"/>
  <c r="BE92" i="8"/>
  <c r="AP92" i="8"/>
  <c r="AV92" i="8" s="1"/>
  <c r="AV93" i="8" s="1"/>
  <c r="BD82" i="8"/>
  <c r="BE82" i="8"/>
  <c r="Z82" i="8"/>
  <c r="Y82" i="8"/>
  <c r="AC82" i="8" s="1"/>
  <c r="AE82" i="8" s="1"/>
  <c r="AO80" i="8"/>
  <c r="BL92" i="8"/>
  <c r="BD92" i="8"/>
  <c r="AO92" i="8"/>
  <c r="AM91" i="8"/>
  <c r="AQ91" i="8" s="1"/>
  <c r="AO88" i="8"/>
  <c r="AT88" i="8" s="1"/>
  <c r="BE84" i="8"/>
  <c r="AN84" i="8"/>
  <c r="BD84" i="8"/>
  <c r="BL80" i="8"/>
  <c r="AN78" i="8"/>
  <c r="BD78" i="8"/>
  <c r="BJ89" i="8"/>
  <c r="BF89" i="8"/>
  <c r="BB89" i="8"/>
  <c r="AM89" i="8"/>
  <c r="Y87" i="8"/>
  <c r="BJ86" i="8"/>
  <c r="BF86" i="8"/>
  <c r="BB86" i="8"/>
  <c r="AM86" i="8"/>
  <c r="AM85" i="8"/>
  <c r="AQ85" i="8" s="1"/>
  <c r="BB85" i="8"/>
  <c r="BF85" i="8"/>
  <c r="BI83" i="8"/>
  <c r="AO79" i="8"/>
  <c r="AT79" i="8" s="1"/>
  <c r="AN77" i="8"/>
  <c r="BC77" i="8"/>
  <c r="BG77" i="8"/>
  <c r="BK77" i="8"/>
  <c r="AM77" i="8"/>
  <c r="BB77" i="8"/>
  <c r="BF77" i="8"/>
  <c r="BJ77" i="8"/>
  <c r="BG76" i="8"/>
  <c r="BD73" i="8"/>
  <c r="Z84" i="8"/>
  <c r="AN83" i="8"/>
  <c r="AR83" i="8" s="1"/>
  <c r="BC83" i="8"/>
  <c r="BG83" i="8"/>
  <c r="BK83" i="8"/>
  <c r="AM79" i="8"/>
  <c r="AQ79" i="8" s="1"/>
  <c r="AQ80" i="8" s="1"/>
  <c r="AQ81" i="8" s="1"/>
  <c r="BB79" i="8"/>
  <c r="Z78" i="8"/>
  <c r="Y78" i="8"/>
  <c r="AM76" i="8"/>
  <c r="AQ76" i="8" s="1"/>
  <c r="AQ77" i="8" s="1"/>
  <c r="AQ78" i="8" s="1"/>
  <c r="BB76" i="8"/>
  <c r="BJ91" i="8"/>
  <c r="BF91" i="8"/>
  <c r="BB91" i="8"/>
  <c r="BK89" i="8"/>
  <c r="BG89" i="8"/>
  <c r="BC89" i="8"/>
  <c r="BJ88" i="8"/>
  <c r="BF88" i="8"/>
  <c r="BB88" i="8"/>
  <c r="BK86" i="8"/>
  <c r="BG86" i="8"/>
  <c r="BC86" i="8"/>
  <c r="BJ85" i="8"/>
  <c r="BE85" i="8"/>
  <c r="AM84" i="8"/>
  <c r="BJ83" i="8"/>
  <c r="BE83" i="8"/>
  <c r="AM83" i="8"/>
  <c r="AM82" i="8"/>
  <c r="AQ82" i="8" s="1"/>
  <c r="BB82" i="8"/>
  <c r="BF82" i="8"/>
  <c r="BJ82" i="8"/>
  <c r="BI77" i="8"/>
  <c r="AN74" i="8"/>
  <c r="AR74" i="8" s="1"/>
  <c r="AR75" i="8" s="1"/>
  <c r="BC74" i="8"/>
  <c r="BG74" i="8"/>
  <c r="BK74" i="8"/>
  <c r="AM74" i="8"/>
  <c r="BB74" i="8"/>
  <c r="BF74" i="8"/>
  <c r="BJ74" i="8"/>
  <c r="BM78" i="8"/>
  <c r="BI78" i="8"/>
  <c r="BE78" i="8"/>
  <c r="BL44" i="8"/>
  <c r="Y71" i="8"/>
  <c r="BL68" i="8"/>
  <c r="BL65" i="8"/>
  <c r="AP60" i="8"/>
  <c r="BL58" i="8"/>
  <c r="BM46" i="8"/>
  <c r="BJ42" i="8"/>
  <c r="AP42" i="8"/>
  <c r="AP69" i="8"/>
  <c r="Z66" i="8"/>
  <c r="Y63" i="8"/>
  <c r="BF62" i="8"/>
  <c r="BC60" i="8"/>
  <c r="BK58" i="8"/>
  <c r="BE58" i="8"/>
  <c r="AB52" i="8"/>
  <c r="BB48" i="8"/>
  <c r="BI46" i="8"/>
  <c r="AN46" i="8"/>
  <c r="AR46" i="8" s="1"/>
  <c r="Y43" i="8"/>
  <c r="BI42" i="8"/>
  <c r="BE42" i="8"/>
  <c r="BM41" i="8"/>
  <c r="BK40" i="8"/>
  <c r="BL72" i="8"/>
  <c r="BF72" i="8"/>
  <c r="BB72" i="8"/>
  <c r="BM68" i="8"/>
  <c r="BE68" i="8"/>
  <c r="AM66" i="8"/>
  <c r="BE65" i="8"/>
  <c r="BM64" i="8"/>
  <c r="AM63" i="8"/>
  <c r="BB62" i="8"/>
  <c r="BM59" i="8"/>
  <c r="BG58" i="8"/>
  <c r="BF54" i="8"/>
  <c r="BG51" i="8"/>
  <c r="BL49" i="8"/>
  <c r="BK48" i="8"/>
  <c r="BG44" i="8"/>
  <c r="BH40" i="8"/>
  <c r="BK70" i="8"/>
  <c r="BF70" i="8"/>
  <c r="BJ69" i="8"/>
  <c r="BF69" i="8"/>
  <c r="BD65" i="8"/>
  <c r="BH64" i="8"/>
  <c r="BE62" i="8"/>
  <c r="BJ60" i="8"/>
  <c r="BL42" i="8"/>
  <c r="BH42" i="8"/>
  <c r="BF42" i="8"/>
  <c r="BC42" i="8"/>
  <c r="BE41" i="8"/>
  <c r="BL40" i="8"/>
  <c r="AP40" i="8"/>
  <c r="AV40" i="8" s="1"/>
  <c r="AV41" i="8" s="1"/>
  <c r="BD72" i="8"/>
  <c r="BE71" i="8"/>
  <c r="BM70" i="8"/>
  <c r="BI70" i="8"/>
  <c r="AP70" i="8"/>
  <c r="AV70" i="8" s="1"/>
  <c r="BM69" i="8"/>
  <c r="BG69" i="8"/>
  <c r="BG67" i="8"/>
  <c r="BL66" i="8"/>
  <c r="BH66" i="8"/>
  <c r="AO65" i="8"/>
  <c r="AP64" i="8"/>
  <c r="AV64" i="8" s="1"/>
  <c r="BK63" i="8"/>
  <c r="BM62" i="8"/>
  <c r="BH62" i="8"/>
  <c r="AP62" i="8"/>
  <c r="AV62" i="8" s="1"/>
  <c r="Y62" i="8"/>
  <c r="BL61" i="8"/>
  <c r="AY61" i="8"/>
  <c r="BM60" i="8"/>
  <c r="BD60" i="8"/>
  <c r="BC58" i="8"/>
  <c r="BB55" i="8"/>
  <c r="AM54" i="8"/>
  <c r="BG50" i="8"/>
  <c r="BM49" i="8"/>
  <c r="BI49" i="8"/>
  <c r="BL48" i="8"/>
  <c r="BF48" i="8"/>
  <c r="AN48" i="8"/>
  <c r="Z48" i="8"/>
  <c r="BI44" i="8"/>
  <c r="BM43" i="8"/>
  <c r="BD70" i="8"/>
  <c r="BB70" i="8"/>
  <c r="AM69" i="8"/>
  <c r="BB69" i="8"/>
  <c r="BJ62" i="8"/>
  <c r="AM62" i="8"/>
  <c r="BH61" i="8"/>
  <c r="AN60" i="8"/>
  <c r="BK49" i="8"/>
  <c r="BD49" i="8"/>
  <c r="BB49" i="8"/>
  <c r="AO41" i="8"/>
  <c r="AT41" i="8" s="1"/>
  <c r="AT42" i="8" s="1"/>
  <c r="AY40" i="8"/>
  <c r="BE40" i="8"/>
  <c r="BH71" i="8"/>
  <c r="BJ70" i="8"/>
  <c r="BD69" i="8"/>
  <c r="BM66" i="8"/>
  <c r="BI66" i="8"/>
  <c r="BG66" i="8"/>
  <c r="BC64" i="8"/>
  <c r="BE64" i="8"/>
  <c r="AO63" i="8"/>
  <c r="BI62" i="8"/>
  <c r="BD62" i="8"/>
  <c r="BM61" i="8"/>
  <c r="AN61" i="8"/>
  <c r="AR61" i="8" s="1"/>
  <c r="BI60" i="8"/>
  <c r="BE60" i="8"/>
  <c r="AP58" i="8"/>
  <c r="AV58" i="8" s="1"/>
  <c r="AV59" i="8" s="1"/>
  <c r="Z54" i="8"/>
  <c r="AP52" i="8"/>
  <c r="AV52" i="8" s="1"/>
  <c r="AN51" i="8"/>
  <c r="BJ49" i="8"/>
  <c r="BE49" i="8"/>
  <c r="BG48" i="8"/>
  <c r="AP48" i="8"/>
  <c r="AB46" i="8"/>
  <c r="AA46" i="8" s="1"/>
  <c r="BB46" i="8"/>
  <c r="BD40" i="8"/>
  <c r="AP56" i="8"/>
  <c r="BI56" i="8"/>
  <c r="AO56" i="8"/>
  <c r="BG56" i="8"/>
  <c r="BK52" i="8"/>
  <c r="AY52" i="8"/>
  <c r="AN42" i="8"/>
  <c r="AO42" i="8"/>
  <c r="AN41" i="8"/>
  <c r="BI41" i="8"/>
  <c r="BF40" i="8"/>
  <c r="AM40" i="8"/>
  <c r="AQ40" i="8" s="1"/>
  <c r="AO72" i="8"/>
  <c r="AP72" i="8"/>
  <c r="BI72" i="8"/>
  <c r="BM72" i="8"/>
  <c r="BE70" i="8"/>
  <c r="AN70" i="8"/>
  <c r="AR70" i="8" s="1"/>
  <c r="AN69" i="8"/>
  <c r="AO69" i="8"/>
  <c r="BH69" i="8"/>
  <c r="BL69" i="8"/>
  <c r="AB67" i="8"/>
  <c r="AA67" i="8" s="1"/>
  <c r="AN66" i="8"/>
  <c r="BE66" i="8"/>
  <c r="AM65" i="8"/>
  <c r="BJ63" i="8"/>
  <c r="Z61" i="8"/>
  <c r="BD59" i="8"/>
  <c r="BL59" i="8"/>
  <c r="BB59" i="8"/>
  <c r="BI59" i="8"/>
  <c r="Y58" i="8"/>
  <c r="AB58" i="8"/>
  <c r="AO58" i="8"/>
  <c r="AT58" i="8" s="1"/>
  <c r="AT59" i="8" s="1"/>
  <c r="BE56" i="8"/>
  <c r="AM55" i="8"/>
  <c r="AQ55" i="8" s="1"/>
  <c r="BI55" i="8"/>
  <c r="BM55" i="8"/>
  <c r="AP55" i="8"/>
  <c r="AV55" i="8" s="1"/>
  <c r="BH55" i="8"/>
  <c r="BL55" i="8"/>
  <c r="BJ54" i="8"/>
  <c r="Z53" i="8"/>
  <c r="BG52" i="8"/>
  <c r="Y49" i="8"/>
  <c r="Z47" i="8"/>
  <c r="Y47" i="8"/>
  <c r="BL46" i="8"/>
  <c r="BD44" i="8"/>
  <c r="AB64" i="8"/>
  <c r="AA64" i="8" s="1"/>
  <c r="AO52" i="8"/>
  <c r="AT52" i="8" s="1"/>
  <c r="BF52" i="8"/>
  <c r="BJ52" i="8"/>
  <c r="AN52" i="8"/>
  <c r="AR52" i="8" s="1"/>
  <c r="BD52" i="8"/>
  <c r="BI52" i="8"/>
  <c r="BM52" i="8"/>
  <c r="AN71" i="8"/>
  <c r="AP71" i="8"/>
  <c r="BF71" i="8"/>
  <c r="BL71" i="8"/>
  <c r="BC69" i="8"/>
  <c r="AN58" i="8"/>
  <c r="AR58" i="8" s="1"/>
  <c r="BD57" i="8"/>
  <c r="AN57" i="8"/>
  <c r="AN56" i="8"/>
  <c r="BC55" i="8"/>
  <c r="AM52" i="8"/>
  <c r="AQ52" i="8" s="1"/>
  <c r="BC51" i="8"/>
  <c r="BB51" i="8"/>
  <c r="BL51" i="8"/>
  <c r="BL45" i="8"/>
  <c r="AN44" i="8"/>
  <c r="BE44" i="8"/>
  <c r="AY43" i="8"/>
  <c r="BK43" i="8"/>
  <c r="BJ43" i="8"/>
  <c r="BD42" i="8"/>
  <c r="Z42" i="8"/>
  <c r="AN40" i="8"/>
  <c r="AR40" i="8" s="1"/>
  <c r="BI40" i="8"/>
  <c r="BM40" i="8"/>
  <c r="BJ71" i="8"/>
  <c r="BB71" i="8"/>
  <c r="AO64" i="8"/>
  <c r="AT64" i="8" s="1"/>
  <c r="BC63" i="8"/>
  <c r="BI63" i="8"/>
  <c r="BM63" i="8"/>
  <c r="AP63" i="8"/>
  <c r="BH63" i="8"/>
  <c r="BL63" i="8"/>
  <c r="BF60" i="8"/>
  <c r="AO60" i="8"/>
  <c r="BG60" i="8"/>
  <c r="BK56" i="8"/>
  <c r="BC54" i="8"/>
  <c r="BH54" i="8"/>
  <c r="BB54" i="8"/>
  <c r="BG54" i="8"/>
  <c r="BL54" i="8"/>
  <c r="BD53" i="8"/>
  <c r="AP53" i="8"/>
  <c r="BM53" i="8"/>
  <c r="BH52" i="8"/>
  <c r="AM51" i="8"/>
  <c r="AP50" i="8"/>
  <c r="AV50" i="8" s="1"/>
  <c r="BE50" i="8"/>
  <c r="BL50" i="8"/>
  <c r="BD50" i="8"/>
  <c r="BK50" i="8"/>
  <c r="AP46" i="8"/>
  <c r="AV46" i="8" s="1"/>
  <c r="AY46" i="8"/>
  <c r="BG46" i="8"/>
  <c r="BK46" i="8"/>
  <c r="AO46" i="8"/>
  <c r="AT46" i="8" s="1"/>
  <c r="BF46" i="8"/>
  <c r="BJ46" i="8"/>
  <c r="AN45" i="8"/>
  <c r="BL43" i="8"/>
  <c r="AN63" i="8"/>
  <c r="AN54" i="8"/>
  <c r="BJ48" i="8"/>
  <c r="BD48" i="8"/>
  <c r="BE46" i="8"/>
  <c r="BK44" i="8"/>
  <c r="Z40" i="8"/>
  <c r="Z72" i="8"/>
  <c r="BD71" i="8"/>
  <c r="BI65" i="8"/>
  <c r="BI64" i="8"/>
  <c r="BB63" i="8"/>
  <c r="BL60" i="8"/>
  <c r="BH60" i="8"/>
  <c r="Z60" i="8"/>
  <c r="BI58" i="8"/>
  <c r="BD58" i="8"/>
  <c r="Y55" i="8"/>
  <c r="BC53" i="8"/>
  <c r="BE52" i="8"/>
  <c r="BC49" i="8"/>
  <c r="AM49" i="8"/>
  <c r="AQ49" i="8" s="1"/>
  <c r="BM47" i="8"/>
  <c r="AM46" i="8"/>
  <c r="AQ46" i="8" s="1"/>
  <c r="AP44" i="8"/>
  <c r="AV44" i="8" s="1"/>
  <c r="AN68" i="8"/>
  <c r="BC68" i="8"/>
  <c r="BG68" i="8"/>
  <c r="BK68" i="8"/>
  <c r="BD68" i="8"/>
  <c r="BI68" i="8"/>
  <c r="AN65" i="8"/>
  <c r="BC65" i="8"/>
  <c r="BG65" i="8"/>
  <c r="BK65" i="8"/>
  <c r="AP65" i="8"/>
  <c r="BB65" i="8"/>
  <c r="BH65" i="8"/>
  <c r="BM65" i="8"/>
  <c r="BD61" i="8"/>
  <c r="Y61" i="8"/>
  <c r="AB61" i="8"/>
  <c r="AA61" i="8" s="1"/>
  <c r="BE55" i="8"/>
  <c r="AN55" i="8"/>
  <c r="AR55" i="8" s="1"/>
  <c r="BD55" i="8"/>
  <c r="Y45" i="8"/>
  <c r="Z45" i="8"/>
  <c r="AO57" i="8"/>
  <c r="BC57" i="8"/>
  <c r="BG57" i="8"/>
  <c r="BK57" i="8"/>
  <c r="AP57" i="8"/>
  <c r="BB57" i="8"/>
  <c r="BF57" i="8"/>
  <c r="BJ57" i="8"/>
  <c r="BE57" i="8"/>
  <c r="BM57" i="8"/>
  <c r="AM47" i="8"/>
  <c r="BB47" i="8"/>
  <c r="BF47" i="8"/>
  <c r="BJ47" i="8"/>
  <c r="AO47" i="8"/>
  <c r="BG47" i="8"/>
  <c r="BL47" i="8"/>
  <c r="AN47" i="8"/>
  <c r="BE47" i="8"/>
  <c r="BK47" i="8"/>
  <c r="AP47" i="8"/>
  <c r="AV47" i="8" s="1"/>
  <c r="BH47" i="8"/>
  <c r="AO45" i="8"/>
  <c r="BE45" i="8"/>
  <c r="BI45" i="8"/>
  <c r="BM45" i="8"/>
  <c r="BF45" i="8"/>
  <c r="BK45" i="8"/>
  <c r="AP45" i="8"/>
  <c r="BD45" i="8"/>
  <c r="BJ45" i="8"/>
  <c r="BH45" i="8"/>
  <c r="AB43" i="8"/>
  <c r="BG43" i="8"/>
  <c r="AO43" i="8"/>
  <c r="AT43" i="8" s="1"/>
  <c r="AT44" i="8" s="1"/>
  <c r="BF43" i="8"/>
  <c r="BB43" i="8"/>
  <c r="AM43" i="8"/>
  <c r="AQ43" i="8" s="1"/>
  <c r="BG72" i="8"/>
  <c r="BC72" i="8"/>
  <c r="AM72" i="8"/>
  <c r="Z71" i="8"/>
  <c r="BG70" i="8"/>
  <c r="BC70" i="8"/>
  <c r="AB70" i="8"/>
  <c r="AA70" i="8" s="1"/>
  <c r="BE69" i="8"/>
  <c r="BJ68" i="8"/>
  <c r="BB68" i="8"/>
  <c r="AO68" i="8"/>
  <c r="BE67" i="8"/>
  <c r="AM67" i="8"/>
  <c r="AQ67" i="8" s="1"/>
  <c r="BB67" i="8"/>
  <c r="BF67" i="8"/>
  <c r="BJ67" i="8"/>
  <c r="AO67" i="8"/>
  <c r="AT67" i="8" s="1"/>
  <c r="BC67" i="8"/>
  <c r="BH67" i="8"/>
  <c r="BM67" i="8"/>
  <c r="AM64" i="8"/>
  <c r="AQ64" i="8" s="1"/>
  <c r="BB64" i="8"/>
  <c r="BF64" i="8"/>
  <c r="BJ64" i="8"/>
  <c r="AN64" i="8"/>
  <c r="AR64" i="8" s="1"/>
  <c r="BG64" i="8"/>
  <c r="BL64" i="8"/>
  <c r="BF63" i="8"/>
  <c r="BG63" i="8"/>
  <c r="Z62" i="8"/>
  <c r="Y59" i="8"/>
  <c r="BL57" i="8"/>
  <c r="AM57" i="8"/>
  <c r="BD47" i="8"/>
  <c r="BC45" i="8"/>
  <c r="AM45" i="8"/>
  <c r="Y44" i="8"/>
  <c r="BE43" i="8"/>
  <c r="AN43" i="8"/>
  <c r="AR43" i="8" s="1"/>
  <c r="BD43" i="8"/>
  <c r="BK71" i="8"/>
  <c r="BG71" i="8"/>
  <c r="BC71" i="8"/>
  <c r="AM70" i="8"/>
  <c r="AQ70" i="8" s="1"/>
  <c r="AQ71" i="8" s="1"/>
  <c r="BH68" i="8"/>
  <c r="AM68" i="8"/>
  <c r="BK67" i="8"/>
  <c r="BD67" i="8"/>
  <c r="Y66" i="8"/>
  <c r="BF66" i="8"/>
  <c r="AO66" i="8"/>
  <c r="BB66" i="8"/>
  <c r="BC66" i="8"/>
  <c r="BF65" i="8"/>
  <c r="BK64" i="8"/>
  <c r="BD64" i="8"/>
  <c r="BG61" i="8"/>
  <c r="AO61" i="8"/>
  <c r="AT61" i="8" s="1"/>
  <c r="AT62" i="8" s="1"/>
  <c r="AM61" i="8"/>
  <c r="AQ61" i="8" s="1"/>
  <c r="AQ62" i="8" s="1"/>
  <c r="AQ63" i="8" s="1"/>
  <c r="BB61" i="8"/>
  <c r="BF61" i="8"/>
  <c r="BJ61" i="8"/>
  <c r="BE61" i="8"/>
  <c r="BK61" i="8"/>
  <c r="Y60" i="8"/>
  <c r="BB60" i="8"/>
  <c r="AM60" i="8"/>
  <c r="AN59" i="8"/>
  <c r="BC59" i="8"/>
  <c r="BG59" i="8"/>
  <c r="BK59" i="8"/>
  <c r="AM59" i="8"/>
  <c r="BE59" i="8"/>
  <c r="BJ59" i="8"/>
  <c r="BI57" i="8"/>
  <c r="AB55" i="8"/>
  <c r="BG55" i="8"/>
  <c r="AO55" i="8"/>
  <c r="AT55" i="8" s="1"/>
  <c r="BF55" i="8"/>
  <c r="AN49" i="8"/>
  <c r="AR49" i="8" s="1"/>
  <c r="AR50" i="8" s="1"/>
  <c r="BC47" i="8"/>
  <c r="BB45" i="8"/>
  <c r="BC43" i="8"/>
  <c r="Y65" i="8"/>
  <c r="Z63" i="8"/>
  <c r="AN62" i="8"/>
  <c r="BC62" i="8"/>
  <c r="BG62" i="8"/>
  <c r="BK62" i="8"/>
  <c r="AM58" i="8"/>
  <c r="AQ58" i="8" s="1"/>
  <c r="BB58" i="8"/>
  <c r="BF58" i="8"/>
  <c r="BJ58" i="8"/>
  <c r="AM53" i="8"/>
  <c r="BB53" i="8"/>
  <c r="BF53" i="8"/>
  <c r="BJ53" i="8"/>
  <c r="AO53" i="8"/>
  <c r="BG53" i="8"/>
  <c r="BL53" i="8"/>
  <c r="AN53" i="8"/>
  <c r="BE53" i="8"/>
  <c r="BK53" i="8"/>
  <c r="Z52" i="8"/>
  <c r="Y52" i="8"/>
  <c r="AO51" i="8"/>
  <c r="BE51" i="8"/>
  <c r="BI51" i="8"/>
  <c r="BM51" i="8"/>
  <c r="BF51" i="8"/>
  <c r="BK51" i="8"/>
  <c r="AP51" i="8"/>
  <c r="BD51" i="8"/>
  <c r="BJ51" i="8"/>
  <c r="AB49" i="8"/>
  <c r="BG49" i="8"/>
  <c r="AO49" i="8"/>
  <c r="AT49" i="8" s="1"/>
  <c r="AT50" i="8" s="1"/>
  <c r="BF49" i="8"/>
  <c r="BM56" i="8"/>
  <c r="BH56" i="8"/>
  <c r="BC56" i="8"/>
  <c r="AO54" i="8"/>
  <c r="BE54" i="8"/>
  <c r="BI54" i="8"/>
  <c r="BM54" i="8"/>
  <c r="BC52" i="8"/>
  <c r="BM50" i="8"/>
  <c r="BH50" i="8"/>
  <c r="BC50" i="8"/>
  <c r="AO48" i="8"/>
  <c r="BE48" i="8"/>
  <c r="BI48" i="8"/>
  <c r="BM48" i="8"/>
  <c r="BC46" i="8"/>
  <c r="BM44" i="8"/>
  <c r="BH44" i="8"/>
  <c r="BC44" i="8"/>
  <c r="AM56" i="8"/>
  <c r="BB56" i="8"/>
  <c r="BF56" i="8"/>
  <c r="BJ56" i="8"/>
  <c r="AM50" i="8"/>
  <c r="BB50" i="8"/>
  <c r="BF50" i="8"/>
  <c r="BJ50" i="8"/>
  <c r="AM44" i="8"/>
  <c r="BB44" i="8"/>
  <c r="BF44" i="8"/>
  <c r="BJ44" i="8"/>
  <c r="Y42" i="8"/>
  <c r="BJ41" i="8"/>
  <c r="BF41" i="8"/>
  <c r="BB41" i="8"/>
  <c r="AM41" i="8"/>
  <c r="BG40" i="8"/>
  <c r="BC40" i="8"/>
  <c r="AB40" i="8"/>
  <c r="BK41" i="8"/>
  <c r="BG41" i="8"/>
  <c r="BC41" i="8"/>
  <c r="BB40" i="8"/>
  <c r="O22" i="3"/>
  <c r="K22" i="3"/>
  <c r="K32" i="3"/>
  <c r="M31" i="3"/>
  <c r="N30" i="3"/>
  <c r="N22" i="3"/>
  <c r="O28" i="3"/>
  <c r="N23" i="3"/>
  <c r="M22" i="3"/>
  <c r="N24" i="3"/>
  <c r="K26" i="3"/>
  <c r="M38" i="3"/>
  <c r="L32" i="3"/>
  <c r="K28" i="3"/>
  <c r="M21" i="3"/>
  <c r="M27" i="3"/>
  <c r="K29" i="3"/>
  <c r="O32" i="3"/>
  <c r="O33" i="3"/>
  <c r="N36" i="3"/>
  <c r="N38" i="3"/>
  <c r="N37" i="3"/>
  <c r="M37" i="3"/>
  <c r="O37" i="3"/>
  <c r="K37" i="3"/>
  <c r="M36" i="3"/>
  <c r="L36" i="3"/>
  <c r="O36" i="3"/>
  <c r="J36" i="3" s="1"/>
  <c r="N34" i="3"/>
  <c r="M34" i="3"/>
  <c r="N33" i="3"/>
  <c r="M33" i="3"/>
  <c r="K33" i="3"/>
  <c r="N32" i="3"/>
  <c r="N28" i="3"/>
  <c r="L28" i="3"/>
  <c r="N29" i="3"/>
  <c r="N26" i="3"/>
  <c r="O26" i="3"/>
  <c r="M26" i="3"/>
  <c r="L35" i="3"/>
  <c r="L31" i="3"/>
  <c r="L27" i="3"/>
  <c r="L38" i="3"/>
  <c r="O35" i="3"/>
  <c r="K35" i="3"/>
  <c r="L34" i="3"/>
  <c r="O31" i="3"/>
  <c r="K31" i="3"/>
  <c r="L30" i="3"/>
  <c r="O27" i="3"/>
  <c r="K27" i="3"/>
  <c r="O38" i="3"/>
  <c r="J38" i="3" s="1"/>
  <c r="O34" i="3"/>
  <c r="J34" i="3" s="1"/>
  <c r="O30" i="3"/>
  <c r="L25" i="3"/>
  <c r="M24" i="3"/>
  <c r="O25" i="3"/>
  <c r="K25" i="3"/>
  <c r="L24" i="3"/>
  <c r="M25" i="3"/>
  <c r="O24" i="3"/>
  <c r="J24" i="3" s="1"/>
  <c r="N21" i="3"/>
  <c r="L21" i="3"/>
  <c r="J21" i="3" s="1"/>
  <c r="O21" i="3"/>
  <c r="D106" i="6"/>
  <c r="D103" i="6"/>
  <c r="D100" i="6"/>
  <c r="D97" i="6"/>
  <c r="D94" i="6"/>
  <c r="C106" i="6"/>
  <c r="C103" i="6"/>
  <c r="C100" i="6"/>
  <c r="C97" i="6"/>
  <c r="C94" i="6"/>
  <c r="AG114" i="8" l="1"/>
  <c r="N112" i="6" s="1"/>
  <c r="M112" i="6"/>
  <c r="X88" i="8"/>
  <c r="AA91" i="8"/>
  <c r="X91" i="8"/>
  <c r="AT89" i="8"/>
  <c r="AT90" i="8" s="1"/>
  <c r="AA88" i="8"/>
  <c r="Y90" i="8"/>
  <c r="AR89" i="8"/>
  <c r="AR90" i="8" s="1"/>
  <c r="AR92" i="8"/>
  <c r="AR93" i="8" s="1"/>
  <c r="Z91" i="8"/>
  <c r="AC92" i="8" s="1"/>
  <c r="AE92" i="8" s="1"/>
  <c r="Z88" i="8"/>
  <c r="AC89" i="8" s="1"/>
  <c r="AE89" i="8" s="1"/>
  <c r="AA194" i="8"/>
  <c r="AA191" i="8"/>
  <c r="AC191" i="8"/>
  <c r="AE191" i="8" s="1"/>
  <c r="AZ191" i="8" s="1"/>
  <c r="AA188" i="8"/>
  <c r="X190" i="8"/>
  <c r="Y188" i="8"/>
  <c r="AC188" i="8" s="1"/>
  <c r="AE188" i="8" s="1"/>
  <c r="AF188" i="8" s="1"/>
  <c r="AG188" i="8" s="1"/>
  <c r="AT189" i="8"/>
  <c r="AT190" i="8" s="1"/>
  <c r="X185" i="8"/>
  <c r="AA185" i="8"/>
  <c r="AT186" i="8"/>
  <c r="AT187" i="8" s="1"/>
  <c r="AR186" i="8"/>
  <c r="AR187" i="8" s="1"/>
  <c r="AA182" i="8"/>
  <c r="X182" i="8"/>
  <c r="AT183" i="8"/>
  <c r="AT184" i="8" s="1"/>
  <c r="AR183" i="8"/>
  <c r="AR184" i="8" s="1"/>
  <c r="AQ183" i="8"/>
  <c r="AC182" i="8"/>
  <c r="AE182" i="8" s="1"/>
  <c r="AF182" i="8" s="1"/>
  <c r="AG182" i="8" s="1"/>
  <c r="AC179" i="8"/>
  <c r="AE179" i="8" s="1"/>
  <c r="AA176" i="8"/>
  <c r="AV175" i="8"/>
  <c r="AA85" i="8"/>
  <c r="Z86" i="8"/>
  <c r="AC86" i="8" s="1"/>
  <c r="AE86" i="8" s="1"/>
  <c r="AV86" i="8"/>
  <c r="AV87" i="8" s="1"/>
  <c r="AC85" i="8"/>
  <c r="AE85" i="8" s="1"/>
  <c r="X80" i="8"/>
  <c r="Z80" i="8"/>
  <c r="AC80" i="8" s="1"/>
  <c r="AE80" i="8" s="1"/>
  <c r="AC79" i="8"/>
  <c r="AE79" i="8" s="1"/>
  <c r="Y79" i="8"/>
  <c r="AA79" i="8"/>
  <c r="Z79" i="8"/>
  <c r="X76" i="8"/>
  <c r="AA76" i="8"/>
  <c r="AA73" i="8"/>
  <c r="Z74" i="8"/>
  <c r="AQ74" i="8"/>
  <c r="AQ75" i="8" s="1"/>
  <c r="AC73" i="8"/>
  <c r="AE73" i="8" s="1"/>
  <c r="X73" i="8"/>
  <c r="Z73" i="8"/>
  <c r="Y171" i="8"/>
  <c r="AC170" i="8" s="1"/>
  <c r="AE170" i="8" s="1"/>
  <c r="X171" i="8"/>
  <c r="AA170" i="8"/>
  <c r="AA167" i="8"/>
  <c r="X168" i="8"/>
  <c r="AC167" i="8"/>
  <c r="AE167" i="8" s="1"/>
  <c r="AF167" i="8" s="1"/>
  <c r="AG167" i="8" s="1"/>
  <c r="AT165" i="8"/>
  <c r="AT166" i="8" s="1"/>
  <c r="X163" i="8"/>
  <c r="AC161" i="8"/>
  <c r="AE161" i="8" s="1"/>
  <c r="AZ161" i="8" s="1"/>
  <c r="X161" i="8"/>
  <c r="AA161" i="8"/>
  <c r="AC158" i="8"/>
  <c r="AE158" i="8" s="1"/>
  <c r="AZ158" i="8" s="1"/>
  <c r="AV160" i="8"/>
  <c r="AQ159" i="8"/>
  <c r="AQ160" i="8" s="1"/>
  <c r="AC155" i="8"/>
  <c r="AE155" i="8" s="1"/>
  <c r="AF155" i="8" s="1"/>
  <c r="AG155" i="8" s="1"/>
  <c r="AV156" i="8"/>
  <c r="AA155" i="8"/>
  <c r="X155" i="8"/>
  <c r="AQ156" i="8"/>
  <c r="AQ157" i="8" s="1"/>
  <c r="Y69" i="8"/>
  <c r="AC67" i="8" s="1"/>
  <c r="AE67" i="8" s="1"/>
  <c r="X69" i="8"/>
  <c r="AV69" i="8"/>
  <c r="X67" i="8"/>
  <c r="Z68" i="8"/>
  <c r="Z70" i="8"/>
  <c r="AT72" i="8"/>
  <c r="AR68" i="8"/>
  <c r="AR69" i="8" s="1"/>
  <c r="Z67" i="8"/>
  <c r="AC68" i="8" s="1"/>
  <c r="AE68" i="8" s="1"/>
  <c r="AR147" i="8"/>
  <c r="AR148" i="8" s="1"/>
  <c r="AQ147" i="8"/>
  <c r="AQ148" i="8" s="1"/>
  <c r="AA146" i="8"/>
  <c r="AR150" i="8"/>
  <c r="AR151" i="8" s="1"/>
  <c r="AC143" i="8"/>
  <c r="AE143" i="8" s="1"/>
  <c r="AF143" i="8" s="1"/>
  <c r="AG143" i="8" s="1"/>
  <c r="AC140" i="8"/>
  <c r="AE140" i="8" s="1"/>
  <c r="AZ140" i="8" s="1"/>
  <c r="AA140" i="8"/>
  <c r="AQ141" i="8"/>
  <c r="AQ142" i="8" s="1"/>
  <c r="AR144" i="8"/>
  <c r="AR145" i="8" s="1"/>
  <c r="AA143" i="8"/>
  <c r="AC149" i="8"/>
  <c r="AE149" i="8" s="1"/>
  <c r="AF149" i="8" s="1"/>
  <c r="AG149" i="8" s="1"/>
  <c r="X139" i="8"/>
  <c r="X64" i="8"/>
  <c r="Y64" i="8"/>
  <c r="AC64" i="8" s="1"/>
  <c r="AE64" i="8" s="1"/>
  <c r="AC65" i="8"/>
  <c r="AE65" i="8" s="1"/>
  <c r="AA58" i="8"/>
  <c r="AQ138" i="8"/>
  <c r="AQ139" i="8" s="1"/>
  <c r="AC137" i="8"/>
  <c r="AE137" i="8" s="1"/>
  <c r="AF137" i="8" s="1"/>
  <c r="AG137" i="8" s="1"/>
  <c r="AA137" i="8"/>
  <c r="AA134" i="8"/>
  <c r="AC134" i="8"/>
  <c r="AE134" i="8" s="1"/>
  <c r="AF134" i="8" s="1"/>
  <c r="AG134" i="8" s="1"/>
  <c r="Z55" i="8"/>
  <c r="X55" i="8"/>
  <c r="AA55" i="8"/>
  <c r="X56" i="8"/>
  <c r="X57" i="8"/>
  <c r="Z56" i="8"/>
  <c r="AR56" i="8"/>
  <c r="AR57" i="8" s="1"/>
  <c r="AS57" i="8" s="1"/>
  <c r="AQ56" i="8"/>
  <c r="AQ57" i="8" s="1"/>
  <c r="Z57" i="8"/>
  <c r="AA52" i="8"/>
  <c r="X50" i="8"/>
  <c r="Z51" i="8"/>
  <c r="X51" i="8"/>
  <c r="AA49" i="8"/>
  <c r="Y50" i="8"/>
  <c r="AC49" i="8" s="1"/>
  <c r="AE49" i="8" s="1"/>
  <c r="X49" i="8"/>
  <c r="Y46" i="8"/>
  <c r="AC46" i="8" s="1"/>
  <c r="AE46" i="8" s="1"/>
  <c r="AA43" i="8"/>
  <c r="X41" i="8"/>
  <c r="AR41" i="8"/>
  <c r="AR42" i="8" s="1"/>
  <c r="AA40" i="8"/>
  <c r="Z41" i="8"/>
  <c r="AC40" i="8"/>
  <c r="AE40" i="8" s="1"/>
  <c r="X119" i="8"/>
  <c r="AC119" i="8"/>
  <c r="AE119" i="8" s="1"/>
  <c r="AZ119" i="8" s="1"/>
  <c r="AT117" i="8"/>
  <c r="AT118" i="8" s="1"/>
  <c r="AC116" i="8"/>
  <c r="AE116" i="8" s="1"/>
  <c r="AZ116" i="8" s="1"/>
  <c r="AA116" i="8"/>
  <c r="AQ117" i="8"/>
  <c r="AQ118" i="8" s="1"/>
  <c r="AV115" i="8"/>
  <c r="X110" i="8"/>
  <c r="AA110" i="8"/>
  <c r="AC110" i="8"/>
  <c r="AE110" i="8" s="1"/>
  <c r="AF110" i="8" s="1"/>
  <c r="AG110" i="8" s="1"/>
  <c r="AR192" i="8"/>
  <c r="AR193" i="8" s="1"/>
  <c r="AQ184" i="8"/>
  <c r="AV183" i="8"/>
  <c r="AV184" i="8" s="1"/>
  <c r="AT180" i="8"/>
  <c r="AT181" i="8" s="1"/>
  <c r="AV180" i="8"/>
  <c r="AV181" i="8" s="1"/>
  <c r="AT168" i="8"/>
  <c r="AQ168" i="8"/>
  <c r="AQ169" i="8" s="1"/>
  <c r="AS169" i="8" s="1"/>
  <c r="AV165" i="8"/>
  <c r="AV166" i="8" s="1"/>
  <c r="AQ165" i="8"/>
  <c r="AQ166" i="8" s="1"/>
  <c r="AQ163" i="8"/>
  <c r="AT162" i="8"/>
  <c r="AT163" i="8" s="1"/>
  <c r="AT159" i="8"/>
  <c r="AT160" i="8" s="1"/>
  <c r="AT156" i="8"/>
  <c r="AT157" i="8" s="1"/>
  <c r="AV157" i="8"/>
  <c r="AV154" i="8"/>
  <c r="AT151" i="8"/>
  <c r="AT148" i="8"/>
  <c r="AR138" i="8"/>
  <c r="AR139" i="8" s="1"/>
  <c r="AV139" i="8"/>
  <c r="AT135" i="8"/>
  <c r="AT136" i="8" s="1"/>
  <c r="AV136" i="8"/>
  <c r="AR135" i="8"/>
  <c r="AR136" i="8" s="1"/>
  <c r="AQ135" i="8"/>
  <c r="AQ136" i="8" s="1"/>
  <c r="AC131" i="8"/>
  <c r="AE131" i="8" s="1"/>
  <c r="AZ131" i="8" s="1"/>
  <c r="AQ129" i="8"/>
  <c r="AQ130" i="8" s="1"/>
  <c r="AZ113" i="8"/>
  <c r="Y93" i="8"/>
  <c r="AQ89" i="8"/>
  <c r="AQ90" i="8" s="1"/>
  <c r="AR77" i="8"/>
  <c r="AR78" i="8" s="1"/>
  <c r="AS78" i="8" s="1"/>
  <c r="AU78" i="8" s="1"/>
  <c r="AW78" i="8" s="1"/>
  <c r="AX76" i="8" s="1"/>
  <c r="Y76" i="8"/>
  <c r="AC76" i="8" s="1"/>
  <c r="AE76" i="8" s="1"/>
  <c r="AV65" i="8"/>
  <c r="AV66" i="8" s="1"/>
  <c r="AV51" i="8"/>
  <c r="AV48" i="8"/>
  <c r="J22" i="3"/>
  <c r="J29" i="3"/>
  <c r="J30" i="3"/>
  <c r="J26" i="3"/>
  <c r="J23" i="3"/>
  <c r="AV63" i="8"/>
  <c r="AT80" i="8"/>
  <c r="AT81" i="8" s="1"/>
  <c r="AC91" i="8"/>
  <c r="AE91" i="8" s="1"/>
  <c r="AR81" i="8"/>
  <c r="AS81" i="8" s="1"/>
  <c r="AR124" i="8"/>
  <c r="AR120" i="8"/>
  <c r="AR121" i="8" s="1"/>
  <c r="AS121" i="8" s="1"/>
  <c r="AT120" i="8"/>
  <c r="AR162" i="8"/>
  <c r="AR163" i="8" s="1"/>
  <c r="AR166" i="8"/>
  <c r="AQ180" i="8"/>
  <c r="AQ181" i="8" s="1"/>
  <c r="AS181" i="8" s="1"/>
  <c r="AQ153" i="8"/>
  <c r="AQ154" i="8" s="1"/>
  <c r="AS154" i="8" s="1"/>
  <c r="AR190" i="8"/>
  <c r="AQ193" i="8"/>
  <c r="AR62" i="8"/>
  <c r="AR63" i="8" s="1"/>
  <c r="AS63" i="8" s="1"/>
  <c r="AR51" i="8"/>
  <c r="AR59" i="8"/>
  <c r="AR60" i="8" s="1"/>
  <c r="AC61" i="8"/>
  <c r="AE61" i="8" s="1"/>
  <c r="AC77" i="8"/>
  <c r="AE77" i="8" s="1"/>
  <c r="AQ86" i="8"/>
  <c r="AQ87" i="8" s="1"/>
  <c r="AS87" i="8" s="1"/>
  <c r="AU87" i="8" s="1"/>
  <c r="AW87" i="8" s="1"/>
  <c r="AX85" i="8" s="1"/>
  <c r="AV117" i="8"/>
  <c r="AV118" i="8" s="1"/>
  <c r="AV126" i="8"/>
  <c r="AV127" i="8" s="1"/>
  <c r="AT141" i="8"/>
  <c r="AT142" i="8" s="1"/>
  <c r="AT144" i="8"/>
  <c r="AT145" i="8" s="1"/>
  <c r="AV142" i="8"/>
  <c r="AR159" i="8"/>
  <c r="AR160" i="8" s="1"/>
  <c r="AQ189" i="8"/>
  <c r="AQ190" i="8" s="1"/>
  <c r="AV124" i="8"/>
  <c r="AC152" i="8"/>
  <c r="AE152" i="8" s="1"/>
  <c r="AZ152" i="8" s="1"/>
  <c r="AQ151" i="8"/>
  <c r="AT196" i="8"/>
  <c r="AQ47" i="8"/>
  <c r="AQ48" i="8" s="1"/>
  <c r="AR129" i="8"/>
  <c r="AR130" i="8" s="1"/>
  <c r="AS130" i="8" s="1"/>
  <c r="AQ144" i="8"/>
  <c r="AQ145" i="8" s="1"/>
  <c r="AV169" i="8"/>
  <c r="AV172" i="8"/>
  <c r="AR178" i="8"/>
  <c r="AS178" i="8" s="1"/>
  <c r="AU178" i="8" s="1"/>
  <c r="AW178" i="8" s="1"/>
  <c r="AX176" i="8" s="1"/>
  <c r="AF173" i="8"/>
  <c r="AG173" i="8" s="1"/>
  <c r="AZ173" i="8"/>
  <c r="AF176" i="8"/>
  <c r="AG176" i="8" s="1"/>
  <c r="AZ176" i="8"/>
  <c r="AF179" i="8"/>
  <c r="AG179" i="8" s="1"/>
  <c r="AZ179" i="8"/>
  <c r="AF164" i="8"/>
  <c r="AG164" i="8" s="1"/>
  <c r="AZ164" i="8"/>
  <c r="AF161" i="8"/>
  <c r="AG161" i="8" s="1"/>
  <c r="AF158" i="8"/>
  <c r="AG158" i="8" s="1"/>
  <c r="AQ171" i="8"/>
  <c r="AQ172" i="8" s="1"/>
  <c r="AS172" i="8" s="1"/>
  <c r="AQ174" i="8"/>
  <c r="AQ175" i="8" s="1"/>
  <c r="AT192" i="8"/>
  <c r="AT193" i="8" s="1"/>
  <c r="AT169" i="8"/>
  <c r="AR156" i="8"/>
  <c r="AR157" i="8" s="1"/>
  <c r="AT153" i="8"/>
  <c r="AT154" i="8" s="1"/>
  <c r="AV189" i="8"/>
  <c r="AV190" i="8" s="1"/>
  <c r="AS196" i="8"/>
  <c r="AF194" i="8"/>
  <c r="AG194" i="8" s="1"/>
  <c r="AZ194" i="8"/>
  <c r="AR174" i="8"/>
  <c r="AR175" i="8" s="1"/>
  <c r="AT171" i="8"/>
  <c r="AT172" i="8" s="1"/>
  <c r="AT174" i="8"/>
  <c r="AT175" i="8" s="1"/>
  <c r="AF185" i="8"/>
  <c r="AG185" i="8" s="1"/>
  <c r="AZ185" i="8"/>
  <c r="AQ187" i="8"/>
  <c r="AF146" i="8"/>
  <c r="AG146" i="8" s="1"/>
  <c r="AZ146" i="8"/>
  <c r="AZ143" i="8"/>
  <c r="AF128" i="8"/>
  <c r="AG128" i="8" s="1"/>
  <c r="AZ128" i="8"/>
  <c r="AT129" i="8"/>
  <c r="AT130" i="8" s="1"/>
  <c r="AR132" i="8"/>
  <c r="AR133" i="8" s="1"/>
  <c r="AS133" i="8" s="1"/>
  <c r="AU133" i="8" s="1"/>
  <c r="AW133" i="8" s="1"/>
  <c r="AX131" i="8" s="1"/>
  <c r="AR141" i="8"/>
  <c r="AR142" i="8" s="1"/>
  <c r="AT138" i="8"/>
  <c r="AT139" i="8" s="1"/>
  <c r="AU127" i="8"/>
  <c r="AF122" i="8"/>
  <c r="AG122" i="8" s="1"/>
  <c r="AZ122" i="8"/>
  <c r="AV120" i="8"/>
  <c r="AV121" i="8" s="1"/>
  <c r="AT121" i="8"/>
  <c r="AR118" i="8"/>
  <c r="AQ115" i="8"/>
  <c r="AS115" i="8" s="1"/>
  <c r="AU115" i="8" s="1"/>
  <c r="AF116" i="8"/>
  <c r="AG116" i="8" s="1"/>
  <c r="AQ111" i="8"/>
  <c r="AQ112" i="8" s="1"/>
  <c r="AT111" i="8"/>
  <c r="AT112" i="8" s="1"/>
  <c r="AQ127" i="8"/>
  <c r="AS127" i="8" s="1"/>
  <c r="AW127" i="8"/>
  <c r="AX125" i="8" s="1"/>
  <c r="AZ125" i="8"/>
  <c r="AF125" i="8"/>
  <c r="AG125" i="8" s="1"/>
  <c r="AR111" i="8"/>
  <c r="AR112" i="8" s="1"/>
  <c r="AQ123" i="8"/>
  <c r="AQ124" i="8" s="1"/>
  <c r="AT123" i="8"/>
  <c r="AT124" i="8" s="1"/>
  <c r="AT92" i="8"/>
  <c r="AT93" i="8" s="1"/>
  <c r="AC88" i="8"/>
  <c r="AE88" i="8" s="1"/>
  <c r="AC83" i="8"/>
  <c r="AE83" i="8" s="1"/>
  <c r="AS75" i="8"/>
  <c r="AU75" i="8" s="1"/>
  <c r="AW75" i="8" s="1"/>
  <c r="AX73" i="8" s="1"/>
  <c r="AC74" i="8"/>
  <c r="AE74" i="8" s="1"/>
  <c r="AR84" i="8"/>
  <c r="AQ83" i="8"/>
  <c r="AQ84" i="8" s="1"/>
  <c r="AQ92" i="8"/>
  <c r="AQ93" i="8" s="1"/>
  <c r="AQ53" i="8"/>
  <c r="AQ54" i="8" s="1"/>
  <c r="AV60" i="8"/>
  <c r="AQ41" i="8"/>
  <c r="AQ42" i="8" s="1"/>
  <c r="AV71" i="8"/>
  <c r="AV72" i="8" s="1"/>
  <c r="AV42" i="8"/>
  <c r="AC41" i="8"/>
  <c r="AE41" i="8" s="1"/>
  <c r="AT56" i="8"/>
  <c r="AT57" i="8" s="1"/>
  <c r="AR47" i="8"/>
  <c r="AR48" i="8" s="1"/>
  <c r="AQ50" i="8"/>
  <c r="AQ51" i="8" s="1"/>
  <c r="AQ65" i="8"/>
  <c r="AQ66" i="8" s="1"/>
  <c r="AT47" i="8"/>
  <c r="AT48" i="8" s="1"/>
  <c r="AV53" i="8"/>
  <c r="AV54" i="8" s="1"/>
  <c r="AV45" i="8"/>
  <c r="AR53" i="8"/>
  <c r="AR54" i="8" s="1"/>
  <c r="AT63" i="8"/>
  <c r="AC55" i="8"/>
  <c r="AE55" i="8" s="1"/>
  <c r="AC59" i="8"/>
  <c r="AE59" i="8" s="1"/>
  <c r="AC71" i="8"/>
  <c r="AE71" i="8" s="1"/>
  <c r="AZ70" i="8" s="1"/>
  <c r="AT65" i="8"/>
  <c r="AT66" i="8" s="1"/>
  <c r="AT53" i="8"/>
  <c r="AT54" i="8" s="1"/>
  <c r="AV56" i="8"/>
  <c r="AV57" i="8" s="1"/>
  <c r="AC53" i="8"/>
  <c r="AE53" i="8" s="1"/>
  <c r="AC44" i="8"/>
  <c r="AE44" i="8" s="1"/>
  <c r="AC43" i="8"/>
  <c r="AE43" i="8" s="1"/>
  <c r="AQ68" i="8"/>
  <c r="AQ69" i="8" s="1"/>
  <c r="AR71" i="8"/>
  <c r="AR72" i="8" s="1"/>
  <c r="AR44" i="8"/>
  <c r="AR45" i="8" s="1"/>
  <c r="AC58" i="8"/>
  <c r="AE58" i="8" s="1"/>
  <c r="AT60" i="8"/>
  <c r="AC47" i="8"/>
  <c r="AE47" i="8" s="1"/>
  <c r="AC62" i="8"/>
  <c r="AE62" i="8" s="1"/>
  <c r="AZ61" i="8" s="1"/>
  <c r="AC56" i="8"/>
  <c r="AE56" i="8" s="1"/>
  <c r="AQ59" i="8"/>
  <c r="AQ60" i="8" s="1"/>
  <c r="AC50" i="8"/>
  <c r="AE50" i="8" s="1"/>
  <c r="AT51" i="8"/>
  <c r="AC52" i="8"/>
  <c r="AE52" i="8" s="1"/>
  <c r="AQ44" i="8"/>
  <c r="AQ45" i="8" s="1"/>
  <c r="AQ72" i="8"/>
  <c r="AR65" i="8"/>
  <c r="AR66" i="8" s="1"/>
  <c r="AT68" i="8"/>
  <c r="AT69" i="8" s="1"/>
  <c r="AT45" i="8"/>
  <c r="J32" i="3"/>
  <c r="J27" i="3"/>
  <c r="J28" i="3"/>
  <c r="J25" i="3"/>
  <c r="J31" i="3"/>
  <c r="J33" i="3"/>
  <c r="J35" i="3"/>
  <c r="J37" i="3"/>
  <c r="N10" i="11"/>
  <c r="N11" i="11"/>
  <c r="N12" i="11"/>
  <c r="N13" i="11"/>
  <c r="N14" i="11"/>
  <c r="N16" i="11"/>
  <c r="N17" i="11"/>
  <c r="N18" i="11"/>
  <c r="G11" i="12" l="1"/>
  <c r="G17" i="12"/>
  <c r="G10" i="12"/>
  <c r="G13" i="12"/>
  <c r="G16" i="12"/>
  <c r="G14" i="12"/>
  <c r="AG195" i="8"/>
  <c r="N193" i="6" s="1"/>
  <c r="M193" i="6"/>
  <c r="AG189" i="8"/>
  <c r="N187" i="6" s="1"/>
  <c r="M187" i="6"/>
  <c r="AG186" i="8"/>
  <c r="N184" i="6" s="1"/>
  <c r="M184" i="6"/>
  <c r="AG183" i="8"/>
  <c r="N181" i="6" s="1"/>
  <c r="M181" i="6"/>
  <c r="AG180" i="8"/>
  <c r="N178" i="6" s="1"/>
  <c r="M178" i="6"/>
  <c r="AG177" i="8"/>
  <c r="N175" i="6" s="1"/>
  <c r="M175" i="6"/>
  <c r="AG174" i="8"/>
  <c r="N172" i="6" s="1"/>
  <c r="M172" i="6"/>
  <c r="AG168" i="8"/>
  <c r="N166" i="6" s="1"/>
  <c r="M166" i="6"/>
  <c r="AG165" i="8"/>
  <c r="N163" i="6" s="1"/>
  <c r="M163" i="6"/>
  <c r="AG162" i="8"/>
  <c r="N160" i="6" s="1"/>
  <c r="M160" i="6"/>
  <c r="AG159" i="8"/>
  <c r="N157" i="6" s="1"/>
  <c r="M157" i="6"/>
  <c r="AG156" i="8"/>
  <c r="N154" i="6" s="1"/>
  <c r="M154" i="6"/>
  <c r="AG150" i="8"/>
  <c r="N148" i="6" s="1"/>
  <c r="M148" i="6"/>
  <c r="AG147" i="8"/>
  <c r="N145" i="6" s="1"/>
  <c r="M145" i="6"/>
  <c r="AG144" i="8"/>
  <c r="N142" i="6" s="1"/>
  <c r="M142" i="6"/>
  <c r="AF140" i="8"/>
  <c r="AG140" i="8" s="1"/>
  <c r="AG138" i="8"/>
  <c r="N136" i="6" s="1"/>
  <c r="M136" i="6"/>
  <c r="AG135" i="8"/>
  <c r="N133" i="6" s="1"/>
  <c r="M133" i="6"/>
  <c r="AG129" i="8"/>
  <c r="N127" i="6" s="1"/>
  <c r="M127" i="6"/>
  <c r="AG126" i="8"/>
  <c r="N124" i="6" s="1"/>
  <c r="M124" i="6"/>
  <c r="AG123" i="8"/>
  <c r="N121" i="6" s="1"/>
  <c r="M121" i="6"/>
  <c r="AF119" i="8"/>
  <c r="AG119" i="8" s="1"/>
  <c r="AG117" i="8"/>
  <c r="N115" i="6" s="1"/>
  <c r="M115" i="6"/>
  <c r="AG111" i="8"/>
  <c r="N109" i="6" s="1"/>
  <c r="M109" i="6"/>
  <c r="AZ79" i="8"/>
  <c r="AS90" i="8"/>
  <c r="AU90" i="8" s="1"/>
  <c r="AW90" i="8" s="1"/>
  <c r="AX88" i="8" s="1"/>
  <c r="AS93" i="8"/>
  <c r="AU93" i="8" s="1"/>
  <c r="AW93" i="8" s="1"/>
  <c r="AX91" i="8" s="1"/>
  <c r="AU196" i="8"/>
  <c r="AW196" i="8" s="1"/>
  <c r="AX194" i="8" s="1"/>
  <c r="BA194" i="8" s="1"/>
  <c r="O193" i="6" s="1"/>
  <c r="AF191" i="8"/>
  <c r="AG191" i="8" s="1"/>
  <c r="AS193" i="8"/>
  <c r="AS190" i="8"/>
  <c r="AU190" i="8" s="1"/>
  <c r="AW190" i="8" s="1"/>
  <c r="AX188" i="8" s="1"/>
  <c r="AZ188" i="8"/>
  <c r="AS184" i="8"/>
  <c r="AU184" i="8" s="1"/>
  <c r="AW184" i="8" s="1"/>
  <c r="AX182" i="8" s="1"/>
  <c r="AZ182" i="8"/>
  <c r="AU181" i="8"/>
  <c r="AW181" i="8" s="1"/>
  <c r="AX179" i="8" s="1"/>
  <c r="BA179" i="8" s="1"/>
  <c r="O178" i="6" s="1"/>
  <c r="BA176" i="8"/>
  <c r="O175" i="6" s="1"/>
  <c r="AF85" i="8"/>
  <c r="AJ86" i="8" s="1"/>
  <c r="AZ85" i="8"/>
  <c r="BA85" i="8" s="1"/>
  <c r="O84" i="6" s="1"/>
  <c r="AU81" i="8"/>
  <c r="AW81" i="8" s="1"/>
  <c r="AX79" i="8" s="1"/>
  <c r="AF79" i="8"/>
  <c r="AK79" i="8" s="1"/>
  <c r="AF76" i="8"/>
  <c r="AJ77" i="8" s="1"/>
  <c r="AF170" i="8"/>
  <c r="AG170" i="8" s="1"/>
  <c r="AZ170" i="8"/>
  <c r="AZ167" i="8"/>
  <c r="AS166" i="8"/>
  <c r="AU166" i="8" s="1"/>
  <c r="AW166" i="8" s="1"/>
  <c r="AX164" i="8" s="1"/>
  <c r="BA164" i="8" s="1"/>
  <c r="O163" i="6" s="1"/>
  <c r="AS160" i="8"/>
  <c r="AS157" i="8"/>
  <c r="AU157" i="8" s="1"/>
  <c r="AW157" i="8" s="1"/>
  <c r="AX155" i="8" s="1"/>
  <c r="AZ155" i="8"/>
  <c r="AS69" i="8"/>
  <c r="AU69" i="8" s="1"/>
  <c r="AW69" i="8" s="1"/>
  <c r="AX67" i="8" s="1"/>
  <c r="AZ67" i="8"/>
  <c r="AF67" i="8"/>
  <c r="AI67" i="8" s="1"/>
  <c r="AS148" i="8"/>
  <c r="AU148" i="8" s="1"/>
  <c r="AW148" i="8" s="1"/>
  <c r="AX146" i="8" s="1"/>
  <c r="BA146" i="8" s="1"/>
  <c r="O145" i="6" s="1"/>
  <c r="AS151" i="8"/>
  <c r="AU151" i="8" s="1"/>
  <c r="AW151" i="8" s="1"/>
  <c r="AX149" i="8" s="1"/>
  <c r="AS142" i="8"/>
  <c r="AU142" i="8" s="1"/>
  <c r="AW142" i="8" s="1"/>
  <c r="AX140" i="8" s="1"/>
  <c r="BA140" i="8" s="1"/>
  <c r="O139" i="6" s="1"/>
  <c r="AS145" i="8"/>
  <c r="AZ149" i="8"/>
  <c r="AZ137" i="8"/>
  <c r="AZ64" i="8"/>
  <c r="AZ58" i="8"/>
  <c r="AZ134" i="8"/>
  <c r="AS136" i="8"/>
  <c r="AU136" i="8" s="1"/>
  <c r="AW136" i="8" s="1"/>
  <c r="AX134" i="8" s="1"/>
  <c r="AF131" i="8"/>
  <c r="AG131" i="8" s="1"/>
  <c r="AS45" i="8"/>
  <c r="AU45" i="8" s="1"/>
  <c r="AW45" i="8" s="1"/>
  <c r="AX43" i="8" s="1"/>
  <c r="AS42" i="8"/>
  <c r="AU42" i="8" s="1"/>
  <c r="AZ40" i="8"/>
  <c r="AU121" i="8"/>
  <c r="AW121" i="8" s="1"/>
  <c r="AX119" i="8" s="1"/>
  <c r="BA119" i="8" s="1"/>
  <c r="O118" i="6" s="1"/>
  <c r="AS118" i="8"/>
  <c r="AU118" i="8" s="1"/>
  <c r="AW118" i="8" s="1"/>
  <c r="AX116" i="8" s="1"/>
  <c r="BA116" i="8" s="1"/>
  <c r="O115" i="6" s="1"/>
  <c r="AW115" i="8"/>
  <c r="AX113" i="8" s="1"/>
  <c r="BA113" i="8" s="1"/>
  <c r="O112" i="6" s="1"/>
  <c r="AZ110" i="8"/>
  <c r="AS187" i="8"/>
  <c r="AU187" i="8" s="1"/>
  <c r="AW187" i="8" s="1"/>
  <c r="AX185" i="8" s="1"/>
  <c r="BA185" i="8" s="1"/>
  <c r="O184" i="6" s="1"/>
  <c r="AU169" i="8"/>
  <c r="AW169" i="8" s="1"/>
  <c r="AX167" i="8" s="1"/>
  <c r="AS163" i="8"/>
  <c r="AU163" i="8" s="1"/>
  <c r="AW163" i="8" s="1"/>
  <c r="AX161" i="8" s="1"/>
  <c r="BA161" i="8" s="1"/>
  <c r="O160" i="6" s="1"/>
  <c r="AU154" i="8"/>
  <c r="AW154" i="8" s="1"/>
  <c r="AX152" i="8" s="1"/>
  <c r="BA152" i="8" s="1"/>
  <c r="O151" i="6" s="1"/>
  <c r="AF152" i="8"/>
  <c r="AG152" i="8" s="1"/>
  <c r="AS139" i="8"/>
  <c r="AU139" i="8" s="1"/>
  <c r="AW139" i="8" s="1"/>
  <c r="AX137" i="8" s="1"/>
  <c r="BA131" i="8"/>
  <c r="O130" i="6" s="1"/>
  <c r="AS124" i="8"/>
  <c r="AU124" i="8" s="1"/>
  <c r="AW124" i="8" s="1"/>
  <c r="AX122" i="8" s="1"/>
  <c r="BA122" i="8" s="1"/>
  <c r="O121" i="6" s="1"/>
  <c r="AU63" i="8"/>
  <c r="AW63" i="8" s="1"/>
  <c r="AX61" i="8" s="1"/>
  <c r="BA61" i="8" s="1"/>
  <c r="O60" i="6" s="1"/>
  <c r="AS54" i="8"/>
  <c r="AU54" i="8" s="1"/>
  <c r="AW54" i="8" s="1"/>
  <c r="AX52" i="8" s="1"/>
  <c r="AS51" i="8"/>
  <c r="AU51" i="8" s="1"/>
  <c r="AW51" i="8" s="1"/>
  <c r="AX49" i="8" s="1"/>
  <c r="AZ46" i="8"/>
  <c r="AS48" i="8"/>
  <c r="AU48" i="8" s="1"/>
  <c r="AW48" i="8" s="1"/>
  <c r="AX46" i="8" s="1"/>
  <c r="AF43" i="8"/>
  <c r="AK43" i="8" s="1"/>
  <c r="BA125" i="8"/>
  <c r="O124" i="6" s="1"/>
  <c r="AF40" i="8"/>
  <c r="AI40" i="8" s="1"/>
  <c r="AU160" i="8"/>
  <c r="AW160" i="8" s="1"/>
  <c r="AX158" i="8" s="1"/>
  <c r="BA158" i="8" s="1"/>
  <c r="O157" i="6" s="1"/>
  <c r="AZ55" i="8"/>
  <c r="AW42" i="8"/>
  <c r="AX40" i="8" s="1"/>
  <c r="AZ88" i="8"/>
  <c r="AU172" i="8"/>
  <c r="AW172" i="8" s="1"/>
  <c r="AX170" i="8" s="1"/>
  <c r="AZ76" i="8"/>
  <c r="BA76" i="8" s="1"/>
  <c r="O75" i="6" s="1"/>
  <c r="AS60" i="8"/>
  <c r="AU60" i="8" s="1"/>
  <c r="AW60" i="8" s="1"/>
  <c r="AX58" i="8" s="1"/>
  <c r="AS66" i="8"/>
  <c r="AU66" i="8" s="1"/>
  <c r="AW66" i="8" s="1"/>
  <c r="AX64" i="8" s="1"/>
  <c r="AS112" i="8"/>
  <c r="AU112" i="8" s="1"/>
  <c r="AW112" i="8" s="1"/>
  <c r="AX110" i="8" s="1"/>
  <c r="AU130" i="8"/>
  <c r="AW130" i="8" s="1"/>
  <c r="AX128" i="8" s="1"/>
  <c r="AS175" i="8"/>
  <c r="AU175" i="8" s="1"/>
  <c r="AW175" i="8" s="1"/>
  <c r="AX173" i="8" s="1"/>
  <c r="BA173" i="8" s="1"/>
  <c r="O172" i="6" s="1"/>
  <c r="AU193" i="8"/>
  <c r="AW193" i="8" s="1"/>
  <c r="AX191" i="8" s="1"/>
  <c r="BA191" i="8" s="1"/>
  <c r="O190" i="6" s="1"/>
  <c r="BA128" i="8"/>
  <c r="O127" i="6" s="1"/>
  <c r="AU145" i="8"/>
  <c r="AW145" i="8" s="1"/>
  <c r="AX143" i="8" s="1"/>
  <c r="BA143" i="8" s="1"/>
  <c r="O142" i="6" s="1"/>
  <c r="AF82" i="8"/>
  <c r="AZ82" i="8"/>
  <c r="AF73" i="8"/>
  <c r="AF91" i="8"/>
  <c r="AZ91" i="8"/>
  <c r="AZ73" i="8"/>
  <c r="BA73" i="8" s="1"/>
  <c r="O72" i="6" s="1"/>
  <c r="AF88" i="8"/>
  <c r="AS84" i="8"/>
  <c r="AU84" i="8" s="1"/>
  <c r="AW84" i="8" s="1"/>
  <c r="AX82" i="8" s="1"/>
  <c r="AI76" i="8"/>
  <c r="AU57" i="8"/>
  <c r="AW57" i="8" s="1"/>
  <c r="AX55" i="8" s="1"/>
  <c r="AF58" i="8"/>
  <c r="AK58" i="8" s="1"/>
  <c r="AF46" i="8"/>
  <c r="AI47" i="8" s="1"/>
  <c r="AF70" i="8"/>
  <c r="AL70" i="8" s="1"/>
  <c r="AZ43" i="8"/>
  <c r="AF52" i="8"/>
  <c r="AI52" i="8" s="1"/>
  <c r="AS72" i="8"/>
  <c r="AU72" i="8" s="1"/>
  <c r="AW72" i="8" s="1"/>
  <c r="AX70" i="8" s="1"/>
  <c r="BA70" i="8" s="1"/>
  <c r="O69" i="6" s="1"/>
  <c r="AF64" i="8"/>
  <c r="AI64" i="8" s="1"/>
  <c r="AF61" i="8"/>
  <c r="AI61" i="8" s="1"/>
  <c r="AZ52" i="8"/>
  <c r="AF49" i="8"/>
  <c r="AI44" i="8"/>
  <c r="AF55" i="8"/>
  <c r="AZ49" i="8"/>
  <c r="E8" i="28"/>
  <c r="D8" i="28"/>
  <c r="C8" i="28"/>
  <c r="A6" i="28"/>
  <c r="J41" i="3"/>
  <c r="J42" i="3"/>
  <c r="J43" i="3"/>
  <c r="J44" i="3"/>
  <c r="J40" i="3"/>
  <c r="AG192" i="8" l="1"/>
  <c r="N190" i="6" s="1"/>
  <c r="M190" i="6"/>
  <c r="AG171" i="8"/>
  <c r="N169" i="6" s="1"/>
  <c r="M169" i="6"/>
  <c r="AG153" i="8"/>
  <c r="N151" i="6" s="1"/>
  <c r="M151" i="6"/>
  <c r="AG141" i="8"/>
  <c r="N139" i="6" s="1"/>
  <c r="M139" i="6"/>
  <c r="BA137" i="8"/>
  <c r="O136" i="6" s="1"/>
  <c r="AG132" i="8"/>
  <c r="N130" i="6" s="1"/>
  <c r="M130" i="6"/>
  <c r="AG120" i="8"/>
  <c r="N118" i="6" s="1"/>
  <c r="M118" i="6"/>
  <c r="BA110" i="8"/>
  <c r="O109" i="6" s="1"/>
  <c r="AI85" i="8"/>
  <c r="BA82" i="8"/>
  <c r="O81" i="6" s="1"/>
  <c r="BA79" i="8"/>
  <c r="O78" i="6" s="1"/>
  <c r="AI62" i="8"/>
  <c r="BA55" i="8"/>
  <c r="O54" i="6" s="1"/>
  <c r="BA40" i="8"/>
  <c r="O39" i="6" s="1"/>
  <c r="BA88" i="8"/>
  <c r="O87" i="6" s="1"/>
  <c r="BA188" i="8"/>
  <c r="O187" i="6" s="1"/>
  <c r="BA182" i="8"/>
  <c r="O181" i="6" s="1"/>
  <c r="AL85" i="8"/>
  <c r="AL86" i="8"/>
  <c r="AH86" i="8"/>
  <c r="AG86" i="8" s="1"/>
  <c r="N84" i="6" s="1"/>
  <c r="AK85" i="8"/>
  <c r="AK86" i="8"/>
  <c r="AJ85" i="8"/>
  <c r="AH85" i="8"/>
  <c r="AG85" i="8" s="1"/>
  <c r="M84" i="6" s="1"/>
  <c r="AI86" i="8"/>
  <c r="AH80" i="8"/>
  <c r="AG80" i="8" s="1"/>
  <c r="N78" i="6" s="1"/>
  <c r="AH79" i="8"/>
  <c r="AG79" i="8" s="1"/>
  <c r="M78" i="6" s="1"/>
  <c r="AI80" i="8"/>
  <c r="AL79" i="8"/>
  <c r="AJ80" i="8"/>
  <c r="AK80" i="8"/>
  <c r="AL80" i="8"/>
  <c r="AI79" i="8"/>
  <c r="AJ79" i="8"/>
  <c r="AK77" i="8"/>
  <c r="AI77" i="8"/>
  <c r="AJ76" i="8"/>
  <c r="AL76" i="8"/>
  <c r="AL77" i="8"/>
  <c r="AH76" i="8"/>
  <c r="AG76" i="8" s="1"/>
  <c r="M75" i="6" s="1"/>
  <c r="AH77" i="8"/>
  <c r="AK76" i="8"/>
  <c r="BA170" i="8"/>
  <c r="O169" i="6" s="1"/>
  <c r="BA167" i="8"/>
  <c r="O166" i="6" s="1"/>
  <c r="BA155" i="8"/>
  <c r="O154" i="6" s="1"/>
  <c r="BA67" i="8"/>
  <c r="O66" i="6" s="1"/>
  <c r="AK68" i="8"/>
  <c r="AL68" i="8"/>
  <c r="AK67" i="8"/>
  <c r="AJ67" i="8"/>
  <c r="AI68" i="8"/>
  <c r="AH68" i="8"/>
  <c r="AJ68" i="8"/>
  <c r="AH67" i="8"/>
  <c r="AG67" i="8" s="1"/>
  <c r="M66" i="6" s="1"/>
  <c r="AL67" i="8"/>
  <c r="BA149" i="8"/>
  <c r="O148" i="6" s="1"/>
  <c r="BA64" i="8"/>
  <c r="O63" i="6" s="1"/>
  <c r="BA58" i="8"/>
  <c r="O57" i="6" s="1"/>
  <c r="AL59" i="8"/>
  <c r="BA134" i="8"/>
  <c r="O133" i="6" s="1"/>
  <c r="BA46" i="8"/>
  <c r="O45" i="6" s="1"/>
  <c r="AJ47" i="8"/>
  <c r="AK44" i="8"/>
  <c r="AL40" i="8"/>
  <c r="AJ44" i="8"/>
  <c r="AJ43" i="8"/>
  <c r="AL43" i="8"/>
  <c r="AH44" i="8"/>
  <c r="AL44" i="8"/>
  <c r="AH43" i="8"/>
  <c r="AG43" i="8" s="1"/>
  <c r="M42" i="6" s="1"/>
  <c r="AI43" i="8"/>
  <c r="AH41" i="8"/>
  <c r="AK41" i="8"/>
  <c r="AI41" i="8"/>
  <c r="AJ59" i="8"/>
  <c r="AJ71" i="8"/>
  <c r="AK59" i="8"/>
  <c r="AK40" i="8"/>
  <c r="AH40" i="8"/>
  <c r="AJ41" i="8"/>
  <c r="AJ40" i="8"/>
  <c r="AL41" i="8"/>
  <c r="AL46" i="8"/>
  <c r="AL47" i="8"/>
  <c r="AH46" i="8"/>
  <c r="AK46" i="8"/>
  <c r="AJ58" i="8"/>
  <c r="AL58" i="8"/>
  <c r="AI58" i="8"/>
  <c r="AK64" i="8"/>
  <c r="AI59" i="8"/>
  <c r="AH59" i="8"/>
  <c r="BA43" i="8"/>
  <c r="O42" i="6" s="1"/>
  <c r="AI71" i="8"/>
  <c r="AH64" i="8"/>
  <c r="AG64" i="8" s="1"/>
  <c r="M63" i="6" s="1"/>
  <c r="AH58" i="8"/>
  <c r="AG58" i="8" s="1"/>
  <c r="M57" i="6" s="1"/>
  <c r="AI88" i="8"/>
  <c r="AJ89" i="8"/>
  <c r="AJ88" i="8"/>
  <c r="AK89" i="8"/>
  <c r="AH88" i="8"/>
  <c r="AL88" i="8"/>
  <c r="AI89" i="8"/>
  <c r="AL89" i="8"/>
  <c r="AK88" i="8"/>
  <c r="AH89" i="8"/>
  <c r="AI73" i="8"/>
  <c r="AJ74" i="8"/>
  <c r="AH73" i="8"/>
  <c r="AL73" i="8"/>
  <c r="AI74" i="8"/>
  <c r="AJ73" i="8"/>
  <c r="AK74" i="8"/>
  <c r="AK73" i="8"/>
  <c r="AL74" i="8"/>
  <c r="AH74" i="8"/>
  <c r="AG74" i="8" s="1"/>
  <c r="N72" i="6" s="1"/>
  <c r="BA91" i="8"/>
  <c r="O90" i="6" s="1"/>
  <c r="AI82" i="8"/>
  <c r="AJ83" i="8"/>
  <c r="AK82" i="8"/>
  <c r="AH83" i="8"/>
  <c r="AL82" i="8"/>
  <c r="AI83" i="8"/>
  <c r="AJ82" i="8"/>
  <c r="AL83" i="8"/>
  <c r="AH82" i="8"/>
  <c r="AK83" i="8"/>
  <c r="AI91" i="8"/>
  <c r="AJ92" i="8"/>
  <c r="AH91" i="8"/>
  <c r="AL91" i="8"/>
  <c r="AI92" i="8"/>
  <c r="AK91" i="8"/>
  <c r="AH92" i="8"/>
  <c r="AK92" i="8"/>
  <c r="AJ91" i="8"/>
  <c r="AL92" i="8"/>
  <c r="AL71" i="8"/>
  <c r="AJ70" i="8"/>
  <c r="AK70" i="8"/>
  <c r="AH71" i="8"/>
  <c r="AK71" i="8"/>
  <c r="AI70" i="8"/>
  <c r="AK52" i="8"/>
  <c r="AH70" i="8"/>
  <c r="AK62" i="8"/>
  <c r="AH47" i="8"/>
  <c r="AI53" i="8"/>
  <c r="BA52" i="8"/>
  <c r="O51" i="6" s="1"/>
  <c r="AJ61" i="8"/>
  <c r="AJ52" i="8"/>
  <c r="AL62" i="8"/>
  <c r="AH62" i="8"/>
  <c r="AJ62" i="8"/>
  <c r="AK47" i="8"/>
  <c r="AI46" i="8"/>
  <c r="AL53" i="8"/>
  <c r="AJ53" i="8"/>
  <c r="AH52" i="8"/>
  <c r="AG52" i="8" s="1"/>
  <c r="M51" i="6" s="1"/>
  <c r="AL61" i="8"/>
  <c r="AH53" i="8"/>
  <c r="AL52" i="8"/>
  <c r="AK61" i="8"/>
  <c r="AH61" i="8"/>
  <c r="AJ46" i="8"/>
  <c r="BA49" i="8"/>
  <c r="O48" i="6" s="1"/>
  <c r="AK53" i="8"/>
  <c r="AJ65" i="8"/>
  <c r="AI65" i="8"/>
  <c r="AK65" i="8"/>
  <c r="AH65" i="8"/>
  <c r="AG65" i="8" s="1"/>
  <c r="N63" i="6" s="1"/>
  <c r="AL65" i="8"/>
  <c r="AJ64" i="8"/>
  <c r="AL64" i="8"/>
  <c r="AH55" i="8"/>
  <c r="AG55" i="8" s="1"/>
  <c r="M54" i="6" s="1"/>
  <c r="AL55" i="8"/>
  <c r="AI56" i="8"/>
  <c r="AK55" i="8"/>
  <c r="AL56" i="8"/>
  <c r="AJ55" i="8"/>
  <c r="AK56" i="8"/>
  <c r="AI55" i="8"/>
  <c r="AH56" i="8"/>
  <c r="AG56" i="8" s="1"/>
  <c r="N54" i="6" s="1"/>
  <c r="AJ56" i="8"/>
  <c r="AH49" i="8"/>
  <c r="AL49" i="8"/>
  <c r="AI50" i="8"/>
  <c r="AK49" i="8"/>
  <c r="AL50" i="8"/>
  <c r="AJ49" i="8"/>
  <c r="AK50" i="8"/>
  <c r="AI49" i="8"/>
  <c r="AJ50" i="8"/>
  <c r="AH50" i="8"/>
  <c r="AG50" i="8" s="1"/>
  <c r="N48" i="6" s="1"/>
  <c r="A6" i="27"/>
  <c r="AG92" i="8" l="1"/>
  <c r="N90" i="6" s="1"/>
  <c r="AG91" i="8"/>
  <c r="M90" i="6" s="1"/>
  <c r="AG88" i="8"/>
  <c r="M87" i="6" s="1"/>
  <c r="AG89" i="8"/>
  <c r="N87" i="6" s="1"/>
  <c r="AG83" i="8"/>
  <c r="N81" i="6" s="1"/>
  <c r="AG82" i="8"/>
  <c r="M81" i="6" s="1"/>
  <c r="AG77" i="8"/>
  <c r="N75" i="6" s="1"/>
  <c r="AG73" i="8"/>
  <c r="M72" i="6" s="1"/>
  <c r="AG70" i="8"/>
  <c r="M69" i="6" s="1"/>
  <c r="AG71" i="8"/>
  <c r="N69" i="6" s="1"/>
  <c r="AG68" i="8"/>
  <c r="N66" i="6" s="1"/>
  <c r="AG62" i="8"/>
  <c r="N60" i="6" s="1"/>
  <c r="AG61" i="8"/>
  <c r="M60" i="6" s="1"/>
  <c r="AG59" i="8"/>
  <c r="N57" i="6" s="1"/>
  <c r="AG41" i="8"/>
  <c r="N39" i="6" s="1"/>
  <c r="AG40" i="8"/>
  <c r="M39" i="6" s="1"/>
  <c r="AG44" i="8"/>
  <c r="N42" i="6" s="1"/>
  <c r="AG47" i="8"/>
  <c r="N45" i="6" s="1"/>
  <c r="AG49" i="8"/>
  <c r="M48" i="6" s="1"/>
  <c r="AG53" i="8"/>
  <c r="N51" i="6" s="1"/>
  <c r="AG46" i="8"/>
  <c r="M45" i="6" s="1"/>
  <c r="A6" i="26"/>
  <c r="A15" i="25"/>
  <c r="A14" i="25"/>
  <c r="B13" i="25"/>
  <c r="A13" i="25"/>
  <c r="B12" i="25"/>
  <c r="A12" i="25"/>
  <c r="B11" i="25"/>
  <c r="A11" i="25"/>
  <c r="B10" i="25"/>
  <c r="A10" i="25"/>
  <c r="E8" i="25"/>
  <c r="D8" i="25"/>
  <c r="C8" i="25"/>
  <c r="A6" i="25"/>
  <c r="A44" i="24"/>
  <c r="A43" i="24"/>
  <c r="B13" i="24"/>
  <c r="A13" i="24"/>
  <c r="B12" i="24"/>
  <c r="A12" i="24"/>
  <c r="B11" i="24"/>
  <c r="A11" i="24"/>
  <c r="B10" i="24"/>
  <c r="A10" i="24"/>
  <c r="B9" i="24"/>
  <c r="A9" i="24"/>
  <c r="E8" i="24"/>
  <c r="D8" i="24"/>
  <c r="C8" i="24"/>
  <c r="A6" i="24"/>
  <c r="B8" i="18" l="1"/>
  <c r="B8" i="21"/>
  <c r="A44" i="23"/>
  <c r="A43" i="23"/>
  <c r="A10" i="23"/>
  <c r="B10" i="23"/>
  <c r="A11" i="23"/>
  <c r="B11" i="23"/>
  <c r="A12" i="23"/>
  <c r="B12" i="23"/>
  <c r="A13" i="23"/>
  <c r="B13" i="23"/>
  <c r="B9" i="23"/>
  <c r="A9" i="23"/>
  <c r="E8" i="23"/>
  <c r="D8" i="23"/>
  <c r="C8" i="23"/>
  <c r="A6" i="23"/>
  <c r="A112" i="22"/>
  <c r="A111" i="22"/>
  <c r="A6" i="22" l="1"/>
  <c r="A20" i="21"/>
  <c r="A19" i="21"/>
  <c r="B18" i="21"/>
  <c r="A18" i="21"/>
  <c r="B17" i="21"/>
  <c r="A17" i="21"/>
  <c r="B16" i="21"/>
  <c r="A16" i="21"/>
  <c r="B15" i="21"/>
  <c r="A15" i="21"/>
  <c r="B14" i="21"/>
  <c r="A14" i="21"/>
  <c r="B13" i="21"/>
  <c r="A13" i="21"/>
  <c r="B12" i="21"/>
  <c r="A12" i="21"/>
  <c r="B11" i="21"/>
  <c r="A11" i="21"/>
  <c r="B10" i="21"/>
  <c r="A10" i="21"/>
  <c r="E8" i="21"/>
  <c r="D8" i="21"/>
  <c r="C8" i="21"/>
  <c r="A6" i="21"/>
  <c r="AH109" i="11" l="1"/>
  <c r="K23" i="22" s="1"/>
  <c r="X109" i="11"/>
  <c r="N109" i="11"/>
  <c r="G23" i="22" s="1"/>
  <c r="H109" i="11"/>
  <c r="G109" i="11"/>
  <c r="F109" i="11"/>
  <c r="E109" i="11"/>
  <c r="D23" i="22" s="1"/>
  <c r="AH108" i="11"/>
  <c r="K22" i="22" s="1"/>
  <c r="X108" i="11"/>
  <c r="N108" i="11"/>
  <c r="G22" i="22" s="1"/>
  <c r="H108" i="11"/>
  <c r="G108" i="11"/>
  <c r="F108" i="11"/>
  <c r="E108" i="11"/>
  <c r="D22" i="22" s="1"/>
  <c r="AH107" i="11"/>
  <c r="K21" i="22" s="1"/>
  <c r="X107" i="11"/>
  <c r="N107" i="11"/>
  <c r="G21" i="22" s="1"/>
  <c r="H107" i="11"/>
  <c r="G107" i="11"/>
  <c r="F107" i="11"/>
  <c r="E107" i="11"/>
  <c r="D21" i="22" s="1"/>
  <c r="AH106" i="11"/>
  <c r="K20" i="22" s="1"/>
  <c r="X106" i="11"/>
  <c r="N106" i="11"/>
  <c r="G20" i="22" s="1"/>
  <c r="H106" i="11"/>
  <c r="G106" i="11"/>
  <c r="F106" i="11"/>
  <c r="E106" i="11"/>
  <c r="D20" i="22" s="1"/>
  <c r="AH105" i="11"/>
  <c r="K19" i="22" s="1"/>
  <c r="X105" i="11"/>
  <c r="N105" i="11"/>
  <c r="G19" i="22" s="1"/>
  <c r="H105" i="11"/>
  <c r="G105" i="11"/>
  <c r="E19" i="22" s="1"/>
  <c r="F105" i="11"/>
  <c r="E105" i="11"/>
  <c r="D19" i="22" s="1"/>
  <c r="AH104" i="11"/>
  <c r="K18" i="22" s="1"/>
  <c r="X104" i="11"/>
  <c r="N104" i="11"/>
  <c r="G18" i="22" s="1"/>
  <c r="H104" i="11"/>
  <c r="G104" i="11"/>
  <c r="F104" i="11"/>
  <c r="E104" i="11"/>
  <c r="D18" i="22" s="1"/>
  <c r="AH103" i="11"/>
  <c r="K17" i="22" s="1"/>
  <c r="X103" i="11"/>
  <c r="N103" i="11"/>
  <c r="G17" i="22" s="1"/>
  <c r="H103" i="11"/>
  <c r="G103" i="11"/>
  <c r="F103" i="11"/>
  <c r="E103" i="11"/>
  <c r="D17" i="22" s="1"/>
  <c r="AH102" i="11"/>
  <c r="K16" i="22" s="1"/>
  <c r="X102" i="11"/>
  <c r="N102" i="11"/>
  <c r="G16" i="22" s="1"/>
  <c r="H102" i="11"/>
  <c r="G102" i="11"/>
  <c r="F102" i="11"/>
  <c r="E102" i="11"/>
  <c r="D16" i="22" s="1"/>
  <c r="AH101" i="11"/>
  <c r="K15" i="22" s="1"/>
  <c r="X101" i="11"/>
  <c r="N101" i="11"/>
  <c r="G15" i="22" s="1"/>
  <c r="H101" i="11"/>
  <c r="G101" i="11"/>
  <c r="F101" i="11"/>
  <c r="E101" i="11"/>
  <c r="D15" i="22" s="1"/>
  <c r="AH100" i="11"/>
  <c r="K14" i="22" s="1"/>
  <c r="X100" i="11"/>
  <c r="N100" i="11"/>
  <c r="G14" i="22" s="1"/>
  <c r="H100" i="11"/>
  <c r="G100" i="11"/>
  <c r="F100" i="11"/>
  <c r="E100" i="11"/>
  <c r="D14" i="22" s="1"/>
  <c r="AH99" i="11"/>
  <c r="K13" i="22" s="1"/>
  <c r="X99" i="11"/>
  <c r="N99" i="11"/>
  <c r="G13" i="22" s="1"/>
  <c r="H99" i="11"/>
  <c r="G99" i="11"/>
  <c r="F99" i="11"/>
  <c r="E99" i="11"/>
  <c r="D13" i="22" s="1"/>
  <c r="AH98" i="11"/>
  <c r="H98" i="11"/>
  <c r="G98" i="11"/>
  <c r="F98" i="11"/>
  <c r="X98" i="11" s="1"/>
  <c r="E98" i="11"/>
  <c r="D12" i="22" s="1"/>
  <c r="AH97" i="11"/>
  <c r="X97" i="11"/>
  <c r="N97" i="11"/>
  <c r="H97" i="11"/>
  <c r="G97" i="11"/>
  <c r="F97" i="11"/>
  <c r="E97" i="11"/>
  <c r="D11" i="22" s="1"/>
  <c r="AH96" i="11"/>
  <c r="K10" i="22" s="1"/>
  <c r="X96" i="11"/>
  <c r="N96" i="11"/>
  <c r="G10" i="22" s="1"/>
  <c r="H96" i="11"/>
  <c r="G96" i="11"/>
  <c r="F96" i="11"/>
  <c r="E96" i="11"/>
  <c r="D10" i="22" s="1"/>
  <c r="AH95" i="11"/>
  <c r="X95" i="11"/>
  <c r="H95" i="11"/>
  <c r="G95" i="11"/>
  <c r="F95" i="11"/>
  <c r="N95" i="11" s="1"/>
  <c r="E95" i="11"/>
  <c r="D9" i="22" s="1"/>
  <c r="A94" i="11"/>
  <c r="J108" i="13"/>
  <c r="E108" i="13"/>
  <c r="D108" i="13"/>
  <c r="D109" i="11" s="1"/>
  <c r="C23" i="22" s="1"/>
  <c r="C108" i="13"/>
  <c r="J107" i="13"/>
  <c r="E107" i="13"/>
  <c r="D107" i="13"/>
  <c r="D108" i="11" s="1"/>
  <c r="C22" i="22" s="1"/>
  <c r="C107" i="13"/>
  <c r="J106" i="13"/>
  <c r="E106" i="13"/>
  <c r="D106" i="13"/>
  <c r="D107" i="11" s="1"/>
  <c r="C21" i="22" s="1"/>
  <c r="C106" i="13"/>
  <c r="J105" i="13"/>
  <c r="E105" i="13"/>
  <c r="D105" i="13"/>
  <c r="D106" i="11" s="1"/>
  <c r="C20" i="22" s="1"/>
  <c r="C105" i="13"/>
  <c r="J104" i="13"/>
  <c r="E104" i="13"/>
  <c r="D104" i="13"/>
  <c r="D105" i="11" s="1"/>
  <c r="C19" i="22" s="1"/>
  <c r="C104" i="13"/>
  <c r="J103" i="13"/>
  <c r="E103" i="13"/>
  <c r="D103" i="13"/>
  <c r="D104" i="11" s="1"/>
  <c r="C18" i="22" s="1"/>
  <c r="C103" i="13"/>
  <c r="J102" i="13"/>
  <c r="E102" i="13"/>
  <c r="D102" i="13"/>
  <c r="D103" i="11" s="1"/>
  <c r="C17" i="22" s="1"/>
  <c r="C102" i="13"/>
  <c r="J101" i="13"/>
  <c r="E101" i="13"/>
  <c r="D101" i="13"/>
  <c r="D102" i="11" s="1"/>
  <c r="C16" i="22" s="1"/>
  <c r="C101" i="13"/>
  <c r="J100" i="13"/>
  <c r="E100" i="13"/>
  <c r="D100" i="13"/>
  <c r="D101" i="11" s="1"/>
  <c r="C15" i="22" s="1"/>
  <c r="C100" i="13"/>
  <c r="J99" i="13"/>
  <c r="E99" i="13"/>
  <c r="D99" i="13"/>
  <c r="D100" i="11" s="1"/>
  <c r="C14" i="22" s="1"/>
  <c r="C99" i="13"/>
  <c r="J98" i="13"/>
  <c r="E98" i="13"/>
  <c r="D98" i="13"/>
  <c r="D99" i="11" s="1"/>
  <c r="C13" i="22" s="1"/>
  <c r="C98" i="13"/>
  <c r="J97" i="13"/>
  <c r="E97" i="13"/>
  <c r="D97" i="13"/>
  <c r="D98" i="11" s="1"/>
  <c r="C12" i="22" s="1"/>
  <c r="C97" i="13"/>
  <c r="J96" i="13"/>
  <c r="E96" i="13"/>
  <c r="D96" i="13"/>
  <c r="D97" i="11" s="1"/>
  <c r="C11" i="22" s="1"/>
  <c r="C96" i="13"/>
  <c r="J95" i="13"/>
  <c r="E95" i="13"/>
  <c r="D95" i="13"/>
  <c r="D96" i="11" s="1"/>
  <c r="C10" i="22" s="1"/>
  <c r="C95" i="13"/>
  <c r="J94" i="13"/>
  <c r="E94" i="13"/>
  <c r="D94" i="13"/>
  <c r="D95" i="11" s="1"/>
  <c r="C9" i="22" s="1"/>
  <c r="A93" i="13"/>
  <c r="I97" i="6"/>
  <c r="E106" i="6"/>
  <c r="E103" i="6"/>
  <c r="E100" i="6"/>
  <c r="E97" i="6"/>
  <c r="E94" i="6"/>
  <c r="K108" i="6"/>
  <c r="J108" i="6"/>
  <c r="K107" i="6"/>
  <c r="J107" i="6"/>
  <c r="K106" i="6"/>
  <c r="J106" i="6"/>
  <c r="K105" i="6"/>
  <c r="J105" i="6"/>
  <c r="K104" i="6"/>
  <c r="J104" i="6"/>
  <c r="K103" i="6"/>
  <c r="J103" i="6"/>
  <c r="K102" i="6"/>
  <c r="J102" i="6"/>
  <c r="K101" i="6"/>
  <c r="J101" i="6"/>
  <c r="K100" i="6"/>
  <c r="J100" i="6"/>
  <c r="K99" i="6"/>
  <c r="J99" i="6"/>
  <c r="K98" i="6"/>
  <c r="J98" i="6"/>
  <c r="K97" i="6"/>
  <c r="J97" i="6"/>
  <c r="AD107" i="8"/>
  <c r="AD104" i="8"/>
  <c r="AD101" i="8"/>
  <c r="B104" i="8"/>
  <c r="B107" i="8"/>
  <c r="B106" i="6" s="1"/>
  <c r="B106" i="13" s="1"/>
  <c r="B107" i="11" s="1"/>
  <c r="B21" i="22" s="1"/>
  <c r="A107" i="8"/>
  <c r="A106" i="6" s="1"/>
  <c r="A106" i="13" s="1"/>
  <c r="A107" i="11" s="1"/>
  <c r="A21" i="22" s="1"/>
  <c r="A104" i="8"/>
  <c r="A103" i="6" s="1"/>
  <c r="A103" i="13" s="1"/>
  <c r="A104" i="11" s="1"/>
  <c r="A18" i="22" s="1"/>
  <c r="AP109" i="8"/>
  <c r="X109" i="8"/>
  <c r="W109" i="8"/>
  <c r="V109" i="8"/>
  <c r="T109" i="8"/>
  <c r="BF109" i="8" s="1"/>
  <c r="R109" i="8"/>
  <c r="P109" i="8"/>
  <c r="N109" i="8"/>
  <c r="BM109" i="8" s="1"/>
  <c r="L109" i="8"/>
  <c r="BB109" i="8" s="1"/>
  <c r="J109" i="8"/>
  <c r="I109" i="8"/>
  <c r="G109" i="8"/>
  <c r="E109" i="8"/>
  <c r="V108" i="8"/>
  <c r="T108" i="8"/>
  <c r="R108" i="8"/>
  <c r="P108" i="8"/>
  <c r="N108" i="8"/>
  <c r="BM108" i="8" s="1"/>
  <c r="L108" i="8"/>
  <c r="J108" i="8"/>
  <c r="I108" i="8"/>
  <c r="G108" i="8"/>
  <c r="E108" i="8"/>
  <c r="V107" i="8"/>
  <c r="T107" i="8"/>
  <c r="R107" i="8"/>
  <c r="P107" i="8"/>
  <c r="N107" i="8"/>
  <c r="BK107" i="8" s="1"/>
  <c r="L107" i="8"/>
  <c r="J107" i="8"/>
  <c r="I107" i="8"/>
  <c r="G107" i="8"/>
  <c r="E107" i="8"/>
  <c r="BM106" i="8"/>
  <c r="BJ106" i="8"/>
  <c r="BI106" i="8"/>
  <c r="X106" i="8"/>
  <c r="W106" i="8"/>
  <c r="V106" i="8"/>
  <c r="T106" i="8"/>
  <c r="BF106" i="8" s="1"/>
  <c r="R106" i="8"/>
  <c r="BE106" i="8" s="1"/>
  <c r="P106" i="8"/>
  <c r="N106" i="8"/>
  <c r="BL106" i="8" s="1"/>
  <c r="L106" i="8"/>
  <c r="BB106" i="8" s="1"/>
  <c r="J106" i="8"/>
  <c r="I106" i="8"/>
  <c r="G106" i="8"/>
  <c r="E106" i="8"/>
  <c r="X105" i="8"/>
  <c r="W105" i="8"/>
  <c r="Y105" i="8" s="1"/>
  <c r="V105" i="8"/>
  <c r="T105" i="8"/>
  <c r="R105" i="8"/>
  <c r="P105" i="8"/>
  <c r="N105" i="8"/>
  <c r="BL105" i="8" s="1"/>
  <c r="L105" i="8"/>
  <c r="J105" i="8"/>
  <c r="I105" i="8"/>
  <c r="G105" i="8"/>
  <c r="E105" i="8"/>
  <c r="V104" i="8"/>
  <c r="T104" i="8"/>
  <c r="AB104" i="8" s="1"/>
  <c r="R104" i="8"/>
  <c r="P104" i="8"/>
  <c r="N104" i="8"/>
  <c r="BJ104" i="8" s="1"/>
  <c r="L104" i="8"/>
  <c r="J104" i="8"/>
  <c r="I104" i="8"/>
  <c r="G104" i="8"/>
  <c r="E104" i="8"/>
  <c r="B101" i="8"/>
  <c r="A101" i="8"/>
  <c r="A100" i="6" s="1"/>
  <c r="A100" i="13" s="1"/>
  <c r="A101" i="11" s="1"/>
  <c r="A15" i="22" s="1"/>
  <c r="B98" i="8"/>
  <c r="A98" i="8"/>
  <c r="A97" i="6" s="1"/>
  <c r="A97" i="13" s="1"/>
  <c r="A98" i="11" s="1"/>
  <c r="A12" i="22" s="1"/>
  <c r="AP103" i="8"/>
  <c r="X103" i="8"/>
  <c r="W103" i="8"/>
  <c r="V103" i="8"/>
  <c r="T103" i="8"/>
  <c r="R103" i="8"/>
  <c r="P103" i="8"/>
  <c r="N103" i="8"/>
  <c r="BL103" i="8" s="1"/>
  <c r="L103" i="8"/>
  <c r="J103" i="8"/>
  <c r="I103" i="8"/>
  <c r="G103" i="8"/>
  <c r="E103" i="8"/>
  <c r="X102" i="8"/>
  <c r="W102" i="8"/>
  <c r="Y102" i="8" s="1"/>
  <c r="V102" i="8"/>
  <c r="T102" i="8"/>
  <c r="R102" i="8"/>
  <c r="P102" i="8"/>
  <c r="N102" i="8"/>
  <c r="BL102" i="8" s="1"/>
  <c r="L102" i="8"/>
  <c r="J102" i="8"/>
  <c r="I102" i="8"/>
  <c r="G102" i="8"/>
  <c r="E102" i="8"/>
  <c r="V101" i="8"/>
  <c r="T101" i="8"/>
  <c r="AB101" i="8" s="1"/>
  <c r="R101" i="8"/>
  <c r="P101" i="8"/>
  <c r="N101" i="8"/>
  <c r="BJ101" i="8" s="1"/>
  <c r="L101" i="8"/>
  <c r="J101" i="8"/>
  <c r="I101" i="8"/>
  <c r="G101" i="8"/>
  <c r="E101" i="8"/>
  <c r="AD98" i="8"/>
  <c r="AP100" i="8"/>
  <c r="X100" i="8"/>
  <c r="W100" i="8"/>
  <c r="Y100" i="8" s="1"/>
  <c r="V100" i="8"/>
  <c r="T100" i="8"/>
  <c r="BF100" i="8" s="1"/>
  <c r="R100" i="8"/>
  <c r="P100" i="8"/>
  <c r="N100" i="8"/>
  <c r="BM100" i="8" s="1"/>
  <c r="L100" i="8"/>
  <c r="BB100" i="8" s="1"/>
  <c r="J100" i="8"/>
  <c r="I100" i="8"/>
  <c r="G100" i="8"/>
  <c r="E100" i="8"/>
  <c r="V99" i="8"/>
  <c r="T99" i="8"/>
  <c r="R99" i="8"/>
  <c r="P99" i="8"/>
  <c r="W99" i="8" s="1"/>
  <c r="Y99" i="8" s="1"/>
  <c r="N99" i="8"/>
  <c r="BM99" i="8" s="1"/>
  <c r="L99" i="8"/>
  <c r="BC99" i="8" s="1"/>
  <c r="J99" i="8"/>
  <c r="I99" i="8"/>
  <c r="G99" i="8"/>
  <c r="E99" i="8"/>
  <c r="V98" i="8"/>
  <c r="T98" i="8"/>
  <c r="R98" i="8"/>
  <c r="P98" i="8"/>
  <c r="N98" i="8"/>
  <c r="L98" i="8"/>
  <c r="J98" i="8"/>
  <c r="I98" i="8"/>
  <c r="G98" i="8"/>
  <c r="E98" i="8"/>
  <c r="J97" i="8"/>
  <c r="I94" i="6"/>
  <c r="J96" i="8"/>
  <c r="X97" i="8"/>
  <c r="I100" i="6"/>
  <c r="I103" i="6"/>
  <c r="I106" i="6"/>
  <c r="E41" i="3"/>
  <c r="F97" i="6" s="1"/>
  <c r="E42" i="3"/>
  <c r="F100" i="6" s="1"/>
  <c r="E43" i="3"/>
  <c r="F103" i="6" s="1"/>
  <c r="E44" i="3"/>
  <c r="F106" i="6" s="1"/>
  <c r="E40" i="3"/>
  <c r="F94" i="6" s="1"/>
  <c r="K96" i="6"/>
  <c r="J96" i="6"/>
  <c r="K95" i="6"/>
  <c r="J95" i="6"/>
  <c r="K94" i="6"/>
  <c r="J94" i="6"/>
  <c r="A93" i="6"/>
  <c r="AD95" i="8"/>
  <c r="J95" i="8"/>
  <c r="B95" i="8"/>
  <c r="B94" i="6" s="1"/>
  <c r="B94" i="13" s="1"/>
  <c r="B95" i="11" s="1"/>
  <c r="B9" i="22" s="1"/>
  <c r="A95" i="8"/>
  <c r="A94" i="6" s="1"/>
  <c r="A94" i="13" s="1"/>
  <c r="A95" i="11" s="1"/>
  <c r="A9" i="22" s="1"/>
  <c r="W97" i="8"/>
  <c r="V97" i="8"/>
  <c r="T97" i="8"/>
  <c r="R97" i="8"/>
  <c r="P97" i="8"/>
  <c r="N97" i="8"/>
  <c r="BM97" i="8" s="1"/>
  <c r="L97" i="8"/>
  <c r="I97" i="8"/>
  <c r="G97" i="8"/>
  <c r="E97" i="8"/>
  <c r="V96" i="8"/>
  <c r="T96" i="8"/>
  <c r="R96" i="8"/>
  <c r="P96" i="8"/>
  <c r="N96" i="8"/>
  <c r="BJ96" i="8" s="1"/>
  <c r="L96" i="8"/>
  <c r="I96" i="8"/>
  <c r="G96" i="8"/>
  <c r="E96" i="8"/>
  <c r="V95" i="8"/>
  <c r="T95" i="8"/>
  <c r="R95" i="8"/>
  <c r="P95" i="8"/>
  <c r="N95" i="8"/>
  <c r="L95" i="8"/>
  <c r="I95" i="8"/>
  <c r="G95" i="8"/>
  <c r="E95" i="8"/>
  <c r="A94" i="8"/>
  <c r="A37" i="8"/>
  <c r="AL96" i="11" l="1"/>
  <c r="I10" i="22"/>
  <c r="AL99" i="11"/>
  <c r="I13" i="22"/>
  <c r="AL100" i="11"/>
  <c r="I14" i="22"/>
  <c r="AL101" i="11"/>
  <c r="I15" i="22"/>
  <c r="AL102" i="11"/>
  <c r="I16" i="22"/>
  <c r="AL103" i="11"/>
  <c r="I17" i="22"/>
  <c r="AL104" i="11"/>
  <c r="I18" i="22"/>
  <c r="AL105" i="11"/>
  <c r="I19" i="22"/>
  <c r="AL106" i="11"/>
  <c r="I20" i="22"/>
  <c r="I21" i="22"/>
  <c r="AL108" i="11"/>
  <c r="I22" i="22"/>
  <c r="AL109" i="11"/>
  <c r="I23" i="22"/>
  <c r="AL97" i="11"/>
  <c r="BL108" i="8"/>
  <c r="AM108" i="8"/>
  <c r="AO108" i="8"/>
  <c r="W108" i="8"/>
  <c r="X108" i="8"/>
  <c r="W107" i="8"/>
  <c r="Y107" i="8" s="1"/>
  <c r="X107" i="8"/>
  <c r="Y108" i="8"/>
  <c r="W104" i="8"/>
  <c r="AA104" i="8" s="1"/>
  <c r="L103" i="6" s="1"/>
  <c r="Y104" i="8"/>
  <c r="W101" i="8"/>
  <c r="Y101" i="8" s="1"/>
  <c r="W98" i="8"/>
  <c r="Y98" i="8" s="1"/>
  <c r="AC98" i="8" s="1"/>
  <c r="AE98" i="8" s="1"/>
  <c r="AZ98" i="8" s="1"/>
  <c r="AO107" i="8"/>
  <c r="AT107" i="8" s="1"/>
  <c r="AT108" i="8" s="1"/>
  <c r="BI107" i="8"/>
  <c r="BG108" i="8"/>
  <c r="BI103" i="8"/>
  <c r="AP107" i="8"/>
  <c r="AV107" i="8" s="1"/>
  <c r="BJ107" i="8"/>
  <c r="BB108" i="8"/>
  <c r="BH108" i="8"/>
  <c r="Y97" i="8"/>
  <c r="BE103" i="8"/>
  <c r="BJ103" i="8"/>
  <c r="AO106" i="8"/>
  <c r="BE107" i="8"/>
  <c r="BD107" i="8"/>
  <c r="BL107" i="8"/>
  <c r="BC108" i="8"/>
  <c r="BJ108" i="8"/>
  <c r="BJ109" i="8"/>
  <c r="BJ100" i="8"/>
  <c r="BB103" i="8"/>
  <c r="BF103" i="8"/>
  <c r="AO103" i="8"/>
  <c r="BM103" i="8"/>
  <c r="AP106" i="8"/>
  <c r="BB107" i="8"/>
  <c r="BF107" i="8"/>
  <c r="AB107" i="8"/>
  <c r="BH107" i="8"/>
  <c r="BM107" i="8"/>
  <c r="BD108" i="8"/>
  <c r="BF108" i="8"/>
  <c r="BK108" i="8"/>
  <c r="Y109" i="8"/>
  <c r="Y103" i="8"/>
  <c r="Y106" i="8"/>
  <c r="AG32" i="5"/>
  <c r="AG34" i="5"/>
  <c r="AG35" i="5"/>
  <c r="B100" i="6"/>
  <c r="B103" i="6"/>
  <c r="I12" i="22"/>
  <c r="K12" i="22"/>
  <c r="AL98" i="11"/>
  <c r="K9" i="22"/>
  <c r="I9" i="22"/>
  <c r="G9" i="22"/>
  <c r="K11" i="22"/>
  <c r="I11" i="22"/>
  <c r="G11" i="22"/>
  <c r="BC96" i="8"/>
  <c r="AG33" i="5"/>
  <c r="B97" i="6"/>
  <c r="B97" i="13" s="1"/>
  <c r="B98" i="11" s="1"/>
  <c r="B12" i="22" s="1"/>
  <c r="AB106" i="11"/>
  <c r="AB101" i="11"/>
  <c r="AB105" i="11"/>
  <c r="Q97" i="11"/>
  <c r="R97" i="11" s="1"/>
  <c r="AK97" i="11"/>
  <c r="N98" i="11"/>
  <c r="Q99" i="11"/>
  <c r="R99" i="11" s="1"/>
  <c r="AK99" i="11"/>
  <c r="Q100" i="11"/>
  <c r="R100" i="11" s="1"/>
  <c r="AK100" i="11"/>
  <c r="F15" i="22"/>
  <c r="AA101" i="11"/>
  <c r="F16" i="22"/>
  <c r="AA102" i="11"/>
  <c r="AB102" i="11" s="1"/>
  <c r="F17" i="22"/>
  <c r="AA103" i="11"/>
  <c r="AB103" i="11" s="1"/>
  <c r="Q104" i="11"/>
  <c r="R104" i="11" s="1"/>
  <c r="AK104" i="11"/>
  <c r="I107" i="11"/>
  <c r="E21" i="22"/>
  <c r="I108" i="11"/>
  <c r="E22" i="22"/>
  <c r="I109" i="11"/>
  <c r="E23" i="22"/>
  <c r="Q96" i="11"/>
  <c r="R96" i="11" s="1"/>
  <c r="AK96" i="11"/>
  <c r="I97" i="11"/>
  <c r="E11" i="22"/>
  <c r="I99" i="11"/>
  <c r="E13" i="22"/>
  <c r="I100" i="11"/>
  <c r="E14" i="22"/>
  <c r="I104" i="11"/>
  <c r="E18" i="22"/>
  <c r="Q105" i="11"/>
  <c r="R105" i="11" s="1"/>
  <c r="AK105" i="11"/>
  <c r="Q106" i="11"/>
  <c r="AK106" i="11"/>
  <c r="F21" i="22"/>
  <c r="AA107" i="11"/>
  <c r="F22" i="22"/>
  <c r="AA108" i="11"/>
  <c r="AB108" i="11" s="1"/>
  <c r="F23" i="22"/>
  <c r="AA109" i="11"/>
  <c r="AB109" i="11" s="1"/>
  <c r="I96" i="11"/>
  <c r="E10" i="22"/>
  <c r="F11" i="22"/>
  <c r="AA97" i="11"/>
  <c r="AB97" i="11" s="1"/>
  <c r="F13" i="22"/>
  <c r="AA99" i="11"/>
  <c r="AB99" i="11" s="1"/>
  <c r="F14" i="22"/>
  <c r="AA100" i="11"/>
  <c r="AB100" i="11" s="1"/>
  <c r="Q101" i="11"/>
  <c r="R101" i="11" s="1"/>
  <c r="AK101" i="11"/>
  <c r="Q102" i="11"/>
  <c r="AK102" i="11"/>
  <c r="Q103" i="11"/>
  <c r="R103" i="11" s="1"/>
  <c r="AK103" i="11"/>
  <c r="F18" i="22"/>
  <c r="AA104" i="11"/>
  <c r="AB104" i="11" s="1"/>
  <c r="F19" i="22"/>
  <c r="I106" i="11"/>
  <c r="E20" i="22"/>
  <c r="F10" i="22"/>
  <c r="AA96" i="11"/>
  <c r="AB96" i="11" s="1"/>
  <c r="I101" i="11"/>
  <c r="E15" i="22"/>
  <c r="I102" i="11"/>
  <c r="E16" i="22"/>
  <c r="I103" i="11"/>
  <c r="E17" i="22"/>
  <c r="I105" i="11"/>
  <c r="AA105" i="11"/>
  <c r="F20" i="22"/>
  <c r="AA106" i="11"/>
  <c r="Q107" i="11"/>
  <c r="R107" i="11" s="1"/>
  <c r="AK107" i="11"/>
  <c r="Q108" i="11"/>
  <c r="AK108" i="11"/>
  <c r="Q109" i="11"/>
  <c r="R109" i="11" s="1"/>
  <c r="AK109" i="11"/>
  <c r="F12" i="22"/>
  <c r="I98" i="11"/>
  <c r="AA98" i="11" s="1"/>
  <c r="E12" i="22"/>
  <c r="AK98" i="11"/>
  <c r="F9" i="22"/>
  <c r="I95" i="11"/>
  <c r="Q95" i="11" s="1"/>
  <c r="E9" i="22"/>
  <c r="AK95" i="11"/>
  <c r="AK197" i="11" s="1"/>
  <c r="X99" i="8"/>
  <c r="AO99" i="8"/>
  <c r="BD99" i="8"/>
  <c r="BL99" i="8"/>
  <c r="BB99" i="8"/>
  <c r="BG99" i="8"/>
  <c r="X98" i="8"/>
  <c r="BK98" i="8"/>
  <c r="AN108" i="8"/>
  <c r="AM109" i="8"/>
  <c r="BC109" i="8"/>
  <c r="BG109" i="8"/>
  <c r="BK109" i="8"/>
  <c r="AM107" i="8"/>
  <c r="AQ107" i="8" s="1"/>
  <c r="AQ108" i="8" s="1"/>
  <c r="AQ109" i="8" s="1"/>
  <c r="AN109" i="8"/>
  <c r="BD109" i="8"/>
  <c r="BH109" i="8"/>
  <c r="BL109" i="8"/>
  <c r="AN107" i="8"/>
  <c r="AR107" i="8" s="1"/>
  <c r="AY107" i="8"/>
  <c r="BC107" i="8"/>
  <c r="BG107" i="8"/>
  <c r="AP108" i="8"/>
  <c r="BE108" i="8"/>
  <c r="BI108" i="8"/>
  <c r="AO109" i="8"/>
  <c r="BE109" i="8"/>
  <c r="BI109" i="8"/>
  <c r="AN104" i="8"/>
  <c r="AR104" i="8" s="1"/>
  <c r="AY104" i="8"/>
  <c r="BC104" i="8"/>
  <c r="BG104" i="8"/>
  <c r="BK104" i="8"/>
  <c r="AP105" i="8"/>
  <c r="BE105" i="8"/>
  <c r="BI105" i="8"/>
  <c r="BM105" i="8"/>
  <c r="AO104" i="8"/>
  <c r="AT104" i="8" s="1"/>
  <c r="BD104" i="8"/>
  <c r="BH104" i="8"/>
  <c r="BL104" i="8"/>
  <c r="AM105" i="8"/>
  <c r="BB105" i="8"/>
  <c r="BF105" i="8"/>
  <c r="BJ105" i="8"/>
  <c r="AP104" i="8"/>
  <c r="AV104" i="8" s="1"/>
  <c r="AV105" i="8" s="1"/>
  <c r="AV106" i="8" s="1"/>
  <c r="BE104" i="8"/>
  <c r="BI104" i="8"/>
  <c r="BM104" i="8"/>
  <c r="AN105" i="8"/>
  <c r="BC105" i="8"/>
  <c r="BG105" i="8"/>
  <c r="BK105" i="8"/>
  <c r="AM106" i="8"/>
  <c r="BC106" i="8"/>
  <c r="BG106" i="8"/>
  <c r="BK106" i="8"/>
  <c r="AM104" i="8"/>
  <c r="AQ104" i="8" s="1"/>
  <c r="AQ105" i="8" s="1"/>
  <c r="AQ106" i="8" s="1"/>
  <c r="BB104" i="8"/>
  <c r="BF104" i="8"/>
  <c r="AO105" i="8"/>
  <c r="BD105" i="8"/>
  <c r="BH105" i="8"/>
  <c r="AN106" i="8"/>
  <c r="BD106" i="8"/>
  <c r="BH106" i="8"/>
  <c r="AN101" i="8"/>
  <c r="AR101" i="8" s="1"/>
  <c r="AY101" i="8"/>
  <c r="BC101" i="8"/>
  <c r="BG101" i="8"/>
  <c r="BK101" i="8"/>
  <c r="AP102" i="8"/>
  <c r="BE102" i="8"/>
  <c r="BI102" i="8"/>
  <c r="BM102" i="8"/>
  <c r="AO101" i="8"/>
  <c r="AT101" i="8" s="1"/>
  <c r="BD101" i="8"/>
  <c r="BH101" i="8"/>
  <c r="BL101" i="8"/>
  <c r="AM102" i="8"/>
  <c r="BB102" i="8"/>
  <c r="BF102" i="8"/>
  <c r="BJ102" i="8"/>
  <c r="AP101" i="8"/>
  <c r="AV101" i="8" s="1"/>
  <c r="AV102" i="8" s="1"/>
  <c r="AV103" i="8" s="1"/>
  <c r="BE101" i="8"/>
  <c r="BI101" i="8"/>
  <c r="BM101" i="8"/>
  <c r="AN102" i="8"/>
  <c r="BC102" i="8"/>
  <c r="BG102" i="8"/>
  <c r="BK102" i="8"/>
  <c r="AM103" i="8"/>
  <c r="BC103" i="8"/>
  <c r="BG103" i="8"/>
  <c r="BK103" i="8"/>
  <c r="AM101" i="8"/>
  <c r="AQ101" i="8" s="1"/>
  <c r="AQ102" i="8" s="1"/>
  <c r="AQ103" i="8" s="1"/>
  <c r="BB101" i="8"/>
  <c r="BF101" i="8"/>
  <c r="AO102" i="8"/>
  <c r="BD102" i="8"/>
  <c r="BH102" i="8"/>
  <c r="AN103" i="8"/>
  <c r="BD103" i="8"/>
  <c r="BH103" i="8"/>
  <c r="BM98" i="8"/>
  <c r="BE98" i="8"/>
  <c r="BH98" i="8"/>
  <c r="BH99" i="8"/>
  <c r="BB98" i="8"/>
  <c r="BF98" i="8"/>
  <c r="BI98" i="8"/>
  <c r="AM99" i="8"/>
  <c r="BJ99" i="8"/>
  <c r="BF99" i="8"/>
  <c r="BK99" i="8"/>
  <c r="AB98" i="8"/>
  <c r="AA98" i="8" s="1"/>
  <c r="L97" i="6" s="1"/>
  <c r="BD98" i="8"/>
  <c r="BL98" i="8"/>
  <c r="AO98" i="8"/>
  <c r="AT98" i="8" s="1"/>
  <c r="AP98" i="8"/>
  <c r="AV98" i="8" s="1"/>
  <c r="BJ98" i="8"/>
  <c r="AN99" i="8"/>
  <c r="AM100" i="8"/>
  <c r="BC100" i="8"/>
  <c r="BG100" i="8"/>
  <c r="BK100" i="8"/>
  <c r="AM98" i="8"/>
  <c r="AQ98" i="8" s="1"/>
  <c r="AN100" i="8"/>
  <c r="BD100" i="8"/>
  <c r="BH100" i="8"/>
  <c r="BL100" i="8"/>
  <c r="AN98" i="8"/>
  <c r="AR98" i="8" s="1"/>
  <c r="AY98" i="8"/>
  <c r="BC98" i="8"/>
  <c r="BG98" i="8"/>
  <c r="AP99" i="8"/>
  <c r="BE99" i="8"/>
  <c r="BI99" i="8"/>
  <c r="AO100" i="8"/>
  <c r="BE100" i="8"/>
  <c r="BI100" i="8"/>
  <c r="W96" i="8"/>
  <c r="Y96" i="8" s="1"/>
  <c r="BK96" i="8"/>
  <c r="AN96" i="8"/>
  <c r="BM95" i="8"/>
  <c r="AB95" i="8"/>
  <c r="W95" i="8"/>
  <c r="BF95" i="8"/>
  <c r="AY95" i="8"/>
  <c r="BG95" i="8"/>
  <c r="AN95" i="8"/>
  <c r="AR95" i="8" s="1"/>
  <c r="BB95" i="8"/>
  <c r="BJ95" i="8"/>
  <c r="AM95" i="8"/>
  <c r="AQ95" i="8" s="1"/>
  <c r="BC95" i="8"/>
  <c r="BK95" i="8"/>
  <c r="AO96" i="8"/>
  <c r="BD96" i="8"/>
  <c r="BH96" i="8"/>
  <c r="BL96" i="8"/>
  <c r="AM97" i="8"/>
  <c r="BK97" i="8"/>
  <c r="AO95" i="8"/>
  <c r="AT95" i="8" s="1"/>
  <c r="BD95" i="8"/>
  <c r="BH95" i="8"/>
  <c r="BL95" i="8"/>
  <c r="AP96" i="8"/>
  <c r="BE96" i="8"/>
  <c r="BI96" i="8"/>
  <c r="BM96" i="8"/>
  <c r="AN97" i="8"/>
  <c r="BD97" i="8"/>
  <c r="BH97" i="8"/>
  <c r="BL97" i="8"/>
  <c r="BG96" i="8"/>
  <c r="AP97" i="8"/>
  <c r="BB97" i="8"/>
  <c r="BF97" i="8"/>
  <c r="BJ97" i="8"/>
  <c r="BC97" i="8"/>
  <c r="BG97" i="8"/>
  <c r="AP95" i="8"/>
  <c r="AV95" i="8" s="1"/>
  <c r="BE95" i="8"/>
  <c r="BI95" i="8"/>
  <c r="AM96" i="8"/>
  <c r="BB96" i="8"/>
  <c r="BF96" i="8"/>
  <c r="AO97" i="8"/>
  <c r="BE97" i="8"/>
  <c r="BI97" i="8"/>
  <c r="A44" i="3"/>
  <c r="B44" i="3"/>
  <c r="C44" i="3"/>
  <c r="A41" i="3"/>
  <c r="B41" i="3"/>
  <c r="C41" i="3"/>
  <c r="A42" i="3"/>
  <c r="B42" i="3"/>
  <c r="C42" i="3"/>
  <c r="A43" i="3"/>
  <c r="B43" i="3"/>
  <c r="C43" i="3"/>
  <c r="A40" i="3"/>
  <c r="B40" i="3"/>
  <c r="C40" i="3"/>
  <c r="AB107" i="11" l="1"/>
  <c r="AL107" i="11" s="1"/>
  <c r="AN101" i="11"/>
  <c r="AQ104" i="11"/>
  <c r="AA107" i="8"/>
  <c r="L106" i="6" s="1"/>
  <c r="AC107" i="8"/>
  <c r="AE107" i="8" s="1"/>
  <c r="AI36" i="5" s="1"/>
  <c r="X104" i="8"/>
  <c r="AC104" i="8"/>
  <c r="AE104" i="8" s="1"/>
  <c r="AZ104" i="8" s="1"/>
  <c r="X101" i="8"/>
  <c r="AA101" i="8"/>
  <c r="L100" i="6" s="1"/>
  <c r="AT109" i="8"/>
  <c r="AC101" i="8"/>
  <c r="AE101" i="8" s="1"/>
  <c r="AH34" i="5" s="1"/>
  <c r="AV108" i="8"/>
  <c r="AV109" i="8" s="1"/>
  <c r="AT105" i="8"/>
  <c r="AT106" i="8" s="1"/>
  <c r="AT102" i="8"/>
  <c r="AT103" i="8" s="1"/>
  <c r="AT99" i="8"/>
  <c r="AT100" i="8" s="1"/>
  <c r="AH33" i="5"/>
  <c r="AI33" i="5"/>
  <c r="B103" i="13"/>
  <c r="B104" i="11" s="1"/>
  <c r="B18" i="22" s="1"/>
  <c r="B100" i="13"/>
  <c r="B101" i="11" s="1"/>
  <c r="B15" i="22" s="1"/>
  <c r="G12" i="22"/>
  <c r="AN98" i="11"/>
  <c r="AQ96" i="8"/>
  <c r="AQ97" i="8" s="1"/>
  <c r="AQ98" i="11"/>
  <c r="AP98" i="11"/>
  <c r="AN107" i="11"/>
  <c r="R95" i="11"/>
  <c r="AO101" i="11"/>
  <c r="AQ107" i="11"/>
  <c r="AO104" i="11"/>
  <c r="R102" i="11"/>
  <c r="AQ101" i="11"/>
  <c r="AO107" i="11"/>
  <c r="C13" i="23" s="1"/>
  <c r="C13" i="24" s="1"/>
  <c r="AP104" i="11"/>
  <c r="R108" i="11"/>
  <c r="R106" i="11"/>
  <c r="AM105" i="11"/>
  <c r="AC105" i="11"/>
  <c r="S105" i="11"/>
  <c r="AC103" i="11"/>
  <c r="AM103" i="11"/>
  <c r="S103" i="11"/>
  <c r="AM104" i="11"/>
  <c r="S104" i="11"/>
  <c r="AC104" i="11"/>
  <c r="S107" i="11"/>
  <c r="AC107" i="11"/>
  <c r="AM107" i="11"/>
  <c r="AP107" i="11"/>
  <c r="AN95" i="11"/>
  <c r="AM95" i="11"/>
  <c r="S95" i="11"/>
  <c r="AC95" i="11"/>
  <c r="AM97" i="11"/>
  <c r="S97" i="11"/>
  <c r="AC97" i="11"/>
  <c r="AM108" i="11"/>
  <c r="AC108" i="11"/>
  <c r="S108" i="11"/>
  <c r="AN104" i="11"/>
  <c r="Q98" i="11"/>
  <c r="R98" i="11" s="1"/>
  <c r="AB98" i="11" s="1"/>
  <c r="S101" i="11"/>
  <c r="AM101" i="11"/>
  <c r="AC101" i="11"/>
  <c r="AM106" i="11"/>
  <c r="AC106" i="11"/>
  <c r="S106" i="11"/>
  <c r="AM99" i="11"/>
  <c r="S99" i="11"/>
  <c r="AC99" i="11"/>
  <c r="S109" i="11"/>
  <c r="AM109" i="11"/>
  <c r="AC109" i="11"/>
  <c r="AP101" i="11"/>
  <c r="AD203" i="11"/>
  <c r="AA95" i="11"/>
  <c r="AM98" i="11"/>
  <c r="AC98" i="11"/>
  <c r="S98" i="11"/>
  <c r="AM102" i="11"/>
  <c r="S102" i="11"/>
  <c r="AC102" i="11"/>
  <c r="AM96" i="11"/>
  <c r="S96" i="11"/>
  <c r="AC96" i="11"/>
  <c r="AM100" i="11"/>
  <c r="AC100" i="11"/>
  <c r="S100" i="11"/>
  <c r="AO95" i="11"/>
  <c r="H9" i="22" s="1"/>
  <c r="AQ95" i="11"/>
  <c r="AT96" i="8"/>
  <c r="AT97" i="8" s="1"/>
  <c r="F12" i="26"/>
  <c r="G10" i="26" s="1"/>
  <c r="AV99" i="8"/>
  <c r="AV100" i="8" s="1"/>
  <c r="X96" i="8"/>
  <c r="AV96" i="8"/>
  <c r="AV97" i="8" s="1"/>
  <c r="AZ107" i="8"/>
  <c r="AF107" i="8"/>
  <c r="AG107" i="8" s="1"/>
  <c r="M106" i="6" s="1"/>
  <c r="AR108" i="8"/>
  <c r="AR109" i="8" s="1"/>
  <c r="AS109" i="8" s="1"/>
  <c r="AR105" i="8"/>
  <c r="AR106" i="8" s="1"/>
  <c r="AS106" i="8" s="1"/>
  <c r="AR102" i="8"/>
  <c r="AR103" i="8" s="1"/>
  <c r="AS103" i="8" s="1"/>
  <c r="AQ99" i="8"/>
  <c r="AQ100" i="8" s="1"/>
  <c r="AF98" i="8"/>
  <c r="AG98" i="8" s="1"/>
  <c r="M97" i="6" s="1"/>
  <c r="AR99" i="8"/>
  <c r="AR100" i="8" s="1"/>
  <c r="AR96" i="8"/>
  <c r="AR97" i="8" s="1"/>
  <c r="AS97" i="8" s="1"/>
  <c r="Y95" i="8"/>
  <c r="AC95" i="8" s="1"/>
  <c r="AE95" i="8" s="1"/>
  <c r="X95" i="8"/>
  <c r="AA95" i="8"/>
  <c r="L94" i="6" s="1"/>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10" i="8"/>
  <c r="W18" i="8"/>
  <c r="W30" i="8"/>
  <c r="W33" i="8"/>
  <c r="W36" i="8"/>
  <c r="W38" i="8"/>
  <c r="W39" i="8"/>
  <c r="L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X18" i="8"/>
  <c r="X30" i="8"/>
  <c r="X33" i="8"/>
  <c r="X36" i="8"/>
  <c r="X38" i="8"/>
  <c r="X39" i="8"/>
  <c r="V10" i="8"/>
  <c r="T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10" i="8"/>
  <c r="P10" i="8"/>
  <c r="D19" i="7"/>
  <c r="AP95" i="11" l="1"/>
  <c r="AA197" i="11"/>
  <c r="T203" i="11" s="1"/>
  <c r="D13" i="28" s="1"/>
  <c r="Q197" i="11"/>
  <c r="R197" i="11"/>
  <c r="H21" i="22"/>
  <c r="C13" i="25"/>
  <c r="AH36" i="5"/>
  <c r="AI35" i="5"/>
  <c r="AF104" i="8"/>
  <c r="AG104" i="8" s="1"/>
  <c r="M103" i="6" s="1"/>
  <c r="AH35" i="5"/>
  <c r="AZ101" i="8"/>
  <c r="AI34" i="5"/>
  <c r="AF101" i="8"/>
  <c r="AG101" i="8" s="1"/>
  <c r="M100" i="6" s="1"/>
  <c r="AU109" i="8"/>
  <c r="AW109" i="8" s="1"/>
  <c r="AX107" i="8" s="1"/>
  <c r="BA107" i="8" s="1"/>
  <c r="O106" i="6" s="1"/>
  <c r="AU103" i="8"/>
  <c r="AW103" i="8" s="1"/>
  <c r="AX101" i="8" s="1"/>
  <c r="BA101" i="8" s="1"/>
  <c r="O100" i="6" s="1"/>
  <c r="AU106" i="8"/>
  <c r="AW106" i="8" s="1"/>
  <c r="AX104" i="8" s="1"/>
  <c r="BA104" i="8" s="1"/>
  <c r="O103" i="6" s="1"/>
  <c r="K112" i="22"/>
  <c r="E15" i="25" s="1"/>
  <c r="E13" i="28"/>
  <c r="AB95" i="11"/>
  <c r="AL95" i="11" s="1"/>
  <c r="AL197" i="11" s="1"/>
  <c r="J203" i="11"/>
  <c r="C13" i="28" s="1"/>
  <c r="AO98" i="11"/>
  <c r="C9" i="25"/>
  <c r="C9" i="23"/>
  <c r="C9" i="24" s="1"/>
  <c r="AH32" i="5"/>
  <c r="AI32" i="5"/>
  <c r="G11" i="26"/>
  <c r="N12" i="26"/>
  <c r="P10" i="26" s="1"/>
  <c r="O12" i="26"/>
  <c r="P11" i="26" s="1"/>
  <c r="D12" i="26"/>
  <c r="E11" i="26" s="1"/>
  <c r="I12" i="26"/>
  <c r="J11" i="26" s="1"/>
  <c r="K12" i="26"/>
  <c r="M10" i="26" s="1"/>
  <c r="AS100" i="8"/>
  <c r="AU100" i="8" s="1"/>
  <c r="AW100" i="8" s="1"/>
  <c r="AX98" i="8" s="1"/>
  <c r="BA98" i="8" s="1"/>
  <c r="O97" i="6" s="1"/>
  <c r="L12" i="26"/>
  <c r="M11" i="26" s="1"/>
  <c r="C12" i="26"/>
  <c r="E10" i="26" s="1"/>
  <c r="H12" i="26"/>
  <c r="J10" i="26" s="1"/>
  <c r="T12" i="26"/>
  <c r="V10" i="26" s="1"/>
  <c r="U12" i="26"/>
  <c r="V11" i="26" s="1"/>
  <c r="R12" i="26"/>
  <c r="S11" i="26" s="1"/>
  <c r="Q12" i="26"/>
  <c r="S10" i="26" s="1"/>
  <c r="AG108" i="8"/>
  <c r="N106" i="6" s="1"/>
  <c r="AG105" i="8"/>
  <c r="N103" i="6" s="1"/>
  <c r="AG99" i="8"/>
  <c r="N97" i="6" s="1"/>
  <c r="AZ95" i="8"/>
  <c r="AF95" i="8"/>
  <c r="AG95" i="8" s="1"/>
  <c r="AU97" i="8"/>
  <c r="AW97" i="8" s="1"/>
  <c r="AX95" i="8" s="1"/>
  <c r="A6" i="19"/>
  <c r="AD202" i="11" l="1"/>
  <c r="E10" i="28" s="1"/>
  <c r="AB197" i="11"/>
  <c r="T202" i="11" s="1"/>
  <c r="D10" i="28" s="1"/>
  <c r="AG102" i="8"/>
  <c r="N100" i="6" s="1"/>
  <c r="I112" i="22"/>
  <c r="D15" i="25" s="1"/>
  <c r="G112" i="22"/>
  <c r="C15" i="25" s="1"/>
  <c r="J202" i="11"/>
  <c r="G111" i="22" s="1"/>
  <c r="C14" i="25" s="1"/>
  <c r="AG96" i="8"/>
  <c r="N94" i="6" s="1"/>
  <c r="M94" i="6"/>
  <c r="BA95" i="8"/>
  <c r="O94" i="6" s="1"/>
  <c r="B8" i="19"/>
  <c r="A6" i="18"/>
  <c r="A16" i="7"/>
  <c r="D20" i="7"/>
  <c r="D21" i="7" s="1"/>
  <c r="D22" i="7" s="1"/>
  <c r="D23" i="7" s="1"/>
  <c r="D24" i="7" s="1"/>
  <c r="F12" i="3"/>
  <c r="F13" i="3"/>
  <c r="F14" i="3"/>
  <c r="F15" i="3"/>
  <c r="F16" i="3"/>
  <c r="F17" i="3"/>
  <c r="F18" i="3"/>
  <c r="F19" i="3"/>
  <c r="F20" i="3"/>
  <c r="F11" i="3"/>
  <c r="C11" i="3"/>
  <c r="F10" i="3"/>
  <c r="C12" i="3"/>
  <c r="C13" i="3"/>
  <c r="C14" i="3"/>
  <c r="C15" i="3"/>
  <c r="C16" i="3"/>
  <c r="C17" i="3"/>
  <c r="C18" i="3"/>
  <c r="C19" i="3"/>
  <c r="C20" i="3"/>
  <c r="C10" i="3"/>
  <c r="K111" i="22" l="1"/>
  <c r="E14" i="25" s="1"/>
  <c r="I111" i="22"/>
  <c r="D14" i="25" s="1"/>
  <c r="C10" i="28"/>
  <c r="D25" i="7"/>
  <c r="D26" i="7" l="1"/>
  <c r="D27" i="7" s="1"/>
  <c r="D28" i="7" s="1"/>
  <c r="D29" i="7" s="1"/>
  <c r="D30" i="7" s="1"/>
  <c r="D31" i="7" s="1"/>
  <c r="D32" i="7" s="1"/>
  <c r="A9" i="2" s="1"/>
  <c r="B10" i="16"/>
  <c r="B11" i="16"/>
  <c r="B12" i="16"/>
  <c r="B13" i="16"/>
  <c r="B14" i="16"/>
  <c r="B15" i="16"/>
  <c r="B16" i="16"/>
  <c r="B17" i="16"/>
  <c r="B18" i="16"/>
  <c r="B9" i="16"/>
  <c r="B9" i="15"/>
  <c r="B10" i="15"/>
  <c r="B11" i="15"/>
  <c r="B12" i="15"/>
  <c r="B13" i="15"/>
  <c r="B14" i="15"/>
  <c r="B15" i="15"/>
  <c r="B16" i="15"/>
  <c r="B17" i="15"/>
  <c r="B18" i="15"/>
  <c r="AU7" i="11"/>
  <c r="AS7" i="11"/>
  <c r="AR7" i="11"/>
  <c r="AH10" i="11"/>
  <c r="K10" i="12" s="1"/>
  <c r="AH11" i="11"/>
  <c r="AH12" i="11"/>
  <c r="AK12" i="11" s="1"/>
  <c r="AH13" i="11"/>
  <c r="K13" i="12" s="1"/>
  <c r="AH14" i="11"/>
  <c r="K14" i="12" s="1"/>
  <c r="AH15" i="11"/>
  <c r="AK15" i="11" s="1"/>
  <c r="AH16" i="11"/>
  <c r="AH17" i="11"/>
  <c r="K17" i="12" s="1"/>
  <c r="AH18" i="11"/>
  <c r="AH19" i="11"/>
  <c r="AH20" i="11"/>
  <c r="AH21" i="11"/>
  <c r="K21" i="12" s="1"/>
  <c r="AH22" i="11"/>
  <c r="K22" i="12" s="1"/>
  <c r="AH23" i="11"/>
  <c r="AH24" i="11"/>
  <c r="AH25" i="11"/>
  <c r="K25" i="12" s="1"/>
  <c r="AH26" i="11"/>
  <c r="K26" i="12" s="1"/>
  <c r="AH27" i="11"/>
  <c r="AH28" i="11"/>
  <c r="AH29" i="11"/>
  <c r="K29" i="12" s="1"/>
  <c r="AH30" i="11"/>
  <c r="K30" i="12" s="1"/>
  <c r="AH31" i="11"/>
  <c r="AH32" i="11"/>
  <c r="AH33" i="11"/>
  <c r="K33" i="12" s="1"/>
  <c r="AH34" i="11"/>
  <c r="K34" i="12" s="1"/>
  <c r="AH35" i="11"/>
  <c r="AH36" i="11"/>
  <c r="AH37" i="11"/>
  <c r="K37" i="12" s="1"/>
  <c r="AH38" i="11"/>
  <c r="K38" i="12" s="1"/>
  <c r="N19" i="11"/>
  <c r="G19" i="12" s="1"/>
  <c r="N20" i="11"/>
  <c r="G20" i="12" s="1"/>
  <c r="N21" i="11"/>
  <c r="G21" i="12" s="1"/>
  <c r="N22" i="11"/>
  <c r="G22" i="12" s="1"/>
  <c r="N23" i="11"/>
  <c r="G23" i="12" s="1"/>
  <c r="N24" i="11"/>
  <c r="G24" i="12" s="1"/>
  <c r="N25" i="11"/>
  <c r="G25" i="12" s="1"/>
  <c r="N26" i="11"/>
  <c r="G26" i="12" s="1"/>
  <c r="N27" i="11"/>
  <c r="G27" i="12" s="1"/>
  <c r="N28" i="11"/>
  <c r="G28" i="12" s="1"/>
  <c r="N29" i="11"/>
  <c r="G29" i="12" s="1"/>
  <c r="N30" i="11"/>
  <c r="G30" i="12" s="1"/>
  <c r="N31" i="11"/>
  <c r="G31" i="12" s="1"/>
  <c r="N32" i="11"/>
  <c r="G32" i="12" s="1"/>
  <c r="N33" i="11"/>
  <c r="G33" i="12" s="1"/>
  <c r="N34" i="11"/>
  <c r="G34" i="12" s="1"/>
  <c r="N35" i="11"/>
  <c r="G35" i="12" s="1"/>
  <c r="N36" i="11"/>
  <c r="G36" i="12" s="1"/>
  <c r="N37" i="11"/>
  <c r="G37" i="12" s="1"/>
  <c r="N38" i="11"/>
  <c r="G38" i="12" s="1"/>
  <c r="X10" i="11"/>
  <c r="X11" i="11"/>
  <c r="X12" i="11"/>
  <c r="X13" i="11"/>
  <c r="X14" i="11"/>
  <c r="X16" i="11"/>
  <c r="X17" i="11"/>
  <c r="X18" i="11"/>
  <c r="X19" i="11"/>
  <c r="X20" i="11"/>
  <c r="X21" i="11"/>
  <c r="X22" i="11"/>
  <c r="X23" i="11"/>
  <c r="X24" i="11"/>
  <c r="X25" i="11"/>
  <c r="X26" i="11"/>
  <c r="X27" i="11"/>
  <c r="X28" i="11"/>
  <c r="X29" i="11"/>
  <c r="X30" i="11"/>
  <c r="X31" i="11"/>
  <c r="X32" i="11"/>
  <c r="X33" i="11"/>
  <c r="X34" i="11"/>
  <c r="X35" i="11"/>
  <c r="X36" i="11"/>
  <c r="X37" i="11"/>
  <c r="X38" i="11"/>
  <c r="E10" i="11"/>
  <c r="F10" i="11"/>
  <c r="E11" i="11"/>
  <c r="F11" i="11"/>
  <c r="E12" i="11"/>
  <c r="F12" i="11"/>
  <c r="E13" i="11"/>
  <c r="F13" i="11"/>
  <c r="E14" i="11"/>
  <c r="F14" i="11"/>
  <c r="E15" i="11"/>
  <c r="F15" i="11"/>
  <c r="N15" i="11" s="1"/>
  <c r="E16" i="11"/>
  <c r="F16" i="11"/>
  <c r="E17" i="11"/>
  <c r="F17" i="11"/>
  <c r="E18" i="11"/>
  <c r="F18" i="11"/>
  <c r="E19" i="11"/>
  <c r="F19" i="11"/>
  <c r="E20" i="11"/>
  <c r="F20" i="11"/>
  <c r="E21" i="11"/>
  <c r="F21" i="11"/>
  <c r="E22" i="11"/>
  <c r="F22" i="11"/>
  <c r="E23" i="11"/>
  <c r="F23" i="11"/>
  <c r="E24" i="11"/>
  <c r="F24" i="11"/>
  <c r="E25" i="11"/>
  <c r="F25" i="11"/>
  <c r="E26" i="11"/>
  <c r="F26" i="11"/>
  <c r="E27" i="11"/>
  <c r="F27" i="11"/>
  <c r="E28" i="11"/>
  <c r="F28" i="11"/>
  <c r="E29" i="11"/>
  <c r="F29" i="11"/>
  <c r="E30" i="11"/>
  <c r="F30" i="11"/>
  <c r="E31" i="11"/>
  <c r="F31" i="11"/>
  <c r="E32" i="11"/>
  <c r="F32" i="11"/>
  <c r="E33" i="11"/>
  <c r="F33" i="11"/>
  <c r="E34" i="11"/>
  <c r="F34" i="11"/>
  <c r="E35" i="11"/>
  <c r="F35" i="11"/>
  <c r="E36" i="11"/>
  <c r="F36" i="11"/>
  <c r="E37" i="11"/>
  <c r="F37" i="11"/>
  <c r="E38" i="11"/>
  <c r="F38" i="11"/>
  <c r="E9" i="11"/>
  <c r="F9" i="11"/>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D36" i="6"/>
  <c r="D33" i="6"/>
  <c r="D30" i="6"/>
  <c r="D27" i="6"/>
  <c r="D24" i="6"/>
  <c r="D21" i="6"/>
  <c r="D18" i="6"/>
  <c r="D15" i="6"/>
  <c r="D12" i="6"/>
  <c r="D9" i="6"/>
  <c r="C36" i="6"/>
  <c r="C33" i="6"/>
  <c r="C30" i="6"/>
  <c r="C27" i="6"/>
  <c r="C24" i="6"/>
  <c r="C21" i="6"/>
  <c r="C18" i="6"/>
  <c r="C15" i="6"/>
  <c r="C12" i="6"/>
  <c r="C9" i="6"/>
  <c r="B37" i="8"/>
  <c r="B34" i="8"/>
  <c r="B31" i="8"/>
  <c r="B28" i="8"/>
  <c r="B25" i="8"/>
  <c r="B22" i="8"/>
  <c r="B19" i="8"/>
  <c r="B16" i="8"/>
  <c r="B13" i="8"/>
  <c r="B10" i="8"/>
  <c r="B11" i="3"/>
  <c r="B13" i="3"/>
  <c r="B14" i="3"/>
  <c r="B15" i="3"/>
  <c r="B16" i="3"/>
  <c r="B17" i="3"/>
  <c r="B18" i="3"/>
  <c r="B19" i="3"/>
  <c r="B20" i="3"/>
  <c r="B12" i="3"/>
  <c r="A91" i="12"/>
  <c r="A38" i="16"/>
  <c r="A37" i="16"/>
  <c r="A18" i="16"/>
  <c r="A17" i="16"/>
  <c r="A16" i="16"/>
  <c r="A15" i="16"/>
  <c r="A14" i="16"/>
  <c r="A13" i="16"/>
  <c r="A12" i="16"/>
  <c r="A11" i="16"/>
  <c r="A10" i="16"/>
  <c r="A9" i="16"/>
  <c r="E8" i="16"/>
  <c r="D8" i="16"/>
  <c r="C8" i="16"/>
  <c r="A6" i="16"/>
  <c r="A10" i="15"/>
  <c r="A11" i="15"/>
  <c r="A12" i="15"/>
  <c r="A13" i="15"/>
  <c r="A14" i="15"/>
  <c r="A15" i="15"/>
  <c r="A16" i="15"/>
  <c r="A17" i="15"/>
  <c r="A18" i="15"/>
  <c r="A9" i="15"/>
  <c r="I36" i="12" l="1"/>
  <c r="I32" i="12"/>
  <c r="I28" i="12"/>
  <c r="I20" i="12"/>
  <c r="I16" i="12"/>
  <c r="I11" i="12"/>
  <c r="AK36" i="11"/>
  <c r="K36" i="12"/>
  <c r="AK32" i="11"/>
  <c r="K32" i="12"/>
  <c r="AK24" i="11"/>
  <c r="K24" i="12"/>
  <c r="AK20" i="11"/>
  <c r="K20" i="12"/>
  <c r="I35" i="12"/>
  <c r="I31" i="12"/>
  <c r="I27" i="12"/>
  <c r="I19" i="12"/>
  <c r="I14" i="12"/>
  <c r="I10" i="12"/>
  <c r="AK35" i="11"/>
  <c r="K35" i="12"/>
  <c r="AK31" i="11"/>
  <c r="K31" i="12"/>
  <c r="AK27" i="11"/>
  <c r="K27" i="12"/>
  <c r="AK19" i="11"/>
  <c r="K19" i="12"/>
  <c r="AK11" i="11"/>
  <c r="K11" i="12"/>
  <c r="I37" i="12"/>
  <c r="I33" i="12"/>
  <c r="I29" i="12"/>
  <c r="I25" i="12"/>
  <c r="I21" i="12"/>
  <c r="I17" i="12"/>
  <c r="I24" i="12"/>
  <c r="AK28" i="11"/>
  <c r="K28" i="12"/>
  <c r="AK16" i="11"/>
  <c r="K16" i="12"/>
  <c r="I23" i="12"/>
  <c r="AK23" i="11"/>
  <c r="K23" i="12"/>
  <c r="AA11" i="11"/>
  <c r="I38" i="12"/>
  <c r="I34" i="12"/>
  <c r="I30" i="12"/>
  <c r="I26" i="12"/>
  <c r="I22" i="12"/>
  <c r="I13" i="12"/>
  <c r="AH9" i="11"/>
  <c r="AK9" i="11" s="1"/>
  <c r="K12" i="12"/>
  <c r="B9" i="6"/>
  <c r="AA35" i="11"/>
  <c r="AA31" i="11"/>
  <c r="AA27" i="11"/>
  <c r="AA23" i="11"/>
  <c r="AA19" i="11"/>
  <c r="X9" i="11"/>
  <c r="X15" i="11"/>
  <c r="Q37" i="11"/>
  <c r="Q33" i="11"/>
  <c r="Q29" i="11"/>
  <c r="Q25" i="11"/>
  <c r="Q21" i="11"/>
  <c r="Q17" i="11"/>
  <c r="Q13" i="11"/>
  <c r="AA38" i="11"/>
  <c r="AA34" i="11"/>
  <c r="AA30" i="11"/>
  <c r="AA26" i="11"/>
  <c r="AA22" i="11"/>
  <c r="AA14" i="11"/>
  <c r="AA10" i="11"/>
  <c r="Q36" i="11"/>
  <c r="Q32" i="11"/>
  <c r="Q28" i="11"/>
  <c r="Q24" i="11"/>
  <c r="Q20" i="11"/>
  <c r="Q16" i="11"/>
  <c r="AA37" i="11"/>
  <c r="AA33" i="11"/>
  <c r="AA29" i="11"/>
  <c r="AA25" i="11"/>
  <c r="AA21" i="11"/>
  <c r="AA17" i="11"/>
  <c r="AA13" i="11"/>
  <c r="Q35" i="11"/>
  <c r="Q31" i="11"/>
  <c r="Q27" i="11"/>
  <c r="Q23" i="11"/>
  <c r="Q19" i="11"/>
  <c r="Q11" i="11"/>
  <c r="Q38" i="11"/>
  <c r="Q34" i="11"/>
  <c r="Q30" i="11"/>
  <c r="Q26" i="11"/>
  <c r="Q22" i="11"/>
  <c r="Q14" i="11"/>
  <c r="Q10" i="11"/>
  <c r="AT6" i="11"/>
  <c r="AA36" i="11"/>
  <c r="AK34" i="11"/>
  <c r="AA32" i="11"/>
  <c r="AK30" i="11"/>
  <c r="AA28" i="11"/>
  <c r="AK26" i="11"/>
  <c r="AA24" i="11"/>
  <c r="AK22" i="11"/>
  <c r="AA20" i="11"/>
  <c r="AK18" i="11"/>
  <c r="AA16" i="11"/>
  <c r="AK14" i="11"/>
  <c r="AA12" i="11"/>
  <c r="AK10" i="11"/>
  <c r="B12" i="6"/>
  <c r="AK38" i="11"/>
  <c r="AT7" i="11"/>
  <c r="AK37" i="11"/>
  <c r="AK33" i="11"/>
  <c r="AK29" i="11"/>
  <c r="AK25" i="11"/>
  <c r="AK21" i="11"/>
  <c r="AK17" i="11"/>
  <c r="AQ15" i="11" s="1"/>
  <c r="AK13" i="11"/>
  <c r="E8" i="15"/>
  <c r="D8" i="15"/>
  <c r="C8" i="15"/>
  <c r="A38" i="15"/>
  <c r="A37" i="15"/>
  <c r="A6" i="15"/>
  <c r="A90" i="12"/>
  <c r="AU6" i="11" l="1"/>
  <c r="AX106" i="11" s="1"/>
  <c r="AK93" i="11"/>
  <c r="AQ18" i="11"/>
  <c r="AP36" i="11"/>
  <c r="AO21" i="11"/>
  <c r="C13" i="15" s="1"/>
  <c r="C13" i="16" s="1"/>
  <c r="AP27" i="11"/>
  <c r="AP12" i="11"/>
  <c r="AQ27" i="11"/>
  <c r="AQ30" i="11"/>
  <c r="AO27" i="11"/>
  <c r="AP21" i="11"/>
  <c r="AO24" i="11"/>
  <c r="AO33" i="11"/>
  <c r="AQ9" i="11"/>
  <c r="AQ24" i="11"/>
  <c r="AO30" i="11"/>
  <c r="AP30" i="11"/>
  <c r="AP33" i="11"/>
  <c r="AO36" i="11"/>
  <c r="AP24" i="11"/>
  <c r="AQ21" i="11"/>
  <c r="AQ12" i="11"/>
  <c r="AQ33" i="11"/>
  <c r="AQ36" i="11"/>
  <c r="AX20" i="11" l="1"/>
  <c r="AX18" i="11"/>
  <c r="AX19" i="11"/>
  <c r="AX17" i="11"/>
  <c r="AX102" i="11"/>
  <c r="AX36" i="11"/>
  <c r="AX34" i="11"/>
  <c r="AU104" i="11"/>
  <c r="AU116" i="11"/>
  <c r="AU128" i="11"/>
  <c r="AU140" i="11"/>
  <c r="AU152" i="11"/>
  <c r="AU164" i="11"/>
  <c r="AU176" i="11"/>
  <c r="AU188" i="11"/>
  <c r="AU12" i="11"/>
  <c r="E10" i="21" s="1"/>
  <c r="AU24" i="11"/>
  <c r="AU36" i="11"/>
  <c r="E18" i="21" s="1"/>
  <c r="AU48" i="11"/>
  <c r="AU60" i="11"/>
  <c r="AU72" i="11"/>
  <c r="AU84" i="11"/>
  <c r="AS98" i="11"/>
  <c r="AS110" i="11"/>
  <c r="AS122" i="11"/>
  <c r="AS134" i="11"/>
  <c r="AS146" i="11"/>
  <c r="AS158" i="11"/>
  <c r="AS170" i="11"/>
  <c r="AS182" i="11"/>
  <c r="AS194" i="11"/>
  <c r="AS30" i="11"/>
  <c r="D16" i="21" s="1"/>
  <c r="AS42" i="11"/>
  <c r="AS54" i="11"/>
  <c r="AS66" i="11"/>
  <c r="AS78" i="11"/>
  <c r="AS90" i="11"/>
  <c r="AR104" i="11"/>
  <c r="AR116" i="11"/>
  <c r="AR128" i="11"/>
  <c r="AR152" i="11"/>
  <c r="AR164" i="11"/>
  <c r="AR188" i="11"/>
  <c r="AR27" i="11"/>
  <c r="C15" i="21" s="1"/>
  <c r="AR39" i="11"/>
  <c r="AR63" i="11"/>
  <c r="AR87" i="11"/>
  <c r="AU107" i="11"/>
  <c r="AU119" i="11"/>
  <c r="AU131" i="11"/>
  <c r="AU143" i="11"/>
  <c r="AV143" i="11" s="1"/>
  <c r="AW143" i="11" s="1"/>
  <c r="AU155" i="11"/>
  <c r="AV155" i="11" s="1"/>
  <c r="AW155" i="11" s="1"/>
  <c r="AU167" i="11"/>
  <c r="AU179" i="11"/>
  <c r="AU191" i="11"/>
  <c r="AV191" i="11" s="1"/>
  <c r="AW191" i="11" s="1"/>
  <c r="AU15" i="11"/>
  <c r="E11" i="21" s="1"/>
  <c r="AU27" i="11"/>
  <c r="E15" i="21" s="1"/>
  <c r="AU39" i="11"/>
  <c r="AU51" i="11"/>
  <c r="AV51" i="11" s="1"/>
  <c r="AW51" i="11" s="1"/>
  <c r="AU63" i="11"/>
  <c r="AU75" i="11"/>
  <c r="AU87" i="11"/>
  <c r="AS101" i="11"/>
  <c r="AS113" i="11"/>
  <c r="AS125" i="11"/>
  <c r="AS137" i="11"/>
  <c r="AS149" i="11"/>
  <c r="AS161" i="11"/>
  <c r="AS173" i="11"/>
  <c r="AS185" i="11"/>
  <c r="AS95" i="11"/>
  <c r="AS21" i="11"/>
  <c r="D13" i="21" s="1"/>
  <c r="AS33" i="11"/>
  <c r="AS45" i="11"/>
  <c r="AS57" i="11"/>
  <c r="AS69" i="11"/>
  <c r="AS81" i="11"/>
  <c r="AR119" i="11"/>
  <c r="AR167" i="11"/>
  <c r="AR179" i="11"/>
  <c r="AR191" i="11"/>
  <c r="AR30" i="11"/>
  <c r="C16" i="15" s="1"/>
  <c r="C16" i="16" s="1"/>
  <c r="AR42" i="11"/>
  <c r="AR66" i="11"/>
  <c r="AR90" i="11"/>
  <c r="C36" i="15" s="1"/>
  <c r="C36" i="16" s="1"/>
  <c r="AU110" i="11"/>
  <c r="AU134" i="11"/>
  <c r="AU158" i="11"/>
  <c r="AU182" i="11"/>
  <c r="AU18" i="11"/>
  <c r="E12" i="21" s="1"/>
  <c r="AU42" i="11"/>
  <c r="AU66" i="11"/>
  <c r="AU90" i="11"/>
  <c r="E36" i="15" s="1"/>
  <c r="E36" i="16" s="1"/>
  <c r="AS116" i="11"/>
  <c r="AS140" i="11"/>
  <c r="AS164" i="11"/>
  <c r="AS188" i="11"/>
  <c r="AS24" i="11"/>
  <c r="D14" i="21" s="1"/>
  <c r="AS48" i="11"/>
  <c r="AS72" i="11"/>
  <c r="AR98" i="11"/>
  <c r="AR113" i="11"/>
  <c r="AR182" i="11"/>
  <c r="AR69" i="11"/>
  <c r="AU113" i="11"/>
  <c r="AU137" i="11"/>
  <c r="AV137" i="11" s="1"/>
  <c r="AW137" i="11" s="1"/>
  <c r="AU161" i="11"/>
  <c r="AV161" i="11" s="1"/>
  <c r="AW161" i="11" s="1"/>
  <c r="AU185" i="11"/>
  <c r="AU21" i="11"/>
  <c r="E13" i="21" s="1"/>
  <c r="AU45" i="11"/>
  <c r="AV45" i="11" s="1"/>
  <c r="AW45" i="11" s="1"/>
  <c r="AU69" i="11"/>
  <c r="AV69" i="11" s="1"/>
  <c r="AW69" i="11" s="1"/>
  <c r="AU9" i="11"/>
  <c r="E9" i="21" s="1"/>
  <c r="AS119" i="11"/>
  <c r="AS143" i="11"/>
  <c r="AS167" i="11"/>
  <c r="AS191" i="11"/>
  <c r="AS27" i="11"/>
  <c r="D15" i="21" s="1"/>
  <c r="AS51" i="11"/>
  <c r="AS75" i="11"/>
  <c r="AR101" i="11"/>
  <c r="AR122" i="11"/>
  <c r="AR170" i="11"/>
  <c r="AU98" i="11"/>
  <c r="AV98" i="11" s="1"/>
  <c r="AW98" i="11" s="1"/>
  <c r="F10" i="23" s="1"/>
  <c r="F10" i="24" s="1"/>
  <c r="AU122" i="11"/>
  <c r="AU146" i="11"/>
  <c r="AU170" i="11"/>
  <c r="AV170" i="11" s="1"/>
  <c r="AW170" i="11" s="1"/>
  <c r="AU194" i="11"/>
  <c r="AV194" i="11" s="1"/>
  <c r="AW194" i="11" s="1"/>
  <c r="AU30" i="11"/>
  <c r="E16" i="21" s="1"/>
  <c r="AU54" i="11"/>
  <c r="AU78" i="11"/>
  <c r="AV78" i="11" s="1"/>
  <c r="AW78" i="11" s="1"/>
  <c r="AS104" i="11"/>
  <c r="AS128" i="11"/>
  <c r="AS152" i="11"/>
  <c r="AS176" i="11"/>
  <c r="AV176" i="11" s="1"/>
  <c r="AW176" i="11" s="1"/>
  <c r="AS12" i="11"/>
  <c r="D10" i="21" s="1"/>
  <c r="AS36" i="11"/>
  <c r="D18" i="21" s="1"/>
  <c r="AS60" i="11"/>
  <c r="AS84" i="11"/>
  <c r="AR125" i="11"/>
  <c r="AR194" i="11"/>
  <c r="AR45" i="11"/>
  <c r="AU101" i="11"/>
  <c r="AV101" i="11" s="1"/>
  <c r="AW101" i="11" s="1"/>
  <c r="AU125" i="11"/>
  <c r="AU149" i="11"/>
  <c r="AU173" i="11"/>
  <c r="AU95" i="11"/>
  <c r="AU33" i="11"/>
  <c r="E17" i="21" s="1"/>
  <c r="AU57" i="11"/>
  <c r="AU81" i="11"/>
  <c r="AV81" i="11" s="1"/>
  <c r="AW81" i="11" s="1"/>
  <c r="AS107" i="11"/>
  <c r="AS131" i="11"/>
  <c r="AS155" i="11"/>
  <c r="AS179" i="11"/>
  <c r="AS39" i="11"/>
  <c r="AV39" i="11" s="1"/>
  <c r="AW39" i="11" s="1"/>
  <c r="AS63" i="11"/>
  <c r="AS87" i="11"/>
  <c r="AR24" i="11"/>
  <c r="C14" i="21" s="1"/>
  <c r="AR48" i="11"/>
  <c r="AR60" i="11"/>
  <c r="AX35" i="11"/>
  <c r="AX33" i="11"/>
  <c r="AX101" i="11"/>
  <c r="E14" i="21"/>
  <c r="AX150" i="11"/>
  <c r="AX151" i="11"/>
  <c r="AX152" i="11"/>
  <c r="AX154" i="11"/>
  <c r="AX159" i="11"/>
  <c r="AX162" i="11"/>
  <c r="AX168" i="11"/>
  <c r="AX171" i="11"/>
  <c r="AX176" i="11"/>
  <c r="AX179" i="11"/>
  <c r="AX182" i="11"/>
  <c r="AX185" i="11"/>
  <c r="AX187" i="11"/>
  <c r="AX110" i="11"/>
  <c r="AX112" i="11"/>
  <c r="AV113" i="11"/>
  <c r="AW113" i="11" s="1"/>
  <c r="AX126" i="11"/>
  <c r="AX132" i="11"/>
  <c r="AX135" i="11"/>
  <c r="AX142" i="11"/>
  <c r="AX146" i="11"/>
  <c r="AX92" i="11"/>
  <c r="AX60" i="11"/>
  <c r="AX62" i="11"/>
  <c r="AX63" i="11"/>
  <c r="AX71" i="11"/>
  <c r="AV84" i="11"/>
  <c r="AW84" i="11" s="1"/>
  <c r="AX87" i="11"/>
  <c r="AX41" i="11"/>
  <c r="AX42" i="11"/>
  <c r="AX47" i="11"/>
  <c r="AX48" i="11"/>
  <c r="AX50" i="11"/>
  <c r="AX53" i="11"/>
  <c r="AX55" i="11"/>
  <c r="AX58" i="11"/>
  <c r="AX149" i="11"/>
  <c r="AX153" i="11"/>
  <c r="AX155" i="11"/>
  <c r="AX167" i="11"/>
  <c r="AX173" i="11"/>
  <c r="AX177" i="11"/>
  <c r="AX178" i="11"/>
  <c r="AX184" i="11"/>
  <c r="AX186" i="11"/>
  <c r="AX188" i="11"/>
  <c r="AX189" i="11"/>
  <c r="AX191" i="11"/>
  <c r="AX192" i="11"/>
  <c r="AX193" i="11"/>
  <c r="AV116" i="11"/>
  <c r="AW116" i="11" s="1"/>
  <c r="AX121" i="11"/>
  <c r="AX122" i="11"/>
  <c r="AX124" i="11"/>
  <c r="AX125" i="11"/>
  <c r="AX127" i="11"/>
  <c r="AX128" i="11"/>
  <c r="AX129" i="11"/>
  <c r="AX130" i="11"/>
  <c r="AX136" i="11"/>
  <c r="AX163" i="11"/>
  <c r="AX169" i="11"/>
  <c r="AX170" i="11"/>
  <c r="AX174" i="11"/>
  <c r="AX180" i="11"/>
  <c r="AX181" i="11"/>
  <c r="AX183" i="11"/>
  <c r="AX190" i="11"/>
  <c r="AX194" i="11"/>
  <c r="AX195" i="11"/>
  <c r="AX196" i="11"/>
  <c r="AX115" i="11"/>
  <c r="AX131" i="11"/>
  <c r="AX140" i="11"/>
  <c r="AX90" i="11"/>
  <c r="AX65" i="11"/>
  <c r="AX66" i="11"/>
  <c r="AX70" i="11"/>
  <c r="AX72" i="11"/>
  <c r="AX74" i="11"/>
  <c r="AX76" i="11"/>
  <c r="AX82" i="11"/>
  <c r="AX88" i="11"/>
  <c r="AX46" i="11"/>
  <c r="AX166" i="11"/>
  <c r="AX111" i="11"/>
  <c r="AX113" i="11"/>
  <c r="AX114" i="11"/>
  <c r="AX123" i="11"/>
  <c r="AX133" i="11"/>
  <c r="AX137" i="11"/>
  <c r="AX139" i="11"/>
  <c r="AX141" i="11"/>
  <c r="AX148" i="11"/>
  <c r="AX61" i="11"/>
  <c r="AX64" i="11"/>
  <c r="AV66" i="11"/>
  <c r="AW66" i="11" s="1"/>
  <c r="AX68" i="11"/>
  <c r="AX75" i="11"/>
  <c r="AX80" i="11"/>
  <c r="AX86" i="11"/>
  <c r="AX44" i="11"/>
  <c r="AX45" i="11"/>
  <c r="AX52" i="11"/>
  <c r="AX59" i="11"/>
  <c r="AX161" i="11"/>
  <c r="AX175" i="11"/>
  <c r="AX119" i="11"/>
  <c r="AX143" i="11"/>
  <c r="AX144" i="11"/>
  <c r="AX145" i="11"/>
  <c r="AX147" i="11"/>
  <c r="AX91" i="11"/>
  <c r="AX67" i="11"/>
  <c r="AX73" i="11"/>
  <c r="AX77" i="11"/>
  <c r="AX78" i="11"/>
  <c r="AX79" i="11"/>
  <c r="AX84" i="11"/>
  <c r="AX89" i="11"/>
  <c r="AX39" i="11"/>
  <c r="AX49" i="11"/>
  <c r="AX56" i="11"/>
  <c r="AX156" i="11"/>
  <c r="AX160" i="11"/>
  <c r="AX164" i="11"/>
  <c r="AX165" i="11"/>
  <c r="AX172" i="11"/>
  <c r="AX116" i="11"/>
  <c r="AX117" i="11"/>
  <c r="AX118" i="11"/>
  <c r="AX120" i="11"/>
  <c r="AX134" i="11"/>
  <c r="AX138" i="11"/>
  <c r="AV63" i="11"/>
  <c r="AW63" i="11" s="1"/>
  <c r="AX69" i="11"/>
  <c r="AX81" i="11"/>
  <c r="AX83" i="11"/>
  <c r="AX85" i="11"/>
  <c r="AX40" i="11"/>
  <c r="AX43" i="11"/>
  <c r="AX51" i="11"/>
  <c r="AX54" i="11"/>
  <c r="AX57" i="11"/>
  <c r="AX157" i="11"/>
  <c r="AX158" i="11"/>
  <c r="AX32" i="11"/>
  <c r="AX16" i="11"/>
  <c r="AX31" i="11"/>
  <c r="AX15" i="11"/>
  <c r="AX30" i="11"/>
  <c r="AX14" i="11"/>
  <c r="AX29" i="11"/>
  <c r="AX13" i="11"/>
  <c r="AX97" i="11"/>
  <c r="AX107" i="11"/>
  <c r="AX104" i="11"/>
  <c r="AX109" i="11"/>
  <c r="AX105" i="11"/>
  <c r="AX28" i="11"/>
  <c r="AX12" i="11"/>
  <c r="AX27" i="11"/>
  <c r="AX11" i="11"/>
  <c r="AX26" i="11"/>
  <c r="AX10" i="11"/>
  <c r="AX25" i="11"/>
  <c r="AV27" i="11"/>
  <c r="AX95" i="11"/>
  <c r="AX99" i="11"/>
  <c r="AW203" i="11"/>
  <c r="F44" i="24" s="1"/>
  <c r="AX108" i="11"/>
  <c r="AX98" i="11"/>
  <c r="AV107" i="11"/>
  <c r="AW107" i="11" s="1"/>
  <c r="F13" i="23" s="1"/>
  <c r="F13" i="24" s="1"/>
  <c r="AX24" i="11"/>
  <c r="AX9" i="11"/>
  <c r="AX23" i="11"/>
  <c r="AX38" i="11"/>
  <c r="AX22" i="11"/>
  <c r="AX37" i="11"/>
  <c r="AX21" i="11"/>
  <c r="AX96" i="11"/>
  <c r="AX100" i="11"/>
  <c r="AX103" i="11"/>
  <c r="AW202" i="11"/>
  <c r="F43" i="23" s="1"/>
  <c r="C13" i="21"/>
  <c r="C16" i="21"/>
  <c r="C17" i="21"/>
  <c r="C17" i="15"/>
  <c r="C17" i="16" s="1"/>
  <c r="C15" i="15"/>
  <c r="C15" i="16" s="1"/>
  <c r="C18" i="21"/>
  <c r="C18" i="15"/>
  <c r="C18" i="16" s="1"/>
  <c r="AK198" i="11"/>
  <c r="AV24" i="11"/>
  <c r="V2" i="5"/>
  <c r="V9" i="5" s="1"/>
  <c r="W1" i="5"/>
  <c r="AV164" i="11" l="1"/>
  <c r="AW164" i="11" s="1"/>
  <c r="M78" i="22" s="1"/>
  <c r="N78" i="22" s="1"/>
  <c r="AV75" i="11"/>
  <c r="AW75" i="11" s="1"/>
  <c r="F31" i="15" s="1"/>
  <c r="F31" i="16" s="1"/>
  <c r="AV72" i="11"/>
  <c r="AW72" i="11" s="1"/>
  <c r="F30" i="15" s="1"/>
  <c r="F30" i="16" s="1"/>
  <c r="AV54" i="11"/>
  <c r="AW54" i="11" s="1"/>
  <c r="F24" i="15" s="1"/>
  <c r="F24" i="16" s="1"/>
  <c r="AV158" i="11"/>
  <c r="AW158" i="11" s="1"/>
  <c r="M72" i="22" s="1"/>
  <c r="N72" i="22" s="1"/>
  <c r="AV57" i="11"/>
  <c r="AW57" i="11" s="1"/>
  <c r="AV149" i="11"/>
  <c r="AW149" i="11" s="1"/>
  <c r="M63" i="22" s="1"/>
  <c r="N63" i="22" s="1"/>
  <c r="AV185" i="11"/>
  <c r="AW185" i="11" s="1"/>
  <c r="M99" i="22" s="1"/>
  <c r="N99" i="22" s="1"/>
  <c r="AV30" i="11"/>
  <c r="AV122" i="11"/>
  <c r="AW122" i="11" s="1"/>
  <c r="M36" i="22" s="1"/>
  <c r="N36" i="22" s="1"/>
  <c r="AV36" i="11"/>
  <c r="AV167" i="11"/>
  <c r="AW167" i="11" s="1"/>
  <c r="M81" i="22" s="1"/>
  <c r="N81" i="22" s="1"/>
  <c r="AV119" i="11"/>
  <c r="AW119" i="11" s="1"/>
  <c r="F17" i="23" s="1"/>
  <c r="F17" i="24" s="1"/>
  <c r="C14" i="15"/>
  <c r="C14" i="16" s="1"/>
  <c r="AV90" i="11"/>
  <c r="AW90" i="11" s="1"/>
  <c r="F36" i="15" s="1"/>
  <c r="F36" i="16" s="1"/>
  <c r="AV182" i="11"/>
  <c r="AW182" i="11" s="1"/>
  <c r="M96" i="22" s="1"/>
  <c r="N96" i="22" s="1"/>
  <c r="AV134" i="11"/>
  <c r="AW134" i="11" s="1"/>
  <c r="M48" i="22" s="1"/>
  <c r="N48" i="22" s="1"/>
  <c r="AV60" i="11"/>
  <c r="AW60" i="11" s="1"/>
  <c r="AV12" i="11"/>
  <c r="AV152" i="11"/>
  <c r="AW152" i="11" s="1"/>
  <c r="M66" i="22" s="1"/>
  <c r="N66" i="22" s="1"/>
  <c r="AV95" i="11"/>
  <c r="AW95" i="11" s="1"/>
  <c r="F9" i="23" s="1"/>
  <c r="F9" i="24" s="1"/>
  <c r="AV110" i="11"/>
  <c r="AW110" i="11" s="1"/>
  <c r="F14" i="23" s="1"/>
  <c r="F14" i="24" s="1"/>
  <c r="AV87" i="11"/>
  <c r="AW87" i="11" s="1"/>
  <c r="M87" i="12" s="1"/>
  <c r="N87" i="12" s="1"/>
  <c r="AV179" i="11"/>
  <c r="AW179" i="11" s="1"/>
  <c r="M93" i="22" s="1"/>
  <c r="N93" i="22" s="1"/>
  <c r="AV48" i="11"/>
  <c r="AW48" i="11" s="1"/>
  <c r="M48" i="12" s="1"/>
  <c r="N48" i="12" s="1"/>
  <c r="AV188" i="11"/>
  <c r="AW188" i="11" s="1"/>
  <c r="M102" i="22" s="1"/>
  <c r="N102" i="22" s="1"/>
  <c r="F15" i="25"/>
  <c r="G15" i="25" s="1"/>
  <c r="AV33" i="11"/>
  <c r="M111" i="22"/>
  <c r="M84" i="22"/>
  <c r="N84" i="22" s="1"/>
  <c r="F34" i="23"/>
  <c r="F34" i="24" s="1"/>
  <c r="D21" i="23"/>
  <c r="D21" i="24" s="1"/>
  <c r="J45" i="22"/>
  <c r="AT131" i="11"/>
  <c r="D41" i="23"/>
  <c r="D41" i="24" s="1"/>
  <c r="J105" i="22"/>
  <c r="AT191" i="11"/>
  <c r="E39" i="23"/>
  <c r="E39" i="24" s="1"/>
  <c r="L99" i="22"/>
  <c r="D32" i="23"/>
  <c r="D32" i="24" s="1"/>
  <c r="J78" i="22"/>
  <c r="AT164" i="11"/>
  <c r="C28" i="15"/>
  <c r="C28" i="16" s="1"/>
  <c r="H66" i="12"/>
  <c r="J39" i="22"/>
  <c r="D19" i="23"/>
  <c r="D19" i="24" s="1"/>
  <c r="AT125" i="11"/>
  <c r="C27" i="15"/>
  <c r="C27" i="16" s="1"/>
  <c r="H63" i="12"/>
  <c r="D42" i="23"/>
  <c r="D42" i="24" s="1"/>
  <c r="J108" i="22"/>
  <c r="AT194" i="11"/>
  <c r="F38" i="23"/>
  <c r="F38" i="24" s="1"/>
  <c r="AV131" i="11"/>
  <c r="AW131" i="11" s="1"/>
  <c r="M27" i="22"/>
  <c r="N27" i="22" s="1"/>
  <c r="F15" i="23"/>
  <c r="F15" i="24" s="1"/>
  <c r="C19" i="23"/>
  <c r="C19" i="24" s="1"/>
  <c r="H39" i="22"/>
  <c r="E10" i="23"/>
  <c r="E10" i="24" s="1"/>
  <c r="E10" i="25"/>
  <c r="L12" i="22"/>
  <c r="E29" i="15"/>
  <c r="E29" i="16" s="1"/>
  <c r="L69" i="12"/>
  <c r="D22" i="15"/>
  <c r="D22" i="16" s="1"/>
  <c r="J48" i="12"/>
  <c r="AT48" i="11"/>
  <c r="E22" i="23"/>
  <c r="E22" i="24" s="1"/>
  <c r="L48" i="22"/>
  <c r="D29" i="15"/>
  <c r="D29" i="16" s="1"/>
  <c r="J69" i="12"/>
  <c r="AT69" i="11"/>
  <c r="C19" i="15"/>
  <c r="C19" i="16" s="1"/>
  <c r="H39" i="12"/>
  <c r="D20" i="15"/>
  <c r="D20" i="16" s="1"/>
  <c r="J42" i="12"/>
  <c r="AT42" i="11"/>
  <c r="M51" i="22"/>
  <c r="N51" i="22" s="1"/>
  <c r="F23" i="23"/>
  <c r="F23" i="24" s="1"/>
  <c r="M33" i="22"/>
  <c r="N33" i="22" s="1"/>
  <c r="M57" i="22"/>
  <c r="N57" i="22" s="1"/>
  <c r="F25" i="23"/>
  <c r="F25" i="24" s="1"/>
  <c r="D35" i="15"/>
  <c r="D35" i="16" s="1"/>
  <c r="J87" i="12"/>
  <c r="AT87" i="11"/>
  <c r="D37" i="23"/>
  <c r="D37" i="24" s="1"/>
  <c r="J93" i="22"/>
  <c r="AT179" i="11"/>
  <c r="E33" i="15"/>
  <c r="E33" i="16" s="1"/>
  <c r="L81" i="12"/>
  <c r="E35" i="23"/>
  <c r="E35" i="24" s="1"/>
  <c r="L87" i="22"/>
  <c r="D34" i="15"/>
  <c r="D34" i="16" s="1"/>
  <c r="J84" i="12"/>
  <c r="AT84" i="11"/>
  <c r="D36" i="23"/>
  <c r="D36" i="24" s="1"/>
  <c r="J90" i="22"/>
  <c r="AT176" i="11"/>
  <c r="E32" i="15"/>
  <c r="E32" i="16" s="1"/>
  <c r="L78" i="12"/>
  <c r="E34" i="23"/>
  <c r="E34" i="24" s="1"/>
  <c r="L84" i="22"/>
  <c r="C34" i="23"/>
  <c r="C34" i="24" s="1"/>
  <c r="H84" i="22"/>
  <c r="D23" i="15"/>
  <c r="D23" i="16" s="1"/>
  <c r="J51" i="12"/>
  <c r="AT51" i="11"/>
  <c r="D25" i="23"/>
  <c r="D25" i="24" s="1"/>
  <c r="J57" i="22"/>
  <c r="AT143" i="11"/>
  <c r="E21" i="15"/>
  <c r="E21" i="16" s="1"/>
  <c r="L45" i="12"/>
  <c r="E23" i="23"/>
  <c r="E23" i="24" s="1"/>
  <c r="L51" i="22"/>
  <c r="C15" i="23"/>
  <c r="C15" i="24" s="1"/>
  <c r="H27" i="22"/>
  <c r="D16" i="23"/>
  <c r="D16" i="24" s="1"/>
  <c r="J30" i="22"/>
  <c r="AT116" i="11"/>
  <c r="E14" i="23"/>
  <c r="E14" i="24" s="1"/>
  <c r="L24" i="22"/>
  <c r="H33" i="22"/>
  <c r="C17" i="23"/>
  <c r="C17" i="24" s="1"/>
  <c r="D25" i="15"/>
  <c r="D25" i="16" s="1"/>
  <c r="J57" i="12"/>
  <c r="AT57" i="11"/>
  <c r="D9" i="23"/>
  <c r="D9" i="24" s="1"/>
  <c r="AT95" i="11"/>
  <c r="D9" i="25"/>
  <c r="J9" i="22"/>
  <c r="J63" i="22"/>
  <c r="D27" i="23"/>
  <c r="D27" i="24" s="1"/>
  <c r="AT149" i="11"/>
  <c r="D11" i="23"/>
  <c r="D11" i="24" s="1"/>
  <c r="J15" i="22"/>
  <c r="D11" i="25"/>
  <c r="AT101" i="11"/>
  <c r="E23" i="15"/>
  <c r="E23" i="16" s="1"/>
  <c r="L51" i="12"/>
  <c r="L105" i="22"/>
  <c r="E41" i="23"/>
  <c r="E41" i="24" s="1"/>
  <c r="L57" i="22"/>
  <c r="E25" i="23"/>
  <c r="E25" i="24" s="1"/>
  <c r="C20" i="23"/>
  <c r="C20" i="24" s="1"/>
  <c r="H42" i="22"/>
  <c r="D32" i="15"/>
  <c r="D32" i="16" s="1"/>
  <c r="J78" i="12"/>
  <c r="AT78" i="11"/>
  <c r="D34" i="23"/>
  <c r="D34" i="24" s="1"/>
  <c r="J84" i="22"/>
  <c r="AT170" i="11"/>
  <c r="J36" i="22"/>
  <c r="D18" i="23"/>
  <c r="D18" i="24" s="1"/>
  <c r="AT122" i="11"/>
  <c r="E30" i="15"/>
  <c r="E30" i="16" s="1"/>
  <c r="L72" i="12"/>
  <c r="L78" i="22"/>
  <c r="E32" i="23"/>
  <c r="E32" i="24" s="1"/>
  <c r="L30" i="22"/>
  <c r="E16" i="23"/>
  <c r="E16" i="24" s="1"/>
  <c r="M90" i="22"/>
  <c r="N90" i="22" s="1"/>
  <c r="F36" i="23"/>
  <c r="F36" i="24" s="1"/>
  <c r="M108" i="22"/>
  <c r="N108" i="22" s="1"/>
  <c r="F42" i="23"/>
  <c r="F42" i="24" s="1"/>
  <c r="M105" i="22"/>
  <c r="N105" i="22" s="1"/>
  <c r="F41" i="23"/>
  <c r="F41" i="24" s="1"/>
  <c r="C22" i="15"/>
  <c r="C22" i="16" s="1"/>
  <c r="H48" i="12"/>
  <c r="D19" i="15"/>
  <c r="D19" i="16" s="1"/>
  <c r="J39" i="12"/>
  <c r="AT39" i="11"/>
  <c r="E19" i="23"/>
  <c r="E19" i="24" s="1"/>
  <c r="L39" i="22"/>
  <c r="C42" i="23"/>
  <c r="C42" i="24" s="1"/>
  <c r="H108" i="22"/>
  <c r="D20" i="23"/>
  <c r="D20" i="24" s="1"/>
  <c r="J42" i="22"/>
  <c r="AT128" i="11"/>
  <c r="E18" i="23"/>
  <c r="E18" i="24" s="1"/>
  <c r="L36" i="22"/>
  <c r="H15" i="22"/>
  <c r="C11" i="25"/>
  <c r="C11" i="23"/>
  <c r="C11" i="24" s="1"/>
  <c r="C29" i="15"/>
  <c r="C29" i="16" s="1"/>
  <c r="H69" i="12"/>
  <c r="D30" i="15"/>
  <c r="D30" i="16" s="1"/>
  <c r="J72" i="12"/>
  <c r="AT72" i="11"/>
  <c r="E28" i="15"/>
  <c r="E28" i="16" s="1"/>
  <c r="L66" i="12"/>
  <c r="E30" i="23"/>
  <c r="E30" i="24" s="1"/>
  <c r="L72" i="22"/>
  <c r="H93" i="22"/>
  <c r="C37" i="23"/>
  <c r="C37" i="24" s="1"/>
  <c r="D33" i="15"/>
  <c r="D33" i="16" s="1"/>
  <c r="J81" i="12"/>
  <c r="AT81" i="11"/>
  <c r="D35" i="23"/>
  <c r="D35" i="24" s="1"/>
  <c r="J87" i="22"/>
  <c r="AT173" i="11"/>
  <c r="E31" i="15"/>
  <c r="E31" i="16" s="1"/>
  <c r="L75" i="12"/>
  <c r="L81" i="22"/>
  <c r="E33" i="23"/>
  <c r="E33" i="24" s="1"/>
  <c r="L33" i="22"/>
  <c r="E17" i="23"/>
  <c r="E17" i="24" s="1"/>
  <c r="C32" i="23"/>
  <c r="C32" i="24" s="1"/>
  <c r="H78" i="22"/>
  <c r="C12" i="23"/>
  <c r="C12" i="24" s="1"/>
  <c r="H18" i="22"/>
  <c r="C12" i="25"/>
  <c r="D24" i="15"/>
  <c r="D24" i="16" s="1"/>
  <c r="J54" i="12"/>
  <c r="AT54" i="11"/>
  <c r="J60" i="22"/>
  <c r="D26" i="23"/>
  <c r="D26" i="24" s="1"/>
  <c r="AT146" i="11"/>
  <c r="D10" i="23"/>
  <c r="D10" i="24" s="1"/>
  <c r="D10" i="25"/>
  <c r="J12" i="22"/>
  <c r="AT98" i="11"/>
  <c r="E22" i="15"/>
  <c r="E22" i="16" s="1"/>
  <c r="L48" i="12"/>
  <c r="E40" i="23"/>
  <c r="E40" i="24" s="1"/>
  <c r="L102" i="22"/>
  <c r="L54" i="22"/>
  <c r="E24" i="23"/>
  <c r="E24" i="24" s="1"/>
  <c r="AV128" i="11"/>
  <c r="AW128" i="11" s="1"/>
  <c r="F33" i="23"/>
  <c r="F33" i="24" s="1"/>
  <c r="M75" i="22"/>
  <c r="N75" i="22" s="1"/>
  <c r="F31" i="23"/>
  <c r="F31" i="24" s="1"/>
  <c r="D13" i="23"/>
  <c r="D13" i="24" s="1"/>
  <c r="AT107" i="11"/>
  <c r="J21" i="22"/>
  <c r="D13" i="25"/>
  <c r="L9" i="22"/>
  <c r="E9" i="25"/>
  <c r="E9" i="23"/>
  <c r="E9" i="24" s="1"/>
  <c r="E11" i="23"/>
  <c r="E11" i="24" s="1"/>
  <c r="E11" i="25"/>
  <c r="L15" i="22"/>
  <c r="D12" i="23"/>
  <c r="D12" i="24" s="1"/>
  <c r="D12" i="25"/>
  <c r="J18" i="22"/>
  <c r="AT104" i="11"/>
  <c r="E42" i="23"/>
  <c r="E42" i="24" s="1"/>
  <c r="L108" i="22"/>
  <c r="D31" i="15"/>
  <c r="D31" i="16" s="1"/>
  <c r="J75" i="12"/>
  <c r="AT75" i="11"/>
  <c r="J81" i="22"/>
  <c r="D33" i="23"/>
  <c r="D33" i="24" s="1"/>
  <c r="AT167" i="11"/>
  <c r="E31" i="23"/>
  <c r="E31" i="24" s="1"/>
  <c r="L75" i="22"/>
  <c r="C38" i="23"/>
  <c r="C38" i="24" s="1"/>
  <c r="H96" i="22"/>
  <c r="D24" i="23"/>
  <c r="D24" i="24" s="1"/>
  <c r="J54" i="22"/>
  <c r="AT140" i="11"/>
  <c r="E20" i="15"/>
  <c r="E20" i="16" s="1"/>
  <c r="L42" i="12"/>
  <c r="C20" i="15"/>
  <c r="C20" i="16" s="1"/>
  <c r="H42" i="12"/>
  <c r="H81" i="22"/>
  <c r="C33" i="23"/>
  <c r="C33" i="24" s="1"/>
  <c r="J75" i="22"/>
  <c r="D31" i="23"/>
  <c r="D31" i="24" s="1"/>
  <c r="AT161" i="11"/>
  <c r="J27" i="22"/>
  <c r="D15" i="23"/>
  <c r="D15" i="24" s="1"/>
  <c r="AT113" i="11"/>
  <c r="E27" i="15"/>
  <c r="E27" i="16" s="1"/>
  <c r="L63" i="12"/>
  <c r="L69" i="22"/>
  <c r="E29" i="23"/>
  <c r="E29" i="24" s="1"/>
  <c r="L21" i="22"/>
  <c r="E13" i="23"/>
  <c r="E13" i="24" s="1"/>
  <c r="E13" i="25"/>
  <c r="C28" i="23"/>
  <c r="C28" i="24" s="1"/>
  <c r="H66" i="22"/>
  <c r="D36" i="15"/>
  <c r="D36" i="16" s="1"/>
  <c r="AT90" i="11"/>
  <c r="J96" i="22"/>
  <c r="D38" i="23"/>
  <c r="D38" i="24" s="1"/>
  <c r="AT182" i="11"/>
  <c r="J48" i="22"/>
  <c r="D22" i="23"/>
  <c r="D22" i="24" s="1"/>
  <c r="AT134" i="11"/>
  <c r="E34" i="15"/>
  <c r="E34" i="16" s="1"/>
  <c r="L84" i="12"/>
  <c r="E36" i="23"/>
  <c r="E36" i="24" s="1"/>
  <c r="L90" i="22"/>
  <c r="E20" i="23"/>
  <c r="E20" i="24" s="1"/>
  <c r="L42" i="22"/>
  <c r="D17" i="21"/>
  <c r="AV146" i="11"/>
  <c r="AW146" i="11" s="1"/>
  <c r="AV42" i="11"/>
  <c r="AW42" i="11" s="1"/>
  <c r="M42" i="12" s="1"/>
  <c r="N42" i="12" s="1"/>
  <c r="AV21" i="11"/>
  <c r="AV140" i="11"/>
  <c r="AW140" i="11" s="1"/>
  <c r="AV173" i="11"/>
  <c r="AW173" i="11" s="1"/>
  <c r="M30" i="22"/>
  <c r="N30" i="22" s="1"/>
  <c r="F16" i="23"/>
  <c r="F16" i="24" s="1"/>
  <c r="AV125" i="11"/>
  <c r="AW125" i="11" s="1"/>
  <c r="M69" i="22"/>
  <c r="N69" i="22" s="1"/>
  <c r="F29" i="23"/>
  <c r="F29" i="24" s="1"/>
  <c r="C26" i="15"/>
  <c r="C26" i="16" s="1"/>
  <c r="H60" i="12"/>
  <c r="D27" i="15"/>
  <c r="D27" i="16" s="1"/>
  <c r="J63" i="12"/>
  <c r="AT63" i="11"/>
  <c r="D29" i="23"/>
  <c r="D29" i="24" s="1"/>
  <c r="J69" i="22"/>
  <c r="AT155" i="11"/>
  <c r="E25" i="15"/>
  <c r="E25" i="16" s="1"/>
  <c r="L57" i="12"/>
  <c r="E27" i="23"/>
  <c r="E27" i="24" s="1"/>
  <c r="L63" i="22"/>
  <c r="C21" i="15"/>
  <c r="C21" i="16" s="1"/>
  <c r="H45" i="12"/>
  <c r="D26" i="15"/>
  <c r="D26" i="16" s="1"/>
  <c r="J60" i="12"/>
  <c r="AT60" i="11"/>
  <c r="D28" i="23"/>
  <c r="D28" i="24" s="1"/>
  <c r="J66" i="22"/>
  <c r="AT152" i="11"/>
  <c r="E24" i="15"/>
  <c r="E24" i="16" s="1"/>
  <c r="L54" i="12"/>
  <c r="E26" i="23"/>
  <c r="E26" i="24" s="1"/>
  <c r="L60" i="22"/>
  <c r="C18" i="23"/>
  <c r="C18" i="24" s="1"/>
  <c r="H36" i="22"/>
  <c r="D17" i="23"/>
  <c r="D17" i="24" s="1"/>
  <c r="J33" i="22"/>
  <c r="AT119" i="11"/>
  <c r="L27" i="22"/>
  <c r="E15" i="23"/>
  <c r="E15" i="24" s="1"/>
  <c r="C10" i="25"/>
  <c r="H12" i="22"/>
  <c r="C10" i="23"/>
  <c r="C10" i="24" s="1"/>
  <c r="D40" i="23"/>
  <c r="D40" i="24" s="1"/>
  <c r="J102" i="22"/>
  <c r="AT188" i="11"/>
  <c r="E38" i="23"/>
  <c r="E38" i="24" s="1"/>
  <c r="L96" i="22"/>
  <c r="H105" i="22"/>
  <c r="C41" i="23"/>
  <c r="C41" i="24" s="1"/>
  <c r="D21" i="15"/>
  <c r="D21" i="16" s="1"/>
  <c r="J45" i="12"/>
  <c r="AT45" i="11"/>
  <c r="J99" i="22"/>
  <c r="D39" i="23"/>
  <c r="D39" i="24" s="1"/>
  <c r="AT185" i="11"/>
  <c r="J51" i="22"/>
  <c r="D23" i="23"/>
  <c r="D23" i="24" s="1"/>
  <c r="AT137" i="11"/>
  <c r="E35" i="15"/>
  <c r="E35" i="16" s="1"/>
  <c r="L87" i="12"/>
  <c r="E19" i="15"/>
  <c r="E19" i="16" s="1"/>
  <c r="L39" i="12"/>
  <c r="E37" i="23"/>
  <c r="E37" i="24" s="1"/>
  <c r="L93" i="22"/>
  <c r="L45" i="22"/>
  <c r="E21" i="23"/>
  <c r="E21" i="24" s="1"/>
  <c r="C35" i="15"/>
  <c r="C35" i="16" s="1"/>
  <c r="H87" i="12"/>
  <c r="H102" i="22"/>
  <c r="C40" i="23"/>
  <c r="C40" i="24" s="1"/>
  <c r="C16" i="23"/>
  <c r="C16" i="24" s="1"/>
  <c r="H30" i="22"/>
  <c r="D28" i="15"/>
  <c r="D28" i="16" s="1"/>
  <c r="J66" i="12"/>
  <c r="AT66" i="11"/>
  <c r="J72" i="22"/>
  <c r="D30" i="23"/>
  <c r="D30" i="24" s="1"/>
  <c r="AT158" i="11"/>
  <c r="J24" i="22"/>
  <c r="D14" i="23"/>
  <c r="D14" i="24" s="1"/>
  <c r="AT110" i="11"/>
  <c r="E26" i="15"/>
  <c r="E26" i="16" s="1"/>
  <c r="L60" i="12"/>
  <c r="E28" i="23"/>
  <c r="E28" i="24" s="1"/>
  <c r="L66" i="22"/>
  <c r="L18" i="22"/>
  <c r="E12" i="23"/>
  <c r="E12" i="24" s="1"/>
  <c r="E12" i="25"/>
  <c r="AV104" i="11"/>
  <c r="AW104" i="11" s="1"/>
  <c r="F11" i="23"/>
  <c r="F11" i="24" s="1"/>
  <c r="F11" i="25"/>
  <c r="M54" i="12"/>
  <c r="N54" i="12" s="1"/>
  <c r="F35" i="15"/>
  <c r="F35" i="16" s="1"/>
  <c r="F19" i="15"/>
  <c r="F19" i="16" s="1"/>
  <c r="M39" i="12"/>
  <c r="N39" i="12" s="1"/>
  <c r="F23" i="15"/>
  <c r="F23" i="16" s="1"/>
  <c r="M51" i="12"/>
  <c r="N51" i="12" s="1"/>
  <c r="F33" i="15"/>
  <c r="F33" i="16" s="1"/>
  <c r="M81" i="12"/>
  <c r="N81" i="12" s="1"/>
  <c r="F29" i="15"/>
  <c r="F29" i="16" s="1"/>
  <c r="M69" i="12"/>
  <c r="N69" i="12" s="1"/>
  <c r="F27" i="15"/>
  <c r="F27" i="16" s="1"/>
  <c r="M63" i="12"/>
  <c r="N63" i="12" s="1"/>
  <c r="F28" i="15"/>
  <c r="F28" i="16" s="1"/>
  <c r="M66" i="12"/>
  <c r="N66" i="12" s="1"/>
  <c r="M75" i="12"/>
  <c r="N75" i="12" s="1"/>
  <c r="F21" i="15"/>
  <c r="F21" i="16" s="1"/>
  <c r="M45" i="12"/>
  <c r="N45" i="12" s="1"/>
  <c r="F25" i="15"/>
  <c r="F25" i="16" s="1"/>
  <c r="M57" i="12"/>
  <c r="N57" i="12" s="1"/>
  <c r="F26" i="15"/>
  <c r="F26" i="16" s="1"/>
  <c r="M60" i="12"/>
  <c r="N60" i="12" s="1"/>
  <c r="F32" i="15"/>
  <c r="F32" i="16" s="1"/>
  <c r="M78" i="12"/>
  <c r="N78" i="12" s="1"/>
  <c r="F34" i="15"/>
  <c r="F34" i="16" s="1"/>
  <c r="M84" i="12"/>
  <c r="N84" i="12" s="1"/>
  <c r="F10" i="28"/>
  <c r="F14" i="25"/>
  <c r="G14" i="25" s="1"/>
  <c r="F43" i="24"/>
  <c r="M15" i="22"/>
  <c r="N15" i="22" s="1"/>
  <c r="F10" i="25"/>
  <c r="F13" i="25"/>
  <c r="M112" i="22"/>
  <c r="F13" i="28"/>
  <c r="F44" i="23"/>
  <c r="M12" i="22"/>
  <c r="N12" i="22" s="1"/>
  <c r="M21" i="22"/>
  <c r="N21" i="22" s="1"/>
  <c r="W11" i="5"/>
  <c r="W4" i="5"/>
  <c r="V3" i="5"/>
  <c r="X7" i="5"/>
  <c r="V4" i="5"/>
  <c r="V8" i="5"/>
  <c r="X3" i="5"/>
  <c r="X5" i="5"/>
  <c r="W12" i="5"/>
  <c r="X8" i="5"/>
  <c r="V13" i="5"/>
  <c r="V5" i="5"/>
  <c r="W8" i="5"/>
  <c r="X12" i="5"/>
  <c r="X4" i="5"/>
  <c r="V12" i="5"/>
  <c r="W3" i="5"/>
  <c r="W7" i="5"/>
  <c r="X11" i="5"/>
  <c r="V11" i="5"/>
  <c r="V7" i="5"/>
  <c r="W14" i="5"/>
  <c r="W10" i="5"/>
  <c r="W6" i="5"/>
  <c r="X14" i="5"/>
  <c r="X10" i="5"/>
  <c r="X6" i="5"/>
  <c r="V14" i="5"/>
  <c r="V10" i="5"/>
  <c r="V6" i="5"/>
  <c r="W13" i="5"/>
  <c r="W9" i="5"/>
  <c r="W5" i="5"/>
  <c r="X13" i="5"/>
  <c r="X9" i="5"/>
  <c r="AI68" i="5" s="1"/>
  <c r="AV7" i="11"/>
  <c r="AX7" i="11" s="1"/>
  <c r="F32" i="23" l="1"/>
  <c r="F32" i="24" s="1"/>
  <c r="F30" i="23"/>
  <c r="F30" i="24" s="1"/>
  <c r="F18" i="23"/>
  <c r="F18" i="24" s="1"/>
  <c r="M72" i="12"/>
  <c r="N72" i="12" s="1"/>
  <c r="F28" i="23"/>
  <c r="F28" i="24" s="1"/>
  <c r="F37" i="23"/>
  <c r="F37" i="24" s="1"/>
  <c r="F39" i="23"/>
  <c r="F39" i="24" s="1"/>
  <c r="F27" i="23"/>
  <c r="F27" i="24" s="1"/>
  <c r="F40" i="23"/>
  <c r="F40" i="24" s="1"/>
  <c r="M24" i="22"/>
  <c r="N24" i="22" s="1"/>
  <c r="F22" i="23"/>
  <c r="F22" i="24" s="1"/>
  <c r="F20" i="15"/>
  <c r="F20" i="16" s="1"/>
  <c r="F9" i="25"/>
  <c r="F22" i="15"/>
  <c r="F22" i="16" s="1"/>
  <c r="M9" i="22"/>
  <c r="N9" i="22" s="1"/>
  <c r="M42" i="22"/>
  <c r="N42" i="22" s="1"/>
  <c r="F20" i="23"/>
  <c r="F20" i="24" s="1"/>
  <c r="M45" i="22"/>
  <c r="N45" i="22" s="1"/>
  <c r="F21" i="23"/>
  <c r="F21" i="24" s="1"/>
  <c r="F12" i="23"/>
  <c r="F12" i="24" s="1"/>
  <c r="F12" i="25"/>
  <c r="M18" i="22"/>
  <c r="N18" i="22" s="1"/>
  <c r="M87" i="22"/>
  <c r="N87" i="22" s="1"/>
  <c r="F35" i="23"/>
  <c r="F35" i="24" s="1"/>
  <c r="M60" i="22"/>
  <c r="N60" i="22" s="1"/>
  <c r="F26" i="23"/>
  <c r="F26" i="24" s="1"/>
  <c r="M54" i="22"/>
  <c r="N54" i="22" s="1"/>
  <c r="F24" i="23"/>
  <c r="F24" i="24" s="1"/>
  <c r="M39" i="22"/>
  <c r="N39" i="22" s="1"/>
  <c r="F19" i="23"/>
  <c r="F19" i="24" s="1"/>
  <c r="X2" i="5"/>
  <c r="T6" i="11" s="1"/>
  <c r="Y2" i="5"/>
  <c r="AD6" i="11" s="1"/>
  <c r="W2" i="5"/>
  <c r="J6" i="11" s="1"/>
  <c r="S7" i="19"/>
  <c r="H7" i="28"/>
  <c r="S7" i="27"/>
  <c r="X7" i="26"/>
  <c r="H7" i="25"/>
  <c r="H7" i="24"/>
  <c r="H7" i="23"/>
  <c r="O7" i="22"/>
  <c r="H7" i="21"/>
  <c r="X7" i="18"/>
  <c r="H7" i="16"/>
  <c r="O7" i="12"/>
  <c r="H7" i="15"/>
  <c r="C7" i="11"/>
  <c r="C6" i="11"/>
  <c r="C7" i="13"/>
  <c r="C6" i="13"/>
  <c r="G9" i="11"/>
  <c r="H10" i="11"/>
  <c r="AL10" i="11" s="1"/>
  <c r="H11" i="11"/>
  <c r="AL11" i="11" s="1"/>
  <c r="H12" i="11"/>
  <c r="H13" i="11"/>
  <c r="H14" i="11"/>
  <c r="H15" i="11"/>
  <c r="H16" i="11"/>
  <c r="AL16" i="11" s="1"/>
  <c r="H17" i="11"/>
  <c r="AL17" i="11" s="1"/>
  <c r="H18" i="11"/>
  <c r="H19" i="11"/>
  <c r="AL19" i="11" s="1"/>
  <c r="H20" i="11"/>
  <c r="AL20" i="11" s="1"/>
  <c r="H21" i="11"/>
  <c r="H22" i="11"/>
  <c r="AL22" i="11" s="1"/>
  <c r="H23" i="11"/>
  <c r="AL23" i="11" s="1"/>
  <c r="H24" i="11"/>
  <c r="AL24" i="11" s="1"/>
  <c r="H25" i="11"/>
  <c r="AL25" i="11" s="1"/>
  <c r="H26" i="11"/>
  <c r="AL26" i="11" s="1"/>
  <c r="H27" i="11"/>
  <c r="AL27" i="11" s="1"/>
  <c r="H28" i="11"/>
  <c r="AL28" i="11" s="1"/>
  <c r="H29" i="11"/>
  <c r="AL29" i="11" s="1"/>
  <c r="H30" i="11"/>
  <c r="AL30" i="11" s="1"/>
  <c r="H31" i="11"/>
  <c r="AL31" i="11" s="1"/>
  <c r="H32" i="11"/>
  <c r="AL32" i="11" s="1"/>
  <c r="H33" i="11"/>
  <c r="H34" i="11"/>
  <c r="AL34" i="11" s="1"/>
  <c r="H35" i="11"/>
  <c r="AL35" i="11" s="1"/>
  <c r="H36" i="11"/>
  <c r="AL36" i="11" s="1"/>
  <c r="H37" i="11"/>
  <c r="AL37" i="11" s="1"/>
  <c r="H38" i="11"/>
  <c r="AL38" i="11" s="1"/>
  <c r="H9" i="11"/>
  <c r="AL9" i="11" s="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10" i="11"/>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9" i="12"/>
  <c r="H6" i="11"/>
  <c r="E6" i="11"/>
  <c r="D10" i="11"/>
  <c r="C10" i="12" s="1"/>
  <c r="D11" i="11"/>
  <c r="C11" i="12" s="1"/>
  <c r="D12" i="11"/>
  <c r="C12" i="12" s="1"/>
  <c r="D13" i="11"/>
  <c r="C13" i="12" s="1"/>
  <c r="D14" i="11"/>
  <c r="C14" i="12" s="1"/>
  <c r="D15" i="11"/>
  <c r="C15" i="12" s="1"/>
  <c r="D16" i="11"/>
  <c r="C16" i="12" s="1"/>
  <c r="D17" i="11"/>
  <c r="C17" i="12" s="1"/>
  <c r="D18" i="11"/>
  <c r="C18" i="12" s="1"/>
  <c r="D19" i="11"/>
  <c r="C19" i="12" s="1"/>
  <c r="D20" i="11"/>
  <c r="C20" i="12" s="1"/>
  <c r="D21" i="11"/>
  <c r="C21" i="12" s="1"/>
  <c r="D22" i="11"/>
  <c r="C22" i="12" s="1"/>
  <c r="D23" i="11"/>
  <c r="C23" i="12" s="1"/>
  <c r="D24" i="11"/>
  <c r="C24" i="12" s="1"/>
  <c r="D25" i="11"/>
  <c r="C25" i="12" s="1"/>
  <c r="D26" i="11"/>
  <c r="C26" i="12" s="1"/>
  <c r="D27" i="11"/>
  <c r="C27" i="12" s="1"/>
  <c r="D28" i="11"/>
  <c r="C28" i="12" s="1"/>
  <c r="D29" i="11"/>
  <c r="C29" i="12" s="1"/>
  <c r="D30" i="11"/>
  <c r="C30" i="12" s="1"/>
  <c r="D31" i="11"/>
  <c r="C31" i="12" s="1"/>
  <c r="D32" i="11"/>
  <c r="C32" i="12" s="1"/>
  <c r="D33" i="11"/>
  <c r="C33" i="12" s="1"/>
  <c r="D34" i="11"/>
  <c r="C34" i="12" s="1"/>
  <c r="D35" i="11"/>
  <c r="C35" i="12" s="1"/>
  <c r="D36" i="11"/>
  <c r="C36" i="12" s="1"/>
  <c r="D37" i="11"/>
  <c r="C37" i="12" s="1"/>
  <c r="D38" i="11"/>
  <c r="C38" i="12" s="1"/>
  <c r="D9" i="11"/>
  <c r="C9" i="12" s="1"/>
  <c r="A6" i="13"/>
  <c r="R6" i="6"/>
  <c r="P6" i="6"/>
  <c r="J12" i="11" l="1"/>
  <c r="G12" i="12" s="1"/>
  <c r="I12" i="12"/>
  <c r="T9" i="11"/>
  <c r="I9" i="12" s="1"/>
  <c r="J9" i="11"/>
  <c r="G9" i="12" s="1"/>
  <c r="G18" i="12"/>
  <c r="K18" i="12"/>
  <c r="I18" i="12"/>
  <c r="G15" i="12"/>
  <c r="I15" i="12"/>
  <c r="K15" i="12"/>
  <c r="K9" i="12"/>
  <c r="R31" i="11"/>
  <c r="AB31" i="11"/>
  <c r="R27" i="11"/>
  <c r="AB27" i="11"/>
  <c r="R23" i="11"/>
  <c r="AB23" i="11"/>
  <c r="R19" i="11"/>
  <c r="AB19" i="11"/>
  <c r="R11" i="11"/>
  <c r="AB11" i="11"/>
  <c r="R37" i="11"/>
  <c r="AB37" i="11"/>
  <c r="R33" i="11"/>
  <c r="AB33" i="11"/>
  <c r="AL33" i="11" s="1"/>
  <c r="R29" i="11"/>
  <c r="AB29" i="11"/>
  <c r="R25" i="11"/>
  <c r="AB25" i="11"/>
  <c r="R21" i="11"/>
  <c r="AB21" i="11" s="1"/>
  <c r="AL21" i="11" s="1"/>
  <c r="R17" i="11"/>
  <c r="AB17" i="11"/>
  <c r="R13" i="11"/>
  <c r="AB13" i="11" s="1"/>
  <c r="AL13" i="11" s="1"/>
  <c r="R36" i="11"/>
  <c r="AB36" i="11"/>
  <c r="R32" i="11"/>
  <c r="AB32" i="11"/>
  <c r="R28" i="11"/>
  <c r="AB28" i="11"/>
  <c r="R24" i="11"/>
  <c r="AB24" i="11"/>
  <c r="R20" i="11"/>
  <c r="AB20" i="11"/>
  <c r="R16" i="11"/>
  <c r="AB16" i="11"/>
  <c r="R12" i="11"/>
  <c r="AB12" i="11" s="1"/>
  <c r="AL12" i="11" s="1"/>
  <c r="R35" i="11"/>
  <c r="AB35" i="11"/>
  <c r="R38" i="11"/>
  <c r="AB38" i="11"/>
  <c r="R34" i="11"/>
  <c r="AB34" i="11"/>
  <c r="R30" i="11"/>
  <c r="AB30" i="11"/>
  <c r="R26" i="11"/>
  <c r="AB26" i="11"/>
  <c r="R22" i="11"/>
  <c r="AB22" i="11"/>
  <c r="R14" i="11"/>
  <c r="AB14" i="11" s="1"/>
  <c r="AL14" i="11" s="1"/>
  <c r="R10" i="11"/>
  <c r="AB10" i="11"/>
  <c r="P6" i="19"/>
  <c r="G6" i="28"/>
  <c r="P6" i="27"/>
  <c r="G6" i="25"/>
  <c r="G6" i="24"/>
  <c r="W6" i="26"/>
  <c r="G6" i="23"/>
  <c r="M6" i="22"/>
  <c r="G6" i="21"/>
  <c r="S6" i="19"/>
  <c r="H6" i="28"/>
  <c r="S6" i="27"/>
  <c r="H6" i="24"/>
  <c r="X6" i="26"/>
  <c r="H6" i="25"/>
  <c r="H6" i="23"/>
  <c r="O6" i="22"/>
  <c r="H6" i="21"/>
  <c r="C6" i="28"/>
  <c r="C6" i="27"/>
  <c r="C6" i="26"/>
  <c r="C6" i="25"/>
  <c r="C6" i="24"/>
  <c r="C6" i="23"/>
  <c r="C6" i="22"/>
  <c r="C6" i="21"/>
  <c r="C7" i="12"/>
  <c r="C7" i="22"/>
  <c r="F35" i="12"/>
  <c r="F31" i="12"/>
  <c r="F27" i="12"/>
  <c r="F23" i="12"/>
  <c r="F19" i="12"/>
  <c r="F15" i="12"/>
  <c r="F11" i="12"/>
  <c r="F38" i="12"/>
  <c r="F34" i="12"/>
  <c r="F30" i="12"/>
  <c r="F26" i="12"/>
  <c r="F22" i="12"/>
  <c r="F18" i="12"/>
  <c r="F14" i="12"/>
  <c r="F37" i="12"/>
  <c r="F33" i="12"/>
  <c r="F29" i="12"/>
  <c r="F25" i="12"/>
  <c r="F21" i="12"/>
  <c r="F17" i="12"/>
  <c r="F13" i="12"/>
  <c r="F36" i="12"/>
  <c r="F32" i="12"/>
  <c r="F28" i="12"/>
  <c r="F24" i="12"/>
  <c r="F20" i="12"/>
  <c r="F16" i="12"/>
  <c r="F12" i="12"/>
  <c r="W6" i="18"/>
  <c r="F9" i="12"/>
  <c r="X6" i="18"/>
  <c r="C6" i="19"/>
  <c r="C6" i="18"/>
  <c r="H6" i="15"/>
  <c r="H6" i="16"/>
  <c r="C6" i="16"/>
  <c r="G6" i="16"/>
  <c r="F10" i="12"/>
  <c r="M6" i="12"/>
  <c r="G6" i="15"/>
  <c r="C6" i="12"/>
  <c r="C6" i="15"/>
  <c r="E38" i="12"/>
  <c r="E34" i="12"/>
  <c r="E30" i="12"/>
  <c r="E26" i="12"/>
  <c r="E22" i="12"/>
  <c r="E18" i="12"/>
  <c r="E14" i="12"/>
  <c r="E37" i="12"/>
  <c r="E33" i="12"/>
  <c r="E29" i="12"/>
  <c r="E25" i="12"/>
  <c r="E21" i="12"/>
  <c r="E17" i="12"/>
  <c r="E13" i="12"/>
  <c r="E36" i="12"/>
  <c r="E32" i="12"/>
  <c r="E28" i="12"/>
  <c r="E24" i="12"/>
  <c r="E20" i="12"/>
  <c r="E16" i="12"/>
  <c r="E12" i="12"/>
  <c r="E35" i="12"/>
  <c r="E31" i="12"/>
  <c r="E27" i="12"/>
  <c r="E23" i="12"/>
  <c r="E19" i="12"/>
  <c r="E15" i="12"/>
  <c r="I36" i="11"/>
  <c r="I32" i="11"/>
  <c r="I28" i="11"/>
  <c r="I24" i="11"/>
  <c r="I20" i="11"/>
  <c r="I16" i="11"/>
  <c r="I12" i="11"/>
  <c r="Q12" i="11" s="1"/>
  <c r="AO12" i="11" s="1"/>
  <c r="I35" i="11"/>
  <c r="I31" i="11"/>
  <c r="I27" i="11"/>
  <c r="I23" i="11"/>
  <c r="I19" i="11"/>
  <c r="I15" i="11"/>
  <c r="I38" i="11"/>
  <c r="I34" i="11"/>
  <c r="I30" i="11"/>
  <c r="I26" i="11"/>
  <c r="I22" i="11"/>
  <c r="I18" i="11"/>
  <c r="I14" i="11"/>
  <c r="I37" i="11"/>
  <c r="I33" i="11"/>
  <c r="I29" i="11"/>
  <c r="I25" i="11"/>
  <c r="I21" i="11"/>
  <c r="I17" i="11"/>
  <c r="I13" i="11"/>
  <c r="E10" i="12"/>
  <c r="E9" i="12"/>
  <c r="O6" i="12"/>
  <c r="I11" i="11"/>
  <c r="E11" i="12"/>
  <c r="I10" i="11"/>
  <c r="I9" i="11"/>
  <c r="I6" i="13"/>
  <c r="G6"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AR12" i="11" l="1"/>
  <c r="I93" i="11"/>
  <c r="S17" i="11"/>
  <c r="AM17" i="11"/>
  <c r="AC17" i="11"/>
  <c r="S33" i="11"/>
  <c r="AC33" i="11"/>
  <c r="AM33" i="11"/>
  <c r="AC22" i="11"/>
  <c r="AM22" i="11"/>
  <c r="S22" i="11"/>
  <c r="AM38" i="11"/>
  <c r="S38" i="11"/>
  <c r="AC38" i="11"/>
  <c r="AC19" i="11"/>
  <c r="AM19" i="11"/>
  <c r="S19" i="11"/>
  <c r="AC35" i="11"/>
  <c r="S35" i="11"/>
  <c r="AM35" i="11"/>
  <c r="AC9" i="11"/>
  <c r="AM9" i="11"/>
  <c r="S9" i="11"/>
  <c r="Q9" i="11"/>
  <c r="AO9" i="11" s="1"/>
  <c r="AR9" i="11" s="1"/>
  <c r="AA9" i="11"/>
  <c r="S13" i="11"/>
  <c r="AM13" i="11"/>
  <c r="AC13" i="11"/>
  <c r="S29" i="11"/>
  <c r="AM29" i="11"/>
  <c r="AC29" i="11"/>
  <c r="S18" i="11"/>
  <c r="AC18" i="11"/>
  <c r="AM18" i="11"/>
  <c r="Q18" i="11"/>
  <c r="R18" i="11" s="1"/>
  <c r="AA18" i="11"/>
  <c r="AP18" i="11" s="1"/>
  <c r="AS18" i="11" s="1"/>
  <c r="S34" i="11"/>
  <c r="AM34" i="11"/>
  <c r="AC34" i="11"/>
  <c r="AC15" i="11"/>
  <c r="AM15" i="11"/>
  <c r="S15" i="11"/>
  <c r="AA15" i="11"/>
  <c r="AP15" i="11" s="1"/>
  <c r="AS15" i="11" s="1"/>
  <c r="Q15" i="11"/>
  <c r="R15" i="11" s="1"/>
  <c r="AB15" i="11" s="1"/>
  <c r="AL15" i="11" s="1"/>
  <c r="AC31" i="11"/>
  <c r="AM31" i="11"/>
  <c r="S31" i="11"/>
  <c r="AM20" i="11"/>
  <c r="S20" i="11"/>
  <c r="AC20" i="11"/>
  <c r="AM36" i="11"/>
  <c r="AC36" i="11"/>
  <c r="S36" i="11"/>
  <c r="AC10" i="11"/>
  <c r="S10" i="11"/>
  <c r="AM10" i="11"/>
  <c r="AC11" i="11"/>
  <c r="AM11" i="11"/>
  <c r="S11" i="11"/>
  <c r="S25" i="11"/>
  <c r="AM25" i="11"/>
  <c r="AC25" i="11"/>
  <c r="S14" i="11"/>
  <c r="AM14" i="11"/>
  <c r="AC14" i="11"/>
  <c r="AM30" i="11"/>
  <c r="AC30" i="11"/>
  <c r="S30" i="11"/>
  <c r="AC27" i="11"/>
  <c r="AM27" i="11"/>
  <c r="S27" i="11"/>
  <c r="AC16" i="11"/>
  <c r="AM16" i="11"/>
  <c r="S16" i="11"/>
  <c r="AC32" i="11"/>
  <c r="S32" i="11"/>
  <c r="AM32" i="11"/>
  <c r="S21" i="11"/>
  <c r="AM21" i="11"/>
  <c r="AC21" i="11"/>
  <c r="S37" i="11"/>
  <c r="AC37" i="11"/>
  <c r="AM37" i="11"/>
  <c r="AC26" i="11"/>
  <c r="AM26" i="11"/>
  <c r="S26" i="11"/>
  <c r="AC23" i="11"/>
  <c r="AM23" i="11"/>
  <c r="S23" i="11"/>
  <c r="S12" i="11"/>
  <c r="AM12" i="11"/>
  <c r="AC12" i="11"/>
  <c r="S28" i="11"/>
  <c r="AM28" i="11"/>
  <c r="AC28" i="11"/>
  <c r="AM24" i="11"/>
  <c r="S24" i="11"/>
  <c r="AC24" i="11"/>
  <c r="AD201" i="11"/>
  <c r="E12" i="28" s="1"/>
  <c r="AN18" i="11"/>
  <c r="AN27" i="11"/>
  <c r="AN36" i="11"/>
  <c r="AN12" i="11"/>
  <c r="AN15" i="11"/>
  <c r="AN24" i="11"/>
  <c r="AN21" i="11"/>
  <c r="AN30" i="11"/>
  <c r="AN33" i="11"/>
  <c r="AN9" i="11"/>
  <c r="C10" i="21" l="1"/>
  <c r="C10" i="15"/>
  <c r="C10" i="16" s="1"/>
  <c r="AM93" i="11"/>
  <c r="AB9" i="11"/>
  <c r="AA93" i="11"/>
  <c r="AC93" i="11"/>
  <c r="AC198" i="11" s="1"/>
  <c r="R9" i="11"/>
  <c r="R93" i="11" s="1"/>
  <c r="Q93" i="11"/>
  <c r="S93" i="11"/>
  <c r="S198" i="11" s="1"/>
  <c r="AB18" i="11"/>
  <c r="AL18" i="11" s="1"/>
  <c r="AL93" i="11" s="1"/>
  <c r="AM198" i="11"/>
  <c r="D12" i="21"/>
  <c r="AP9" i="11"/>
  <c r="AO15" i="11"/>
  <c r="AO18" i="11"/>
  <c r="AV18" i="11" s="1"/>
  <c r="I198" i="11"/>
  <c r="AD206" i="11" s="1"/>
  <c r="E14" i="28" s="1"/>
  <c r="H33" i="12"/>
  <c r="H30" i="12"/>
  <c r="A6" i="12"/>
  <c r="AS9" i="11" l="1"/>
  <c r="AV9" i="11" s="1"/>
  <c r="AB93" i="11"/>
  <c r="AB198" i="11" s="1"/>
  <c r="T205" i="11" s="1"/>
  <c r="C12" i="21"/>
  <c r="C12" i="15"/>
  <c r="C12" i="16" s="1"/>
  <c r="C11" i="21"/>
  <c r="C11" i="15"/>
  <c r="C11" i="16" s="1"/>
  <c r="C9" i="21"/>
  <c r="C9" i="15"/>
  <c r="C9" i="16" s="1"/>
  <c r="D12" i="15"/>
  <c r="D12" i="16" s="1"/>
  <c r="J200" i="11"/>
  <c r="G90" i="12" s="1"/>
  <c r="H18" i="12"/>
  <c r="AA198" i="11"/>
  <c r="T206" i="11" s="1"/>
  <c r="D14" i="28" s="1"/>
  <c r="T201" i="11"/>
  <c r="D11" i="21"/>
  <c r="AV15" i="11"/>
  <c r="J201" i="11"/>
  <c r="C12" i="28" s="1"/>
  <c r="E18" i="15"/>
  <c r="E18" i="16" s="1"/>
  <c r="AT18" i="11"/>
  <c r="AW18" i="11"/>
  <c r="F12" i="21" s="1"/>
  <c r="J18" i="12"/>
  <c r="D9" i="15"/>
  <c r="D9" i="16" s="1"/>
  <c r="L36" i="12"/>
  <c r="D10" i="15"/>
  <c r="D10" i="16" s="1"/>
  <c r="J12" i="12"/>
  <c r="H36" i="12"/>
  <c r="E11" i="15"/>
  <c r="E11" i="16" s="1"/>
  <c r="L15" i="12"/>
  <c r="D14" i="15"/>
  <c r="D14" i="16" s="1"/>
  <c r="J24" i="12"/>
  <c r="H27" i="12"/>
  <c r="E16" i="15"/>
  <c r="E16" i="16" s="1"/>
  <c r="L30" i="12"/>
  <c r="D15" i="15"/>
  <c r="D15" i="16" s="1"/>
  <c r="J27" i="12"/>
  <c r="H12" i="12"/>
  <c r="E17" i="15"/>
  <c r="E17" i="16" s="1"/>
  <c r="L33" i="12"/>
  <c r="H9" i="12"/>
  <c r="L9" i="12"/>
  <c r="E9" i="15"/>
  <c r="E9" i="16" s="1"/>
  <c r="AT33" i="11"/>
  <c r="D17" i="15"/>
  <c r="D17" i="16" s="1"/>
  <c r="J33" i="12"/>
  <c r="AT15" i="11"/>
  <c r="D11" i="15"/>
  <c r="D11" i="16" s="1"/>
  <c r="J15" i="12"/>
  <c r="E15" i="15"/>
  <c r="E15" i="16" s="1"/>
  <c r="L27" i="12"/>
  <c r="E14" i="15"/>
  <c r="E14" i="16" s="1"/>
  <c r="L24" i="12"/>
  <c r="E13" i="15"/>
  <c r="E13" i="16" s="1"/>
  <c r="L21" i="12"/>
  <c r="H24" i="12"/>
  <c r="AT30" i="11"/>
  <c r="D16" i="15"/>
  <c r="D16" i="16" s="1"/>
  <c r="J30" i="12"/>
  <c r="H21" i="12"/>
  <c r="K91" i="12"/>
  <c r="E20" i="21" s="1"/>
  <c r="D13" i="15"/>
  <c r="D13" i="16" s="1"/>
  <c r="J21" i="12"/>
  <c r="D18" i="15"/>
  <c r="D18" i="16" s="1"/>
  <c r="J36" i="12"/>
  <c r="E12" i="15"/>
  <c r="E12" i="16" s="1"/>
  <c r="L18" i="12"/>
  <c r="E10" i="15"/>
  <c r="E10" i="16" s="1"/>
  <c r="L12" i="12"/>
  <c r="H15" i="12"/>
  <c r="AT12" i="11"/>
  <c r="AT21" i="11"/>
  <c r="AT24" i="11"/>
  <c r="AT27" i="11"/>
  <c r="AT36" i="11"/>
  <c r="AW36" i="11" s="1"/>
  <c r="F18" i="21" s="1"/>
  <c r="J9" i="12"/>
  <c r="C7" i="6"/>
  <c r="C6" i="6"/>
  <c r="A6" i="11"/>
  <c r="A8" i="7"/>
  <c r="N13" i="8"/>
  <c r="N14" i="8"/>
  <c r="N15" i="8"/>
  <c r="N16" i="8"/>
  <c r="N17" i="8"/>
  <c r="N18" i="8"/>
  <c r="N19" i="8"/>
  <c r="N20" i="8"/>
  <c r="N21" i="8"/>
  <c r="N22" i="8"/>
  <c r="N23" i="8"/>
  <c r="N24" i="8"/>
  <c r="N25" i="8"/>
  <c r="N26" i="8"/>
  <c r="N27" i="8"/>
  <c r="N28" i="8"/>
  <c r="N29" i="8"/>
  <c r="N30" i="8"/>
  <c r="N31" i="8"/>
  <c r="N32" i="8"/>
  <c r="N33" i="8"/>
  <c r="N34" i="8"/>
  <c r="N35" i="8"/>
  <c r="N36" i="8"/>
  <c r="N37" i="8"/>
  <c r="N38" i="8"/>
  <c r="N39" i="8"/>
  <c r="L13" i="8"/>
  <c r="L14" i="8"/>
  <c r="L15" i="8"/>
  <c r="L16" i="8"/>
  <c r="L17" i="8"/>
  <c r="W17" i="8" s="1"/>
  <c r="L18" i="8"/>
  <c r="L19" i="8"/>
  <c r="L20" i="8"/>
  <c r="L21" i="8"/>
  <c r="L22" i="8"/>
  <c r="W22" i="8" s="1"/>
  <c r="L23" i="8"/>
  <c r="L24" i="8"/>
  <c r="L25" i="8"/>
  <c r="W25" i="8" s="1"/>
  <c r="L26" i="8"/>
  <c r="L27" i="8"/>
  <c r="W27" i="8" s="1"/>
  <c r="L28" i="8"/>
  <c r="L29" i="8"/>
  <c r="L30" i="8"/>
  <c r="L31" i="8"/>
  <c r="L32" i="8"/>
  <c r="L33" i="8"/>
  <c r="L34" i="8"/>
  <c r="W34" i="8" s="1"/>
  <c r="L35" i="8"/>
  <c r="L36" i="8"/>
  <c r="L37" i="8"/>
  <c r="L38" i="8"/>
  <c r="L39" i="8"/>
  <c r="N12" i="8"/>
  <c r="N11" i="8"/>
  <c r="L11" i="8"/>
  <c r="L12" i="8"/>
  <c r="N10" i="8"/>
  <c r="C7" i="8"/>
  <c r="B7" i="2"/>
  <c r="C7" i="3"/>
  <c r="A6" i="8"/>
  <c r="A6" i="6"/>
  <c r="A6" i="3"/>
  <c r="A6" i="2"/>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G39" i="8"/>
  <c r="G38" i="8"/>
  <c r="G37" i="8"/>
  <c r="G36" i="8"/>
  <c r="G35" i="8"/>
  <c r="G34" i="8"/>
  <c r="X34" i="8" s="1"/>
  <c r="G33" i="8"/>
  <c r="G32" i="8"/>
  <c r="G31" i="8"/>
  <c r="G30" i="8"/>
  <c r="G29" i="8"/>
  <c r="G28" i="8"/>
  <c r="G27" i="8"/>
  <c r="G26" i="8"/>
  <c r="G25" i="8"/>
  <c r="G24" i="8"/>
  <c r="G23" i="8"/>
  <c r="G22" i="8"/>
  <c r="G21" i="8"/>
  <c r="G20" i="8"/>
  <c r="G19" i="8"/>
  <c r="G18" i="8"/>
  <c r="G17" i="8"/>
  <c r="G16" i="8"/>
  <c r="G15" i="8"/>
  <c r="G14" i="8"/>
  <c r="G13" i="8"/>
  <c r="G12" i="8"/>
  <c r="X12" i="8" s="1"/>
  <c r="G11" i="8"/>
  <c r="I10" i="8"/>
  <c r="G10" i="8"/>
  <c r="J39" i="8"/>
  <c r="J38" i="8"/>
  <c r="J37" i="8"/>
  <c r="J36" i="8"/>
  <c r="J35" i="8"/>
  <c r="J34" i="8"/>
  <c r="J33" i="8"/>
  <c r="J32" i="8"/>
  <c r="J31" i="8"/>
  <c r="J30" i="8"/>
  <c r="Z30" i="8" s="1"/>
  <c r="J29" i="8"/>
  <c r="J28" i="8"/>
  <c r="J27" i="8"/>
  <c r="J26" i="8"/>
  <c r="J25" i="8"/>
  <c r="J24" i="8"/>
  <c r="J23" i="8"/>
  <c r="J22" i="8"/>
  <c r="J21" i="8"/>
  <c r="J20" i="8"/>
  <c r="J19" i="8"/>
  <c r="J18" i="8"/>
  <c r="J17" i="8"/>
  <c r="J16" i="8"/>
  <c r="J15" i="8"/>
  <c r="J14" i="8"/>
  <c r="J13" i="8"/>
  <c r="J12" i="8"/>
  <c r="J11" i="8"/>
  <c r="J10" i="8"/>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9" i="6"/>
  <c r="AD16" i="8"/>
  <c r="AD38" i="8"/>
  <c r="AD37" i="8"/>
  <c r="AD35" i="8"/>
  <c r="AD34" i="8"/>
  <c r="AD32" i="8"/>
  <c r="AD31" i="8"/>
  <c r="AD29" i="8"/>
  <c r="AD28" i="8"/>
  <c r="AD26" i="8"/>
  <c r="AD25" i="8"/>
  <c r="AD23" i="8"/>
  <c r="AD22" i="8"/>
  <c r="AD20" i="8"/>
  <c r="AD19" i="8"/>
  <c r="AD17" i="8"/>
  <c r="AD14" i="8"/>
  <c r="AD13" i="8"/>
  <c r="AD11" i="8"/>
  <c r="I12" i="3"/>
  <c r="K12" i="3" s="1"/>
  <c r="I13" i="3"/>
  <c r="K13" i="3" s="1"/>
  <c r="I14" i="3"/>
  <c r="M14" i="3" s="1"/>
  <c r="I15" i="3"/>
  <c r="K15" i="3" s="1"/>
  <c r="I16" i="3"/>
  <c r="K16" i="3" s="1"/>
  <c r="I17" i="3"/>
  <c r="O17" i="3" s="1"/>
  <c r="I18" i="3"/>
  <c r="K18" i="3" s="1"/>
  <c r="I19" i="3"/>
  <c r="K19" i="3" s="1"/>
  <c r="I20" i="3"/>
  <c r="N20" i="3" s="1"/>
  <c r="I11" i="3"/>
  <c r="K11" i="3" s="1"/>
  <c r="H20" i="3"/>
  <c r="H36" i="6" s="1"/>
  <c r="H19" i="3"/>
  <c r="H33" i="6" s="1"/>
  <c r="H18" i="3"/>
  <c r="H30" i="6" s="1"/>
  <c r="H17" i="3"/>
  <c r="H27" i="6" s="1"/>
  <c r="H16" i="3"/>
  <c r="H24" i="6" s="1"/>
  <c r="H15" i="3"/>
  <c r="H21" i="6" s="1"/>
  <c r="H14" i="3"/>
  <c r="H18" i="6" s="1"/>
  <c r="H13" i="3"/>
  <c r="H15" i="6" s="1"/>
  <c r="H12" i="3"/>
  <c r="H12" i="6" s="1"/>
  <c r="H11" i="3"/>
  <c r="H9" i="6" s="1"/>
  <c r="E20" i="3"/>
  <c r="F36" i="6" s="1"/>
  <c r="E19" i="3"/>
  <c r="F33" i="6" s="1"/>
  <c r="E18" i="3"/>
  <c r="F30" i="6" s="1"/>
  <c r="E17" i="3"/>
  <c r="F27" i="6" s="1"/>
  <c r="E16" i="3"/>
  <c r="F24" i="6" s="1"/>
  <c r="E15" i="3"/>
  <c r="E14" i="3"/>
  <c r="F18" i="6" s="1"/>
  <c r="E13" i="3"/>
  <c r="F15" i="6" s="1"/>
  <c r="E12" i="3"/>
  <c r="F12" i="6" s="1"/>
  <c r="E11" i="3"/>
  <c r="F9" i="6" s="1"/>
  <c r="AD10" i="8"/>
  <c r="G9" i="6"/>
  <c r="G12" i="6"/>
  <c r="G15" i="6"/>
  <c r="G18" i="6"/>
  <c r="G21" i="6"/>
  <c r="G24" i="6"/>
  <c r="G27" i="6"/>
  <c r="G30" i="6"/>
  <c r="G33" i="6"/>
  <c r="G36" i="6"/>
  <c r="E36" i="6"/>
  <c r="E33" i="6"/>
  <c r="E30" i="6"/>
  <c r="E27" i="6"/>
  <c r="E24" i="6"/>
  <c r="E21" i="6"/>
  <c r="E18" i="6"/>
  <c r="E15" i="6"/>
  <c r="E12" i="6"/>
  <c r="E9" i="6"/>
  <c r="B6" i="2"/>
  <c r="J15" i="6"/>
  <c r="J16" i="6"/>
  <c r="J17" i="6"/>
  <c r="J18" i="6"/>
  <c r="J19" i="6"/>
  <c r="J20" i="6"/>
  <c r="J21" i="6"/>
  <c r="J22" i="6"/>
  <c r="J23" i="6"/>
  <c r="J24" i="6"/>
  <c r="J25" i="6"/>
  <c r="J26" i="6"/>
  <c r="J27" i="6"/>
  <c r="J28" i="6"/>
  <c r="J29" i="6"/>
  <c r="J30" i="6"/>
  <c r="J31" i="6"/>
  <c r="J32" i="6"/>
  <c r="J33" i="6"/>
  <c r="J34" i="6"/>
  <c r="J35" i="6"/>
  <c r="J36" i="6"/>
  <c r="J37" i="6"/>
  <c r="J38" i="6"/>
  <c r="J10" i="6"/>
  <c r="J12" i="6"/>
  <c r="J13" i="6"/>
  <c r="J14" i="6"/>
  <c r="B36" i="6"/>
  <c r="B33" i="6"/>
  <c r="A36" i="6"/>
  <c r="A36" i="13" s="1"/>
  <c r="A36" i="11" s="1"/>
  <c r="A34" i="8"/>
  <c r="A33" i="6" s="1"/>
  <c r="A33" i="13" s="1"/>
  <c r="A33" i="11" s="1"/>
  <c r="B30" i="6"/>
  <c r="B27" i="6"/>
  <c r="B24" i="6"/>
  <c r="B21" i="6"/>
  <c r="B18" i="6"/>
  <c r="B15" i="6"/>
  <c r="B12" i="13"/>
  <c r="B12" i="11" s="1"/>
  <c r="A31" i="8"/>
  <c r="A30" i="6" s="1"/>
  <c r="A30" i="13" s="1"/>
  <c r="A30" i="11" s="1"/>
  <c r="A28" i="8"/>
  <c r="A27" i="6" s="1"/>
  <c r="A27" i="13" s="1"/>
  <c r="A27" i="11" s="1"/>
  <c r="A25" i="8"/>
  <c r="A24" i="6" s="1"/>
  <c r="A24" i="13" s="1"/>
  <c r="A24" i="11" s="1"/>
  <c r="A22" i="8"/>
  <c r="A21" i="6" s="1"/>
  <c r="A21" i="13" s="1"/>
  <c r="A21" i="11" s="1"/>
  <c r="A19" i="8"/>
  <c r="A18" i="6" s="1"/>
  <c r="A18" i="13" s="1"/>
  <c r="A18" i="11" s="1"/>
  <c r="A16" i="8"/>
  <c r="A15" i="6" s="1"/>
  <c r="A15" i="13" s="1"/>
  <c r="A15" i="11" s="1"/>
  <c r="A13" i="8"/>
  <c r="A12" i="6" s="1"/>
  <c r="A12" i="13" s="1"/>
  <c r="A12" i="11" s="1"/>
  <c r="A13" i="3"/>
  <c r="A14" i="3"/>
  <c r="A15" i="3"/>
  <c r="F21" i="6"/>
  <c r="A16" i="3"/>
  <c r="A17" i="3"/>
  <c r="A18" i="3"/>
  <c r="A19" i="3"/>
  <c r="A20" i="3"/>
  <c r="C6" i="8"/>
  <c r="C6" i="3"/>
  <c r="J9" i="6"/>
  <c r="B9" i="13"/>
  <c r="B9" i="11" s="1"/>
  <c r="A10" i="8"/>
  <c r="A9" i="6" s="1"/>
  <c r="A9" i="13" s="1"/>
  <c r="A9" i="11" s="1"/>
  <c r="A12" i="3"/>
  <c r="A11" i="3"/>
  <c r="J11" i="6"/>
  <c r="M16" i="3"/>
  <c r="AT9" i="11" l="1"/>
  <c r="D9" i="21"/>
  <c r="W37" i="8"/>
  <c r="Y37" i="8" s="1"/>
  <c r="W32" i="8"/>
  <c r="Y32" i="8" s="1"/>
  <c r="W26" i="8"/>
  <c r="Y26" i="8" s="1"/>
  <c r="W24" i="8"/>
  <c r="Y24" i="8" s="1"/>
  <c r="X23" i="8"/>
  <c r="W21" i="8"/>
  <c r="Y21" i="8" s="1"/>
  <c r="X14" i="8"/>
  <c r="W14" i="8"/>
  <c r="Z14" i="8" s="1"/>
  <c r="X37" i="8"/>
  <c r="W35" i="8"/>
  <c r="Z35" i="8" s="1"/>
  <c r="X32" i="8"/>
  <c r="X31" i="8"/>
  <c r="W31" i="8"/>
  <c r="Z31" i="8" s="1"/>
  <c r="W29" i="8"/>
  <c r="Y29" i="8" s="1"/>
  <c r="X29" i="8"/>
  <c r="W28" i="8"/>
  <c r="Z28" i="8" s="1"/>
  <c r="Y27" i="8"/>
  <c r="X27" i="8"/>
  <c r="X25" i="8"/>
  <c r="W23" i="8"/>
  <c r="Y23" i="8" s="1"/>
  <c r="X22" i="8"/>
  <c r="X21" i="8"/>
  <c r="W20" i="8"/>
  <c r="Y20" i="8" s="1"/>
  <c r="W19" i="8"/>
  <c r="Y19" i="8" s="1"/>
  <c r="X17" i="8"/>
  <c r="W16" i="8"/>
  <c r="Y16" i="8" s="1"/>
  <c r="W15" i="8"/>
  <c r="Z15" i="8" s="1"/>
  <c r="W13" i="8"/>
  <c r="Z13" i="8" s="1"/>
  <c r="BM36" i="8"/>
  <c r="BG36" i="8"/>
  <c r="BJ36" i="8"/>
  <c r="BL36" i="8"/>
  <c r="BF36" i="8"/>
  <c r="BE36" i="8"/>
  <c r="BD36" i="8"/>
  <c r="BK36" i="8"/>
  <c r="BM32" i="8"/>
  <c r="BG32" i="8"/>
  <c r="BL32" i="8"/>
  <c r="BF32" i="8"/>
  <c r="BJ32" i="8"/>
  <c r="BK32" i="8"/>
  <c r="BD32" i="8"/>
  <c r="BE32" i="8"/>
  <c r="BM28" i="8"/>
  <c r="BG28" i="8"/>
  <c r="BJ28" i="8"/>
  <c r="BL28" i="8"/>
  <c r="BF28" i="8"/>
  <c r="AY28" i="8"/>
  <c r="BD28" i="8"/>
  <c r="BE28" i="8"/>
  <c r="BK28" i="8"/>
  <c r="BM24" i="8"/>
  <c r="BG24" i="8"/>
  <c r="BL24" i="8"/>
  <c r="BF24" i="8"/>
  <c r="BJ24" i="8"/>
  <c r="BE24" i="8"/>
  <c r="BK24" i="8"/>
  <c r="BD24" i="8"/>
  <c r="BM20" i="8"/>
  <c r="BG20" i="8"/>
  <c r="BL20" i="8"/>
  <c r="BF20" i="8"/>
  <c r="BJ20" i="8"/>
  <c r="BE20" i="8"/>
  <c r="BD20" i="8"/>
  <c r="BK20" i="8"/>
  <c r="BM16" i="8"/>
  <c r="BG16" i="8"/>
  <c r="BJ16" i="8"/>
  <c r="BL16" i="8"/>
  <c r="BF16" i="8"/>
  <c r="AY16" i="8"/>
  <c r="BK16" i="8"/>
  <c r="BD16" i="8"/>
  <c r="BE16" i="8"/>
  <c r="BJ39" i="8"/>
  <c r="BD39" i="8"/>
  <c r="BE39" i="8"/>
  <c r="BM39" i="8"/>
  <c r="BG39" i="8"/>
  <c r="BK39" i="8"/>
  <c r="BF39" i="8"/>
  <c r="BL39" i="8"/>
  <c r="BJ35" i="8"/>
  <c r="BD35" i="8"/>
  <c r="BK35" i="8"/>
  <c r="BM35" i="8"/>
  <c r="BG35" i="8"/>
  <c r="BE35" i="8"/>
  <c r="BF35" i="8"/>
  <c r="BL35" i="8"/>
  <c r="BJ31" i="8"/>
  <c r="BD31" i="8"/>
  <c r="AY31" i="8"/>
  <c r="BM31" i="8"/>
  <c r="BG31" i="8"/>
  <c r="BK31" i="8"/>
  <c r="BE31" i="8"/>
  <c r="BL31" i="8"/>
  <c r="BF31" i="8"/>
  <c r="BJ27" i="8"/>
  <c r="BD27" i="8"/>
  <c r="BE27" i="8"/>
  <c r="BM27" i="8"/>
  <c r="BG27" i="8"/>
  <c r="BK27" i="8"/>
  <c r="BL27" i="8"/>
  <c r="BF27" i="8"/>
  <c r="BJ23" i="8"/>
  <c r="BD23" i="8"/>
  <c r="BK23" i="8"/>
  <c r="BM23" i="8"/>
  <c r="BG23" i="8"/>
  <c r="BE23" i="8"/>
  <c r="BF23" i="8"/>
  <c r="BL23" i="8"/>
  <c r="BJ19" i="8"/>
  <c r="BD19" i="8"/>
  <c r="AY19" i="8"/>
  <c r="BE19" i="8"/>
  <c r="BM19" i="8"/>
  <c r="BG19" i="8"/>
  <c r="BK19" i="8"/>
  <c r="BF19" i="8"/>
  <c r="BL19" i="8"/>
  <c r="BJ15" i="8"/>
  <c r="BD15" i="8"/>
  <c r="BK15" i="8"/>
  <c r="BM15" i="8"/>
  <c r="BG15" i="8"/>
  <c r="BE15" i="8"/>
  <c r="BF15" i="8"/>
  <c r="BL15" i="8"/>
  <c r="BK38" i="8"/>
  <c r="BE38" i="8"/>
  <c r="BJ38" i="8"/>
  <c r="BD38" i="8"/>
  <c r="BL38" i="8"/>
  <c r="BF38" i="8"/>
  <c r="BM38" i="8"/>
  <c r="BG38" i="8"/>
  <c r="BK34" i="8"/>
  <c r="BE34" i="8"/>
  <c r="BF34" i="8"/>
  <c r="BJ34" i="8"/>
  <c r="BD34" i="8"/>
  <c r="BL34" i="8"/>
  <c r="BG34" i="8"/>
  <c r="AY34" i="8"/>
  <c r="BM34" i="8"/>
  <c r="BK30" i="8"/>
  <c r="BE30" i="8"/>
  <c r="BL30" i="8"/>
  <c r="BJ30" i="8"/>
  <c r="BD30" i="8"/>
  <c r="BF30" i="8"/>
  <c r="BG30" i="8"/>
  <c r="BM30" i="8"/>
  <c r="BK26" i="8"/>
  <c r="BE26" i="8"/>
  <c r="BF26" i="8"/>
  <c r="BJ26" i="8"/>
  <c r="BD26" i="8"/>
  <c r="BL26" i="8"/>
  <c r="BG26" i="8"/>
  <c r="BM26" i="8"/>
  <c r="BK22" i="8"/>
  <c r="BE22" i="8"/>
  <c r="BL22" i="8"/>
  <c r="BJ22" i="8"/>
  <c r="BD22" i="8"/>
  <c r="BF22" i="8"/>
  <c r="BM22" i="8"/>
  <c r="AY22" i="8"/>
  <c r="BG22" i="8"/>
  <c r="BK18" i="8"/>
  <c r="BE18" i="8"/>
  <c r="BJ18" i="8"/>
  <c r="BD18" i="8"/>
  <c r="BL18" i="8"/>
  <c r="BF18" i="8"/>
  <c r="BG18" i="8"/>
  <c r="BM18" i="8"/>
  <c r="BK14" i="8"/>
  <c r="BE14" i="8"/>
  <c r="BL14" i="8"/>
  <c r="BF14" i="8"/>
  <c r="BJ14" i="8"/>
  <c r="BD14" i="8"/>
  <c r="BG14" i="8"/>
  <c r="BM14" i="8"/>
  <c r="BL37" i="8"/>
  <c r="BF37" i="8"/>
  <c r="BK37" i="8"/>
  <c r="BE37" i="8"/>
  <c r="BM37" i="8"/>
  <c r="BG37" i="8"/>
  <c r="BJ37" i="8"/>
  <c r="BD37" i="8"/>
  <c r="AY37" i="8"/>
  <c r="BL33" i="8"/>
  <c r="BF33" i="8"/>
  <c r="BM33" i="8"/>
  <c r="BK33" i="8"/>
  <c r="BE33" i="8"/>
  <c r="BG33" i="8"/>
  <c r="BJ33" i="8"/>
  <c r="BD33" i="8"/>
  <c r="BL29" i="8"/>
  <c r="BF29" i="8"/>
  <c r="BG29" i="8"/>
  <c r="BK29" i="8"/>
  <c r="BE29" i="8"/>
  <c r="BM29" i="8"/>
  <c r="BD29" i="8"/>
  <c r="BJ29" i="8"/>
  <c r="BL25" i="8"/>
  <c r="BF25" i="8"/>
  <c r="BM25" i="8"/>
  <c r="BK25" i="8"/>
  <c r="BE25" i="8"/>
  <c r="BG25" i="8"/>
  <c r="BJ25" i="8"/>
  <c r="AY25" i="8"/>
  <c r="BD25" i="8"/>
  <c r="BL21" i="8"/>
  <c r="BF21" i="8"/>
  <c r="BM21" i="8"/>
  <c r="BG21" i="8"/>
  <c r="BK21" i="8"/>
  <c r="BE21" i="8"/>
  <c r="BJ21" i="8"/>
  <c r="BD21" i="8"/>
  <c r="BL17" i="8"/>
  <c r="BF17" i="8"/>
  <c r="BM17" i="8"/>
  <c r="BK17" i="8"/>
  <c r="BE17" i="8"/>
  <c r="BG17" i="8"/>
  <c r="BJ17" i="8"/>
  <c r="BD17" i="8"/>
  <c r="AP13" i="8"/>
  <c r="AV13" i="8" s="1"/>
  <c r="BL13" i="8"/>
  <c r="BF13" i="8"/>
  <c r="BM13" i="8"/>
  <c r="BK13" i="8"/>
  <c r="BE13" i="8"/>
  <c r="BG13" i="8"/>
  <c r="BD13" i="8"/>
  <c r="BJ13" i="8"/>
  <c r="AY13" i="8"/>
  <c r="A7" i="11"/>
  <c r="A7" i="22"/>
  <c r="R198" i="11"/>
  <c r="J205" i="11" s="1"/>
  <c r="C11" i="28" s="1"/>
  <c r="F10" i="18"/>
  <c r="AW9" i="11"/>
  <c r="F9" i="21" s="1"/>
  <c r="AL198" i="11"/>
  <c r="AD205" i="11" s="1"/>
  <c r="E11" i="28" s="1"/>
  <c r="AD200" i="11"/>
  <c r="T200" i="11"/>
  <c r="D9" i="28" s="1"/>
  <c r="G91" i="12"/>
  <c r="C20" i="21" s="1"/>
  <c r="D12" i="28"/>
  <c r="I91" i="12"/>
  <c r="D20" i="21" s="1"/>
  <c r="AW201" i="11"/>
  <c r="F38" i="15" s="1"/>
  <c r="C9" i="28"/>
  <c r="C19" i="21"/>
  <c r="D11" i="28"/>
  <c r="L20" i="3"/>
  <c r="O20" i="3"/>
  <c r="K20" i="3"/>
  <c r="M20" i="3"/>
  <c r="J20" i="3" s="1"/>
  <c r="I36" i="6" s="1"/>
  <c r="BL11" i="8"/>
  <c r="BF11" i="8"/>
  <c r="BK11" i="8"/>
  <c r="BE11" i="8"/>
  <c r="BJ11" i="8"/>
  <c r="BD11" i="8"/>
  <c r="BM11" i="8"/>
  <c r="BG11" i="8"/>
  <c r="AP12" i="8"/>
  <c r="BM12" i="8"/>
  <c r="BG12" i="8"/>
  <c r="BL12" i="8"/>
  <c r="BF12" i="8"/>
  <c r="BK12" i="8"/>
  <c r="BE12" i="8"/>
  <c r="BJ12" i="8"/>
  <c r="BD12" i="8"/>
  <c r="O14" i="3"/>
  <c r="W10" i="8"/>
  <c r="X10" i="8" s="1"/>
  <c r="BL10" i="8"/>
  <c r="BJ10" i="8"/>
  <c r="BF10" i="8"/>
  <c r="BD10" i="8"/>
  <c r="BG10" i="8"/>
  <c r="BE10" i="8"/>
  <c r="F11" i="18"/>
  <c r="BM10" i="8"/>
  <c r="BK10" i="8"/>
  <c r="BC10" i="8"/>
  <c r="BB10" i="8"/>
  <c r="W12" i="8"/>
  <c r="AP11" i="8"/>
  <c r="AY10" i="8"/>
  <c r="W11" i="8"/>
  <c r="Z11" i="8" s="1"/>
  <c r="AP39" i="8"/>
  <c r="BH39" i="8"/>
  <c r="BB39" i="8"/>
  <c r="BI39" i="8"/>
  <c r="BC39" i="8"/>
  <c r="AP35" i="8"/>
  <c r="BB35" i="8"/>
  <c r="BH35" i="8"/>
  <c r="BI35" i="8"/>
  <c r="BC35" i="8"/>
  <c r="AP31" i="8"/>
  <c r="AV31" i="8" s="1"/>
  <c r="BB31" i="8"/>
  <c r="BH31" i="8"/>
  <c r="BI31" i="8"/>
  <c r="BC31" i="8"/>
  <c r="AP27" i="8"/>
  <c r="BB27" i="8"/>
  <c r="BH27" i="8"/>
  <c r="BI27" i="8"/>
  <c r="BC27" i="8"/>
  <c r="AP23" i="8"/>
  <c r="BB23" i="8"/>
  <c r="BH23" i="8"/>
  <c r="BI23" i="8"/>
  <c r="BC23" i="8"/>
  <c r="AP19" i="8"/>
  <c r="AV19" i="8" s="1"/>
  <c r="BB19" i="8"/>
  <c r="BH19" i="8"/>
  <c r="BI19" i="8"/>
  <c r="BC19" i="8"/>
  <c r="AP15" i="8"/>
  <c r="BB15" i="8"/>
  <c r="BH15" i="8"/>
  <c r="BI15" i="8"/>
  <c r="BC15" i="8"/>
  <c r="AP38" i="8"/>
  <c r="BH38" i="8"/>
  <c r="BI38" i="8"/>
  <c r="BB38" i="8"/>
  <c r="BC38" i="8"/>
  <c r="AP34" i="8"/>
  <c r="AV34" i="8" s="1"/>
  <c r="BH34" i="8"/>
  <c r="BI34" i="8"/>
  <c r="BB34" i="8"/>
  <c r="BC34" i="8"/>
  <c r="AP30" i="8"/>
  <c r="BH30" i="8"/>
  <c r="BI30" i="8"/>
  <c r="BB30" i="8"/>
  <c r="BC30" i="8"/>
  <c r="AP26" i="8"/>
  <c r="BH26" i="8"/>
  <c r="BI26" i="8"/>
  <c r="BB26" i="8"/>
  <c r="BC26" i="8"/>
  <c r="AP22" i="8"/>
  <c r="AV22" i="8" s="1"/>
  <c r="BH22" i="8"/>
  <c r="BI22" i="8"/>
  <c r="BB22" i="8"/>
  <c r="BC22" i="8"/>
  <c r="AP18" i="8"/>
  <c r="BH18" i="8"/>
  <c r="BI18" i="8"/>
  <c r="BB18" i="8"/>
  <c r="BC18" i="8"/>
  <c r="AP14" i="8"/>
  <c r="BH14" i="8"/>
  <c r="BI14" i="8"/>
  <c r="BB14" i="8"/>
  <c r="BC14" i="8"/>
  <c r="AO10" i="8"/>
  <c r="AT10" i="8" s="1"/>
  <c r="AP10" i="8"/>
  <c r="AV10" i="8" s="1"/>
  <c r="AP37" i="8"/>
  <c r="AV37" i="8" s="1"/>
  <c r="BH37" i="8"/>
  <c r="BB37" i="8"/>
  <c r="BI37" i="8"/>
  <c r="BC37" i="8"/>
  <c r="AP33" i="8"/>
  <c r="BH33" i="8"/>
  <c r="BB33" i="8"/>
  <c r="BI33" i="8"/>
  <c r="BC33" i="8"/>
  <c r="AP29" i="8"/>
  <c r="BH29" i="8"/>
  <c r="BB29" i="8"/>
  <c r="BI29" i="8"/>
  <c r="BC29" i="8"/>
  <c r="AP25" i="8"/>
  <c r="AV25" i="8" s="1"/>
  <c r="BH25" i="8"/>
  <c r="BB25" i="8"/>
  <c r="BI25" i="8"/>
  <c r="BC25" i="8"/>
  <c r="AP21" i="8"/>
  <c r="BH21" i="8"/>
  <c r="BB21" i="8"/>
  <c r="BI21" i="8"/>
  <c r="BC21" i="8"/>
  <c r="AP17" i="8"/>
  <c r="BH17" i="8"/>
  <c r="BB17" i="8"/>
  <c r="BI17" i="8"/>
  <c r="BC17" i="8"/>
  <c r="Y30" i="8"/>
  <c r="AP36" i="8"/>
  <c r="BI36" i="8"/>
  <c r="BB36" i="8"/>
  <c r="BH36" i="8"/>
  <c r="BC36" i="8"/>
  <c r="AP32" i="8"/>
  <c r="BI32" i="8"/>
  <c r="BB32" i="8"/>
  <c r="BH32" i="8"/>
  <c r="BC32" i="8"/>
  <c r="AP28" i="8"/>
  <c r="AV28" i="8" s="1"/>
  <c r="BI28" i="8"/>
  <c r="BB28" i="8"/>
  <c r="BH28" i="8"/>
  <c r="BC28" i="8"/>
  <c r="AP24" i="8"/>
  <c r="BI24" i="8"/>
  <c r="BB24" i="8"/>
  <c r="BH24" i="8"/>
  <c r="BC24" i="8"/>
  <c r="AP20" i="8"/>
  <c r="BI20" i="8"/>
  <c r="BB20" i="8"/>
  <c r="BH20" i="8"/>
  <c r="BC20" i="8"/>
  <c r="AP16" i="8"/>
  <c r="AV16" i="8" s="1"/>
  <c r="BI16" i="8"/>
  <c r="BB16" i="8"/>
  <c r="BH16" i="8"/>
  <c r="BC16" i="8"/>
  <c r="X13" i="8"/>
  <c r="BB13" i="8"/>
  <c r="BC13" i="8"/>
  <c r="BI13" i="8"/>
  <c r="BH13" i="8"/>
  <c r="B21" i="13"/>
  <c r="B21" i="11" s="1"/>
  <c r="B21" i="12" s="1"/>
  <c r="B24" i="13"/>
  <c r="B24" i="11" s="1"/>
  <c r="B24" i="12" s="1"/>
  <c r="B15" i="13"/>
  <c r="B15" i="11" s="1"/>
  <c r="B15" i="12" s="1"/>
  <c r="B27" i="13"/>
  <c r="B27" i="11" s="1"/>
  <c r="B27" i="12" s="1"/>
  <c r="B33" i="13"/>
  <c r="B33" i="11" s="1"/>
  <c r="B33" i="12" s="1"/>
  <c r="B18" i="13"/>
  <c r="B18" i="11" s="1"/>
  <c r="B18" i="12" s="1"/>
  <c r="B30" i="13"/>
  <c r="B30" i="11" s="1"/>
  <c r="B30" i="12" s="1"/>
  <c r="B36" i="13"/>
  <c r="B36" i="11" s="1"/>
  <c r="B36" i="12" s="1"/>
  <c r="BI10" i="8"/>
  <c r="BH10" i="8"/>
  <c r="BI11" i="8"/>
  <c r="BH11" i="8"/>
  <c r="N11" i="3"/>
  <c r="BB12" i="8"/>
  <c r="BH12" i="8"/>
  <c r="BC12" i="8"/>
  <c r="BI12" i="8"/>
  <c r="BB11" i="8"/>
  <c r="BC11" i="8"/>
  <c r="AM10" i="8"/>
  <c r="AQ10" i="8" s="1"/>
  <c r="AN10" i="8"/>
  <c r="AR10" i="8" s="1"/>
  <c r="AM37" i="8"/>
  <c r="AQ37" i="8" s="1"/>
  <c r="AO37" i="8"/>
  <c r="AT37" i="8" s="1"/>
  <c r="AN37" i="8"/>
  <c r="AR37" i="8" s="1"/>
  <c r="AM33" i="8"/>
  <c r="AO33" i="8"/>
  <c r="AN33" i="8"/>
  <c r="AM29" i="8"/>
  <c r="AO29" i="8"/>
  <c r="AN29" i="8"/>
  <c r="AM25" i="8"/>
  <c r="AQ25" i="8" s="1"/>
  <c r="AO25" i="8"/>
  <c r="AT25" i="8" s="1"/>
  <c r="AN25" i="8"/>
  <c r="AR25" i="8" s="1"/>
  <c r="AM21" i="8"/>
  <c r="AO21" i="8"/>
  <c r="AN21" i="8"/>
  <c r="AM17" i="8"/>
  <c r="AO17" i="8"/>
  <c r="AN17" i="8"/>
  <c r="AM13" i="8"/>
  <c r="AQ13" i="8" s="1"/>
  <c r="AO13" i="8"/>
  <c r="AT13" i="8" s="1"/>
  <c r="AN13" i="8"/>
  <c r="AR13" i="8" s="1"/>
  <c r="AM36" i="8"/>
  <c r="AN36" i="8"/>
  <c r="AO36" i="8"/>
  <c r="AM32" i="8"/>
  <c r="AN32" i="8"/>
  <c r="AO32" i="8"/>
  <c r="AM28" i="8"/>
  <c r="AQ28" i="8" s="1"/>
  <c r="AN28" i="8"/>
  <c r="AR28" i="8" s="1"/>
  <c r="AO28" i="8"/>
  <c r="AT28" i="8" s="1"/>
  <c r="AM24" i="8"/>
  <c r="AN24" i="8"/>
  <c r="AO24" i="8"/>
  <c r="AM20" i="8"/>
  <c r="AN20" i="8"/>
  <c r="AO20" i="8"/>
  <c r="AM16" i="8"/>
  <c r="AQ16" i="8" s="1"/>
  <c r="AN16" i="8"/>
  <c r="AR16" i="8" s="1"/>
  <c r="AO16" i="8"/>
  <c r="AT16" i="8" s="1"/>
  <c r="Y18" i="8"/>
  <c r="Z22" i="8"/>
  <c r="AO12" i="8"/>
  <c r="AM12" i="8"/>
  <c r="AN12" i="8"/>
  <c r="AN39" i="8"/>
  <c r="AO39" i="8"/>
  <c r="AM39" i="8"/>
  <c r="AN35" i="8"/>
  <c r="AO35" i="8"/>
  <c r="AM35" i="8"/>
  <c r="AN31" i="8"/>
  <c r="AR31" i="8" s="1"/>
  <c r="AO31" i="8"/>
  <c r="AT31" i="8" s="1"/>
  <c r="AM31" i="8"/>
  <c r="AQ31" i="8" s="1"/>
  <c r="AN27" i="8"/>
  <c r="AO27" i="8"/>
  <c r="AM27" i="8"/>
  <c r="AN23" i="8"/>
  <c r="AO23" i="8"/>
  <c r="AM23" i="8"/>
  <c r="AN19" i="8"/>
  <c r="AR19" i="8" s="1"/>
  <c r="AO19" i="8"/>
  <c r="AT19" i="8" s="1"/>
  <c r="AM19" i="8"/>
  <c r="AQ19" i="8" s="1"/>
  <c r="AN15" i="8"/>
  <c r="AO15" i="8"/>
  <c r="AM15" i="8"/>
  <c r="Z27" i="8"/>
  <c r="AO38" i="8"/>
  <c r="AN38" i="8"/>
  <c r="AM38" i="8"/>
  <c r="AO34" i="8"/>
  <c r="AT34" i="8" s="1"/>
  <c r="AN34" i="8"/>
  <c r="AR34" i="8" s="1"/>
  <c r="AM34" i="8"/>
  <c r="AQ34" i="8" s="1"/>
  <c r="AO30" i="8"/>
  <c r="AN30" i="8"/>
  <c r="AM30" i="8"/>
  <c r="AO26" i="8"/>
  <c r="AN26" i="8"/>
  <c r="AM26" i="8"/>
  <c r="AO22" i="8"/>
  <c r="AT22" i="8" s="1"/>
  <c r="AN22" i="8"/>
  <c r="AR22" i="8" s="1"/>
  <c r="AM22" i="8"/>
  <c r="AQ22" i="8" s="1"/>
  <c r="AO18" i="8"/>
  <c r="AN18" i="8"/>
  <c r="AM18" i="8"/>
  <c r="AO14" i="8"/>
  <c r="AN14" i="8"/>
  <c r="AM14" i="8"/>
  <c r="M13" i="3"/>
  <c r="N13" i="3"/>
  <c r="L17" i="3"/>
  <c r="O13" i="3"/>
  <c r="M18" i="3"/>
  <c r="L14" i="3"/>
  <c r="N14" i="3"/>
  <c r="N18" i="3"/>
  <c r="J18" i="3" s="1"/>
  <c r="I30" i="6" s="1"/>
  <c r="K14" i="3"/>
  <c r="L18" i="3"/>
  <c r="N15" i="3"/>
  <c r="J15" i="3" s="1"/>
  <c r="I21" i="6" s="1"/>
  <c r="N19" i="3"/>
  <c r="J19" i="3" s="1"/>
  <c r="I33" i="6" s="1"/>
  <c r="L13" i="3"/>
  <c r="AM11" i="8"/>
  <c r="AN11" i="8"/>
  <c r="AO11" i="8"/>
  <c r="AB28" i="8"/>
  <c r="AA28" i="8" s="1"/>
  <c r="L27" i="6" s="1"/>
  <c r="Y15" i="8"/>
  <c r="AB13" i="8"/>
  <c r="AA13" i="8" s="1"/>
  <c r="L12" i="6" s="1"/>
  <c r="AB37" i="8"/>
  <c r="AB19" i="8"/>
  <c r="Z34" i="8"/>
  <c r="AB22" i="8"/>
  <c r="AA22" i="8" s="1"/>
  <c r="L21" i="6" s="1"/>
  <c r="Z25" i="8"/>
  <c r="Z12" i="8"/>
  <c r="AW21" i="11"/>
  <c r="AW24" i="11"/>
  <c r="F14" i="21" s="1"/>
  <c r="AW12" i="11"/>
  <c r="AW15" i="11"/>
  <c r="AW30" i="11"/>
  <c r="AW27" i="11"/>
  <c r="F15" i="21" s="1"/>
  <c r="AW33" i="11"/>
  <c r="F17" i="21" s="1"/>
  <c r="F12" i="15"/>
  <c r="F12" i="16" s="1"/>
  <c r="M18" i="12"/>
  <c r="N18" i="12" s="1"/>
  <c r="F18" i="15"/>
  <c r="F18" i="16" s="1"/>
  <c r="M36" i="12"/>
  <c r="N36" i="12" s="1"/>
  <c r="Y34" i="8"/>
  <c r="Z18" i="8"/>
  <c r="AB34" i="8"/>
  <c r="AA34" i="8" s="1"/>
  <c r="L33" i="6" s="1"/>
  <c r="Y25" i="8"/>
  <c r="AB31" i="8"/>
  <c r="AA31" i="8" s="1"/>
  <c r="L30" i="6" s="1"/>
  <c r="AB25" i="8"/>
  <c r="AA25" i="8" s="1"/>
  <c r="L24" i="6" s="1"/>
  <c r="AB16" i="8"/>
  <c r="AA16" i="8" s="1"/>
  <c r="L15" i="6" s="1"/>
  <c r="Y22" i="8"/>
  <c r="N16" i="3"/>
  <c r="J16" i="3" s="1"/>
  <c r="I24" i="6" s="1"/>
  <c r="O19" i="3"/>
  <c r="M12" i="3"/>
  <c r="L15" i="3"/>
  <c r="L19" i="3"/>
  <c r="O16" i="3"/>
  <c r="O18" i="3"/>
  <c r="N12" i="3"/>
  <c r="L12" i="3"/>
  <c r="L16" i="3"/>
  <c r="M15" i="3"/>
  <c r="O15" i="3"/>
  <c r="M19" i="3"/>
  <c r="O12" i="3"/>
  <c r="L11" i="3"/>
  <c r="A18" i="12"/>
  <c r="A12" i="12"/>
  <c r="A27" i="12"/>
  <c r="A9" i="12"/>
  <c r="A21" i="12"/>
  <c r="A30" i="12"/>
  <c r="A33" i="12"/>
  <c r="B9" i="12"/>
  <c r="A15" i="12"/>
  <c r="A24" i="12"/>
  <c r="B12" i="12"/>
  <c r="A36" i="12"/>
  <c r="AB10" i="8"/>
  <c r="A7" i="8"/>
  <c r="A7" i="13"/>
  <c r="A7" i="12"/>
  <c r="M11" i="3"/>
  <c r="O11" i="3"/>
  <c r="Y36" i="8"/>
  <c r="Z36" i="8"/>
  <c r="M17" i="3"/>
  <c r="K17" i="3"/>
  <c r="A7" i="2"/>
  <c r="A7" i="6"/>
  <c r="A7" i="3"/>
  <c r="N17" i="3"/>
  <c r="Z33" i="8"/>
  <c r="Y33" i="8"/>
  <c r="Y38" i="8"/>
  <c r="Z38" i="8"/>
  <c r="Z39" i="8"/>
  <c r="Y39" i="8"/>
  <c r="Z17" i="8"/>
  <c r="Y17" i="8"/>
  <c r="AA37" i="8" l="1"/>
  <c r="L36" i="6" s="1"/>
  <c r="Z37" i="8"/>
  <c r="X35" i="8"/>
  <c r="X28" i="8"/>
  <c r="AC25" i="8"/>
  <c r="AE25" i="8" s="1"/>
  <c r="AG8" i="5" s="1"/>
  <c r="X26" i="8"/>
  <c r="X24" i="8"/>
  <c r="X20" i="8"/>
  <c r="X19" i="8"/>
  <c r="AA19" i="8"/>
  <c r="L18" i="6" s="1"/>
  <c r="Z32" i="8"/>
  <c r="AC32" i="8" s="1"/>
  <c r="AE32" i="8" s="1"/>
  <c r="AH10" i="5" s="1"/>
  <c r="Z24" i="8"/>
  <c r="Z20" i="8"/>
  <c r="Z21" i="8"/>
  <c r="AC20" i="8" s="1"/>
  <c r="AE20" i="8" s="1"/>
  <c r="AH6" i="5" s="1"/>
  <c r="Y31" i="8"/>
  <c r="AC31" i="8" s="1"/>
  <c r="AE31" i="8" s="1"/>
  <c r="AG10" i="5" s="1"/>
  <c r="Z26" i="8"/>
  <c r="Z29" i="8"/>
  <c r="Y28" i="8"/>
  <c r="AC28" i="8" s="1"/>
  <c r="AE28" i="8" s="1"/>
  <c r="AG9" i="5" s="1"/>
  <c r="Z19" i="8"/>
  <c r="X16" i="8"/>
  <c r="Z16" i="8"/>
  <c r="AC17" i="8" s="1"/>
  <c r="AE17" i="8" s="1"/>
  <c r="AH5" i="5" s="1"/>
  <c r="X15" i="8"/>
  <c r="Y14" i="8"/>
  <c r="Y13" i="8"/>
  <c r="Y35" i="8"/>
  <c r="Z23" i="8"/>
  <c r="AC23" i="8" s="1"/>
  <c r="AE23" i="8" s="1"/>
  <c r="AH7" i="5" s="1"/>
  <c r="AV20" i="8"/>
  <c r="AQ29" i="8"/>
  <c r="AQ30" i="8" s="1"/>
  <c r="AR32" i="8"/>
  <c r="AR33" i="8" s="1"/>
  <c r="AQ32" i="8"/>
  <c r="AQ33" i="8" s="1"/>
  <c r="AV17" i="8"/>
  <c r="AV18" i="8" s="1"/>
  <c r="AV26" i="8"/>
  <c r="AV27" i="8" s="1"/>
  <c r="AV23" i="8"/>
  <c r="AV24" i="8" s="1"/>
  <c r="AV14" i="8"/>
  <c r="AV15" i="8" s="1"/>
  <c r="H10" i="18"/>
  <c r="AR23" i="8"/>
  <c r="AR24" i="8" s="1"/>
  <c r="AR20" i="8"/>
  <c r="AR21" i="8" s="1"/>
  <c r="AQ17" i="8"/>
  <c r="AQ18" i="8" s="1"/>
  <c r="AQ20" i="8"/>
  <c r="AQ21" i="8" s="1"/>
  <c r="AV38" i="8"/>
  <c r="AV39" i="8" s="1"/>
  <c r="C10" i="18"/>
  <c r="F9" i="15"/>
  <c r="F9" i="16" s="1"/>
  <c r="M9" i="12"/>
  <c r="N9" i="12" s="1"/>
  <c r="AW205" i="11"/>
  <c r="F11" i="28" s="1"/>
  <c r="G11" i="28" s="1"/>
  <c r="E9" i="28"/>
  <c r="K90" i="12"/>
  <c r="E19" i="21" s="1"/>
  <c r="M91" i="12"/>
  <c r="F38" i="16"/>
  <c r="AW200" i="11"/>
  <c r="F9" i="28" s="1"/>
  <c r="F20" i="21"/>
  <c r="G20" i="21" s="1"/>
  <c r="F12" i="28"/>
  <c r="F16" i="21"/>
  <c r="F13" i="21"/>
  <c r="F11" i="15"/>
  <c r="F11" i="16" s="1"/>
  <c r="F11" i="21"/>
  <c r="F10" i="21"/>
  <c r="J12" i="3"/>
  <c r="I12" i="6" s="1"/>
  <c r="X11" i="8"/>
  <c r="Z10" i="8"/>
  <c r="AC11" i="8" s="1"/>
  <c r="AE11" i="8" s="1"/>
  <c r="AH3" i="5" s="1"/>
  <c r="J13" i="3"/>
  <c r="I15" i="6" s="1"/>
  <c r="J14" i="3"/>
  <c r="I18" i="6" s="1"/>
  <c r="L10" i="18"/>
  <c r="K10" i="18"/>
  <c r="L11" i="18"/>
  <c r="K11" i="18"/>
  <c r="U10" i="18"/>
  <c r="T10" i="18"/>
  <c r="T11" i="18"/>
  <c r="U11" i="18"/>
  <c r="AV11" i="8"/>
  <c r="AV12" i="8" s="1"/>
  <c r="AT11" i="8"/>
  <c r="AT12" i="8" s="1"/>
  <c r="AR17" i="8"/>
  <c r="AR18" i="8" s="1"/>
  <c r="AR14" i="8"/>
  <c r="AR15" i="8" s="1"/>
  <c r="AQ26" i="8"/>
  <c r="AQ27" i="8" s="1"/>
  <c r="AV32" i="8"/>
  <c r="AV33" i="8" s="1"/>
  <c r="AV21" i="8"/>
  <c r="AQ35" i="8"/>
  <c r="AQ36" i="8" s="1"/>
  <c r="AR29" i="8"/>
  <c r="AR30" i="8" s="1"/>
  <c r="AV29" i="8"/>
  <c r="AV30" i="8" s="1"/>
  <c r="AV35" i="8"/>
  <c r="AV36" i="8" s="1"/>
  <c r="AT20" i="8"/>
  <c r="AT21" i="8" s="1"/>
  <c r="AC29" i="8"/>
  <c r="AE29" i="8" s="1"/>
  <c r="AH9" i="5" s="1"/>
  <c r="AT29" i="8"/>
  <c r="AT30" i="8" s="1"/>
  <c r="AT38" i="8"/>
  <c r="AT39" i="8" s="1"/>
  <c r="AT14" i="8"/>
  <c r="AT15" i="8" s="1"/>
  <c r="AT35" i="8"/>
  <c r="AT36" i="8" s="1"/>
  <c r="AC14" i="8"/>
  <c r="AE14" i="8" s="1"/>
  <c r="AH4" i="5" s="1"/>
  <c r="AC13" i="8"/>
  <c r="AE13" i="8" s="1"/>
  <c r="AG4" i="5" s="1"/>
  <c r="AC19" i="8"/>
  <c r="AE19" i="8" s="1"/>
  <c r="AG6" i="5" s="1"/>
  <c r="J11" i="3"/>
  <c r="I9" i="6" s="1"/>
  <c r="AQ11" i="8"/>
  <c r="AQ12" i="8" s="1"/>
  <c r="O10" i="18"/>
  <c r="N10" i="18"/>
  <c r="D10" i="18"/>
  <c r="R11" i="18"/>
  <c r="Q11" i="18"/>
  <c r="Q10" i="18"/>
  <c r="R10" i="18"/>
  <c r="D11" i="18"/>
  <c r="C11" i="18"/>
  <c r="F12" i="18"/>
  <c r="O11" i="18"/>
  <c r="N11" i="18"/>
  <c r="H11" i="18"/>
  <c r="I11" i="18"/>
  <c r="I10" i="18"/>
  <c r="AR11" i="8"/>
  <c r="AR12" i="8" s="1"/>
  <c r="AR26" i="8"/>
  <c r="AR27" i="8" s="1"/>
  <c r="AC16" i="8"/>
  <c r="AE16" i="8" s="1"/>
  <c r="AG5" i="5" s="1"/>
  <c r="AT23" i="8"/>
  <c r="AT24" i="8" s="1"/>
  <c r="AR35" i="8"/>
  <c r="AR36" i="8" s="1"/>
  <c r="AT17" i="8"/>
  <c r="AT18" i="8" s="1"/>
  <c r="AQ14" i="8"/>
  <c r="AQ15" i="8" s="1"/>
  <c r="AQ38" i="8"/>
  <c r="AQ39" i="8" s="1"/>
  <c r="AQ23" i="8"/>
  <c r="AQ24" i="8" s="1"/>
  <c r="AT32" i="8"/>
  <c r="AT33" i="8" s="1"/>
  <c r="AT26" i="8"/>
  <c r="AT27" i="8" s="1"/>
  <c r="AR38" i="8"/>
  <c r="AR39" i="8" s="1"/>
  <c r="J17" i="3"/>
  <c r="I27" i="6" s="1"/>
  <c r="AC34" i="8"/>
  <c r="AE34" i="8" s="1"/>
  <c r="AG11" i="5" s="1"/>
  <c r="AC26" i="8"/>
  <c r="AE26" i="8" s="1"/>
  <c r="Y12" i="8"/>
  <c r="Y11" i="8"/>
  <c r="Y10" i="8"/>
  <c r="F13" i="15"/>
  <c r="F13" i="16" s="1"/>
  <c r="M21" i="12"/>
  <c r="N21" i="12" s="1"/>
  <c r="M24" i="12"/>
  <c r="N24" i="12" s="1"/>
  <c r="F14" i="15"/>
  <c r="F14" i="16" s="1"/>
  <c r="F17" i="15"/>
  <c r="F17" i="16" s="1"/>
  <c r="M12" i="12"/>
  <c r="N12" i="12" s="1"/>
  <c r="F10" i="15"/>
  <c r="F10" i="16" s="1"/>
  <c r="M15" i="12"/>
  <c r="N15" i="12" s="1"/>
  <c r="M27" i="12"/>
  <c r="N27" i="12" s="1"/>
  <c r="F15" i="15"/>
  <c r="F15" i="16" s="1"/>
  <c r="M30" i="12"/>
  <c r="N30" i="12" s="1"/>
  <c r="F16" i="15"/>
  <c r="F16" i="16" s="1"/>
  <c r="M33" i="12"/>
  <c r="N33" i="12" s="1"/>
  <c r="I90" i="12"/>
  <c r="D19" i="21" s="1"/>
  <c r="AC37" i="8"/>
  <c r="AE37" i="8" s="1"/>
  <c r="AC22" i="8"/>
  <c r="AE22" i="8" s="1"/>
  <c r="AG7" i="5" s="1"/>
  <c r="AA10" i="8"/>
  <c r="L9" i="6" s="1"/>
  <c r="AC35" i="8"/>
  <c r="AE35" i="8" s="1"/>
  <c r="AH11" i="5" s="1"/>
  <c r="AC38" i="8"/>
  <c r="AE38" i="8" s="1"/>
  <c r="AH12" i="5" s="1"/>
  <c r="AS33" i="8" l="1"/>
  <c r="AU33" i="8" s="1"/>
  <c r="AW33" i="8" s="1"/>
  <c r="AX31" i="8" s="1"/>
  <c r="AS27" i="8"/>
  <c r="AU27" i="8" s="1"/>
  <c r="AW27" i="8" s="1"/>
  <c r="AX25" i="8" s="1"/>
  <c r="AS21" i="8"/>
  <c r="AU21" i="8" s="1"/>
  <c r="AW21" i="8" s="1"/>
  <c r="AX19" i="8" s="1"/>
  <c r="AS24" i="8"/>
  <c r="AU24" i="8" s="1"/>
  <c r="AW24" i="8" s="1"/>
  <c r="AX22" i="8" s="1"/>
  <c r="AF25" i="8"/>
  <c r="AI8" i="5" s="1"/>
  <c r="AH8" i="5"/>
  <c r="F19" i="21"/>
  <c r="G19" i="21" s="1"/>
  <c r="U12" i="18"/>
  <c r="V11" i="18" s="1"/>
  <c r="K12" i="18"/>
  <c r="M10" i="18" s="1"/>
  <c r="L12" i="18"/>
  <c r="M11" i="18" s="1"/>
  <c r="T12" i="18"/>
  <c r="V10" i="18" s="1"/>
  <c r="G10" i="18"/>
  <c r="AS36" i="8"/>
  <c r="AU36" i="8" s="1"/>
  <c r="AW36" i="8" s="1"/>
  <c r="AX34" i="8" s="1"/>
  <c r="AS30" i="8"/>
  <c r="AU30" i="8" s="1"/>
  <c r="AW30" i="8" s="1"/>
  <c r="AX28" i="8" s="1"/>
  <c r="AS15" i="8"/>
  <c r="AU15" i="8" s="1"/>
  <c r="AW15" i="8" s="1"/>
  <c r="AX13" i="8" s="1"/>
  <c r="AF34" i="8"/>
  <c r="AL34" i="8" s="1"/>
  <c r="AZ13" i="8"/>
  <c r="AF16" i="8"/>
  <c r="AF19" i="8"/>
  <c r="AS39" i="8"/>
  <c r="AU39" i="8" s="1"/>
  <c r="AW39" i="8" s="1"/>
  <c r="AX37" i="8" s="1"/>
  <c r="AF13" i="8"/>
  <c r="Q12" i="18"/>
  <c r="S10" i="18" s="1"/>
  <c r="AS12" i="8"/>
  <c r="AU12" i="8" s="1"/>
  <c r="AW12" i="8" s="1"/>
  <c r="AX10" i="8" s="1"/>
  <c r="G11" i="18"/>
  <c r="O12" i="18"/>
  <c r="P11" i="18" s="1"/>
  <c r="C12" i="18"/>
  <c r="E10" i="18" s="1"/>
  <c r="R12" i="18"/>
  <c r="S11" i="18" s="1"/>
  <c r="D12" i="18"/>
  <c r="E11" i="18" s="1"/>
  <c r="N12" i="18"/>
  <c r="P10" i="18" s="1"/>
  <c r="I12" i="18"/>
  <c r="J11" i="18" s="1"/>
  <c r="H12" i="18"/>
  <c r="J10" i="18" s="1"/>
  <c r="AS18" i="8"/>
  <c r="AU18" i="8" s="1"/>
  <c r="AW18" i="8" s="1"/>
  <c r="AX16" i="8" s="1"/>
  <c r="AZ37" i="8"/>
  <c r="AZ31" i="8"/>
  <c r="AZ34" i="8"/>
  <c r="AZ25" i="8"/>
  <c r="AZ19" i="8"/>
  <c r="AZ16" i="8"/>
  <c r="AF28" i="8"/>
  <c r="AZ28" i="8"/>
  <c r="AF22" i="8"/>
  <c r="AZ22" i="8"/>
  <c r="AC10" i="8"/>
  <c r="AE10" i="8" s="1"/>
  <c r="F37" i="16"/>
  <c r="M90" i="12"/>
  <c r="F37" i="15"/>
  <c r="AF31" i="8"/>
  <c r="AI10" i="5" s="1"/>
  <c r="AF37" i="8"/>
  <c r="AI12" i="5" s="1"/>
  <c r="BA31" i="8" l="1"/>
  <c r="O30" i="6" s="1"/>
  <c r="AK26" i="8"/>
  <c r="BA19" i="8"/>
  <c r="O18" i="6" s="1"/>
  <c r="AJ26" i="8"/>
  <c r="AK25" i="8"/>
  <c r="AJ25" i="8"/>
  <c r="AH26" i="8"/>
  <c r="AG26" i="8" s="1"/>
  <c r="N24" i="6" s="1"/>
  <c r="AL26" i="8"/>
  <c r="AH25" i="8"/>
  <c r="AG25" i="8" s="1"/>
  <c r="M24" i="6" s="1"/>
  <c r="AI25" i="8"/>
  <c r="AI26" i="8"/>
  <c r="AL25" i="8"/>
  <c r="AZ10" i="8"/>
  <c r="BA10" i="8" s="1"/>
  <c r="O9" i="6" s="1"/>
  <c r="AG3" i="5"/>
  <c r="AJ23" i="8"/>
  <c r="AI7" i="5"/>
  <c r="AL29" i="8"/>
  <c r="AI9" i="5"/>
  <c r="AJ34" i="8"/>
  <c r="AI11" i="5"/>
  <c r="AK14" i="8"/>
  <c r="AI4" i="5"/>
  <c r="AK19" i="8"/>
  <c r="AI6" i="5"/>
  <c r="AH16" i="8"/>
  <c r="AI5" i="5"/>
  <c r="BA13" i="8"/>
  <c r="O12" i="6" s="1"/>
  <c r="BA34" i="8"/>
  <c r="O33" i="6" s="1"/>
  <c r="AK35" i="8"/>
  <c r="AK34" i="8"/>
  <c r="AH34" i="8"/>
  <c r="AG34" i="8" s="1"/>
  <c r="M33" i="6" s="1"/>
  <c r="AI35" i="8"/>
  <c r="AH35" i="8"/>
  <c r="AG35" i="8" s="1"/>
  <c r="N33" i="6" s="1"/>
  <c r="AJ35" i="8"/>
  <c r="AL35" i="8"/>
  <c r="AI34" i="8"/>
  <c r="AK17" i="8"/>
  <c r="AH17" i="8"/>
  <c r="AH13" i="8"/>
  <c r="AL16" i="8"/>
  <c r="AI16" i="8"/>
  <c r="AJ13" i="8"/>
  <c r="AK16" i="8"/>
  <c r="AL17" i="8"/>
  <c r="AI17" i="8"/>
  <c r="AJ17" i="8"/>
  <c r="AL19" i="8"/>
  <c r="AI13" i="8"/>
  <c r="AJ16" i="8"/>
  <c r="AH19" i="8"/>
  <c r="AI19" i="8"/>
  <c r="AI20" i="8"/>
  <c r="AJ20" i="8"/>
  <c r="BA25" i="8"/>
  <c r="O24" i="6" s="1"/>
  <c r="BA28" i="8"/>
  <c r="O27" i="6" s="1"/>
  <c r="AH20" i="8"/>
  <c r="AK20" i="8"/>
  <c r="AJ19" i="8"/>
  <c r="AL20" i="8"/>
  <c r="AL13" i="8"/>
  <c r="AI14" i="8"/>
  <c r="AJ14" i="8"/>
  <c r="AH14" i="8"/>
  <c r="AK13" i="8"/>
  <c r="AL14" i="8"/>
  <c r="BA37" i="8"/>
  <c r="O36" i="6" s="1"/>
  <c r="AK29" i="8"/>
  <c r="AL22" i="8"/>
  <c r="BA22" i="8"/>
  <c r="O21" i="6" s="1"/>
  <c r="BA16" i="8"/>
  <c r="O15" i="6" s="1"/>
  <c r="AK23" i="8"/>
  <c r="AI23" i="8"/>
  <c r="AK28" i="8"/>
  <c r="AH22" i="8"/>
  <c r="AJ22" i="8"/>
  <c r="AL23" i="8"/>
  <c r="AH23" i="8"/>
  <c r="AI29" i="8"/>
  <c r="AH28" i="8"/>
  <c r="AJ28" i="8"/>
  <c r="AJ29" i="8"/>
  <c r="AL28" i="8"/>
  <c r="AH29" i="8"/>
  <c r="AI28" i="8"/>
  <c r="AI22" i="8"/>
  <c r="AK22" i="8"/>
  <c r="AF10" i="8"/>
  <c r="AI37" i="8"/>
  <c r="AH38" i="8"/>
  <c r="AI38" i="8"/>
  <c r="AH37" i="8"/>
  <c r="AL37" i="8"/>
  <c r="AK38" i="8"/>
  <c r="AL38" i="8"/>
  <c r="AJ38" i="8"/>
  <c r="AJ37" i="8"/>
  <c r="AK37" i="8"/>
  <c r="AJ32" i="8"/>
  <c r="AK32" i="8"/>
  <c r="AK31" i="8"/>
  <c r="AL32" i="8"/>
  <c r="AJ31" i="8"/>
  <c r="AH32" i="8"/>
  <c r="AG32" i="8" s="1"/>
  <c r="N30" i="6" s="1"/>
  <c r="AI31" i="8"/>
  <c r="AI32" i="8"/>
  <c r="AL31" i="8"/>
  <c r="AH31" i="8"/>
  <c r="AG23" i="8" l="1"/>
  <c r="N21" i="6" s="1"/>
  <c r="AG31" i="8"/>
  <c r="M30" i="6" s="1"/>
  <c r="AG29" i="8"/>
  <c r="N27" i="6" s="1"/>
  <c r="AG28" i="8"/>
  <c r="M27" i="6" s="1"/>
  <c r="O11" i="27"/>
  <c r="AG14" i="8"/>
  <c r="N12" i="6" s="1"/>
  <c r="O10" i="27"/>
  <c r="AG13" i="8"/>
  <c r="M12" i="6" s="1"/>
  <c r="AG38" i="8"/>
  <c r="N36" i="6" s="1"/>
  <c r="AG37" i="8"/>
  <c r="M36" i="6" s="1"/>
  <c r="AG16" i="8"/>
  <c r="M15" i="6" s="1"/>
  <c r="AG20" i="8"/>
  <c r="N18" i="6" s="1"/>
  <c r="AG19" i="8"/>
  <c r="M18" i="6" s="1"/>
  <c r="AG17" i="8"/>
  <c r="N15" i="6" s="1"/>
  <c r="AH10" i="8"/>
  <c r="AI3" i="5"/>
  <c r="AK11" i="8"/>
  <c r="AG22" i="8"/>
  <c r="M21" i="6" s="1"/>
  <c r="AL10" i="8"/>
  <c r="AJ11" i="8"/>
  <c r="AJ10" i="8"/>
  <c r="AK10" i="8"/>
  <c r="AI11" i="8"/>
  <c r="AI10" i="8"/>
  <c r="AL11" i="8"/>
  <c r="AH11" i="8"/>
  <c r="AG10" i="8" l="1"/>
  <c r="M9" i="6" s="1"/>
  <c r="AG11" i="8"/>
  <c r="N9" i="6" s="1"/>
  <c r="O11" i="19" l="1"/>
  <c r="O12" i="19"/>
  <c r="O13" i="19"/>
  <c r="O10" i="19"/>
  <c r="Q198" i="11" l="1"/>
  <c r="J206" i="11" s="1"/>
  <c r="C14" i="28" l="1"/>
  <c r="AW206" i="11"/>
  <c r="F14" i="28" s="1"/>
  <c r="G14" i="28" s="1"/>
</calcChain>
</file>

<file path=xl/comments1.xml><?xml version="1.0" encoding="utf-8"?>
<comments xmlns="http://schemas.openxmlformats.org/spreadsheetml/2006/main">
  <authors>
    <author>Milena De Leon</author>
    <author>Milena De León</author>
    <author>mdeleon</author>
  </authors>
  <commentList>
    <comment ref="A8" authorId="0" shapeId="0">
      <text>
        <r>
          <rPr>
            <b/>
            <sz val="12"/>
            <color indexed="81"/>
            <rFont val="Calibri"/>
            <family val="2"/>
          </rPr>
          <t xml:space="preserve">Misión:
</t>
        </r>
        <r>
          <rPr>
            <sz val="12"/>
            <color indexed="81"/>
            <rFont val="Calibri"/>
            <family val="2"/>
          </rPr>
          <t>Indique la misión institucional</t>
        </r>
        <r>
          <rPr>
            <b/>
            <sz val="12"/>
            <color indexed="81"/>
            <rFont val="Calibri"/>
            <family val="2"/>
          </rPr>
          <t xml:space="preserve">
Objetivo:</t>
        </r>
        <r>
          <rPr>
            <sz val="12"/>
            <color indexed="81"/>
            <rFont val="Calibri"/>
            <family val="2"/>
          </rPr>
          <t xml:space="preserve">
Describa el Objetivo del Proceso Seleccionado</t>
        </r>
      </text>
    </comment>
    <comment ref="A9" authorId="0" shapeId="0">
      <text>
        <r>
          <rPr>
            <b/>
            <sz val="12"/>
            <color indexed="81"/>
            <rFont val="Calibri"/>
            <family val="2"/>
          </rPr>
          <t>Equipo de Trabajo:</t>
        </r>
        <r>
          <rPr>
            <sz val="12"/>
            <color indexed="81"/>
            <rFont val="Calibri"/>
            <family val="2"/>
          </rPr>
          <t xml:space="preserve">
Indique Nombres y Apellidos de las Personas que Intervienen en esta Actividas</t>
        </r>
      </text>
    </comment>
    <comment ref="A14" authorId="1" shapeId="0">
      <text>
        <r>
          <rPr>
            <sz val="14"/>
            <color indexed="81"/>
            <rFont val="Tahoma"/>
            <family val="2"/>
          </rPr>
          <t>Defina claramente la normativa, especificando los capitulos, articulos y/o item de las leyes, decretos, acuerdos, resoluciones, etc.  Que tengan incidencia en las actividades que lleva a cabo el proceso.</t>
        </r>
      </text>
    </comment>
    <comment ref="B17" authorId="0" shapeId="0">
      <text>
        <r>
          <rPr>
            <sz val="12"/>
            <color indexed="81"/>
            <rFont val="Calibri"/>
            <family val="2"/>
          </rPr>
          <t>Indique los Factores Internos y Externos  que pueden afectar el Logro de los Objetivos del Proceso o de la Institucion, las amenazas o debilidades que se puden generar de estas</t>
        </r>
      </text>
    </comment>
    <comment ref="C17" authorId="1" shapeId="0">
      <text>
        <r>
          <rPr>
            <sz val="14"/>
            <color indexed="81"/>
            <rFont val="Tahoma"/>
            <family val="2"/>
          </rPr>
          <t xml:space="preserve">Vea cartilla guia de este archivo </t>
        </r>
      </text>
    </comment>
    <comment ref="A18" authorId="2" shapeId="0">
      <text>
        <r>
          <rPr>
            <sz val="12"/>
            <color indexed="81"/>
            <rFont val="Calibri"/>
            <family val="2"/>
          </rPr>
          <t>Por ser propios de la Universidad, permiten su control con el fin de adaptarlos teniendo en cuenta la necesidad de la institución.</t>
        </r>
      </text>
    </comment>
    <comment ref="B18" authorId="2" shapeId="0">
      <text>
        <r>
          <rPr>
            <sz val="12"/>
            <color indexed="81"/>
            <rFont val="Calibri"/>
            <family val="2"/>
          </rPr>
          <t xml:space="preserve">Una vez identificadas y desarrollando una adecuada estrategia, pueden y deben eliminarse
</t>
        </r>
      </text>
    </comment>
    <comment ref="B23" authorId="1" shapeId="0">
      <text>
        <r>
          <rPr>
            <b/>
            <sz val="12"/>
            <color indexed="81"/>
            <rFont val="Tahoma"/>
            <family val="2"/>
          </rPr>
          <t>Comunicación Interna:</t>
        </r>
        <r>
          <rPr>
            <sz val="12"/>
            <color indexed="81"/>
            <rFont val="Tahoma"/>
            <family val="2"/>
          </rPr>
          <t xml:space="preserve"> Canales utilizados y su efectividad, flujo de la información necesaria para el desarrollo de las operaciones.</t>
        </r>
      </text>
    </comment>
    <comment ref="A25" authorId="2" shapeId="0">
      <text>
        <r>
          <rPr>
            <sz val="12"/>
            <color indexed="81"/>
            <rFont val="Calibri"/>
            <family val="2"/>
          </rPr>
          <t>No son propios de la Universidad, por lo que carece de control sobre ellos, pero los puede influir.</t>
        </r>
      </text>
    </comment>
    <comment ref="B25" authorId="2" shapeId="0">
      <text>
        <r>
          <rPr>
            <sz val="12"/>
            <color indexed="81"/>
            <rFont val="Calibri"/>
            <family val="2"/>
          </rPr>
          <t>Debido a que se generan de situaciones no controlables no se pueden eliminar.
Indique si aplica en un mismo campo todos los de infraestructura, los de personal, etc.</t>
        </r>
      </text>
    </comment>
    <comment ref="B30" authorId="1" shapeId="0">
      <text>
        <r>
          <rPr>
            <b/>
            <sz val="12"/>
            <color indexed="81"/>
            <rFont val="Tahoma"/>
            <family val="2"/>
          </rPr>
          <t>Tecnológicos - ejemplos:</t>
        </r>
        <r>
          <rPr>
            <sz val="12"/>
            <color indexed="81"/>
            <rFont val="Tahoma"/>
            <family val="2"/>
          </rPr>
          <t xml:space="preserve"> constante, poca, excasa, falta, inadecuada, presencia, quebrantamiento, etc, de:
Interrupciones, comercio, electrónico, datos externos, tecnología Emergente, derechos de autor, etc.</t>
        </r>
      </text>
    </comment>
    <comment ref="B31" authorId="1" shapeId="0">
      <text>
        <r>
          <rPr>
            <b/>
            <sz val="12"/>
            <color indexed="81"/>
            <rFont val="Tahoma"/>
            <family val="2"/>
          </rPr>
          <t>Comunicación Externa:</t>
        </r>
        <r>
          <rPr>
            <sz val="12"/>
            <color indexed="81"/>
            <rFont val="Tahoma"/>
            <family val="2"/>
          </rPr>
          <t xml:space="preserve"> Mecanismos utilizados para entrar en contacto con los usuarios o ciudadanos, canales establecidos para que el mismo se comunique con la Universidad</t>
        </r>
      </text>
    </comment>
  </commentList>
</comments>
</file>

<file path=xl/comments2.xml><?xml version="1.0" encoding="utf-8"?>
<comments xmlns="http://schemas.openxmlformats.org/spreadsheetml/2006/main">
  <authors>
    <author>Milena De Leon</author>
  </authors>
  <commentList>
    <comment ref="B8" authorId="0" shapeId="0">
      <text>
        <r>
          <rPr>
            <b/>
            <sz val="12"/>
            <color indexed="81"/>
            <rFont val="Calibri"/>
            <family val="2"/>
          </rPr>
          <t>Causas:</t>
        </r>
        <r>
          <rPr>
            <sz val="12"/>
            <color indexed="81"/>
            <rFont val="Calibri"/>
            <family val="2"/>
          </rPr>
          <t xml:space="preserve">
Todos los sujetos u objetos
que tienen la capacidad de originar un riesgo</t>
        </r>
      </text>
    </comment>
    <comment ref="D8" authorId="0" shapeId="0">
      <text>
        <r>
          <rPr>
            <b/>
            <sz val="12"/>
            <color indexed="81"/>
            <rFont val="Calibri"/>
            <family val="2"/>
          </rPr>
          <t>Riesgo de GESTIÓN:</t>
        </r>
        <r>
          <rPr>
            <sz val="12"/>
            <color indexed="81"/>
            <rFont val="Calibri"/>
            <family val="2"/>
          </rPr>
          <t xml:space="preserve">
Toda aquella situación que pueda obstaculizar el logro de los objetivos institucionales o el buen desarrollo de los procesos en la Universidad.
</t>
        </r>
        <r>
          <rPr>
            <b/>
            <sz val="12"/>
            <color indexed="81"/>
            <rFont val="Calibri"/>
            <family val="2"/>
          </rPr>
          <t>Riesgo de CORRUPCIÓN:
P</t>
        </r>
        <r>
          <rPr>
            <sz val="12"/>
            <color indexed="81"/>
            <rFont val="Calibri"/>
            <family val="2"/>
          </rPr>
          <t>or acción u omisión, mediante el uso indebido del poder, de los recursos o de la información, se lesionen los intereses de una entidad y en consecuencia del Estado, para la obtención de un beneficio particular</t>
        </r>
      </text>
    </comment>
    <comment ref="E8" authorId="0" shapeId="0">
      <text>
        <r>
          <rPr>
            <b/>
            <sz val="12"/>
            <color indexed="81"/>
            <rFont val="Calibri"/>
            <family val="2"/>
          </rPr>
          <t>Descripción del Riesgo:</t>
        </r>
        <r>
          <rPr>
            <sz val="12"/>
            <color indexed="81"/>
            <rFont val="Calibri"/>
            <family val="2"/>
          </rPr>
          <t xml:space="preserve">
Características generales o las formas en que se observa o manifiesta el riesgo </t>
        </r>
      </text>
    </comment>
    <comment ref="F8" authorId="0" shapeId="0">
      <text>
        <r>
          <rPr>
            <b/>
            <sz val="12"/>
            <color indexed="81"/>
            <rFont val="Calibri"/>
            <family val="2"/>
          </rPr>
          <t>Efectos:</t>
        </r>
        <r>
          <rPr>
            <sz val="12"/>
            <color indexed="81"/>
            <rFont val="Calibri"/>
            <family val="2"/>
          </rPr>
          <t xml:space="preserve">
Consecuencias de la ocurrencia del riesgo sobre los objetivos de la entidad.
Generalmente se dan sobre las personas o los bienes materiales o inmateriales.</t>
        </r>
      </text>
    </comment>
  </commentList>
</comments>
</file>

<file path=xl/comments3.xml><?xml version="1.0" encoding="utf-8"?>
<comments xmlns="http://schemas.openxmlformats.org/spreadsheetml/2006/main">
  <authors>
    <author>Milena De Leon</author>
  </authors>
  <commentList>
    <comment ref="J9" authorId="0" shapeId="0">
      <text>
        <r>
          <rPr>
            <b/>
            <sz val="12"/>
            <color indexed="81"/>
            <rFont val="Calibri"/>
            <family val="2"/>
          </rPr>
          <t>Evaluación:</t>
        </r>
        <r>
          <rPr>
            <sz val="12"/>
            <color indexed="81"/>
            <rFont val="Calibri"/>
            <family val="2"/>
          </rPr>
          <t xml:space="preserve">
permite comparar los resultados de su calificación, con los criterios definidos para establecer el grado de exposición de la Universidad al riesgo, ubicándolo en una zona de riesgo y de esta forma distinguir entre los riesgos BAJOS, MODERADOS, ALTOS o EXTREMOS  y fijar las prioridades de las acciones requeridas para su tratamiento.</t>
        </r>
      </text>
    </comment>
    <comment ref="D10" authorId="0" shapeId="0">
      <text>
        <r>
          <rPr>
            <b/>
            <sz val="12"/>
            <color indexed="81"/>
            <rFont val="Calibri"/>
            <family val="2"/>
          </rPr>
          <t>Posibilidad:</t>
        </r>
        <r>
          <rPr>
            <sz val="12"/>
            <color indexed="81"/>
            <rFont val="Calibri"/>
            <family val="2"/>
          </rPr>
          <t xml:space="preserve">
representa el número de veces que el riesgo se ha presentado o puede presentarse en un tiempo o periodo.  Y sus categorías y puntuaciones dadas por el análisis cualitativo y cuantitativo son:
5 - Casi certeza: Se espera que ocurra en la mayoría de las circunstancias
4 - Probable: Probablemente ocurrirá en la mayoría de las circunstancias
3 - Posible: Podría ocurrir en algún momento
2 - Improbable: Pudo ocurrir en algún momento
1 - Raro: Puede ocurrir sólo en circunstancias excepcionales</t>
        </r>
      </text>
    </comment>
    <comment ref="G10" authorId="0" shapeId="0">
      <text>
        <r>
          <rPr>
            <b/>
            <sz val="12"/>
            <color indexed="81"/>
            <rFont val="Calibri"/>
            <family val="2"/>
          </rPr>
          <t>Impacto:</t>
        </r>
        <r>
          <rPr>
            <sz val="12"/>
            <color indexed="81"/>
            <rFont val="Calibri"/>
            <family val="2"/>
          </rPr>
          <t xml:space="preserve">
se refiere a la magnitud de sus efectos.  Y sus categorías y puntuaciones dadas por el análisis cualitativo y cuantitativo son:
                                                                </t>
        </r>
        <r>
          <rPr>
            <b/>
            <i/>
            <sz val="12"/>
            <color indexed="81"/>
            <rFont val="Calibri"/>
            <family val="2"/>
          </rPr>
          <t xml:space="preserve">             Temas de IMPACTO    </t>
        </r>
        <r>
          <rPr>
            <sz val="12"/>
            <color indexed="81"/>
            <rFont val="Calibri"/>
            <family val="2"/>
          </rPr>
          <t xml:space="preserve">
</t>
        </r>
        <r>
          <rPr>
            <b/>
            <i/>
            <sz val="12"/>
            <color indexed="81"/>
            <rFont val="Calibri"/>
            <family val="2"/>
          </rPr>
          <t>Calificación                Confidencialidad                  Credibilidad                              Financiero(SMMLV)</t>
        </r>
        <r>
          <rPr>
            <sz val="12"/>
            <color indexed="81"/>
            <rFont val="Calibri"/>
            <family val="2"/>
          </rPr>
          <t xml:space="preserve">
1 - Insignificante     Personal                                Grupo de Funcionarior                0     &lt; 5
2 - Menor                  Sensible Personal                Todos los Funcionarios         &gt; = 5     &lt; 10
3 - Moderado           Institucional                         Usuarios                                   &gt; = 10   &lt; 20
4 - Mayor                  No Sensible Institucional   Departamento                         &gt; = 20   &lt; 42
5 - Catastrófico       Reservada Institucional      Pais                                              &gt; 42</t>
        </r>
      </text>
    </comment>
  </commentList>
</comments>
</file>

<file path=xl/comments4.xml><?xml version="1.0" encoding="utf-8"?>
<comments xmlns="http://schemas.openxmlformats.org/spreadsheetml/2006/main">
  <authors>
    <author>Milena De Leon</author>
    <author>mdeleon</author>
    <author>Milena De Leon Mendoza</author>
  </authors>
  <commentList>
    <comment ref="X8" authorId="0" shapeId="0">
      <text>
        <r>
          <rPr>
            <b/>
            <sz val="12"/>
            <color indexed="81"/>
            <rFont val="Calibri"/>
            <family val="2"/>
          </rPr>
          <t>Ponderacion del Control:</t>
        </r>
        <r>
          <rPr>
            <sz val="12"/>
            <color indexed="81"/>
            <rFont val="Calibri"/>
            <family val="2"/>
          </rPr>
          <t xml:space="preserve">
Valor del Control Según tabla de Ponderación</t>
        </r>
      </text>
    </comment>
    <comment ref="AA8" authorId="0" shapeId="0">
      <text>
        <r>
          <rPr>
            <b/>
            <sz val="12"/>
            <color indexed="81"/>
            <rFont val="Calibri"/>
            <family val="2"/>
          </rPr>
          <t>Ponderación de los Controles:</t>
        </r>
        <r>
          <rPr>
            <sz val="12"/>
            <color indexed="81"/>
            <rFont val="Calibri"/>
            <family val="2"/>
          </rPr>
          <t xml:space="preserve">
El valor promedio que reciben los controles que intervienen en la actividad que genera el riesgo.
A mayor valor de ponderación del control, es necesario tratarlo o mejorarlo de forma prioritaria por su estado critico, a menor valor de ponderación del control, la mejora es menos prioritaria.</t>
        </r>
      </text>
    </comment>
    <comment ref="D9" authorId="1" shapeId="0">
      <text>
        <r>
          <rPr>
            <b/>
            <sz val="12"/>
            <color indexed="81"/>
            <rFont val="Calibri"/>
            <family val="2"/>
          </rPr>
          <t xml:space="preserve">
Existe:</t>
        </r>
        <r>
          <rPr>
            <sz val="12"/>
            <color indexed="81"/>
            <rFont val="Calibri"/>
            <family val="2"/>
          </rPr>
          <t xml:space="preserve">
Posee una herramienta
para ejercer el control</t>
        </r>
      </text>
    </comment>
    <comment ref="H9" authorId="0" shapeId="0">
      <text>
        <r>
          <rPr>
            <b/>
            <sz val="12"/>
            <color indexed="81"/>
            <rFont val="Calibri"/>
            <family val="2"/>
          </rPr>
          <t>Tipo:</t>
        </r>
        <r>
          <rPr>
            <sz val="12"/>
            <color indexed="81"/>
            <rFont val="Calibri"/>
            <family val="2"/>
          </rPr>
          <t xml:space="preserve">
Establecer si son </t>
        </r>
        <r>
          <rPr>
            <b/>
            <sz val="12"/>
            <color indexed="81"/>
            <rFont val="Calibri"/>
            <family val="2"/>
          </rPr>
          <t>preventivos</t>
        </r>
        <r>
          <rPr>
            <sz val="12"/>
            <color indexed="81"/>
            <rFont val="Calibri"/>
            <family val="2"/>
          </rPr>
          <t xml:space="preserve"> o </t>
        </r>
        <r>
          <rPr>
            <b/>
            <sz val="12"/>
            <color indexed="81"/>
            <rFont val="Calibri"/>
            <family val="2"/>
          </rPr>
          <t>correctivos</t>
        </r>
        <r>
          <rPr>
            <sz val="12"/>
            <color indexed="81"/>
            <rFont val="Calibri"/>
            <family val="2"/>
          </rPr>
          <t xml:space="preserve">, entendiéndose estos como:
</t>
        </r>
        <r>
          <rPr>
            <b/>
            <sz val="12"/>
            <color indexed="81"/>
            <rFont val="Calibri"/>
            <family val="2"/>
          </rPr>
          <t>Preventivos</t>
        </r>
        <r>
          <rPr>
            <sz val="12"/>
            <color indexed="81"/>
            <rFont val="Calibri"/>
            <family val="2"/>
          </rPr>
          <t xml:space="preserve">, aquellos que actúan para eliminar las causas del riesgo, para prevenir su ocurrencia o materialización.
</t>
        </r>
        <r>
          <rPr>
            <b/>
            <sz val="12"/>
            <color indexed="81"/>
            <rFont val="Calibri"/>
            <family val="2"/>
          </rPr>
          <t>Correctivos</t>
        </r>
        <r>
          <rPr>
            <sz val="12"/>
            <color indexed="81"/>
            <rFont val="Calibri"/>
            <family val="2"/>
          </rPr>
          <t>, aquellos que permiten el restablecimiento de la actividad después de ser detectado un evento no deseable; también permiten la modificación de las acciones que propiciaron su ocurrencia</t>
        </r>
      </text>
    </comment>
    <comment ref="J9" authorId="2" shapeId="0">
      <text>
        <r>
          <rPr>
            <b/>
            <sz val="12"/>
            <color indexed="81"/>
            <rFont val="Calibri"/>
            <family val="2"/>
          </rPr>
          <t>Disminuye:</t>
        </r>
        <r>
          <rPr>
            <sz val="12"/>
            <color indexed="81"/>
            <rFont val="Calibri"/>
            <family val="2"/>
          </rPr>
          <t xml:space="preserve">
Si el Control es Preventivo disminuye Posibilidad Si el Control es Correctivo disminuye Impacto. 
Esto con el fin de determinar en que se disminuye la calificacion del riesgo en el caso que el control obtenga calificación de 1</t>
        </r>
      </text>
    </comment>
    <comment ref="K9" authorId="1" shapeId="0">
      <text>
        <r>
          <rPr>
            <b/>
            <sz val="12"/>
            <color indexed="81"/>
            <rFont val="Calibri"/>
            <family val="2"/>
          </rPr>
          <t xml:space="preserve">
¿El control esta documentado?</t>
        </r>
        <r>
          <rPr>
            <sz val="12"/>
            <color indexed="81"/>
            <rFont val="Calibri"/>
            <family val="2"/>
          </rPr>
          <t xml:space="preserve">
Existen manuales, instructivos o procedimientos para el manejo del control</t>
        </r>
      </text>
    </comment>
    <comment ref="M9" authorId="1" shapeId="0">
      <text>
        <r>
          <rPr>
            <b/>
            <sz val="12"/>
            <color indexed="81"/>
            <rFont val="Calibri"/>
            <family val="2"/>
          </rPr>
          <t xml:space="preserve">
¿El control es Efectivo?</t>
        </r>
        <r>
          <rPr>
            <sz val="12"/>
            <color indexed="81"/>
            <rFont val="Calibri"/>
            <family val="2"/>
          </rPr>
          <t xml:space="preserve">
En el tiempo que lleva el control ha demostrado ser efectivo</t>
        </r>
      </text>
    </comment>
    <comment ref="O9" authorId="1" shapeId="0">
      <text>
        <r>
          <rPr>
            <b/>
            <sz val="12"/>
            <color indexed="81"/>
            <rFont val="Calibri"/>
            <family val="2"/>
          </rPr>
          <t xml:space="preserve">
¿Automático o Manual?</t>
        </r>
        <r>
          <rPr>
            <sz val="12"/>
            <color indexed="81"/>
            <rFont val="Calibri"/>
            <family val="2"/>
          </rPr>
          <t xml:space="preserve">
</t>
        </r>
        <r>
          <rPr>
            <b/>
            <sz val="12"/>
            <color indexed="81"/>
            <rFont val="Calibri"/>
            <family val="2"/>
          </rPr>
          <t>Controles Automáticos:</t>
        </r>
        <r>
          <rPr>
            <sz val="12"/>
            <color indexed="81"/>
            <rFont val="Calibri"/>
            <family val="2"/>
          </rPr>
          <t xml:space="preserve"> 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r>
        <r>
          <rPr>
            <b/>
            <sz val="12"/>
            <color indexed="81"/>
            <rFont val="Calibri"/>
            <family val="2"/>
          </rPr>
          <t>Controles Manuales:</t>
        </r>
        <r>
          <rPr>
            <sz val="12"/>
            <color indexed="81"/>
            <rFont val="Calibri"/>
            <family val="2"/>
          </rPr>
          <t xml:space="preserve"> Políticas de operación aplicables, autorizaciones a través de firmas o confirmaciones vía correo electrónico, archivos físicos, consecutivos, listas de chequeo, controles de seguridad con personal especializado, entre otros</t>
        </r>
      </text>
    </comment>
    <comment ref="Q9" authorId="1" shapeId="0">
      <text>
        <r>
          <rPr>
            <b/>
            <sz val="12"/>
            <color indexed="81"/>
            <rFont val="Calibri"/>
            <family val="2"/>
          </rPr>
          <t xml:space="preserve">
¿Posee Responsable?</t>
        </r>
        <r>
          <rPr>
            <sz val="12"/>
            <color indexed="81"/>
            <rFont val="Calibri"/>
            <family val="2"/>
          </rPr>
          <t xml:space="preserve">
Está (n) definido (s) el (los) responsable (s) de la ejecución del control y del seguimiento?</t>
        </r>
      </text>
    </comment>
    <comment ref="S9" authorId="1" shapeId="0">
      <text>
        <r>
          <rPr>
            <b/>
            <sz val="12"/>
            <color indexed="81"/>
            <rFont val="Calibri"/>
            <family val="2"/>
          </rPr>
          <t xml:space="preserve">
¿La Periodicidad es Adecuada?</t>
        </r>
        <r>
          <rPr>
            <sz val="12"/>
            <color indexed="81"/>
            <rFont val="Calibri"/>
            <family val="2"/>
          </rPr>
          <t xml:space="preserve">
La frecuencia de ejecución del control y seguimiento es adecuada?</t>
        </r>
      </text>
    </comment>
    <comment ref="U9" authorId="1" shapeId="0">
      <text>
        <r>
          <rPr>
            <b/>
            <sz val="12"/>
            <color indexed="81"/>
            <rFont val="Calibri"/>
            <family val="2"/>
          </rPr>
          <t xml:space="preserve">
¿Guarda Evidencias?</t>
        </r>
        <r>
          <rPr>
            <sz val="12"/>
            <color indexed="81"/>
            <rFont val="Calibri"/>
            <family val="2"/>
          </rPr>
          <t xml:space="preserve">
Se cuenta con evidencias de la ejecución y seguimiento del control?</t>
        </r>
      </text>
    </comment>
  </commentList>
</comments>
</file>

<file path=xl/comments5.xml><?xml version="1.0" encoding="utf-8"?>
<comments xmlns="http://schemas.openxmlformats.org/spreadsheetml/2006/main">
  <authors>
    <author>Milena De Leon</author>
    <author>Milena De Leon Mendoza</author>
  </authors>
  <commentList>
    <comment ref="P7" authorId="0" shapeId="0">
      <text>
        <r>
          <rPr>
            <b/>
            <sz val="12"/>
            <color indexed="81"/>
            <rFont val="Calibri"/>
            <family val="2"/>
          </rPr>
          <t>Opciones de Manejo:</t>
        </r>
        <r>
          <rPr>
            <sz val="12"/>
            <color indexed="81"/>
            <rFont val="Calibri"/>
            <family val="2"/>
          </rPr>
          <t xml:space="preserve">
Opciones de respuesta tendientes a eliminar la cuasa, evitar la posibilidad, reducir el impacto, comportir o transferir el riesgo y/o asumir el riesgo</t>
        </r>
      </text>
    </comment>
    <comment ref="Q7" authorId="0" shapeId="0">
      <text>
        <r>
          <rPr>
            <b/>
            <sz val="12"/>
            <color indexed="81"/>
            <rFont val="Calibri"/>
            <family val="2"/>
          </rPr>
          <t>Definición de 
Acciones:</t>
        </r>
        <r>
          <rPr>
            <sz val="12"/>
            <color indexed="81"/>
            <rFont val="Calibri"/>
            <family val="2"/>
          </rPr>
          <t xml:space="preserve">
Aplicación concreta de las opciones de manejo del riesgo</t>
        </r>
      </text>
    </comment>
    <comment ref="R7" authorId="0" shapeId="0">
      <text>
        <r>
          <rPr>
            <b/>
            <sz val="12"/>
            <color indexed="81"/>
            <rFont val="Calibri"/>
            <family val="2"/>
          </rPr>
          <t>Indicador:</t>
        </r>
        <r>
          <rPr>
            <sz val="12"/>
            <color indexed="81"/>
            <rFont val="Calibri"/>
            <family val="2"/>
          </rPr>
          <t xml:space="preserve">
Identifique el estado de avance de las acciones
</t>
        </r>
      </text>
    </comment>
    <comment ref="I8" authorId="1" shapeId="0">
      <text>
        <r>
          <rPr>
            <sz val="12"/>
            <color indexed="81"/>
            <rFont val="Calibri"/>
            <family val="2"/>
          </rPr>
          <t>Esta evaluación es el resultado de la calificación del riesgo, en cuanto a posibilidad e impacto, sin considerar los controles existentes</t>
        </r>
      </text>
    </comment>
    <comment ref="M8" authorId="1" shapeId="0">
      <text>
        <r>
          <rPr>
            <sz val="12"/>
            <color indexed="81"/>
            <rFont val="Calibri"/>
            <family val="2"/>
          </rPr>
          <t>Esta evaluación toma en cuenta los controles existentes modificando o no la evaluacion inicial</t>
        </r>
      </text>
    </comment>
  </commentList>
</comments>
</file>

<file path=xl/comments6.xml><?xml version="1.0" encoding="utf-8"?>
<comments xmlns="http://schemas.openxmlformats.org/spreadsheetml/2006/main">
  <authors>
    <author>Milena De Leon</author>
  </authors>
  <commentList>
    <comment ref="F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 Ejemplo: Resolución (es), Comunicación (es), Sistema de Información, modulo (S), etc.</t>
        </r>
      </text>
    </comment>
    <comment ref="G8" authorId="0" shapeId="0">
      <text>
        <r>
          <rPr>
            <b/>
            <sz val="12"/>
            <color indexed="81"/>
            <rFont val="Calibri"/>
            <family val="2"/>
          </rPr>
          <t>Dimensión (Producto o Entregable):</t>
        </r>
        <r>
          <rPr>
            <sz val="12"/>
            <color indexed="81"/>
            <rFont val="Calibri"/>
            <family val="2"/>
          </rPr>
          <t xml:space="preserve">
Se debe consignar un valor numerico que indique el volumen o tamaño del productor o entregable propuesto Ejemplo: 1, 15..., 10%, ...100%
</t>
        </r>
      </text>
    </comment>
    <comment ref="H8" authorId="0" shapeId="0">
      <text>
        <r>
          <rPr>
            <b/>
            <sz val="12"/>
            <color indexed="81"/>
            <rFont val="Calibri"/>
            <family val="2"/>
          </rPr>
          <t>Fecha de Inicio:</t>
        </r>
        <r>
          <rPr>
            <sz val="12"/>
            <color indexed="81"/>
            <rFont val="Calibri"/>
            <family val="2"/>
          </rPr>
          <t xml:space="preserve">
AAAA/MM/DD que comenzó o comenzara la ejecución de la Acción Definida</t>
        </r>
      </text>
    </comment>
    <comment ref="I8" authorId="0" shapeId="0">
      <text>
        <r>
          <rPr>
            <b/>
            <sz val="12"/>
            <color indexed="81"/>
            <rFont val="Calibri"/>
            <family val="2"/>
          </rPr>
          <t xml:space="preserve">Fecha de Terminación:
</t>
        </r>
        <r>
          <rPr>
            <sz val="12"/>
            <color indexed="81"/>
            <rFont val="Calibri"/>
            <family val="2"/>
          </rPr>
          <t>AAAA/MM/DD que Terminara la ejecución de la Acción Definida</t>
        </r>
      </text>
    </comment>
  </commentList>
</comments>
</file>

<file path=xl/comments7.xml><?xml version="1.0" encoding="utf-8"?>
<comments xmlns="http://schemas.openxmlformats.org/spreadsheetml/2006/main">
  <authors>
    <author>Milena De Leon</author>
  </authors>
  <commentList>
    <comment ref="E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F8" authorId="0" shapeId="0">
      <text>
        <r>
          <rPr>
            <b/>
            <sz val="12"/>
            <color indexed="81"/>
            <rFont val="Calibri"/>
            <family val="2"/>
          </rPr>
          <t>Dimensión (Producto o Entregable):</t>
        </r>
        <r>
          <rPr>
            <sz val="12"/>
            <color indexed="81"/>
            <rFont val="Calibri"/>
            <family val="2"/>
          </rPr>
          <t xml:space="preserve">
Se debe consignar un valor numerico que indique el volumen o tamaño del productor o entregable propuesto Ejemplo: 1, 15..., 10%, ...100%
</t>
        </r>
      </text>
    </comment>
    <comment ref="G8" authorId="0" shapeId="0">
      <text>
        <r>
          <rPr>
            <b/>
            <sz val="12"/>
            <color indexed="81"/>
            <rFont val="Calibri"/>
            <family val="2"/>
          </rPr>
          <t>Fecha de Inicio:</t>
        </r>
        <r>
          <rPr>
            <sz val="12"/>
            <color indexed="81"/>
            <rFont val="Calibri"/>
            <family val="2"/>
          </rPr>
          <t xml:space="preserve">
AAAA/MM/DD que comenzó o comenzara la ejecución de la Acción Definida</t>
        </r>
      </text>
    </comment>
    <comment ref="H8" authorId="0" shapeId="0">
      <text>
        <r>
          <rPr>
            <b/>
            <sz val="12"/>
            <color indexed="81"/>
            <rFont val="Calibri"/>
            <family val="2"/>
          </rPr>
          <t xml:space="preserve">Fecha de Terminación:
</t>
        </r>
        <r>
          <rPr>
            <sz val="12"/>
            <color indexed="81"/>
            <rFont val="Calibri"/>
            <family val="2"/>
          </rPr>
          <t>AAAA/MM/DD que Terminara la ejecución de la Acción Definida</t>
        </r>
      </text>
    </comment>
    <comment ref="K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 ref="U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 ref="AE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List>
</comments>
</file>

<file path=xl/comments8.xml><?xml version="1.0" encoding="utf-8"?>
<comments xmlns="http://schemas.openxmlformats.org/spreadsheetml/2006/main">
  <authors>
    <author>Milena De Leon</author>
  </authors>
  <commentList>
    <comment ref="D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E8" authorId="0" shapeId="0">
      <text>
        <r>
          <rPr>
            <b/>
            <sz val="12"/>
            <color indexed="81"/>
            <rFont val="Calibri"/>
            <family val="2"/>
          </rPr>
          <t>Fecha de Inicio:</t>
        </r>
        <r>
          <rPr>
            <sz val="12"/>
            <color indexed="81"/>
            <rFont val="Calibri"/>
            <family val="2"/>
          </rPr>
          <t xml:space="preserve">
Dia/Mes/Año que comenzó o comenzara la ejecución de la Acción Definida</t>
        </r>
      </text>
    </comment>
    <comment ref="F8" authorId="0" shapeId="0">
      <text>
        <r>
          <rPr>
            <b/>
            <sz val="12"/>
            <color indexed="81"/>
            <rFont val="Calibri"/>
            <family val="2"/>
          </rPr>
          <t xml:space="preserve">Fecha de Terminación:
</t>
        </r>
        <r>
          <rPr>
            <sz val="12"/>
            <color indexed="81"/>
            <rFont val="Calibri"/>
            <family val="2"/>
          </rPr>
          <t>Dia/Mes/Año que Terminara la ejecución de la Acción Definida</t>
        </r>
      </text>
    </comment>
  </commentList>
</comments>
</file>

<file path=xl/comments9.xml><?xml version="1.0" encoding="utf-8"?>
<comments xmlns="http://schemas.openxmlformats.org/spreadsheetml/2006/main">
  <authors>
    <author>Milena De Leon</author>
  </authors>
  <commentList>
    <comment ref="D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E8" authorId="0" shapeId="0">
      <text>
        <r>
          <rPr>
            <b/>
            <sz val="12"/>
            <color indexed="81"/>
            <rFont val="Calibri"/>
            <family val="2"/>
          </rPr>
          <t>Fecha de Inicio:</t>
        </r>
        <r>
          <rPr>
            <sz val="12"/>
            <color indexed="81"/>
            <rFont val="Calibri"/>
            <family val="2"/>
          </rPr>
          <t xml:space="preserve">
Dia/Mes/Año que comenzó o comenzara la ejecución de la Acción Definida</t>
        </r>
      </text>
    </comment>
    <comment ref="F8" authorId="0" shapeId="0">
      <text>
        <r>
          <rPr>
            <b/>
            <sz val="12"/>
            <color indexed="81"/>
            <rFont val="Calibri"/>
            <family val="2"/>
          </rPr>
          <t xml:space="preserve">Fecha de Terminación:
</t>
        </r>
        <r>
          <rPr>
            <sz val="12"/>
            <color indexed="81"/>
            <rFont val="Calibri"/>
            <family val="2"/>
          </rPr>
          <t>Dia/Mes/Año que Terminara la ejecución de la Acción Definida</t>
        </r>
      </text>
    </comment>
  </commentList>
</comments>
</file>

<file path=xl/sharedStrings.xml><?xml version="1.0" encoding="utf-8"?>
<sst xmlns="http://schemas.openxmlformats.org/spreadsheetml/2006/main" count="2755" uniqueCount="1015">
  <si>
    <t>IMPACTO</t>
  </si>
  <si>
    <t>RIESGOS</t>
  </si>
  <si>
    <t xml:space="preserve">CALIFICACION </t>
  </si>
  <si>
    <t>CAUSAS</t>
  </si>
  <si>
    <t>EFECTOS</t>
  </si>
  <si>
    <t xml:space="preserve">ANALISIS </t>
  </si>
  <si>
    <t>DESCRIPCION DEL RIESGO</t>
  </si>
  <si>
    <t>Impacto</t>
  </si>
  <si>
    <t>TIPO</t>
  </si>
  <si>
    <t>Existen</t>
  </si>
  <si>
    <t>NO</t>
  </si>
  <si>
    <t>SI</t>
  </si>
  <si>
    <t>DESCRIBALO</t>
  </si>
  <si>
    <t>¿EL CONTROL ESTA DOCUMENTADO?</t>
  </si>
  <si>
    <t>¿ES EFECTIVO PARA MINIMIZAR EL RIESGO?</t>
  </si>
  <si>
    <t>VALOR</t>
  </si>
  <si>
    <t>EVALUACIÓN</t>
  </si>
  <si>
    <t>CONTROLES EXISTENTES</t>
  </si>
  <si>
    <t>OPCIONES DE MANEJO</t>
  </si>
  <si>
    <t>Tipo</t>
  </si>
  <si>
    <t>Preventivo</t>
  </si>
  <si>
    <t>Correctivo</t>
  </si>
  <si>
    <t>Nº</t>
  </si>
  <si>
    <t>PONDERACION DEL CONTROL</t>
  </si>
  <si>
    <t>Equipo de Trabajo</t>
  </si>
  <si>
    <t>N° del Control</t>
  </si>
  <si>
    <t>N°</t>
  </si>
  <si>
    <t>MAPA DE RIESGO</t>
  </si>
  <si>
    <t>RIESGO</t>
  </si>
  <si>
    <t>Nº CONTROL</t>
  </si>
  <si>
    <t>PONDERACION  DE LOS CONTROLES</t>
  </si>
  <si>
    <t>Ninguno</t>
  </si>
  <si>
    <t>Gestión de Divulgación</t>
  </si>
  <si>
    <t>Gestión de Relaciones internacionales</t>
  </si>
  <si>
    <t>Evaluación de la gestión</t>
  </si>
  <si>
    <t>Evaluación independiente</t>
  </si>
  <si>
    <t>Acreditación</t>
  </si>
  <si>
    <t>Mejoramiento Continuo</t>
  </si>
  <si>
    <t>Planeación Académica</t>
  </si>
  <si>
    <t>pdos</t>
  </si>
  <si>
    <t>puno</t>
  </si>
  <si>
    <t>ptres</t>
  </si>
  <si>
    <t>pcinco</t>
  </si>
  <si>
    <t>Diseño Curricular</t>
  </si>
  <si>
    <t>Actividades de Capacitación</t>
  </si>
  <si>
    <t>Evaluación académica</t>
  </si>
  <si>
    <t>Semilleros y Jóvenes Talentos</t>
  </si>
  <si>
    <t>pseis</t>
  </si>
  <si>
    <t>Gestión de Centros y Grupos de Investigación</t>
  </si>
  <si>
    <t>Gestión de Proyectos de investigación</t>
  </si>
  <si>
    <t>Producción Investigativa</t>
  </si>
  <si>
    <t>pocho</t>
  </si>
  <si>
    <t>Admisiones, Registro y Control Académico</t>
  </si>
  <si>
    <t>Biblioteca</t>
  </si>
  <si>
    <t>Recursos educativos</t>
  </si>
  <si>
    <t>Editorial</t>
  </si>
  <si>
    <t>pquince</t>
  </si>
  <si>
    <t>Atención de Incidentes</t>
  </si>
  <si>
    <t>Gestión de Control de Cambios</t>
  </si>
  <si>
    <t>Aseguramiento de la continuidad de los servicios</t>
  </si>
  <si>
    <t>Garantizar la integridad, confidencialidad y disponibilidad de la información</t>
  </si>
  <si>
    <t>Gestión de infraestructura tecnológica</t>
  </si>
  <si>
    <t>Gestión del licenciamiento de software</t>
  </si>
  <si>
    <t>POSIBILIDAD</t>
  </si>
  <si>
    <t>Volver</t>
  </si>
  <si>
    <t xml:space="preserve">volver </t>
  </si>
  <si>
    <t>volver</t>
  </si>
  <si>
    <t>Existeno</t>
  </si>
  <si>
    <t>indicador</t>
  </si>
  <si>
    <t>Sin Implementar</t>
  </si>
  <si>
    <t>En Ejecución</t>
  </si>
  <si>
    <t xml:space="preserve">Página 1 de </t>
  </si>
  <si>
    <t>DISMINUYE</t>
  </si>
  <si>
    <t>disminuye</t>
  </si>
  <si>
    <t>EVALUACION FINAL</t>
  </si>
  <si>
    <t>CONTEXTO ESTRATEGICO</t>
  </si>
  <si>
    <t>IDENTIFICACION DEL RIESGOS</t>
  </si>
  <si>
    <t>ANALISIS DEL RIESGO</t>
  </si>
  <si>
    <t>VALORACION DEL RIESGO</t>
  </si>
  <si>
    <t>Gestión de Biblioteca</t>
  </si>
  <si>
    <t>Gestión de Admisiones y Registro</t>
  </si>
  <si>
    <t>Gestión de Recursos Educativos</t>
  </si>
  <si>
    <t>Gestión Financiera</t>
  </si>
  <si>
    <t>Gestión Documental</t>
  </si>
  <si>
    <t>Gestión del Talento Humano</t>
  </si>
  <si>
    <t>Gestión de Contratación</t>
  </si>
  <si>
    <t>posibilidad prob</t>
  </si>
  <si>
    <t>impacto imp</t>
  </si>
  <si>
    <t>IMPACTO 1</t>
  </si>
  <si>
    <t>IMPACTO 2</t>
  </si>
  <si>
    <t>IMPACTO 3</t>
  </si>
  <si>
    <t>IMPACTO 4</t>
  </si>
  <si>
    <t>IMPACTO 5</t>
  </si>
  <si>
    <t>Posibilidad</t>
  </si>
  <si>
    <t>GENERALIDADES DEL CONTROL</t>
  </si>
  <si>
    <t>EXISTE</t>
  </si>
  <si>
    <t>existe</t>
  </si>
  <si>
    <t>No Aplica</t>
  </si>
  <si>
    <t>contar para ponderar</t>
  </si>
  <si>
    <t>vr analisis posibilidad impacto</t>
  </si>
  <si>
    <t>valor evaluacion final</t>
  </si>
  <si>
    <t>Nuevos vres Posibilidad Impacto</t>
  </si>
  <si>
    <t>EVALUACION</t>
  </si>
  <si>
    <t>Asumir el Riesgo</t>
  </si>
  <si>
    <t>Evitar Posibilidad de Ocurrencia</t>
  </si>
  <si>
    <t>Compartir o Transferir el Riesgo</t>
  </si>
  <si>
    <t>Eliminar Causa</t>
  </si>
  <si>
    <t>Código: EI-F11</t>
  </si>
  <si>
    <t>existe control 1</t>
  </si>
  <si>
    <t>existe control 2 3</t>
  </si>
  <si>
    <t>Mapa de Riesgo Institucional</t>
  </si>
  <si>
    <t>EJERCICIO DEL CONTROL</t>
  </si>
  <si>
    <t>¿LA PERIODICIDAD ES ADECUADA?</t>
  </si>
  <si>
    <t>Procesos</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</si>
  <si>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</si>
  <si>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</si>
  <si>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</si>
  <si>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</si>
  <si>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</si>
  <si>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</si>
  <si>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</si>
  <si>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</si>
  <si>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de Bienestar Universitario</t>
  </si>
  <si>
    <t>Gestión Adminsitrativa</t>
  </si>
  <si>
    <t>Gestión y Rendición de Cuentas</t>
  </si>
  <si>
    <t>posib</t>
  </si>
  <si>
    <t>impac</t>
  </si>
  <si>
    <t xml:space="preserve">Suma 
Posibilidad Impacto </t>
  </si>
  <si>
    <t>Reducir el Riesgo</t>
  </si>
  <si>
    <t>Implementado</t>
  </si>
  <si>
    <t>NORMATIVA</t>
  </si>
  <si>
    <t xml:space="preserve">                   Personal</t>
  </si>
  <si>
    <t xml:space="preserve">                   Procesos</t>
  </si>
  <si>
    <t xml:space="preserve">                  Tecnología</t>
  </si>
  <si>
    <t xml:space="preserve">                  Otros? Cuales:</t>
  </si>
  <si>
    <t>Externos (Selección multiple)</t>
  </si>
  <si>
    <t>Internos (Selección multiple)</t>
  </si>
  <si>
    <t xml:space="preserve">                   Económicos </t>
  </si>
  <si>
    <t xml:space="preserve">                   Medio Ambientales </t>
  </si>
  <si>
    <t xml:space="preserve">                  Políticos</t>
  </si>
  <si>
    <t xml:space="preserve">                   Sociales</t>
  </si>
  <si>
    <t xml:space="preserve">                  Tecnológicos</t>
  </si>
  <si>
    <r>
      <t xml:space="preserve">UNIVERSIDAD DEL MAGDALENA
OFICINA DE CONTROL INTERNO
SISTEMA DE GESTIÓN INTEGRAL DE LA CALIDAD “COGUI”
</t>
    </r>
    <r>
      <rPr>
        <b/>
        <sz val="12"/>
        <color indexed="62"/>
        <rFont val="Arial"/>
        <family val="2"/>
      </rPr>
      <t>ADMINISTRACIÓN DE RIESGOS</t>
    </r>
  </si>
  <si>
    <t>INDICADOR DE AVANCE</t>
  </si>
  <si>
    <t>TODOS los Derechos Reservados de MILENA DE LEON MENDOZA CC 39058006</t>
  </si>
  <si>
    <t>Elaboración y Diseño: MILENA DE LEON MENDOZA CC 39058006</t>
  </si>
  <si>
    <t>SEGUIMIENTO Y MONITOREO</t>
  </si>
  <si>
    <t>Causas</t>
  </si>
  <si>
    <t>Efectos</t>
  </si>
  <si>
    <t>indicador1</t>
  </si>
  <si>
    <t>DEFINICIÓN DE ACCIONES</t>
  </si>
  <si>
    <r>
      <t xml:space="preserve">UNIVERSIDAD DEL MAGDALENA
OFICINA DE CONTROL INTERNO
SISTEMA DE GESTIÓN INTEGRAL DE LA CALIDAD “COGUI”
</t>
    </r>
    <r>
      <rPr>
        <b/>
        <sz val="12"/>
        <color indexed="62"/>
        <rFont val="Arial"/>
        <family val="2"/>
      </rPr>
      <t>ADMINISTRA</t>
    </r>
    <r>
      <rPr>
        <b/>
        <sz val="12"/>
        <color rgb="FF333399"/>
        <rFont val="Arial"/>
        <family val="2"/>
      </rPr>
      <t>CIÓ</t>
    </r>
    <r>
      <rPr>
        <b/>
        <sz val="12"/>
        <color indexed="62"/>
        <rFont val="Arial"/>
        <family val="2"/>
      </rPr>
      <t>N DE RIESGOS</t>
    </r>
  </si>
  <si>
    <r>
      <t xml:space="preserve">UNIVERSIDAD DEL MAGDALENA
OFICINA DE CONTROL INTERNO
SISTEMA DE GESTIÓN INTEGRAL DE LA CALIDAD “COGUI”
</t>
    </r>
    <r>
      <rPr>
        <b/>
        <sz val="12"/>
        <color rgb="FF333399"/>
        <rFont val="Arial"/>
        <family val="2"/>
      </rPr>
      <t>ADMINISTRACIÓN DE RIESGOS</t>
    </r>
  </si>
  <si>
    <t>ACCIONES DEFINIDAS</t>
  </si>
  <si>
    <t>Lider de Proceso</t>
  </si>
  <si>
    <t>Fecha de Inicio</t>
  </si>
  <si>
    <t>Fecha de Terminación</t>
  </si>
  <si>
    <t>Actividades Realizadas</t>
  </si>
  <si>
    <t>Oficina de Control Interno</t>
  </si>
  <si>
    <t>Producto o Entregable</t>
  </si>
  <si>
    <t>OBSERVACIONES</t>
  </si>
  <si>
    <t>RESULTADO SEGUIMIENTOS Y MONITOREOS</t>
  </si>
  <si>
    <t>plazo en semanas</t>
  </si>
  <si>
    <t>Puntaje  Logrado  por las metas(Poi)</t>
  </si>
  <si>
    <t xml:space="preserve">Puntaje Logrado por las metas  Vencidas (POMVi)  </t>
  </si>
  <si>
    <t>Fecha de Actualización (AAAA/MM/DD)</t>
  </si>
  <si>
    <r>
      <t xml:space="preserve">Fecha de Inicio
</t>
    </r>
    <r>
      <rPr>
        <b/>
        <sz val="8"/>
        <rFont val="Calibri"/>
        <family val="2"/>
        <scheme val="minor"/>
      </rPr>
      <t>AAAA/MM/DD</t>
    </r>
  </si>
  <si>
    <r>
      <t xml:space="preserve">Fecha de Terminación
</t>
    </r>
    <r>
      <rPr>
        <b/>
        <sz val="8"/>
        <rFont val="Calibri"/>
        <family val="2"/>
        <scheme val="minor"/>
      </rPr>
      <t>AAAA/MM/DD</t>
    </r>
  </si>
  <si>
    <t>Indique Fecha Seguimiento</t>
  </si>
  <si>
    <r>
      <t xml:space="preserve">Primer Cuatrimestre </t>
    </r>
    <r>
      <rPr>
        <sz val="12"/>
        <rFont val="Calibri"/>
        <family val="2"/>
        <scheme val="minor"/>
      </rPr>
      <t xml:space="preserve"> </t>
    </r>
  </si>
  <si>
    <r>
      <t xml:space="preserve">Segundo Cuatrimestre </t>
    </r>
    <r>
      <rPr>
        <sz val="12"/>
        <rFont val="Calibri"/>
        <family val="2"/>
        <scheme val="minor"/>
      </rPr>
      <t xml:space="preserve"> </t>
    </r>
  </si>
  <si>
    <r>
      <t xml:space="preserve">Tercer Cuatrimestre </t>
    </r>
    <r>
      <rPr>
        <sz val="12"/>
        <rFont val="Calibri"/>
        <family val="2"/>
        <scheme val="minor"/>
      </rPr>
      <t xml:space="preserve"> </t>
    </r>
  </si>
  <si>
    <t>Puntaje atribuido metas vencidas</t>
  </si>
  <si>
    <t>seguimientos1</t>
  </si>
  <si>
    <t>seguimientos2</t>
  </si>
  <si>
    <t>seguimientos3</t>
  </si>
  <si>
    <t>CRONOGRAMA</t>
  </si>
  <si>
    <t xml:space="preserve">Producto o Entregable </t>
  </si>
  <si>
    <r>
      <t xml:space="preserve">Dimensión </t>
    </r>
    <r>
      <rPr>
        <b/>
        <sz val="9"/>
        <rFont val="Calibri"/>
        <family val="2"/>
        <scheme val="minor"/>
      </rPr>
      <t xml:space="preserve">(Producto/Entregable) </t>
    </r>
  </si>
  <si>
    <t>Plazo en Semanas</t>
  </si>
  <si>
    <t>Avance Dimensión</t>
  </si>
  <si>
    <r>
      <t>Avance
Dimensión</t>
    </r>
    <r>
      <rPr>
        <b/>
        <sz val="9"/>
        <rFont val="Calibri"/>
        <family val="2"/>
        <scheme val="minor"/>
      </rPr>
      <t xml:space="preserve"> </t>
    </r>
  </si>
  <si>
    <t>% Avance</t>
  </si>
  <si>
    <r>
      <t xml:space="preserve">Dimensión </t>
    </r>
    <r>
      <rPr>
        <b/>
        <sz val="9"/>
        <rFont val="Calibri"/>
        <family val="2"/>
        <scheme val="minor"/>
      </rPr>
      <t xml:space="preserve">(Producto/ Entregable) </t>
    </r>
  </si>
  <si>
    <t>ESTADISTICAS - TABLAS Y GRAFICOS DE RESULTADOS</t>
  </si>
  <si>
    <t>Fecha Ultimo Seguimiento</t>
  </si>
  <si>
    <t>1er cuatrimerte</t>
  </si>
  <si>
    <t>2do cuatrimestre</t>
  </si>
  <si>
    <t>3er cuatrimestre</t>
  </si>
  <si>
    <t>SUMA SEMANAS</t>
  </si>
  <si>
    <t>% Avance Acciones del Riesgo</t>
  </si>
  <si>
    <t>% 1ER CUAT</t>
  </si>
  <si>
    <t>% 2DO CUAT</t>
  </si>
  <si>
    <t>% 3ER CUAT</t>
  </si>
  <si>
    <t>RES ENTRE 1 Y 2</t>
  </si>
  <si>
    <r>
      <rPr>
        <b/>
        <sz val="10"/>
        <color rgb="FF333399"/>
        <rFont val="Calibri"/>
        <family val="2"/>
        <scheme val="minor"/>
      </rPr>
      <t>%</t>
    </r>
    <r>
      <rPr>
        <b/>
        <sz val="11"/>
        <color rgb="FF333399"/>
        <rFont val="Calibri"/>
        <family val="2"/>
        <scheme val="minor"/>
      </rPr>
      <t xml:space="preserve"> 1</t>
    </r>
    <r>
      <rPr>
        <b/>
        <sz val="8"/>
        <color rgb="FF333399"/>
        <rFont val="Calibri"/>
        <family val="2"/>
        <scheme val="minor"/>
      </rPr>
      <t xml:space="preserve">ER </t>
    </r>
    <r>
      <rPr>
        <b/>
        <sz val="10"/>
        <color rgb="FF333399"/>
        <rFont val="Calibri"/>
        <family val="2"/>
        <scheme val="minor"/>
      </rPr>
      <t>CuaT</t>
    </r>
  </si>
  <si>
    <r>
      <rPr>
        <b/>
        <sz val="10"/>
        <color rgb="FF333399"/>
        <rFont val="Calibri"/>
        <family val="2"/>
        <scheme val="minor"/>
      </rPr>
      <t>%</t>
    </r>
    <r>
      <rPr>
        <b/>
        <sz val="11"/>
        <color rgb="FF333399"/>
        <rFont val="Calibri"/>
        <family val="2"/>
        <scheme val="minor"/>
      </rPr>
      <t xml:space="preserve"> 2</t>
    </r>
    <r>
      <rPr>
        <b/>
        <sz val="8"/>
        <color rgb="FF333399"/>
        <rFont val="Calibri"/>
        <family val="2"/>
        <scheme val="minor"/>
      </rPr>
      <t xml:space="preserve">DO </t>
    </r>
    <r>
      <rPr>
        <b/>
        <sz val="10"/>
        <color rgb="FF333399"/>
        <rFont val="Calibri"/>
        <family val="2"/>
        <scheme val="minor"/>
      </rPr>
      <t>CuaT</t>
    </r>
  </si>
  <si>
    <r>
      <rPr>
        <b/>
        <sz val="10"/>
        <color rgb="FF333399"/>
        <rFont val="Calibri"/>
        <family val="2"/>
        <scheme val="minor"/>
      </rPr>
      <t>%</t>
    </r>
    <r>
      <rPr>
        <b/>
        <sz val="11"/>
        <color rgb="FF333399"/>
        <rFont val="Calibri"/>
        <family val="2"/>
        <scheme val="minor"/>
      </rPr>
      <t xml:space="preserve"> 3</t>
    </r>
    <r>
      <rPr>
        <b/>
        <sz val="8"/>
        <color rgb="FF333399"/>
        <rFont val="Calibri"/>
        <family val="2"/>
        <scheme val="minor"/>
      </rPr>
      <t xml:space="preserve">ER </t>
    </r>
    <r>
      <rPr>
        <b/>
        <sz val="10"/>
        <color rgb="FF333399"/>
        <rFont val="Calibri"/>
        <family val="2"/>
        <scheme val="minor"/>
      </rPr>
      <t>CuaT</t>
    </r>
  </si>
  <si>
    <t>avance ultimo</t>
  </si>
  <si>
    <t>fecha ultimo avance</t>
  </si>
  <si>
    <r>
      <t xml:space="preserve">Observaciones OCI 
</t>
    </r>
    <r>
      <rPr>
        <sz val="8"/>
        <color rgb="FF333399"/>
        <rFont val="Calibri"/>
        <family val="2"/>
        <scheme val="minor"/>
      </rPr>
      <t>(Ultimo Seguimiento)</t>
    </r>
  </si>
  <si>
    <r>
      <t xml:space="preserve">% Avance 
</t>
    </r>
    <r>
      <rPr>
        <sz val="8"/>
        <color rgb="FF333399"/>
        <rFont val="Calibri"/>
        <family val="2"/>
        <scheme val="minor"/>
      </rPr>
      <t>(Ultimo  Seguimeinto)</t>
    </r>
  </si>
  <si>
    <t xml:space="preserve">Primer Cuatrimestre  </t>
  </si>
  <si>
    <t>fecha actualizacion</t>
  </si>
  <si>
    <t>A/NA</t>
  </si>
  <si>
    <t xml:space="preserve">
</t>
  </si>
  <si>
    <r>
      <t xml:space="preserve">UNIVERSIDAD DEL MAGDALENA
OFICINA DE CONTROL INTERNO
SISTEMA DE GESTIÓN INTEGRAL DE LA CALIDAD “COGUI”
</t>
    </r>
    <r>
      <rPr>
        <b/>
        <sz val="8"/>
        <color theme="4" tint="-0.249977111117893"/>
        <rFont val="Arial"/>
        <family val="2"/>
      </rPr>
      <t>ADMINISTRACIÓN DE RIESGOS</t>
    </r>
  </si>
  <si>
    <t>Avances Cuatrimestrales de Acciones por Riesgo (Tabla y Grafica)</t>
  </si>
  <si>
    <t>Avance de la Acciones por Riesgo (Tabla y Grafica)</t>
  </si>
  <si>
    <t>Resultado General Seguimientos y Monitoreos (Tabla)</t>
  </si>
  <si>
    <t>ESTADISTICAS - TABLAS Y GRAFICOS</t>
  </si>
  <si>
    <t>ACCIONES</t>
  </si>
  <si>
    <t>SUGERENCIAS/RECOMENDACIONES METODOLOGICAS</t>
  </si>
  <si>
    <t>DOCUMENTAR</t>
  </si>
  <si>
    <t>RESPONSABLE</t>
  </si>
  <si>
    <t>PERIODICIDAD</t>
  </si>
  <si>
    <t>OPCIONES DE ACCIONES</t>
  </si>
  <si>
    <t>OPCION DOC</t>
  </si>
  <si>
    <t>OPC RES</t>
  </si>
  <si>
    <t>OPC PER</t>
  </si>
  <si>
    <t>EFECTIVIDAD CONTOL</t>
  </si>
  <si>
    <t>CONCATENAR OPC</t>
  </si>
  <si>
    <t>OPC PREV O CORR</t>
  </si>
  <si>
    <t>CONC OPC DOC RES (1)</t>
  </si>
  <si>
    <t>Documentar</t>
  </si>
  <si>
    <t>Asignar responsable</t>
  </si>
  <si>
    <t>Establecer periodos de seguimiento adecuados</t>
  </si>
  <si>
    <t>POSIBLES CAUSAS</t>
  </si>
  <si>
    <t xml:space="preserve">Dadas por Factores Internos:
</t>
  </si>
  <si>
    <t>Ver http://cogui.unimagdalena.edu.co</t>
  </si>
  <si>
    <t>Estratégico</t>
  </si>
  <si>
    <t>Misional</t>
  </si>
  <si>
    <t>Apoyo</t>
  </si>
  <si>
    <t>Control y Evaluación</t>
  </si>
  <si>
    <t>proceso</t>
  </si>
  <si>
    <t>tipo</t>
  </si>
  <si>
    <t>Procesos / Estratégicos / Gestión de la Calidad / Normatividad</t>
  </si>
  <si>
    <t>Procesos / Apoyo / Apoyo Tecnológico TIC / Normatividad</t>
  </si>
  <si>
    <t>Procesos / Estratégicos / Comunicaciones / Normatividad</t>
  </si>
  <si>
    <t>Procesos / Estratégicos / Dirección y Planeación / Normatividad</t>
  </si>
  <si>
    <t>Procesos / Estratégicos / Relaciones Interinstitucionales / Normatividad</t>
  </si>
  <si>
    <t>Procesos / Apoyo / Gestión Adminsitrativa / Normatividad</t>
  </si>
  <si>
    <t>Procesos / Apoyo / Gestión de Admisiones y Registro / Normatividad</t>
  </si>
  <si>
    <t>Procesos / Apoyo / Gestión de Biblioteca / Normatividad</t>
  </si>
  <si>
    <t>Procesos / Apoyo / Gestión de Bienestar Universitario / Normatividad</t>
  </si>
  <si>
    <t>Procesos / Apoyo / Gestión de Contratación / Normatividad</t>
  </si>
  <si>
    <t>Procesos / Apoyo / Gestión de Recursos Educativos / Normatividad</t>
  </si>
  <si>
    <t>Procesos / Apoyo / Gestión del Talento Humano / Normatividad</t>
  </si>
  <si>
    <t>Procesos / Apoyo / Gestión Documental / Normatividad</t>
  </si>
  <si>
    <t>Procesos / Apoyo / Gestión Financiera / Normatividad</t>
  </si>
  <si>
    <t>Gestión Jurídica</t>
  </si>
  <si>
    <t>Procesos / Apoyo / Gestión Jurídica / Normatividad</t>
  </si>
  <si>
    <t>Procesos / Misional / Gestión Académica / Normatividad</t>
  </si>
  <si>
    <t>Procesos / Misional / Gestión de Extensión y Proyección Social / Normatividad</t>
  </si>
  <si>
    <t>Procesos / Misional / Gestión de Investigación / Normatividad</t>
  </si>
  <si>
    <t>Procesos / Control y Evaluación / Gestión y Rendición de Cuentas / Normatividad</t>
  </si>
  <si>
    <t>Evaluación Independiente</t>
  </si>
  <si>
    <t>Procesos / Control y Evaluación / Evaluación Independiente / Normatividad</t>
  </si>
  <si>
    <t>CONTROL EFECTIVO</t>
  </si>
  <si>
    <t>CONTROL NO EFECTIVO</t>
  </si>
  <si>
    <t>EFECTIVO DOC</t>
  </si>
  <si>
    <t>NO EFECTIVO DOC</t>
  </si>
  <si>
    <t>CONTAR EFEC DOC</t>
  </si>
  <si>
    <t>CONTAR NO EFEC DOC</t>
  </si>
  <si>
    <t>CONTAR EFEC NO DOC</t>
  </si>
  <si>
    <t>CONTAR NO EFEC NO DOC</t>
  </si>
  <si>
    <t>CONTAR EFEC RES</t>
  </si>
  <si>
    <t>CONTAR NO EFEC RES</t>
  </si>
  <si>
    <t>CONTAR EFEC NO RES</t>
  </si>
  <si>
    <t>CONTAR NO EFEC NO RES</t>
  </si>
  <si>
    <t>EFECTIVO RES</t>
  </si>
  <si>
    <t>NO EFECTIVO RES</t>
  </si>
  <si>
    <t>CONTAR EFEC PER</t>
  </si>
  <si>
    <t>CONTAR NO EFEC PER</t>
  </si>
  <si>
    <t>CONTAR EFEC NO PER</t>
  </si>
  <si>
    <t>CONTAR NO EFEC NO PER</t>
  </si>
  <si>
    <t>EFECTIVO PER</t>
  </si>
  <si>
    <t>NO EFECTIVO PER</t>
  </si>
  <si>
    <t>CONTAR EFEC PREV</t>
  </si>
  <si>
    <t>CONTAR EFEC CORR</t>
  </si>
  <si>
    <t>EFECTIVO PREV/CORR</t>
  </si>
  <si>
    <t>CONTAR NO EFEC PREV</t>
  </si>
  <si>
    <t>CONTAR NO EFEC CORR</t>
  </si>
  <si>
    <t>NO EFECTIVO PREV/CORR</t>
  </si>
  <si>
    <t>Controles Efectivos</t>
  </si>
  <si>
    <t>Controles NO Efectivos</t>
  </si>
  <si>
    <t>Riesgos Identificados</t>
  </si>
  <si>
    <t>N° RIESGO</t>
  </si>
  <si>
    <t>Total Contoles</t>
  </si>
  <si>
    <t>Documentados</t>
  </si>
  <si>
    <t>Con Adecuada Periodicidad Seg</t>
  </si>
  <si>
    <t>Con Responsable Seguimiento</t>
  </si>
  <si>
    <t>Preventivos</t>
  </si>
  <si>
    <t>Correctivos</t>
  </si>
  <si>
    <t>Totales</t>
  </si>
  <si>
    <t>Analisis de Controles del Riesgo (Tabla y Graficas)</t>
  </si>
  <si>
    <t>PONDERACION CONTROLES</t>
  </si>
  <si>
    <t>(1) Raro / Insignificante</t>
  </si>
  <si>
    <t>(2) Improbable / Menor</t>
  </si>
  <si>
    <t>(3) Posible / Moderado</t>
  </si>
  <si>
    <t>(4) Probable / Mayor</t>
  </si>
  <si>
    <t>(5) Casi Certeza / Catastrófico</t>
  </si>
  <si>
    <t>posibilidad</t>
  </si>
  <si>
    <t>impacto</t>
  </si>
  <si>
    <t>Posiblidad</t>
  </si>
  <si>
    <t>Nuevos valores posibilidad/impacto evalua fin</t>
  </si>
  <si>
    <t>evaluacion final</t>
  </si>
  <si>
    <t>Zona de Riesgo BAJA</t>
  </si>
  <si>
    <t>Zona de Riesgo MODERADA</t>
  </si>
  <si>
    <t>Zona de Riesgo ALTA</t>
  </si>
  <si>
    <t>Zona de Riesgo EXTREMA</t>
  </si>
  <si>
    <t>Calificación y Evaluación de los Riesgos (Tablas)</t>
  </si>
  <si>
    <t>POS</t>
  </si>
  <si>
    <t>EVA INICIAL</t>
  </si>
  <si>
    <t>IMP</t>
  </si>
  <si>
    <t>Debilidades (Posibles Causa Internas)</t>
  </si>
  <si>
    <t>Amenazas (Posibles Causas Externas)</t>
  </si>
  <si>
    <t>N° de Riesgos con</t>
  </si>
  <si>
    <t xml:space="preserve">                  Comunicación Externa:</t>
  </si>
  <si>
    <t xml:space="preserve">                   Financieros </t>
  </si>
  <si>
    <t xml:space="preserve">                  Comunicación Interna:</t>
  </si>
  <si>
    <t>automatico/manual</t>
  </si>
  <si>
    <t>Automático</t>
  </si>
  <si>
    <t>Manual</t>
  </si>
  <si>
    <t>EJECUCIÓN Y SEGUIMIENTO AL CONTROL</t>
  </si>
  <si>
    <t>¿POSEE RESPONSABLE?</t>
  </si>
  <si>
    <t>¿GUARDA EVIDENCIAS?</t>
  </si>
  <si>
    <t>¿EL SISTEMA DEL CONTROL ES?</t>
  </si>
  <si>
    <t>Guardar Evidencias</t>
  </si>
  <si>
    <t>EVIDENCIAS</t>
  </si>
  <si>
    <t>OPC EVI</t>
  </si>
  <si>
    <t>CONC (1) OPC PER (2)</t>
  </si>
  <si>
    <t>CONC (2) OPC EVI</t>
  </si>
  <si>
    <t>EFECTIVO AUT/MAN</t>
  </si>
  <si>
    <t>NO EFECTIVO AUT/MAN</t>
  </si>
  <si>
    <t>CONTAR EFEC AUT</t>
  </si>
  <si>
    <t>CONTAR EFEC MAN</t>
  </si>
  <si>
    <t>CONTAR NO EFEC AUT</t>
  </si>
  <si>
    <t>CONTAR NO EFEC MAN</t>
  </si>
  <si>
    <t>EFECTIVO EVI</t>
  </si>
  <si>
    <t>NO EFECTIVO EVI</t>
  </si>
  <si>
    <t>MAN</t>
  </si>
  <si>
    <t>AUT</t>
  </si>
  <si>
    <t>Con Sistema</t>
  </si>
  <si>
    <t>Con Evidencias</t>
  </si>
  <si>
    <t>RIESGOS DE CORRUPCIÓN</t>
  </si>
  <si>
    <t>1C</t>
  </si>
  <si>
    <t>2C</t>
  </si>
  <si>
    <t>3C</t>
  </si>
  <si>
    <t>4C</t>
  </si>
  <si>
    <t>5C</t>
  </si>
  <si>
    <t>posibilidad corrup</t>
  </si>
  <si>
    <t>imp NA</t>
  </si>
  <si>
    <t>NA</t>
  </si>
  <si>
    <t xml:space="preserve">% Avance Riesgos de GESTIÓN </t>
  </si>
  <si>
    <t>Cumplimiento Riesgos de GESTIÓN (Respecto a los plazos establecidos)</t>
  </si>
  <si>
    <t>Cumplimiento Riesgos de CORRUPCIÓN (Respecto a los plazos establecidos)</t>
  </si>
  <si>
    <t xml:space="preserve">% Avance Riesgo de CORRUPCIÓN </t>
  </si>
  <si>
    <t>Cumplimiento MAPA DE RIESGO (Respecto a los plazos establecidos)</t>
  </si>
  <si>
    <t xml:space="preserve">% Avance MAPA DE RIESGO </t>
  </si>
  <si>
    <t>TOTALES GESTIÓN</t>
  </si>
  <si>
    <t>TOTALES CORRUPCIÓN</t>
  </si>
  <si>
    <t>TOTALES GESTIÓN + CORRUPCIÓN</t>
  </si>
  <si>
    <t>GESTIÓN</t>
  </si>
  <si>
    <t>CORRUPCIÓN</t>
  </si>
  <si>
    <t>Ir</t>
  </si>
  <si>
    <t>Resultado General Seguimientos y Monitoreos Riesgos de GESTIÓN</t>
  </si>
  <si>
    <t>Analisis de Controles deL Riesgo de GESTIÓN</t>
  </si>
  <si>
    <t>Calificación y Evaluación de los Riesgos de GESTIÓN</t>
  </si>
  <si>
    <r>
      <t xml:space="preserve">% Avance 
</t>
    </r>
    <r>
      <rPr>
        <sz val="8"/>
        <color rgb="FF333399"/>
        <rFont val="Calibri"/>
        <family val="2"/>
        <scheme val="minor"/>
      </rPr>
      <t>(Ultimo  Seguimiento)</t>
    </r>
  </si>
  <si>
    <t>Cumplimiento Respecto a Plazos y Avance del Mapa (Tabla y Graficas)</t>
  </si>
  <si>
    <t>Resultado General Seguimientos y Monitoreos Riesgos de CORRUPCIÓN</t>
  </si>
  <si>
    <t>Analisis de Controles deL Riesgo de CORRUPCIÓN</t>
  </si>
  <si>
    <t>(3) Posible</t>
  </si>
  <si>
    <t>(5) Casi Certeza</t>
  </si>
  <si>
    <t>Posiblidad 
INICIAL</t>
  </si>
  <si>
    <t>Calificación y Evaluación de los Riesgos de CORRUPCIÓN</t>
  </si>
  <si>
    <t>posibilidad inicial</t>
  </si>
  <si>
    <t>posibilidad FINAL</t>
  </si>
  <si>
    <t>CALIFICACIÓN FINAL</t>
  </si>
  <si>
    <t>Cumplimiento Respecto a Plazos</t>
  </si>
  <si>
    <t>Gestión</t>
  </si>
  <si>
    <t>Corrupción</t>
  </si>
  <si>
    <t>Cumplimiento MAPA Respecto a Plazos</t>
  </si>
  <si>
    <t>AVANCE DEL MAPA</t>
  </si>
  <si>
    <t>AVANCE MAPA DE RIESGO</t>
  </si>
  <si>
    <t>Avance MAPA DE RIESGO</t>
  </si>
  <si>
    <t>Cumplio Plazos?</t>
  </si>
  <si>
    <t>1G</t>
  </si>
  <si>
    <t>2G</t>
  </si>
  <si>
    <t>3G</t>
  </si>
  <si>
    <t>4G</t>
  </si>
  <si>
    <t>5G</t>
  </si>
  <si>
    <t>6G</t>
  </si>
  <si>
    <t>7G</t>
  </si>
  <si>
    <t>8G</t>
  </si>
  <si>
    <t>9G</t>
  </si>
  <si>
    <t>10G</t>
  </si>
  <si>
    <t>Eliminar</t>
  </si>
  <si>
    <t>Compartir</t>
  </si>
  <si>
    <t>Asumir</t>
  </si>
  <si>
    <t>G opciones de manejo</t>
  </si>
  <si>
    <t>C opciones de manejo</t>
  </si>
  <si>
    <t>Evitar</t>
  </si>
  <si>
    <t>Reducir</t>
  </si>
  <si>
    <t>Transferir</t>
  </si>
  <si>
    <t>No Establecer</t>
  </si>
  <si>
    <t>FACTORES Riesos de GESTIÓN</t>
  </si>
  <si>
    <t>Versión: 06</t>
  </si>
  <si>
    <t>INSTITUCIONAL</t>
  </si>
  <si>
    <t>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t>
  </si>
  <si>
    <t>RUTHBER ESCORCIA CABALLERO, Rector</t>
  </si>
  <si>
    <t>Responsable Proceso Dirección y Planeación</t>
  </si>
  <si>
    <t>CARLOS CORONADO, Relaciones Interinstitucionales
GLORIA OROZCO, Acreditación
EIRA ROSARIO MADERA, Gestión de la Calidad
EDGAR SALAS BALLESTEROS, Comunicaciones</t>
  </si>
  <si>
    <t>PEDRO ESLAVA ELJAIEK, Gestión Academica
JOSE HENRY ESCOBAR, Gestión de Investigación
PABLO VERA, Gestión de Extensión y Proyección Social</t>
  </si>
  <si>
    <t>JOSE JULIAN RIOS, Gestión de Contratación
RICARDO CAMPO REDONDO, Gestión Financiera
HILDEMAR QUINTANA, Apoyo Tecnológico TIC
MERCEDES DE LA TORRE, Gestión Documental
JAIME NOGUERA SERRANO, Gestión Administrativa
MARIA LUISA MENDEZ, Gestión del Talento Humano
EDWIN GUTIERREZ, Gestión de Admisiones y Registro</t>
  </si>
  <si>
    <t>MARIA FERNANDA REYES, Gestión y Rendición de Cuentas
MILENA DE LEON MENDOZA, Evaluación Independiente</t>
  </si>
  <si>
    <t>Falta de gestión de recursos para actividades de investigación.
Disponibilidad presupuestal no coherente con las actividades misionales</t>
  </si>
  <si>
    <t>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t>
  </si>
  <si>
    <t xml:space="preserve">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t>
  </si>
  <si>
    <t>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t>
  </si>
  <si>
    <t>Falta de asertividad en  los canales de comunicación 
Falta de entrega a tiempo de la documentación postcontractual que debe reposar en la carpeta contractual de los contratos de la Rectoría de la Universidad del Magdalena.</t>
  </si>
  <si>
    <t>Cambios en la normativas internas</t>
  </si>
  <si>
    <t>Falta de asignación presupuestal, debido a que los proyectos de investigación depende en gran parte de cofinanciadores externos.</t>
  </si>
  <si>
    <t>Falta de energía para el desarrollo de las actividades
Presencia de emisiones y residuos</t>
  </si>
  <si>
    <t>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t>
  </si>
  <si>
    <t>Ausencia de Información sobre las condiciones sociopoliticas (dinamica social, seguridad, etc) y especificas en la movilidad (alojamiento,costos, entre otros) del personal en movilidad saliente de la Unimagdalena</t>
  </si>
  <si>
    <t>Deficiencia de los provedores tecnológicos</t>
  </si>
  <si>
    <t xml:space="preserve">Carencia de  canales efectivos para la comunicación </t>
  </si>
  <si>
    <t>11G</t>
  </si>
  <si>
    <t>12G</t>
  </si>
  <si>
    <t>13G</t>
  </si>
  <si>
    <t>14G</t>
  </si>
  <si>
    <t>15G</t>
  </si>
  <si>
    <t>16G</t>
  </si>
  <si>
    <t>17G</t>
  </si>
  <si>
    <t>18G</t>
  </si>
  <si>
    <t>19G</t>
  </si>
  <si>
    <t>20G</t>
  </si>
  <si>
    <t>21G</t>
  </si>
  <si>
    <t>22G</t>
  </si>
  <si>
    <t>23G</t>
  </si>
  <si>
    <t>24G</t>
  </si>
  <si>
    <t>25G</t>
  </si>
  <si>
    <t>26G</t>
  </si>
  <si>
    <t>27G</t>
  </si>
  <si>
    <t>28G</t>
  </si>
  <si>
    <t>6C</t>
  </si>
  <si>
    <t>7C</t>
  </si>
  <si>
    <t>8C</t>
  </si>
  <si>
    <t>9C</t>
  </si>
  <si>
    <t>10C</t>
  </si>
  <si>
    <t>11C</t>
  </si>
  <si>
    <t>12C</t>
  </si>
  <si>
    <t>13C</t>
  </si>
  <si>
    <t>14C</t>
  </si>
  <si>
    <t>15C</t>
  </si>
  <si>
    <t>16C</t>
  </si>
  <si>
    <t>17C</t>
  </si>
  <si>
    <t>18C</t>
  </si>
  <si>
    <t>19C</t>
  </si>
  <si>
    <t>20C</t>
  </si>
  <si>
    <t>21C</t>
  </si>
  <si>
    <t>22C</t>
  </si>
  <si>
    <t>23C</t>
  </si>
  <si>
    <t>24C</t>
  </si>
  <si>
    <t>25C</t>
  </si>
  <si>
    <t>26C</t>
  </si>
  <si>
    <t>27C</t>
  </si>
  <si>
    <t>28C</t>
  </si>
  <si>
    <t>29C</t>
  </si>
  <si>
    <t>30C</t>
  </si>
  <si>
    <t>31C</t>
  </si>
  <si>
    <t>32C</t>
  </si>
  <si>
    <t>33C</t>
  </si>
  <si>
    <t>34C</t>
  </si>
  <si>
    <t>Gestión de nuevos proyectos de movilidad, convenios y cooperación. Falta de vinculación de personal necesario en la Oficina de Relaciones Internacionales.</t>
  </si>
  <si>
    <t>Desconocimiento de los usuarios en relacion al procedimiendo de registro de la movilidad internacional entrante y saliente</t>
  </si>
  <si>
    <t>Desconocimiento del  personal de la Oficina de Relaciones  internacionales y la comunidad universitaria de los procedimietos y requisitos nacionales e internacionales legales y migratorios</t>
  </si>
  <si>
    <t>1. Poco conocimiento y difusión de la política de autoevaluación y del funcionamiento de la misma</t>
  </si>
  <si>
    <t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t>
  </si>
  <si>
    <t>1. Pocas competencias en la administración del trámite de registro calificado o acreditación, de algunos directivos para el cumplimiento de procedimientos y lineamientos 
2. Baja calidad de los programas académicos</t>
  </si>
  <si>
    <t>*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t>
  </si>
  <si>
    <t>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t>
  </si>
  <si>
    <t>Insuficientes mecanismos de control y seguimiento para el aseguramiento de la calidad. 
Desarticulación de planes de mejoramientos de los procesos con el plan de acción institucional.</t>
  </si>
  <si>
    <t xml:space="preserve">Dependencia en la toma de decisiones. Demora en la revisión de los productos comunicativos por parte de la Alta Dirección y/o jefes. </t>
  </si>
  <si>
    <t>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t>
  </si>
  <si>
    <t>1. Inadecuada revisión del contexto. 
2.  Toma de decisiones basadas en situaciones particulares, sin considerar la generalidad que aplica en cada caso.  
3. Alta carga laboral.</t>
  </si>
  <si>
    <t xml:space="preserve">1. Desconocimiento de la normativa existente o falta de revisión de los responsables del proceso.
2.  Descuido por parte de personal responsable del proceso.
3.  Alta carga laboral.                                   </t>
  </si>
  <si>
    <t>1. Planeación inadecuada.                                         
2. Mala priorización de las necesidades de los programas académicos.</t>
  </si>
  <si>
    <t xml:space="preserve">Falta de gestión de recursos para actividades de investigación. 
Desconocimiento de necesidades de los grupos de investigación
Desconocimiento de procedimientos </t>
  </si>
  <si>
    <t>Deficiente planificación del plan de acción.
Sobrecarga laboral.
Deficiente seguimiento a la ejecución del plan de acción.
Escaso personal, para el creciente incremento de las actividades de investigación.</t>
  </si>
  <si>
    <t>Aumento en la oferta de servicios y los requerimientos por las partes interesadas.
Deficiencia en la infraestructura de los proveedores tecnológicos.</t>
  </si>
  <si>
    <t>Canales de comunicación deficientes.</t>
  </si>
  <si>
    <t>*Presencia de grupos armados en las zonas de influencia.
*Deficiencia en las vías de acceso a las zonas de influencia.</t>
  </si>
  <si>
    <t>Desconocimiento de las normas internas, externas y jurisprudenciales que rigen la celebración de contratos.</t>
  </si>
  <si>
    <t>Falta de entrega oportuna de la documentación relacionada con un contrato</t>
  </si>
  <si>
    <t>Falta de personal de seguridad.
Falta de dispositivos de seguridad.
poco sistema de iluminación.</t>
  </si>
  <si>
    <t>Incumplimiento de los Programas formulados para el manejo adecuado de los residuos generados en las actividades desarrolladas.
Falta de asignación presupuestal para la implementación del PGIR.</t>
  </si>
  <si>
    <t>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t>
  </si>
  <si>
    <t>1. Falta de Formulación del plan de incentivos para los empleados.
2.Falta de diagnostico integral de las 
necesidades reales de los 
funcionarios frente al programas de 
Bienestar Social Laboral.</t>
  </si>
  <si>
    <t>1. Reporte tardío de la información de personal vinculado y/o contratado y de estudiantes de prácticas.
2. Omisión de información del personal vinculado y/o contratado y de estudiantes en prácticas.</t>
  </si>
  <si>
    <t>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t>
  </si>
  <si>
    <t>Baja disponibilidad en el equipo de trabajo en el seguimiento del sistema.
Personal sin las competencias y conocimientos adecuadas
Poca disponibilidad de la informacion de entrada
Falta de cultura del autocontrol, autogestion y autorregulación</t>
  </si>
  <si>
    <t>Bajo rendimiento en la gestión</t>
  </si>
  <si>
    <t>Bajo resultado en los indicadores. Percepciónes poco favorables en distintos escenarios (Visita de PARES, Evaluadores del MEN, SNIES y SUE). Bajo registro de movilidad internacional. Disminución de los recursos aportados por falta de información real.</t>
  </si>
  <si>
    <t>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t>
  </si>
  <si>
    <t xml:space="preserve">1. Atraso en la dinámica de fortalecimiento de la cultura de autoevaluación, acreditación y mejoramiento continuo en los programas académicos.
2. Bajo desarrollo en los procesos académicos
3. Incumplimiento de las metas del plan de gobierno. </t>
  </si>
  <si>
    <t>1. Informes que no corresponden con las realidades del programa
2. Pérdida de credibilidad en los procesos de autoevaluación y mejora continua
3. Requerimiento de información complentaria (Auto)</t>
  </si>
  <si>
    <t>1. Desprestigio tanto de la Institución como del programa académico
2. Baja posibilidad de continuar con el proceso de Acreditación Institucional</t>
  </si>
  <si>
    <t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t>
  </si>
  <si>
    <t>1. Suspensión de la oferta del programa por vencimiento de registro sin que se haya producido la respuesta del MEN.
2. Impacto en los indicadores de la Institución</t>
  </si>
  <si>
    <t>Suspensión o pérdida de los Certificados de la calidad.
Pérdida de la cultura de la gestión de la calidad institucional.</t>
  </si>
  <si>
    <t>Disminución de los indicadores de calidad, pérdida de la credibilidad, presentación desactualizada de la información y discontinuidad de publicaciones.</t>
  </si>
  <si>
    <t>1. Reducción de la oferta académica.
2. Pérdida de la credibilidad institucional.
3.  Impacto económico (Disminución de ingresos).
4. Deserción estudiantil.</t>
  </si>
  <si>
    <t>1. Ausencia de unidad de criterio.
2. Posibles toma de decisiones inadecuadas.
3. Retrasa el desarrollo institucional.
4. Exposición a sanciones.
5. Favorecimiento a casos particulares.</t>
  </si>
  <si>
    <t>1. Incremento de: demandas, derechos de petición, tutelas, PQR.
2. Incumplimiento de la planeación académica.
3. Perdida de credibilidad institucional.
4. Sanciones económicas y/o administrativas.
5. Afectación de la gobernabilidad institucional.</t>
  </si>
  <si>
    <t>1. Mala ejecución de los recursos.
2. Necesidades insatisfechas de los programas académicos.</t>
  </si>
  <si>
    <t>Disminuyen los indicadores de la actividad investigativa
Reducción de presupuesto para la investigación
Disminución de la visibilidad de la Universidad</t>
  </si>
  <si>
    <t>Disminuyen los indicadores de la actividad investigativa.
Reducción de presupuesto para la investigación.
Disminución de la visibilidad de resultados de la investigación de la Universidad.</t>
  </si>
  <si>
    <t>Baja competitividad.
Disminución de ventas de servicios, e impacto socioeconómicos en las áreas de influencia.</t>
  </si>
  <si>
    <t>Bajo impacto social.</t>
  </si>
  <si>
    <t>Incumplimiento contractual con los aliados.
Sanciones.
Pérdida de la imagen institucional.</t>
  </si>
  <si>
    <t>Sanciones administrativas, disciplinarias, fiscales y penales, demandas.</t>
  </si>
  <si>
    <t>Demandas
Detrimento del patrimonio
Incremento de la prima de poliza de seguros
Perdida de imagen</t>
  </si>
  <si>
    <t>Afectación y riesgos a la salud
Contaminación ambiental
Sanciones ambientales</t>
  </si>
  <si>
    <t>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t>
  </si>
  <si>
    <t>1. Inconformidad de los empleados.
2. Desestimulación del desempeño laboral.
3. Inadecuado ambiente laboral.</t>
  </si>
  <si>
    <t>1. Incumplimiento de obligaciones del empleador y/o contratante.
2. Sanciones y/o multas.
3. Demandas con repercusiones económicas.</t>
  </si>
  <si>
    <t xml:space="preserve">No consecución de metas misionales.
Sanciones por los diferentes organos de control.
Deterioro o perdida de los bienes o recursos publicos.
</t>
  </si>
  <si>
    <t>Incumplimiento en el logro de metas y objetivos.
Sanciones de organismos de control
Deterioro o perdida de los bienes o recursos publicos.</t>
  </si>
  <si>
    <t>Concentración de autoridad o exceso de poder. Extralimitación de funciones. Ausencia Cultura de Ética y Buen Gobierno.</t>
  </si>
  <si>
    <t>Ausencia de cultura de información</t>
  </si>
  <si>
    <t>Desconocimiento de la ley</t>
  </si>
  <si>
    <t>Omisión de procedimientos legales</t>
  </si>
  <si>
    <t>Deficiente o débil organización en el acervo documental</t>
  </si>
  <si>
    <t>Bajo numero de personal adscrito a la Oficina</t>
  </si>
  <si>
    <t xml:space="preserve">Falta de cualificación del personal
Alta rotación de personal
Concentración de conocimiento
</t>
  </si>
  <si>
    <t>Gestión documental deficiente</t>
  </si>
  <si>
    <t xml:space="preserve">Concentración de conocimiento
</t>
  </si>
  <si>
    <t>1. Cambios en la alta dirección</t>
  </si>
  <si>
    <t>1. No distribución de acuerdo a competencias</t>
  </si>
  <si>
    <t>1. Gestión Documental deficiente</t>
  </si>
  <si>
    <t xml:space="preserve">Se carece de un sistema de información que permita tener información unificada, actualizada y facilite el seguimiento y control de la actividad investigativa.
</t>
  </si>
  <si>
    <t>Desconocimiento de la normatividad de Propiedad Intelectual.</t>
  </si>
  <si>
    <t>Falta de cultura y aplicación de valores éticos.
Designación de personal con bajas competencias.</t>
  </si>
  <si>
    <t>No cumplimiento de las funciones establecidas según el cargo.
Mal manejo de los procesos.</t>
  </si>
  <si>
    <t xml:space="preserve">*Falta de herramientas técnicas y tecnológicas en gestión de la información.
*Incertidumbre en el uso preciso de los recursos.
*Desconocimiento en el impacto logrado por los proyectos.
</t>
  </si>
  <si>
    <t>*Falta de información para la planificación del desarrollo de los proyectos.
*Escasos recursos asignados para el desarrollo de las actividades programadas en el proceso misional de vicerrectoria de extensión y proyección social.</t>
  </si>
  <si>
    <t>Dificultad en la identificación y acceso a los cambios en la normativa y regulaciones.</t>
  </si>
  <si>
    <t xml:space="preserve">Presiones por parte de personas, gremios o entidades externas
</t>
  </si>
  <si>
    <t>Desconocimiento de la Normatividad aplicada a los procesos de pago.</t>
  </si>
  <si>
    <t xml:space="preserve">Error humano, deficiencia en la custodia, protección y entrega de titulos valores </t>
  </si>
  <si>
    <t xml:space="preserve">Desconocimiento ó desactualización de la normatividad externa aplicable a los procesos. </t>
  </si>
  <si>
    <t>Ausenca de controles para la implementacion, administracion y soportes de SI</t>
  </si>
  <si>
    <t>1. Inadecuada distribución de personal, de acuerdo a competencias.
2. Falta de definición de puntos de control
3. Bajo nivel de automatización en el seguimiento de los procesos.</t>
  </si>
  <si>
    <t>1. Omisión de procedimientos legales
2. Falta de definición de puntos de control
3. Bajo nivel de automatización en el seguimiento de los procesos.</t>
  </si>
  <si>
    <t>Ausencia Cultura de Buen Gobierno, Falta de control al poder, Baja visibilidad de las acciones, Asimetrías de la información, bajo nivel de automatización en el seguimiento de los procesos.</t>
  </si>
  <si>
    <t>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t>
  </si>
  <si>
    <t>* Desconocimiento de las funciones.
* Baja integridad de la información.
* Falta de cualificación del personal.</t>
  </si>
  <si>
    <t>* Falta de controles en el manejo de la información.
* Inadecuada infraestructura tecnológica.
* Presiones internas o externas.
* Ausencia de cultura de ética.</t>
  </si>
  <si>
    <t>Inobservancia de Principios Eticos
No distribución de funciones o actividades de acuerdo a competencias
Deficientes puntos de control</t>
  </si>
  <si>
    <t xml:space="preserve">Inobservancia de Principios Eticos
Desconocimiento u omisión de las funciones o normativa
</t>
  </si>
  <si>
    <t>Guia de tramites migratorios</t>
  </si>
  <si>
    <t>Difusión de procedimientos  para el registro de la movilidad Internacional</t>
  </si>
  <si>
    <t>Formatos para el registro de la movilidad.  RI - F01 y RI - F02</t>
  </si>
  <si>
    <t>Acompañamiento de la OAC mediante asesorías y revisión permanente durante la ejecución del proceso</t>
  </si>
  <si>
    <t>Sensibilización a través de talleres, seminarios, reuniones  y comunicaciones afines al riesgo</t>
  </si>
  <si>
    <t>Procedimientos, formatos y guías</t>
  </si>
  <si>
    <t>Lectura y valoración por parte de lectores o pares colaborativos internos y/o externos</t>
  </si>
  <si>
    <t>Se han implementado, procedimientos y formatos</t>
  </si>
  <si>
    <t>Lectura y valoración técnica y/o disciplinar de los informes</t>
  </si>
  <si>
    <t>Contextualización y aplicación de los lineamientos establecidos por el MEN y el CNA</t>
  </si>
  <si>
    <t>Asignación de rubro para remodelación y dotación de elementos y equipos de oficina</t>
  </si>
  <si>
    <t>Reubicación de espacios y fortalecimiento del # de funcionarios y contratistas adscritos a la OAC</t>
  </si>
  <si>
    <t>Alerta a la fecha de vencimiento</t>
  </si>
  <si>
    <t>Seguimiento permanente a la respuesta del CNA a través de diversos medios de comunicación</t>
  </si>
  <si>
    <t>Revisiones del Sistema COGUI por la alta dirección.</t>
  </si>
  <si>
    <t>Informar a la alta dirección las necesidades de recursos.</t>
  </si>
  <si>
    <t>Aprobación y visto bueno del jefe inmediato</t>
  </si>
  <si>
    <t>Se han implementado, procedimientos, formatos y guías</t>
  </si>
  <si>
    <t>Reuniones de revision de los directivos academicos en los difrentes programas</t>
  </si>
  <si>
    <t>Se ha recibido orientacion y apoyo de asesores internos y externos para el tema.</t>
  </si>
  <si>
    <t>Procedimientos escritos</t>
  </si>
  <si>
    <t>Utilización Formato</t>
  </si>
  <si>
    <t>Uso de Normograma</t>
  </si>
  <si>
    <t>Formatos establecidos</t>
  </si>
  <si>
    <t>Capacitaciones, talleres, seminarios</t>
  </si>
  <si>
    <t>plan de acción</t>
  </si>
  <si>
    <t>Asignación de presupuesto</t>
  </si>
  <si>
    <t>Sistema de Información SIVI</t>
  </si>
  <si>
    <t xml:space="preserve">Seguimiento del plan de acción </t>
  </si>
  <si>
    <t>Actas de seguimiento del plan de acción.</t>
  </si>
  <si>
    <t>Boletín de la Vicerrectoría de Investigación.</t>
  </si>
  <si>
    <t>EX-F14 Procedimiento de Plan de Calidad aplicado a proyectos de la Vicerrectoría de Extensión</t>
  </si>
  <si>
    <t>Encuestas de satisfacción del usuario.</t>
  </si>
  <si>
    <t xml:space="preserve">Lista de chequeo según la clase o naturaleza del contrato  </t>
  </si>
  <si>
    <t>Procedimiento de contratación según modalidades de selección.</t>
  </si>
  <si>
    <t>Informar los cambios en materia contractual</t>
  </si>
  <si>
    <t>Solicitar a los supervisores allegar la documentación que debe reposar en la carpeta contractual</t>
  </si>
  <si>
    <t>Guardia armado fisico</t>
  </si>
  <si>
    <t>Camaras de vigilancia instaladas</t>
  </si>
  <si>
    <t>Planes de Manejo Ambiental</t>
  </si>
  <si>
    <t>Procedimiento de Evaluación por Competencias</t>
  </si>
  <si>
    <t>Formatos de Inducción y Reinducción</t>
  </si>
  <si>
    <t>Procedimiento de vinculación de empleados</t>
  </si>
  <si>
    <t>Relación de catedráticos, contratistas y estudiantes de prácticas.</t>
  </si>
  <si>
    <t>Revisión y aprobación del Plan Anual de Auditorias por el CCCI</t>
  </si>
  <si>
    <t>Procedimiento de evaluación SCI</t>
  </si>
  <si>
    <t>Seguimiento de indicadores de cumplimiento del plan anual de auditorias y de avances del sistema de control interno</t>
  </si>
  <si>
    <t>Seguimiento de indicadores de ejecución del plan anual de auditorias, de asesorias y acompañamientos ejecutados y de informes entregados oportunamente</t>
  </si>
  <si>
    <t>Seguimiento a las fechas de presentacion de avances de PM</t>
  </si>
  <si>
    <t>Procedimiento Plan de mejoramiento</t>
  </si>
  <si>
    <t>Revisión por la Alta Dirección del Sistema de Gestión Integral de la Calidad</t>
  </si>
  <si>
    <t>Consejos: Superior, Académico, Investigación, Extensión, Planeación, Facultad y Programas</t>
  </si>
  <si>
    <t>Contratación de personal</t>
  </si>
  <si>
    <t>MC-G01 Guia para la elaboración de documentos.</t>
  </si>
  <si>
    <t xml:space="preserve">MC-P01 Procedimiento para el control de documentos </t>
  </si>
  <si>
    <t>MC-P02 Procedimiento para el Control de Registros</t>
  </si>
  <si>
    <t>Inducciones, Capacitaciones</t>
  </si>
  <si>
    <t>Capacitaciones</t>
  </si>
  <si>
    <t>Normatividad legal</t>
  </si>
  <si>
    <t>CO-F25 Est. de conveniencia y oportunidad para contratar serv. Profesionales y de apoyo a la gestión</t>
  </si>
  <si>
    <t>Acuerdo Superior 013 de Septiembre 2 de 2011</t>
  </si>
  <si>
    <t>Resolución Rectoral 143 de Marzo 1 de 2012</t>
  </si>
  <si>
    <t>GD-P11 Procedimiento para el control de comunicaciones oficiales recibidas y externas a enviar.</t>
  </si>
  <si>
    <t>GD-P08 Procedimiento para la actualización de información y grupos de interés.</t>
  </si>
  <si>
    <t>Aprobación de los pliegos de condiciones por parte del ordenador del gasto</t>
  </si>
  <si>
    <t>Definición  y  claridad en los requisitos legales a cumplir en los documentos recibidos para trámite de pagos</t>
  </si>
  <si>
    <t>Verificación del cumplimiento de los requisitos: legales, contables, tributarios y administrativos.</t>
  </si>
  <si>
    <t>Conciliaciones Bancarias</t>
  </si>
  <si>
    <t>Custodia en Caja Fuerte de los títulos valores (chequeras, cheques, sellos humedos y protectógrafo)</t>
  </si>
  <si>
    <t>Reuniones de Calidad</t>
  </si>
  <si>
    <t>Reuniones equipo Financiero</t>
  </si>
  <si>
    <t>Planes de Mejoramiento y notificaciones y actualizaciones de la normatividad aplicable al proceso.</t>
  </si>
  <si>
    <t>Roles para el acceso a la información</t>
  </si>
  <si>
    <t>Firewall para el control de ingreso a red y sistemas de información</t>
  </si>
  <si>
    <t>Recibir y verificar los requisitos de grados</t>
  </si>
  <si>
    <t>Consolidación de la información y envío de la misma al sistema de AyRE</t>
  </si>
  <si>
    <t xml:space="preserve">Utilización de papel de seguridad para la elaboración de diplomas </t>
  </si>
  <si>
    <t>Revisión de la información en el Archivo de la Secretaría General</t>
  </si>
  <si>
    <t>Validación de la información en el sistema AyRE</t>
  </si>
  <si>
    <t>Procedimientos documentados en COGUI</t>
  </si>
  <si>
    <t>Normograma / Procedimientos documentados en COGUI</t>
  </si>
  <si>
    <t>Entrega en custodia de los resultados del la prueba de admisión a la Oficina de control interno.</t>
  </si>
  <si>
    <t>Verificación y aprobación del listado de preseleccionados por parte del Comité de Admisiones.</t>
  </si>
  <si>
    <t>Uso de codigos de verificación para el registro de notas</t>
  </si>
  <si>
    <t>Auditorias al registro de notas</t>
  </si>
  <si>
    <t>Envió de correos al docente titular y al programa  una vez se haya  modificado una nota</t>
  </si>
  <si>
    <t>Guía de rendición de cuentas basada en los lineamientos del DAFP</t>
  </si>
  <si>
    <t>Revisión de la información antes de ser reportada o publicada</t>
  </si>
  <si>
    <t>Auditorías del Ministerio de Educación Nacional a la información reportada al SNIES</t>
  </si>
  <si>
    <t>Sitio Web de Transparencia y Acceso a la Información Pública</t>
  </si>
  <si>
    <t>Procedimientos del proceso evaluacion independiente</t>
  </si>
  <si>
    <t>Debido al crecimiento en la gestión de la Oficina de Relaciones Internacionales, se presenta poco personal para gran concentración de trabajo</t>
  </si>
  <si>
    <t>Ante el poco conocimiento por parte de los usuarios del citado procedimiento, no se realizan los registros respectivos</t>
  </si>
  <si>
    <t xml:space="preserve">La comunidad universitaria y los extranjeros por desconocimiento o cualquier otra razón, no cumplen con los requisitos y disposiciones  concernientes a la movilidad internacional entrante y saliente, desconocen los requisitos legales y las disposiciones </t>
  </si>
  <si>
    <t>Otorgar becas y/o apoyos economicos bajo algun interes particular</t>
  </si>
  <si>
    <t>Inexistencia o debilidad en canales de entrega y acceso a la información por parte de la ciudadanía o de los mismos servidores públicos de la entidad.</t>
  </si>
  <si>
    <t>Es la toma de decisiones (Resolución, dictamen
o concepto) contrarias a la ley.</t>
  </si>
  <si>
    <t>Desviar recursos públicos a objetivos distintos a los consignados en el presupuesto. (Peculado por aplicación oficial diferente)</t>
  </si>
  <si>
    <t>Captación y aceptación subjetiva de la política de autoevaluación, acreditación y aseguramiento de la calidad.</t>
  </si>
  <si>
    <t>Deficiencia en la calidad técnica de los informes de autoevaluación con fines de acreditación de  los programas o de los informes para la renovación del registro calificado.</t>
  </si>
  <si>
    <t>Negación de la acreditación  de alta calidad o del registro calificado por el  no cumplimiento de los lineamientos y/o requisitos establecidos por el el Ministerio de Educación Nacional y la Institución.</t>
  </si>
  <si>
    <t>Incumplimiento de actividades establecidas en el plan de trabajo por la dipersión que se tiene en los funcionarios además de la falta de herrramienta tecnológica para el seguimiento de los procesos.</t>
  </si>
  <si>
    <t>Al realizar la solicitud de registro calificado o renovación de los mismos, pueden acaecer dos momentos tardíos para la repuesta por parte del MEN: el primero esta relacionado con la completitud, es decir, la revisión de la documentación de nuestra solicitud y el segundo para la firma de la resolución de otorgamiento</t>
  </si>
  <si>
    <t>En ocasiones no se pueden atender peticiones o solicitudes de manera ágil por no tener un archivo documental organizado acorde con la caractaresticas de la Oficina y las funciones asignadas a la misma</t>
  </si>
  <si>
    <t>Por el poco personal que se tiene asignado a la Oficina, se tiene centralizada algunas responsabilidades a funcionarios atomizando la información en la persona.</t>
  </si>
  <si>
    <t xml:space="preserve">La falta de recursos no permite o retrasa la implementación de acciones de mejoramiento. </t>
  </si>
  <si>
    <r>
      <rPr>
        <b/>
        <sz val="10"/>
        <rFont val="Calibri"/>
        <family val="2"/>
      </rPr>
      <t>Relaciones Interinstitucionales.</t>
    </r>
    <r>
      <rPr>
        <sz val="10"/>
        <rFont val="Calibri"/>
        <family val="2"/>
      </rPr>
      <t xml:space="preserve"> Concentrar labores múltiples en poco personal</t>
    </r>
  </si>
  <si>
    <r>
      <rPr>
        <b/>
        <sz val="10"/>
        <rFont val="Calibri"/>
        <family val="2"/>
        <scheme val="minor"/>
      </rPr>
      <t xml:space="preserve">Relaciones Interinstitucionales. </t>
    </r>
    <r>
      <rPr>
        <sz val="10"/>
        <rFont val="Calibri"/>
        <family val="2"/>
        <scheme val="minor"/>
      </rPr>
      <t xml:space="preserve">Escaso registro y control de la movilidad internacional entrante y saliente. </t>
    </r>
  </si>
  <si>
    <r>
      <rPr>
        <b/>
        <sz val="10"/>
        <rFont val="Calibri"/>
        <family val="2"/>
        <scheme val="minor"/>
      </rPr>
      <t xml:space="preserve">Relaciones Interinstitucionales. </t>
    </r>
    <r>
      <rPr>
        <sz val="10"/>
        <rFont val="Calibri"/>
        <family val="2"/>
        <scheme val="minor"/>
      </rPr>
      <t>Gestionar la movilidad internacional sin requisitos legales</t>
    </r>
  </si>
  <si>
    <r>
      <rPr>
        <b/>
        <sz val="10"/>
        <rFont val="Calibri"/>
        <family val="2"/>
        <scheme val="minor"/>
      </rPr>
      <t xml:space="preserve">Acreditación. </t>
    </r>
    <r>
      <rPr>
        <sz val="10"/>
        <rFont val="Calibri"/>
        <family val="2"/>
        <scheme val="minor"/>
      </rPr>
      <t>Insuficiente Implementación de la Política Institucional de Autoevaluación, Acreditación y Aseguramiento de la calidad</t>
    </r>
  </si>
  <si>
    <r>
      <rPr>
        <b/>
        <sz val="10"/>
        <rFont val="Calibri"/>
        <family val="2"/>
        <scheme val="minor"/>
      </rPr>
      <t>Acreditación.</t>
    </r>
    <r>
      <rPr>
        <sz val="10"/>
        <rFont val="Calibri"/>
        <family val="2"/>
        <scheme val="minor"/>
      </rPr>
      <t xml:space="preserve"> Deficiencia en la calidad técnica de los informes </t>
    </r>
  </si>
  <si>
    <r>
      <rPr>
        <b/>
        <sz val="10"/>
        <rFont val="Calibri"/>
        <family val="2"/>
        <scheme val="minor"/>
      </rPr>
      <t>Acreditación.</t>
    </r>
    <r>
      <rPr>
        <sz val="10"/>
        <rFont val="Calibri"/>
        <family val="2"/>
        <scheme val="minor"/>
      </rPr>
      <t xml:space="preserve"> Negación de la acreditación o de la renovación de registro calificado</t>
    </r>
  </si>
  <si>
    <r>
      <rPr>
        <b/>
        <sz val="10"/>
        <rFont val="Calibri"/>
        <family val="2"/>
        <scheme val="minor"/>
      </rPr>
      <t xml:space="preserve">Acreditación. </t>
    </r>
    <r>
      <rPr>
        <sz val="10"/>
        <rFont val="Calibri"/>
        <family val="2"/>
        <scheme val="minor"/>
      </rPr>
      <t>Incumplimiento en algunas actividades establecidas en el plan de trabajo</t>
    </r>
  </si>
  <si>
    <r>
      <rPr>
        <b/>
        <sz val="10"/>
        <rFont val="Calibri"/>
        <family val="2"/>
        <scheme val="minor"/>
      </rPr>
      <t>Acreditación.</t>
    </r>
    <r>
      <rPr>
        <sz val="10"/>
        <rFont val="Calibri"/>
        <family val="2"/>
        <scheme val="minor"/>
      </rPr>
      <t xml:space="preserve"> Retraso en el otorgamiento o renovacion del registro calificado</t>
    </r>
  </si>
  <si>
    <r>
      <rPr>
        <b/>
        <sz val="10"/>
        <rFont val="Calibri"/>
        <family val="2"/>
        <scheme val="minor"/>
      </rPr>
      <t xml:space="preserve">Gestión de la Calidad. </t>
    </r>
    <r>
      <rPr>
        <sz val="10"/>
        <rFont val="Calibri"/>
        <family val="2"/>
        <scheme val="minor"/>
      </rPr>
      <t>La alta dirección no asegura la disponibilidad de los recursos para el mantenimiento y mejora del sistema.</t>
    </r>
  </si>
  <si>
    <r>
      <rPr>
        <b/>
        <sz val="10"/>
        <rFont val="Calibri"/>
        <family val="2"/>
        <scheme val="minor"/>
      </rPr>
      <t xml:space="preserve">Comunicaciones. </t>
    </r>
    <r>
      <rPr>
        <sz val="10"/>
        <rFont val="Calibri"/>
        <family val="2"/>
        <scheme val="minor"/>
      </rPr>
      <t>Inoportuna e ineficaz divulgación de los productos comunicativos y publicitarios ante los usuarios internos y externos.</t>
    </r>
  </si>
  <si>
    <r>
      <rPr>
        <b/>
        <sz val="10"/>
        <rFont val="Calibri"/>
        <family val="2"/>
        <scheme val="minor"/>
      </rPr>
      <t xml:space="preserve">Gestión Academica. </t>
    </r>
    <r>
      <rPr>
        <sz val="10"/>
        <rFont val="Calibri"/>
        <family val="2"/>
        <scheme val="minor"/>
      </rPr>
      <t>Pérdida de Registro Calificado de los Programas Académicos.</t>
    </r>
  </si>
  <si>
    <r>
      <rPr>
        <b/>
        <sz val="10"/>
        <rFont val="Calibri"/>
        <family val="2"/>
        <scheme val="minor"/>
      </rPr>
      <t xml:space="preserve">Gestión Academica. </t>
    </r>
    <r>
      <rPr>
        <sz val="10"/>
        <rFont val="Calibri"/>
        <family val="2"/>
        <scheme val="minor"/>
      </rPr>
      <t>Formulación inadecuada de políticas.</t>
    </r>
  </si>
  <si>
    <r>
      <rPr>
        <b/>
        <sz val="10"/>
        <rFont val="Calibri"/>
        <family val="2"/>
        <scheme val="minor"/>
      </rPr>
      <t xml:space="preserve">Gestión Academica. </t>
    </r>
    <r>
      <rPr>
        <sz val="10"/>
        <rFont val="Calibri"/>
        <family val="2"/>
        <scheme val="minor"/>
      </rPr>
      <t>Aplicación inadecuada de la normatividad en el desarrollo de los diferentes procesos academicos de los programas.</t>
    </r>
  </si>
  <si>
    <r>
      <rPr>
        <b/>
        <sz val="10"/>
        <rFont val="Calibri"/>
        <family val="2"/>
        <scheme val="minor"/>
      </rPr>
      <t xml:space="preserve">Gestión Academica. </t>
    </r>
    <r>
      <rPr>
        <sz val="10"/>
        <rFont val="Calibri"/>
        <family val="2"/>
        <scheme val="minor"/>
      </rPr>
      <t>Deterioro en la calidad de los programas académicos por necesidades de recursos no cubiertas.</t>
    </r>
  </si>
  <si>
    <r>
      <rPr>
        <b/>
        <sz val="10"/>
        <rFont val="Calibri"/>
        <family val="2"/>
        <scheme val="minor"/>
      </rPr>
      <t xml:space="preserve">Gestión de Investigación. </t>
    </r>
    <r>
      <rPr>
        <sz val="10"/>
        <rFont val="Calibri"/>
        <family val="2"/>
        <scheme val="minor"/>
      </rPr>
      <t xml:space="preserve">No fomentar la actividad investigativa en la Universidad.  </t>
    </r>
  </si>
  <si>
    <r>
      <rPr>
        <b/>
        <sz val="10"/>
        <rFont val="Calibri"/>
        <family val="2"/>
        <scheme val="minor"/>
      </rPr>
      <t xml:space="preserve">Gestión de Investigación. </t>
    </r>
    <r>
      <rPr>
        <sz val="10"/>
        <rFont val="Calibri"/>
        <family val="2"/>
        <scheme val="minor"/>
      </rPr>
      <t>Deficiente cumplimiento del plan de acción de la Vicerrectoría de Investigación</t>
    </r>
  </si>
  <si>
    <r>
      <rPr>
        <b/>
        <sz val="10"/>
        <rFont val="Calibri"/>
        <family val="2"/>
        <scheme val="minor"/>
      </rPr>
      <t xml:space="preserve">Gestión de Extensión y Proyección Social. </t>
    </r>
    <r>
      <rPr>
        <sz val="10"/>
        <rFont val="Calibri"/>
        <family val="2"/>
        <scheme val="minor"/>
      </rPr>
      <t>Incumplimiento en los compromisos establecidos en la formalización de los proyectos.</t>
    </r>
  </si>
  <si>
    <r>
      <rPr>
        <b/>
        <sz val="10"/>
        <rFont val="Calibri"/>
        <family val="2"/>
        <scheme val="minor"/>
      </rPr>
      <t xml:space="preserve">Gestión de Extensión y Proyección Social. </t>
    </r>
    <r>
      <rPr>
        <sz val="10"/>
        <rFont val="Calibri"/>
        <family val="2"/>
        <scheme val="minor"/>
      </rPr>
      <t>Limitada interacción e integración con las comunidades nacionales e internacionales en el fortalecimiento de la presencia de la Universidad en la vida social y cultural del país.</t>
    </r>
  </si>
  <si>
    <r>
      <rPr>
        <b/>
        <sz val="10"/>
        <rFont val="Calibri"/>
        <family val="2"/>
        <scheme val="minor"/>
      </rPr>
      <t xml:space="preserve">Gestión de Extensión y Proyección Social. </t>
    </r>
    <r>
      <rPr>
        <sz val="10"/>
        <rFont val="Calibri"/>
        <family val="2"/>
        <scheme val="minor"/>
      </rPr>
      <t>Interrupción en las actividades e incumplimiento de los proyectos de extensión y proyección social, en las zonas de influencia.</t>
    </r>
  </si>
  <si>
    <r>
      <rPr>
        <b/>
        <sz val="10"/>
        <rFont val="Calibri"/>
        <family val="2"/>
        <scheme val="minor"/>
      </rPr>
      <t xml:space="preserve">Gestión de Contratación. </t>
    </r>
    <r>
      <rPr>
        <sz val="10"/>
        <rFont val="Calibri"/>
        <family val="2"/>
        <scheme val="minor"/>
      </rPr>
      <t>Celebración de contratos sin el cumplimiento de los requisitos internos y externos de carácter contractual</t>
    </r>
  </si>
  <si>
    <r>
      <rPr>
        <b/>
        <sz val="10"/>
        <rFont val="Calibri"/>
        <family val="2"/>
        <scheme val="minor"/>
      </rPr>
      <t xml:space="preserve">Gestión de Contratación. </t>
    </r>
    <r>
      <rPr>
        <sz val="10"/>
        <rFont val="Calibri"/>
        <family val="2"/>
        <scheme val="minor"/>
      </rPr>
      <t>Documentación incompleta en la carpeta contractual</t>
    </r>
  </si>
  <si>
    <r>
      <rPr>
        <b/>
        <sz val="10"/>
        <rFont val="Calibri"/>
        <family val="2"/>
        <scheme val="minor"/>
      </rPr>
      <t xml:space="preserve">Gestión Administrativa. </t>
    </r>
    <r>
      <rPr>
        <sz val="10"/>
        <rFont val="Calibri"/>
        <family val="2"/>
        <scheme val="minor"/>
      </rPr>
      <t>Inseguridad en el campus</t>
    </r>
  </si>
  <si>
    <r>
      <rPr>
        <b/>
        <sz val="10"/>
        <rFont val="Calibri"/>
        <family val="2"/>
        <scheme val="minor"/>
      </rPr>
      <t xml:space="preserve">Gestión Administrativa. </t>
    </r>
    <r>
      <rPr>
        <sz val="10"/>
        <rFont val="Calibri"/>
        <family val="2"/>
        <scheme val="minor"/>
      </rPr>
      <t>Inadecuado gestión de los residuos</t>
    </r>
  </si>
  <si>
    <r>
      <rPr>
        <b/>
        <sz val="10"/>
        <rFont val="Calibri"/>
        <family val="2"/>
        <scheme val="minor"/>
      </rPr>
      <t xml:space="preserve">Gestión del Talento Humano. </t>
    </r>
    <r>
      <rPr>
        <sz val="10"/>
        <rFont val="Calibri"/>
        <family val="2"/>
        <scheme val="minor"/>
      </rPr>
      <t>Deficiente desempeño laboral de los funcionarios de la Universidad.</t>
    </r>
  </si>
  <si>
    <r>
      <rPr>
        <b/>
        <sz val="10"/>
        <rFont val="Calibri"/>
        <family val="2"/>
        <scheme val="minor"/>
      </rPr>
      <t xml:space="preserve">Gestión del Talento Humano. </t>
    </r>
    <r>
      <rPr>
        <sz val="10"/>
        <rFont val="Calibri"/>
        <family val="2"/>
        <scheme val="minor"/>
      </rPr>
      <t>Falta de plan de incentivos y/o estímulos.</t>
    </r>
  </si>
  <si>
    <r>
      <rPr>
        <b/>
        <sz val="10"/>
        <rFont val="Calibri"/>
        <family val="2"/>
        <scheme val="minor"/>
      </rPr>
      <t xml:space="preserve">Gestión del Talento Humano. </t>
    </r>
    <r>
      <rPr>
        <sz val="10"/>
        <rFont val="Calibri"/>
        <family val="2"/>
        <scheme val="minor"/>
      </rPr>
      <t>Demoras en la afilicación de catedráticos y ocasionales al Sistema de Seguridad Social Integral, y de los contratistas y estudiantes de Práctica a la Administradora de Riesgos Laborales.</t>
    </r>
  </si>
  <si>
    <r>
      <rPr>
        <b/>
        <sz val="10"/>
        <rFont val="Calibri"/>
        <family val="2"/>
        <scheme val="minor"/>
      </rPr>
      <t xml:space="preserve">Evaluación Independiente. </t>
    </r>
    <r>
      <rPr>
        <sz val="10"/>
        <rFont val="Calibri"/>
        <family val="2"/>
        <scheme val="minor"/>
      </rPr>
      <t>Deficiente evaluación y verificacion de la existencia, nivel de desarrollo y grado de efectividad del Sistema de Control Interno</t>
    </r>
  </si>
  <si>
    <r>
      <rPr>
        <b/>
        <sz val="10"/>
        <rFont val="Calibri"/>
        <family val="2"/>
        <scheme val="minor"/>
      </rPr>
      <t xml:space="preserve">Evaluación Independiente. </t>
    </r>
    <r>
      <rPr>
        <sz val="10"/>
        <rFont val="Calibri"/>
        <family val="2"/>
        <scheme val="minor"/>
      </rPr>
      <t>Deficiente evaluación del nivel de avance de las acciones pactadas en los planes de mejoramiento</t>
    </r>
  </si>
  <si>
    <r>
      <rPr>
        <b/>
        <sz val="10"/>
        <color rgb="FF868300"/>
        <rFont val="Calibri"/>
        <family val="2"/>
        <scheme val="minor"/>
      </rPr>
      <t xml:space="preserve">Debilidades (entre otras):  </t>
    </r>
    <r>
      <rPr>
        <sz val="10"/>
        <rFont val="Calibri"/>
        <family val="2"/>
        <scheme val="minor"/>
      </rPr>
      <t xml:space="preserve">
• Ausencia Cultura de Ética y Buen Gobierno • Cambios en la alta dirección • Falta de control al poder • Discrecionalidad en la toma de decisiones • Insuficiente capacidad instalada • Infraestructura física no adecuada • Alta rotación de personal • Desmotivación de funcionarios • Falta cualificación del personal • Desconocimiento de las funciones • Concentración de conocimiento • No asignación de prioridades • No distribución de acuerdo a competencias • Omisión de procedimientos legales • Baja visibilidad de las acciones • Falta de Planeación y de coherencia de los procesos • Falta de definición de puntos de control • Bajo nivel de automatización en el seguimiento de los procesos • Gestión documental deficiente • Asimetrías de la información • Erróneas herramientas tecnológicas 
</t>
    </r>
    <r>
      <rPr>
        <b/>
        <sz val="10"/>
        <color rgb="FF868300"/>
        <rFont val="Calibri"/>
        <family val="2"/>
        <scheme val="minor"/>
      </rPr>
      <t xml:space="preserve">Amenazas (entre otras): </t>
    </r>
    <r>
      <rPr>
        <sz val="10"/>
        <rFont val="Calibri"/>
        <family val="2"/>
        <scheme val="minor"/>
      </rPr>
      <t xml:space="preserve">
• Cambios regulatorios y técnicos • Apatía de los grupos de interés • Recortes presupuestales • Desconocimiento de los usuarios en el manejo del sistema de trámites
• Gran demanda de información personalizada por la ciudadanía • Presiones por parte de personas, gremios o entidades externas</t>
    </r>
  </si>
  <si>
    <r>
      <rPr>
        <b/>
        <sz val="10"/>
        <rFont val="Calibri"/>
        <family val="2"/>
        <scheme val="minor"/>
      </rPr>
      <t xml:space="preserve">Relaciones Interinstitucionales. </t>
    </r>
    <r>
      <rPr>
        <sz val="10"/>
        <rFont val="Calibri"/>
        <family val="2"/>
        <scheme val="minor"/>
      </rPr>
      <t>Tráfico de Influencias</t>
    </r>
  </si>
  <si>
    <r>
      <rPr>
        <b/>
        <sz val="10"/>
        <rFont val="Calibri"/>
        <family val="2"/>
        <scheme val="minor"/>
      </rPr>
      <t xml:space="preserve">Dirección y Planeación. </t>
    </r>
    <r>
      <rPr>
        <sz val="10"/>
        <rFont val="Calibri"/>
        <family val="2"/>
        <scheme val="minor"/>
      </rPr>
      <t>Ausencia o debilidad de procesos y procedimientos para la gestión administrativa y misional</t>
    </r>
  </si>
  <si>
    <r>
      <rPr>
        <b/>
        <sz val="10"/>
        <rFont val="Calibri"/>
        <family val="2"/>
        <scheme val="minor"/>
      </rPr>
      <t xml:space="preserve">Dirección y Planeación. </t>
    </r>
    <r>
      <rPr>
        <sz val="10"/>
        <rFont val="Calibri"/>
        <family val="2"/>
        <scheme val="minor"/>
      </rPr>
      <t>Prevaricato</t>
    </r>
  </si>
  <si>
    <r>
      <rPr>
        <b/>
        <sz val="10"/>
        <rFont val="Calibri"/>
        <family val="2"/>
        <scheme val="minor"/>
      </rPr>
      <t xml:space="preserve">Dirección y Planeación. </t>
    </r>
    <r>
      <rPr>
        <sz val="10"/>
        <rFont val="Calibri"/>
        <family val="2"/>
        <scheme val="minor"/>
      </rPr>
      <t>Malversación de Recursos</t>
    </r>
  </si>
  <si>
    <r>
      <rPr>
        <b/>
        <sz val="10"/>
        <rFont val="Calibri"/>
        <family val="2"/>
        <scheme val="minor"/>
      </rPr>
      <t xml:space="preserve">Acreditación. </t>
    </r>
    <r>
      <rPr>
        <sz val="10"/>
        <rFont val="Calibri"/>
        <family val="2"/>
        <scheme val="minor"/>
      </rPr>
      <t>Deficiencias en el manejo documental y de archivo</t>
    </r>
  </si>
  <si>
    <r>
      <rPr>
        <b/>
        <sz val="10"/>
        <rFont val="Calibri"/>
        <family val="2"/>
        <scheme val="minor"/>
      </rPr>
      <t xml:space="preserve">Acreditación. </t>
    </r>
    <r>
      <rPr>
        <sz val="10"/>
        <rFont val="Calibri"/>
        <family val="2"/>
        <scheme val="minor"/>
      </rPr>
      <t>Concentración de información de determinadas actividades o procesos en una persona</t>
    </r>
  </si>
  <si>
    <r>
      <rPr>
        <b/>
        <sz val="10"/>
        <rFont val="Calibri"/>
        <family val="2"/>
        <scheme val="minor"/>
      </rPr>
      <t xml:space="preserve">Gestión de la Calidad. </t>
    </r>
    <r>
      <rPr>
        <sz val="10"/>
        <rFont val="Calibri"/>
        <family val="2"/>
        <scheme val="minor"/>
      </rPr>
      <t>Concentración de información de determinadas actividades o procesos en una persona</t>
    </r>
  </si>
  <si>
    <r>
      <rPr>
        <b/>
        <sz val="10"/>
        <rFont val="Calibri"/>
        <family val="2"/>
        <scheme val="minor"/>
      </rPr>
      <t xml:space="preserve">Gestión de la Calidad. </t>
    </r>
    <r>
      <rPr>
        <sz val="10"/>
        <rFont val="Calibri"/>
        <family val="2"/>
        <scheme val="minor"/>
      </rPr>
      <t>Deficiencias en el  manejo documental y de archivo</t>
    </r>
  </si>
  <si>
    <r>
      <rPr>
        <b/>
        <sz val="10"/>
        <rFont val="Calibri"/>
        <family val="2"/>
        <scheme val="minor"/>
      </rPr>
      <t xml:space="preserve">Comunicaciones </t>
    </r>
    <r>
      <rPr>
        <sz val="10"/>
        <rFont val="Calibri"/>
        <family val="2"/>
        <scheme val="minor"/>
      </rPr>
      <t>Concentración de información de determinadas actividades o procesos en una persona</t>
    </r>
  </si>
  <si>
    <r>
      <rPr>
        <b/>
        <sz val="10"/>
        <rFont val="Calibri"/>
        <family val="2"/>
        <scheme val="minor"/>
      </rPr>
      <t xml:space="preserve">Gestión Academica. </t>
    </r>
    <r>
      <rPr>
        <sz val="10"/>
        <rFont val="Calibri"/>
        <family val="2"/>
        <scheme val="minor"/>
      </rPr>
      <t xml:space="preserve">Ausencia de canales de comunicación
</t>
    </r>
  </si>
  <si>
    <r>
      <rPr>
        <b/>
        <sz val="10"/>
        <rFont val="Calibri"/>
        <family val="2"/>
        <scheme val="minor"/>
      </rPr>
      <t xml:space="preserve">Gestión Academica. </t>
    </r>
    <r>
      <rPr>
        <sz val="10"/>
        <rFont val="Calibri"/>
        <family val="2"/>
        <scheme val="minor"/>
      </rPr>
      <t>Concentración de información de determinadas actividades o procesos en una persona</t>
    </r>
  </si>
  <si>
    <r>
      <rPr>
        <b/>
        <sz val="10"/>
        <rFont val="Calibri"/>
        <family val="2"/>
        <scheme val="minor"/>
      </rPr>
      <t xml:space="preserve">Gestión Academica. </t>
    </r>
    <r>
      <rPr>
        <sz val="10"/>
        <rFont val="Calibri"/>
        <family val="2"/>
        <scheme val="minor"/>
      </rPr>
      <t>Deficiencias en el manejo documental y de archivo</t>
    </r>
  </si>
  <si>
    <r>
      <rPr>
        <b/>
        <sz val="10"/>
        <rFont val="Calibri"/>
        <family val="2"/>
        <scheme val="minor"/>
      </rPr>
      <t xml:space="preserve">Gestión de Investigación. </t>
    </r>
    <r>
      <rPr>
        <sz val="10"/>
        <rFont val="Calibri"/>
        <family val="2"/>
        <scheme val="minor"/>
      </rPr>
      <t>Vulnerabilidad en el manejo de la información de la actividad investigativa</t>
    </r>
  </si>
  <si>
    <r>
      <rPr>
        <b/>
        <sz val="10"/>
        <rFont val="Calibri"/>
        <family val="2"/>
        <scheme val="minor"/>
      </rPr>
      <t xml:space="preserve">Gestión de Investigación. </t>
    </r>
    <r>
      <rPr>
        <sz val="10"/>
        <rFont val="Calibri"/>
        <family val="2"/>
        <scheme val="minor"/>
      </rPr>
      <t>Violación de la propiedad Intelectual.</t>
    </r>
  </si>
  <si>
    <r>
      <rPr>
        <b/>
        <sz val="10"/>
        <rFont val="Calibri"/>
        <family val="2"/>
        <scheme val="minor"/>
      </rPr>
      <t xml:space="preserve">Gestión de Extensión y Proyección Social. </t>
    </r>
    <r>
      <rPr>
        <sz val="10"/>
        <rFont val="Calibri"/>
        <family val="2"/>
        <scheme val="minor"/>
      </rPr>
      <t>Desviación o uso indebido de recursos, que impidan la ejecución de los proyectos y actividades misionales de la vicerrectoria de extensión y proyección social</t>
    </r>
  </si>
  <si>
    <r>
      <rPr>
        <b/>
        <sz val="10"/>
        <rFont val="Calibri"/>
        <family val="2"/>
        <scheme val="minor"/>
      </rPr>
      <t xml:space="preserve">Gestión de Extensión y Proyección Social. </t>
    </r>
    <r>
      <rPr>
        <sz val="10"/>
        <rFont val="Calibri"/>
        <family val="2"/>
        <scheme val="minor"/>
      </rPr>
      <t xml:space="preserve">Concentración de la información en una persona. </t>
    </r>
  </si>
  <si>
    <r>
      <rPr>
        <b/>
        <sz val="10"/>
        <rFont val="Calibri"/>
        <family val="2"/>
        <scheme val="minor"/>
      </rPr>
      <t xml:space="preserve">Gestión de Extensión y Proyección Social. </t>
    </r>
    <r>
      <rPr>
        <sz val="10"/>
        <rFont val="Calibri"/>
        <family val="2"/>
        <scheme val="minor"/>
      </rPr>
      <t xml:space="preserve">Inadecuada ejecución de los recursos asignados </t>
    </r>
  </si>
  <si>
    <r>
      <rPr>
        <b/>
        <sz val="10"/>
        <rFont val="Calibri"/>
        <family val="2"/>
        <scheme val="minor"/>
      </rPr>
      <t xml:space="preserve">Gestión de Extensión y Proyección Social. </t>
    </r>
    <r>
      <rPr>
        <sz val="10"/>
        <rFont val="Calibri"/>
        <family val="2"/>
        <scheme val="minor"/>
      </rPr>
      <t>Extralimitación de funciones.</t>
    </r>
  </si>
  <si>
    <r>
      <rPr>
        <b/>
        <sz val="10"/>
        <rFont val="Calibri"/>
        <family val="2"/>
        <scheme val="minor"/>
      </rPr>
      <t xml:space="preserve">Gestión de Extensión y Proyección Social. </t>
    </r>
    <r>
      <rPr>
        <sz val="10"/>
        <rFont val="Calibri"/>
        <family val="2"/>
        <scheme val="minor"/>
      </rPr>
      <t>Omisión de la ley para beneficio propio.</t>
    </r>
  </si>
  <si>
    <r>
      <rPr>
        <b/>
        <sz val="10"/>
        <rFont val="Calibri"/>
        <family val="2"/>
        <scheme val="minor"/>
      </rPr>
      <t xml:space="preserve">Gestión de Contratación. </t>
    </r>
    <r>
      <rPr>
        <sz val="10"/>
        <rFont val="Calibri"/>
        <family val="2"/>
        <scheme val="minor"/>
      </rPr>
      <t>Pliegos de condiciones hechos a la medida de una firma en particular.</t>
    </r>
  </si>
  <si>
    <r>
      <rPr>
        <b/>
        <sz val="10"/>
        <rFont val="Calibri"/>
        <family val="2"/>
        <scheme val="minor"/>
      </rPr>
      <t xml:space="preserve">Gestión Financiera. </t>
    </r>
    <r>
      <rPr>
        <sz val="10"/>
        <rFont val="Calibri"/>
        <family val="2"/>
        <scheme val="minor"/>
      </rPr>
      <t xml:space="preserve">Pago de obligaciones sin el lleno de requisitos. </t>
    </r>
  </si>
  <si>
    <r>
      <rPr>
        <b/>
        <sz val="10"/>
        <rFont val="Calibri"/>
        <family val="2"/>
        <scheme val="minor"/>
      </rPr>
      <t xml:space="preserve">Gestión Financiera. </t>
    </r>
    <r>
      <rPr>
        <sz val="10"/>
        <rFont val="Calibri"/>
        <family val="2"/>
        <scheme val="minor"/>
      </rPr>
      <t>Perdida de titulos valores</t>
    </r>
  </si>
  <si>
    <r>
      <rPr>
        <b/>
        <sz val="10"/>
        <rFont val="Calibri"/>
        <family val="2"/>
        <scheme val="minor"/>
      </rPr>
      <t xml:space="preserve">Gestión Financiera. </t>
    </r>
    <r>
      <rPr>
        <sz val="10"/>
        <rFont val="Calibri"/>
        <family val="2"/>
        <scheme val="minor"/>
      </rPr>
      <t>Omisión en la aplicación  de la normatividad vigente en los procesos de la Gestión Financiera</t>
    </r>
  </si>
  <si>
    <r>
      <rPr>
        <b/>
        <sz val="10"/>
        <rFont val="Calibri"/>
        <family val="2"/>
        <scheme val="minor"/>
      </rPr>
      <t xml:space="preserve">Apoyo Tecnológico TIC. </t>
    </r>
    <r>
      <rPr>
        <sz val="10"/>
        <rFont val="Calibri"/>
        <family val="2"/>
        <scheme val="minor"/>
      </rPr>
      <t xml:space="preserve">Vulnerabilidad de la Información </t>
    </r>
  </si>
  <si>
    <r>
      <rPr>
        <b/>
        <sz val="10"/>
        <rFont val="Calibri"/>
        <family val="2"/>
        <scheme val="minor"/>
      </rPr>
      <t xml:space="preserve">Gestión Documental. </t>
    </r>
    <r>
      <rPr>
        <sz val="10"/>
        <rFont val="Calibri"/>
        <family val="2"/>
        <scheme val="minor"/>
      </rPr>
      <t xml:space="preserve">Entregar un título o certificado sin los requisitos para ello </t>
    </r>
  </si>
  <si>
    <r>
      <rPr>
        <b/>
        <sz val="10"/>
        <rFont val="Calibri"/>
        <family val="2"/>
        <scheme val="minor"/>
      </rPr>
      <t xml:space="preserve">Gestión Documental. </t>
    </r>
    <r>
      <rPr>
        <sz val="10"/>
        <rFont val="Calibri"/>
        <family val="2"/>
        <scheme val="minor"/>
      </rPr>
      <t>Expedición de un certificado de título falso</t>
    </r>
  </si>
  <si>
    <r>
      <rPr>
        <b/>
        <sz val="10"/>
        <rFont val="Calibri"/>
        <family val="2"/>
        <scheme val="minor"/>
      </rPr>
      <t xml:space="preserve">Gestión del Talento Humano. </t>
    </r>
    <r>
      <rPr>
        <sz val="10"/>
        <rFont val="Calibri"/>
        <family val="2"/>
        <scheme val="minor"/>
      </rPr>
      <t>Concentración de información de determinadas actividades o procesos en una persona.</t>
    </r>
  </si>
  <si>
    <r>
      <rPr>
        <b/>
        <sz val="10"/>
        <rFont val="Calibri"/>
        <family val="2"/>
        <scheme val="minor"/>
      </rPr>
      <t xml:space="preserve">Gestión del Talento Humano. </t>
    </r>
    <r>
      <rPr>
        <sz val="10"/>
        <rFont val="Calibri"/>
        <family val="2"/>
        <scheme val="minor"/>
      </rPr>
      <t>Decisiones no ajustadas a la normatividad legal.</t>
    </r>
  </si>
  <si>
    <r>
      <rPr>
        <b/>
        <sz val="10"/>
        <rFont val="Calibri"/>
        <family val="2"/>
        <scheme val="minor"/>
      </rPr>
      <t xml:space="preserve">Gestión de Admisiones y Registro. </t>
    </r>
    <r>
      <rPr>
        <sz val="10"/>
        <rFont val="Calibri"/>
        <family val="2"/>
        <scheme val="minor"/>
      </rPr>
      <t>Manipulación de resultados del examen  de admisión.</t>
    </r>
  </si>
  <si>
    <r>
      <rPr>
        <b/>
        <sz val="10"/>
        <rFont val="Calibri"/>
        <family val="2"/>
        <scheme val="minor"/>
      </rPr>
      <t xml:space="preserve">Gestión de Admisiones y Registro. </t>
    </r>
    <r>
      <rPr>
        <sz val="10"/>
        <rFont val="Calibri"/>
        <family val="2"/>
        <scheme val="minor"/>
      </rPr>
      <t>Alteración de notas de estudiantes.</t>
    </r>
  </si>
  <si>
    <r>
      <rPr>
        <b/>
        <sz val="10"/>
        <rFont val="Calibri"/>
        <family val="2"/>
        <scheme val="minor"/>
      </rPr>
      <t xml:space="preserve">Gestión y Rendición de Cuentas. </t>
    </r>
    <r>
      <rPr>
        <sz val="10"/>
        <rFont val="Calibri"/>
        <family val="2"/>
        <scheme val="minor"/>
      </rPr>
      <t>Rendición de cuentas a la ciudadanía inadecuada, incompleta e inoportuna</t>
    </r>
  </si>
  <si>
    <r>
      <rPr>
        <b/>
        <sz val="10"/>
        <rFont val="Calibri"/>
        <family val="2"/>
        <scheme val="minor"/>
      </rPr>
      <t xml:space="preserve">Gestión y Rendición de Cuentas. </t>
    </r>
    <r>
      <rPr>
        <sz val="10"/>
        <rFont val="Calibri"/>
        <family val="2"/>
        <scheme val="minor"/>
      </rPr>
      <t>Alteración de la información</t>
    </r>
  </si>
  <si>
    <r>
      <rPr>
        <b/>
        <sz val="10"/>
        <rFont val="Calibri"/>
        <family val="2"/>
        <scheme val="minor"/>
      </rPr>
      <t xml:space="preserve">Evaluación Independiente. </t>
    </r>
    <r>
      <rPr>
        <sz val="10"/>
        <rFont val="Calibri"/>
        <family val="2"/>
        <scheme val="minor"/>
      </rPr>
      <t>Falta de Objetividad e Independencia en el proceso auditor, de evaluación y seguimiento</t>
    </r>
  </si>
  <si>
    <r>
      <rPr>
        <b/>
        <sz val="10"/>
        <rFont val="Calibri"/>
        <family val="2"/>
        <scheme val="minor"/>
      </rPr>
      <t xml:space="preserve">Evaluación Independiente. </t>
    </r>
    <r>
      <rPr>
        <sz val="10"/>
        <rFont val="Calibri"/>
        <family val="2"/>
        <scheme val="minor"/>
      </rPr>
      <t>No reportar posibles actos de corrupción e irregularidades</t>
    </r>
  </si>
  <si>
    <t xml:space="preserve"> Falta trabajo en equipo, que beneficie el logro de objetivos y emplear de manera racional los recursos disponibles. 
Es posible que se refleje la poca participación del personal en la documentación de actividades. </t>
  </si>
  <si>
    <t xml:space="preserve">Control no adecuado de los documentos del proceso. </t>
  </si>
  <si>
    <t>Que las publicaciones impresas, audiovisuales, radiales y virtuales; internas y externas, no se entreguen ni difundan bajo los tiempos y la periodicidad con que cada una fue creada</t>
  </si>
  <si>
    <t>Falta de transferencia del conocimiento que beneficie el logro de los objetivos.</t>
  </si>
  <si>
    <t>Posibilidad que la Universidad pierda el registro calificado de los Programas Académcos en virtud del incumplimiento de los requisitos y lineamientos exigidos por el MEN o por no hacer la solicitud de renovación en los tiempos establecidos.</t>
  </si>
  <si>
    <t>Las políticas formuladas para la administración de la docencia y el aprendizaje pueden resultar ambiguas, incoherentes o confusas que dificultan su adopción y aplicación.</t>
  </si>
  <si>
    <t>No aplicar adecuadamente el reglamento estudiantil, estatuto docente, Decreto 1279 de Junio 2002 y demás acuerdos y resoluciones en la gestión académica de la Universidad.</t>
  </si>
  <si>
    <t>Los recursos, económicos, humanos y técnicos  se asignan sin tener en cuenta las necesidades y prioridades reales de los programas.</t>
  </si>
  <si>
    <t>Cuando se toman determinaciones o se planifican actividades relacionadas con el proceso de docencia, en ocasiones estas no fluyen hacia todas las personas que deben conocer y manejar la información.</t>
  </si>
  <si>
    <t>En ocasiones la información se concentra en una sola persona, asociado que es la persona encargada o quién tiene la experticia y el manejo, lo que ocasiona una concentración de información en ella, impidiendo que en su ausencia no se pueda tener acceso a dicha información o trunque otros procesos asociados a ella.</t>
  </si>
  <si>
    <t>El manejo y archivo de información en ocasiones no permite ofrecer un servicio con calidad, se archivan mal los documentos, no son faciles de acceder, no se cumplen con tiempos establecidos para dar respuestas a peticiones.</t>
  </si>
  <si>
    <t xml:space="preserve">No formular y desarrollar iniciativas que promuevan y fomenten la actividad de investigación en la Universidad. </t>
  </si>
  <si>
    <t>los objetivos, cronograma, presupuesto y resultados propuestos en el plan de acción de la Vicerrectoría de Investigación no se desarrollen de la manera propuesta.</t>
  </si>
  <si>
    <t>La información de la actividad investigativa se maneja de manera manual por lo cual es susceptible de cometer errores y puede ser alterada fácilmente.</t>
  </si>
  <si>
    <t>La comunidad universitaria puede violar derechos de propiedad intelectual de terceras partes por desconocimiento de la normatividad de esta temática.</t>
  </si>
  <si>
    <t>Establecimiento de requerimientos inexistentes que favorezcan la asignación o ejecución por una  firma, entidad, fundación o persona en particular de proyectos desarrados por la Vicerrectoría de Extensión y Proyección Social.</t>
  </si>
  <si>
    <t>Concentración de la información en una sola persona, se presenta asimetría en la información para el desarrollo de las funciones que se asignan y beneficio propio.</t>
  </si>
  <si>
    <t>Cuando los recursos asignados  no se usan para lo que fueron dispuestos.</t>
  </si>
  <si>
    <t>Abarcar funciones mas allá de las propias del cargo, desconociendo las funciones  de los demas o cuando se suplantan estas.</t>
  </si>
  <si>
    <t>Incurrir en desviaciones de la ley aplicable al proceso, por desconocimiento u omisión.</t>
  </si>
  <si>
    <t>No cumplir con las metas de cobertura establecidas en el plan de calidad de los proyectos y en las cláusulas de cumplimiento de los convenios.</t>
  </si>
  <si>
    <t>Restringida interacción de la Universidad con entidades nacionales y extranjeras para la promoción de los procesos desarrollados en las actividades de extensión y proyección social.</t>
  </si>
  <si>
    <t>No cumplimiento de los objetivos, alcances y cronogramas de los proyectos y servicios a cargo del proceso de Extensión y Proyección Social, establecidos en el plan de calidad de los proyectos y en las cláusulas de cumplimiento de los convenios.</t>
  </si>
  <si>
    <t>No aplicar la normatividad interna, externa y jursiprudencial vigente en la celebración de contratos.</t>
  </si>
  <si>
    <t>Carpetas contratuales sin los documentos que se generen en las diferentes etapas cuyo ordenador del gasto sea Rectoría</t>
  </si>
  <si>
    <t>Establecer condiciones para los distintos tipos de contratos y/o convocatorias que favorezcan a un proveedor o proponente en particular</t>
  </si>
  <si>
    <t>pago de obligaciones con documentación incompleta, errada o adulterada</t>
  </si>
  <si>
    <t>Hurto de titulos valores, fraude y adulteración de titulos.</t>
  </si>
  <si>
    <t>Documentacion y soportes sin el cumplimiento de la normatividad vigente.</t>
  </si>
  <si>
    <t>La información almacenada en los diferentes equipos y servidores puede ser vulnerada por virus o accesos no autorizados afectando  la integridad y disponibilidad de la información.</t>
  </si>
  <si>
    <t xml:space="preserve">Desconocimiento de la ética para la falcificación de documento ocasionando perjuicio a la institución. </t>
  </si>
  <si>
    <t>Hurtos y robos en el interior de la Universidad</t>
  </si>
  <si>
    <t>Impactos negativos por inadecuado manejo de residuos en su almacenamiento y disposición intermedia, temporal y central, recolección, transporte y disposición final</t>
  </si>
  <si>
    <t>Incumplimiento de las funciones,  objetivos y contribucciones del cargo por parte de los empleados de la Universidad.</t>
  </si>
  <si>
    <t>La ausencia de un Plan de Incentivos y/o Estímulos no permite ni fomenta el reconocimiento de las capacidades individuales y/o grupales de los empleados al servicio de la institución</t>
  </si>
  <si>
    <t>No sean afiliados oportunamente los empleados al Sistema de Seguridad Social Integral y los contratistas y estudiantes de práctica a la ARL</t>
  </si>
  <si>
    <t>Manejo exclusivo de información en un empleado, generando concentración de poder.</t>
  </si>
  <si>
    <t>Adotar decisiones o realizar trámites sin el cumplimiento de los requisitos del proceso</t>
  </si>
  <si>
    <t>Posibilidad de manipulación de los resultados del listado de seleccionados, para beneficiar a un  aspirante en particular.</t>
  </si>
  <si>
    <t>Posibilidad de presentarse modificaciones  o alteraciones en las notas registradas en  sistema de información, para beneficiar a un estudiante en particular.</t>
  </si>
  <si>
    <t>Los ejercicios de rendición de cuentas a la ciudadanía no cumplen con los requerimientos de la estrategia anticorrupción</t>
  </si>
  <si>
    <t>La información publicada o reportada a nivel interno o externo es alterada para beneficio propio o de terceros</t>
  </si>
  <si>
    <t xml:space="preserve">No realizar o realizar de forma inadecuada la evaluación del SCI, de conformidad con las disposiciones legales y requisitos internos de la Universidad. </t>
  </si>
  <si>
    <t xml:space="preserve">Los planes de mejoramiento institucional acordados con los entes de control (Contraloría- MEN) así como los establecidos para mejoramiento de los procesos, se realizan superficialmente y sin las verificaciones suficientes para garantizar el cumplimiento. </t>
  </si>
  <si>
    <t>Informes de auditoria, de evalución y de seguimiento que no corresponden a la realidad. Se deja de informar debilidades, hallazgos, retrazos evidenciados en el ejercicio del proceso.</t>
  </si>
  <si>
    <t>Dejar de hacer, decir o consignar situaciones que se hayan evidenciado en el ejercicio de las funciones.</t>
  </si>
  <si>
    <t>Omisión de procedimientos legal 
Falta de cualificación del personal
Ausencia de cultura ética y buen gobierno</t>
  </si>
  <si>
    <t>Trabajo conjunto con Rectoría para contratación de personal</t>
  </si>
  <si>
    <t>Actualizacion constante. Difusion de la Guia.</t>
  </si>
  <si>
    <t>Seguimiento periodico a los controles existentes en el procedimiento. Difusión del procedimiento.</t>
  </si>
  <si>
    <t>Difusion adecuada de los formatos. Recopilacion de los soportes requeridos.</t>
  </si>
  <si>
    <t>Cumplimiento de metas para  cualificación a la comunidad universitaria acordes con el plan de trabajo.</t>
  </si>
  <si>
    <t xml:space="preserve">Continuar con el seguimiento al cumplimiento de los controles existentes </t>
  </si>
  <si>
    <t>Realizar la revisión por la dirección y divulgar los resultados del informe de revisión por la alta dirección</t>
  </si>
  <si>
    <t>Fomentar el autocontrol en los tiempos de entrega al equipo de comunicaciones</t>
  </si>
  <si>
    <t>Recordar la periocidad y la entrega  oportuna de cada producto comunicativo</t>
  </si>
  <si>
    <t xml:space="preserve">1. Mejorar las estrategias de seguimiento del proceso. </t>
  </si>
  <si>
    <t>2. Automatizar tareas relacionadas con el proceso.</t>
  </si>
  <si>
    <t>1. Desarrollar capacitaciones continuas y a todo el personal que ingrese, sobre la formulación de políticas</t>
  </si>
  <si>
    <t>1. Desarrollar capacitaciones continuas y a todo el personal que ingrese, sobre la normativas internas y externas</t>
  </si>
  <si>
    <t>Implementar herramientas automatizadas para el seguimiento a los planes de mejoramiento de los programas academicos</t>
  </si>
  <si>
    <t>Monitorear las necesidades de los grupos de investigación</t>
  </si>
  <si>
    <t>Realizar seguimiento a la ejecución de las actividades programadas para investigación</t>
  </si>
  <si>
    <t>Mejorar el sistema de información SIVI</t>
  </si>
  <si>
    <t>Realizar Seguimiento al plan de acción</t>
  </si>
  <si>
    <t>hacer seguimiento a las tareas y compromisos adquiridos</t>
  </si>
  <si>
    <t>Realizar seguimiento a la publicaciones de boletines</t>
  </si>
  <si>
    <t>Auto evaluación de los procesos.</t>
  </si>
  <si>
    <t>Seguir ejecutando y monitoreando los controles existentes.</t>
  </si>
  <si>
    <t>Seguir ejecutando y monitoreando los controles existentes</t>
  </si>
  <si>
    <t>Documento analisis de estado de la seguridad y falencias existentes.</t>
  </si>
  <si>
    <t>Gestionar compra de PDA, construccion de la sala de monitoreo y contratacion de responsable de monitoreo.</t>
  </si>
  <si>
    <t>Seguimiento de PGIR</t>
  </si>
  <si>
    <t>Adquirir y aplicar herramientas para evaluar las competencias laborales de los servidores públicos.</t>
  </si>
  <si>
    <t>Elaboración y ejecución de un programa detallado de Inducción y/o 
Reinduccion.</t>
  </si>
  <si>
    <t>Elaborar y presentar propuesta del programas de incentivos y bienestar laboral</t>
  </si>
  <si>
    <t>Elaboración y aprobación del procedimiento de Seguridad Social</t>
  </si>
  <si>
    <t xml:space="preserve">Asistencia a capacitaciones (transparencia, buen gobierno, etc) organizadas por Rectoría, Talento Humano y/o contratación. </t>
  </si>
  <si>
    <t>Cumplimiento de metas acordes con el plan de trabajo.</t>
  </si>
  <si>
    <t>Mejorar la selección del personal para que su permanencia sea mayor en el desarrollo de su cargo.</t>
  </si>
  <si>
    <t>Desarrollar talleres de trabajo en equipo y gestión del conocimiento</t>
  </si>
  <si>
    <t>Desarrollar talleres gestión documental</t>
  </si>
  <si>
    <t>Desarrollo e Implementación del Sistema de Información de la Vicerrectoría de investigación</t>
  </si>
  <si>
    <t>Programa de capacitación en Propiedad Intelectual</t>
  </si>
  <si>
    <t>Aprobación del Reglamento de PI</t>
  </si>
  <si>
    <t>Implementación de sistema de información</t>
  </si>
  <si>
    <t>Socialización de los resultados de las actividades realizadas y por realizar.</t>
  </si>
  <si>
    <t>Divulgación de los resultados de los proyectos</t>
  </si>
  <si>
    <t>Establecer mecanismos eficientes de control.</t>
  </si>
  <si>
    <t>Solicitud de asesoría legal suficiente.</t>
  </si>
  <si>
    <t>Verificación de los requisitos legales, contables, tributarios y administrativos</t>
  </si>
  <si>
    <t>Verificar los títulos valores custodiados.</t>
  </si>
  <si>
    <t>Realizar reuniones con equipo financiero para unificación de criterios</t>
  </si>
  <si>
    <t>Contratar la seguridad gestionada a través de firewall perimetral</t>
  </si>
  <si>
    <t>Documentar los controles existentes</t>
  </si>
  <si>
    <t>Realización de un Plan de Manejo y uso de la Información Institucional</t>
  </si>
  <si>
    <t xml:space="preserve">Seguir ejecutando y monitoreando los controles existentes </t>
  </si>
  <si>
    <t>Revisión y actualización de los procedimientos de la Gestión del Talento Humano</t>
  </si>
  <si>
    <t>Revisión y actualización el Normograma y los procedimientos de la Gestión del Talento Humano</t>
  </si>
  <si>
    <t>Capacitación del personal en temas relacionados con la rendición de cuentas</t>
  </si>
  <si>
    <t>Planeación, ejecución y evaluación de audiencias públicas de rendición de cuentas</t>
  </si>
  <si>
    <t>Implementación de auditorías internas de información</t>
  </si>
  <si>
    <t>Diseño e implementación de un sistema de información para la gestión de Indicadores</t>
  </si>
  <si>
    <t>Estrategia para masificar el uso y conocimiento del sitio Web de Transparencia y Acceso a Ia Información Pública</t>
  </si>
  <si>
    <t>Comunicación Interna/correo Electronico</t>
  </si>
  <si>
    <t>Correos enviados</t>
  </si>
  <si>
    <t xml:space="preserve">Correo Electronico y asistencia personalizada </t>
  </si>
  <si>
    <t>Actas o listas de asistencia</t>
  </si>
  <si>
    <t>Registro de asistencia revisión por la Dirección</t>
  </si>
  <si>
    <t xml:space="preserve">comunicaciones </t>
  </si>
  <si>
    <t>Documento con las estrategía</t>
  </si>
  <si>
    <t>Herramienta de automatización</t>
  </si>
  <si>
    <t>Actas de asistencia a capacitación</t>
  </si>
  <si>
    <t>Grupos que reciben financiación para personal, insumos, infraestructura, mobiliario y equipos (SIVI)</t>
  </si>
  <si>
    <t xml:space="preserve">Actas de seguimiento a Proyectos del Plan de Acción (DE-F08) </t>
  </si>
  <si>
    <t>Control de recursos e indicadores del Plan de acción en el SIVI</t>
  </si>
  <si>
    <t>Boletines de la VDI</t>
  </si>
  <si>
    <t>Informes</t>
  </si>
  <si>
    <t>Documento analisis</t>
  </si>
  <si>
    <t>PDA, sala de monitoreo</t>
  </si>
  <si>
    <t>Informe de gestión</t>
  </si>
  <si>
    <t xml:space="preserve">Adquisición y aplicación de herramientas de evaluación por competencias / Informe Resultados </t>
  </si>
  <si>
    <t>Informes de Inducción y Reinducción de los empleados</t>
  </si>
  <si>
    <t>Propuesta del Programa de Incentivos y Bienestar Laboral</t>
  </si>
  <si>
    <t>Procedimiento de Seguridad Social aprobado y publicado en COGUI</t>
  </si>
  <si>
    <t xml:space="preserve">Asistencia </t>
  </si>
  <si>
    <t>Revisión de procesos de selección de personal</t>
  </si>
  <si>
    <t>Acta de realización de talleres</t>
  </si>
  <si>
    <t>Actas de entrega de claves a usuarios</t>
  </si>
  <si>
    <t>Capacitaciones realizadas en Prop. Intelectual</t>
  </si>
  <si>
    <t>Reglamento de PI enviado a Jurídica para revisión</t>
  </si>
  <si>
    <t>Comunicados y registros</t>
  </si>
  <si>
    <t>Informes
Encuestas de satisfacción del usuario</t>
  </si>
  <si>
    <t>Ordenes de Pago con los respectivos soportes</t>
  </si>
  <si>
    <t>Arqueo Titulos valores de la caja fuerte</t>
  </si>
  <si>
    <t>Actas de reunion trimestral</t>
  </si>
  <si>
    <t>Contrato</t>
  </si>
  <si>
    <t>Controles documentados</t>
  </si>
  <si>
    <t>Plan</t>
  </si>
  <si>
    <t>Procedimientos actualizados</t>
  </si>
  <si>
    <t>Normograma actualizado</t>
  </si>
  <si>
    <t>Capacitación en rendición de cuentas</t>
  </si>
  <si>
    <t>Calendario Audiencia Pública de Rendición de Cuentas 2016 (Rector y Facultades)</t>
  </si>
  <si>
    <t>Informe de auditoría</t>
  </si>
  <si>
    <t>Sistema de Información de indicadores para la toma de decisiones</t>
  </si>
  <si>
    <t>Diseño e implementación de estrategia publicitaria del sitio Web</t>
  </si>
  <si>
    <t>Envío de correo electronico a dependencias, Programas, docentes, etc con información pertinente el día 01 de febrero de 2016</t>
  </si>
  <si>
    <t>Se les asesoró personalmente y vía correo electronico a las personas que nos contactaron con el fin de registrar movilidad internacional saliente con todos los soportes pertinentes</t>
  </si>
  <si>
    <t>1. El 25 de mayo se realizará una sesión de resocialización - Retroalimentación del PEI. con Directivos.
- El 3 de junio se llevará cabo el taller con el CNA - Ministerio de Educación Nacional y los Directivos de la Institución</t>
  </si>
  <si>
    <t>1. Se adjunta lista de asistencia seguimiento y revisión de informes de autoevaluación de programas (anexo 1)</t>
  </si>
  <si>
    <t>El 07 de marzo se llevó a cabo la reunión de revisión del Sistema de Gestión de la Calidad por la Alta Dirección a corte del año 2015</t>
  </si>
  <si>
    <t>En esta acción, aún no se ha realizado ningún avance y está previsto realizar acciones a partir del mes de mayo. (tomado de correo: mié 27/04/2016 6:17 p.m.)</t>
  </si>
  <si>
    <t xml:space="preserve">Correo electrónico enviado por el Director de Comunicaciones al equipo de trabajo. </t>
  </si>
  <si>
    <t>Contratación de los asistentes de apoyo a grupo para diligenciamiento de GrupLAC y organización de documentación para la Conv. 737 de 2015 de Colciencias y Fonciencias 2015 - 2017.
Vinculación ayudantes de Investigación.
Contratación personal para grupos.
Suscripción base de datos ELSEVIER.</t>
  </si>
  <si>
    <t>Desde el mes de Enero se inició el desarrollo de los proyectos y programas previstos en el Plan de Acción.</t>
  </si>
  <si>
    <t>Control de pagos de ordenes.
Alertas a las ordenes a punto de vencerse y vencidas.</t>
  </si>
  <si>
    <t>En los documentos que se elaboran se está registrando el avance en los indicadores.</t>
  </si>
  <si>
    <t xml:space="preserve">Se encuentra en diagramación el primer boletín del año. </t>
  </si>
  <si>
    <t>se siguen ejecutando los controles existentes.</t>
  </si>
  <si>
    <t>Detección de falencias y puntos de mejora en el sistema de seguridad</t>
  </si>
  <si>
    <t>1. Divulgación de programas y actividades del PGIR (Aseo y Téc. de Lab.)
2. Establecimiento de horario y frecuencia de recolección por tipos de residuos.
3. Acondicionamiento, mantenimiento y limpieza de dispositivos de almacenamiento intermedio y temporal.
4. Visitas de inspección (Int. y Ext.).</t>
  </si>
  <si>
    <t xml:space="preserve">Solicitud de propuestas de instrumentos de valoración por competencias.
Acta de Revisión y análisis inicial, de la pertinencia de las propuestas recibidas </t>
  </si>
  <si>
    <t>Revisión borrador de programa de inducción formulado, valorando la pertinencia del flujo y los formatos que actualmente se están aplicando</t>
  </si>
  <si>
    <t>Revisión borrador del programa de bienestar formulado. Análisis del alcance de los beneficios a proponer para valoración y aprobación de  la Administración.</t>
  </si>
  <si>
    <t xml:space="preserve">La actualización y levantamiento de Procedimientos está asociado al cronograma general de la Universidad para la implementación de ISO 9000:2015, el cual contempla actvidades, entre otras, de planeación, socialización, revisión, formulación y aprobación </t>
  </si>
  <si>
    <t>Asistencia de 1 funcionario de la ORI a la Charla por parte de Talento Humano en cuanto a Transparencia y Buen Gobierno.</t>
  </si>
  <si>
    <t>A través de ayudantías se ha apoyado la tarea para la organización documental de la OAC, sin embargo con respecto al acervo documental para la construcción de documentos maestro e informes de autoevaluación se tiene planeado una reunión con las dependencias.</t>
  </si>
  <si>
    <t xml:space="preserve">Se está en proceso de realizar las actas de entrega de claves. </t>
  </si>
  <si>
    <t>En abril se realizaron 2 capacitaciones; una dirigida a los abogados de la Universidad de 12 horas y una dirigida a toda la Comunidad Universitaria.</t>
  </si>
  <si>
    <t xml:space="preserve">El reglamento ya fue visado por la oficina jurídica. Está a la espera de la revisión y aprobación de Rectoría. </t>
  </si>
  <si>
    <t>se dio inicio a el acompañamiento para el diseño del sistema de información.</t>
  </si>
  <si>
    <t>los informes de los resultados de las actividades son socilizadas, ejemplo de ello fue la socialización del resultado de la ultima auditoria de icontec.</t>
  </si>
  <si>
    <t>Se realizan, ejemplo de ello fue la socialización resultados ultima auditoria icontec.</t>
  </si>
  <si>
    <t>Este función la cumple a cabalidad la asesora juridica dela  vice-extensión y proyección social.</t>
  </si>
  <si>
    <t xml:space="preserve">Verificar que las ordenes de pagos presenten cada uno d elos requisitos legales, contables y administrativos soportados. </t>
  </si>
  <si>
    <t>Verificación de los titulos valores expedidos por cada una de las cuentas que no hallan sido retirados y confrontados con las conciliaciones bancarias.</t>
  </si>
  <si>
    <t>se realizaron reuniones correspondiente al primer trimestre de 2016 con el animo de  consolidar informes .</t>
  </si>
  <si>
    <t>Se solicitó la actualización del normograma el 30/03/2016.
Con apoyo de estudiante de prácticas se está revisando los Acuerdos Superiores y normas externas aplicables al proceso.</t>
  </si>
  <si>
    <t>Adopción de la audiencia pública de rendición de cuentas 2016 y publicación del reglamento.
Apertura del espacio en la Web para consulta de temas prioritarios y presentación de inquietudes.</t>
  </si>
  <si>
    <t>Se recibieron 67 solicitudes de asistencia y se evidencio asesoria a la totalidad de solicitudes</t>
  </si>
  <si>
    <t>No se evidencio actas de seguimiento</t>
  </si>
  <si>
    <t>No se evidencio informe</t>
  </si>
  <si>
    <t>Si bien se vienen detectando las falencias y puntos de mejora no se evidencio documento analisis</t>
  </si>
  <si>
    <t>Si bien se han realizado diferentes actividades, no se encuentra construido el informe de gestión</t>
  </si>
  <si>
    <t>Si bien se han desarrollado actividades no se encuentran construidos los entregables</t>
  </si>
  <si>
    <t>Si bien se han desarrollado actividades no se encuentra construido el entregable</t>
  </si>
  <si>
    <t>Si bien se han desarrollado actividades no se evidencio el entregable</t>
  </si>
  <si>
    <t xml:space="preserve">En el SIVI se han implementado las siguientes mejoras: 
Control de pagos de ordenes.
Alertas a las ordenes a punto de vencerse y vencidas.
Reprogramación del módulo de movilidad
</t>
  </si>
  <si>
    <t>Contratación asistentes de apoyo, ayudantes y suscripción ELSEVIER</t>
  </si>
  <si>
    <t>Desarrollo de proyectos y programas previstos en el plan de acción</t>
  </si>
  <si>
    <t>Control de pagos y alertas de ordenes. Reprogramación del modulo de movilidad</t>
  </si>
  <si>
    <t xml:space="preserve">En el sistema de INVERSIÓN de Planeación se está llevando el seguimiento al PAI.  </t>
  </si>
  <si>
    <t>Se han realizado 2 boletínes a la fecha.</t>
  </si>
  <si>
    <t>En proceso de recolección de actas de entrega de claves por los profesores</t>
  </si>
  <si>
    <t>Dos capacitaciones, dirigida a abogados de la universidad y a la comunidad en general</t>
  </si>
  <si>
    <t>Aprobada revisión por juridica. En revisión y aprobación por Rectoria</t>
  </si>
  <si>
    <t xml:space="preserve">Se está en proceso de recolectar las actas de entrega de claves firmadas por los profesores. </t>
  </si>
  <si>
    <t>Se dio inicio a la construcción del modulo de diseño y desarrollo de proyctos</t>
  </si>
  <si>
    <t xml:space="preserve">Los informes son socializados </t>
  </si>
  <si>
    <t>Se realizan encuestas de satisfacción</t>
  </si>
  <si>
    <t>Se siguen ejecutando los controles</t>
  </si>
  <si>
    <t>Existe acompañamiento y asesoramiento jurídico</t>
  </si>
  <si>
    <t>se dio inicio a la construcción del modulo   para el diseño y desarrollo de proyectos de extensión y proyección  social</t>
  </si>
  <si>
    <t xml:space="preserve">Entró en funcionamiento el sistema de control de acceso. </t>
  </si>
  <si>
    <t>Funcionamiento del sistema de control de acceso</t>
  </si>
  <si>
    <t>1.Capacitación en Segregación de Residuos.
2.Capacitación en Movimiento Interno de Residuos.
3.Instalación de dispositivos de baterías, envases de fármacos, fármacos parcialmente utilizados y/o vencidos.
4.Concesión de recolección de residuos aprovechables a cooperativas de reciclaje.</t>
  </si>
  <si>
    <t>Realización de 2 capacitaciones, instalación de dispositivos y concesión de recoleccion de residuos</t>
  </si>
  <si>
    <t>El cumplimiento de la meta fue informado en primer seguimiento</t>
  </si>
  <si>
    <t>Se cumplio con la actividad definida tal como se informo en primer seguimiento</t>
  </si>
  <si>
    <t>Verificación de ordenes de pago con requisitos legales, contables y administrativos</t>
  </si>
  <si>
    <t>Verificar titulos valores de las cuentas no retiradas y confrontarlo con conciliaciones bancarias</t>
  </si>
  <si>
    <t>se realizaron reuniones correspondiente al Segundo Cuatrimestre de 2016 con el animo de  consolidar informes .</t>
  </si>
  <si>
    <t>Reuniones correpondiente al segundo cuatrimestre con el animo de consolidar informes</t>
  </si>
  <si>
    <t>Las propuestas presentadas fueron evaluadas y ante el no cumplimiento de los lineamientos del PEI, se requerirán nuevas propuestas a la Universidad Nacional y CESA de Medellín, quienes tienen experiencia sobre la metodología assessment center.</t>
  </si>
  <si>
    <t xml:space="preserve">Se está ejecuntando la inducción a traves del documento Programa de Inducción y Reiducción de la Universidad del Magdalena. Se definió una dinamica de aprendizaje para el programa de reinducción </t>
  </si>
  <si>
    <t>Ante el no cumplimiento de los lineamiento PEI, se requeriran nuevas propuestas a UNAL y CESA</t>
  </si>
  <si>
    <t>Se definio una dinamica de aprendizaje para el programa de reinducción</t>
  </si>
  <si>
    <t>Está elaborado el documento del Plan de Incentivos, revisado por el acesor externo , y  se están realizando los ajustes recomendados. La Dirección de Talento Humanjo en coordinación con Bienestar Universitario realizan actividades de bienestar y salud laboral.</t>
  </si>
  <si>
    <t>Se estan realizando ajustes recomendados por asesor externo</t>
  </si>
  <si>
    <t xml:space="preserve">Se programaron para el mes de septiembre de 2016 jornadas de trabajo con la practicante de Gestión de la Calidad.  </t>
  </si>
  <si>
    <t xml:space="preserve">Se programaron para el mes de septiembre jordanas de trabajo </t>
  </si>
  <si>
    <t>Se está generando la identificación y caractrización actualizada de los Procedimientos de la Dirección dee Talento Humano, para su revisión inicial y validación con el equipo de Gestión de Calidad.</t>
  </si>
  <si>
    <t>Se encuentran en proceso de revision inicial y validacion</t>
  </si>
  <si>
    <t xml:space="preserve">Se solicitó una actualización con corte a 30/03/2016.
</t>
  </si>
  <si>
    <t>No se han iniciado actividades</t>
  </si>
  <si>
    <t>1
2</t>
  </si>
  <si>
    <t>Se realizó la audiencia pública de rendición de cuentas 2016 del Rector.
Se han realizado las audiencias de dos facultades (Ciencias Básicas y Ciencias de la Salud)</t>
  </si>
  <si>
    <t>Audiencias de rendición de cuentas de Rectoria, Fac ciencias basicas y Fac ciencias de la salud</t>
  </si>
  <si>
    <t>Se reprograma la fecha de cumplimiento de la actividad, debido a la implementación del nuevo SNIES.</t>
  </si>
  <si>
    <t>Se está articulando la ejecución del proyecto con los nuevos lineamientos de actualización de la norma ISO 9001:2015, en lo relacionado con la gestión de indicadores.</t>
  </si>
  <si>
    <t>Requiere actualización de mapa del proceso y socialización para poder reprogramar las fechas</t>
  </si>
  <si>
    <t>Se encuentran en proceso de articulacion de ejecución de proyecto con lineamientos ISO</t>
  </si>
  <si>
    <t>No se ha realizado petición formal en lo que va del año 2016</t>
  </si>
  <si>
    <t>Reuniones internas para revisión de procesos de selección de personal</t>
  </si>
  <si>
    <t>Reuniones internas del grupo de trabajo de la vicerrectoria para mejorar procesos internos</t>
  </si>
  <si>
    <t>Reuniones internas para revisión de procesos de gestión documental</t>
  </si>
  <si>
    <t xml:space="preserve">En esta etapa se ha realizado un análisis preliminar desde la vicerrectoria Académica sobre las causas que ocasionan las perdidas de los registros calificados de los programas. Revisando los procesos internos que regulan ela adquisición y permanencia de los registros calificados. </t>
  </si>
  <si>
    <t>Analisis preliminar sobre las causas que ocasionan la perdida de los registros</t>
  </si>
  <si>
    <t>Inducciones a docentes nuevos, reuniones con decanos para organización y desarrollo de convocatorias docentes, reuniones con decanos para organización de carga académica</t>
  </si>
  <si>
    <t>Inducción a docentes nuevos, reuniones con decanos</t>
  </si>
  <si>
    <t>Análisis desde la vicerrectoria académica para revisar las necesidades de los programas académicos</t>
  </si>
  <si>
    <t>Analisis para revisar las necesidades de programas academicos</t>
  </si>
  <si>
    <t>Propuesta de actualización de la política enviada al rector para su valoración (Enviado el: miércoles, 09 de marzo de 2016 06:42 p.m. al correo de rectoría)</t>
  </si>
  <si>
    <t>Enviado por correo electronico la propuesta y se encuentra en revisión por el rector</t>
  </si>
  <si>
    <t>Correo electrónico enviado por el Director de Comunicaciones al equipo de trabajo sobre nueva asignación de fuentes y ajustes de acciones</t>
  </si>
  <si>
    <t>Correo enviado al equipo de trabajo sobre asignación de fuentes y ajustes de acciones</t>
  </si>
  <si>
    <t>Correo enviado al equipo de trabajo</t>
  </si>
  <si>
    <t>No hay avance</t>
  </si>
  <si>
    <t>Guía disponible en el Sistema  formato TI-G04 y procedimiento  TI- P08</t>
  </si>
  <si>
    <t>No se evidencio avance</t>
  </si>
  <si>
    <t>se realizo la vinculación en provision de personal en la planta</t>
  </si>
  <si>
    <t>no se obtuvo mayor avance</t>
  </si>
  <si>
    <t>Se perdio un registro calificado materializandose el riesgo, debido que no se  mejoró el seguimiento</t>
  </si>
  <si>
    <t>se realizaron 3 boletines.</t>
  </si>
  <si>
    <t xml:space="preserve">*Lectura de los siguientes informes: Cine y Audiovisuales, Antropología, Enfermería, Ingeniería Pesquera, para solicitud de renovación de acreditación y Lienciatura en Preescolar y Licenciatura en Informática para nuevas acreditaciones
* Talleres de Cualificación: 25 enero de 2016 con directores y decanos, Taller con delegado del CNA 3 junio 2016 </t>
  </si>
  <si>
    <t>Correo enviado al equipo de trabajo sobre asignación de tareas</t>
  </si>
  <si>
    <t>No se ejecuto esta accion al 100% pero se replntea para la actualizacion del mapa de riesgo 2017</t>
  </si>
  <si>
    <t>1. Adquisición de carros recolectores para la segregación y movimiento interno de residuos.
2. Adquisición de congelador para almacenamiento central de residuos peligrosos.</t>
  </si>
  <si>
    <t>Carros recolector segregación y movo interno y congelador de almacenamiento central de respeligrosos</t>
  </si>
  <si>
    <t>Se recibio por parte del CESA, la propuesta de Evaluación por Competencias a traves de una Assenmencenter y la Valoración de las funciones básicas y esenciales de acuerdo al Manual de Funciones. Se elaboró y  presentó  una  propuesta de Prueba de 360 grados, para evaluación de desempeño Docente de periodo de prueba, las cuales fueron presentadas para revisión y estudio de la alta dirección.</t>
  </si>
  <si>
    <t>El proyecto de programa de Inducción y Reinducción elaborado, se está replanteando, en consideración a los lineamientos de gestión de la actual administración. Durante el año se realizaron  las inducciónes  a los funcionarios vinculados a la planta de la universidad.</t>
  </si>
  <si>
    <t>Actividades informadas</t>
  </si>
  <si>
    <t>El proyecto del documento del Plan de Bienestar, se esta replanteando, en consideración a los lineamientos de gestión de la actual administración.</t>
  </si>
  <si>
    <t>El documento se esta replanteando de acuerdo a los lineamientos de la nueva administración</t>
  </si>
  <si>
    <t>Se realizaron jornadas de trabajo de revisión de normatividad en materia de Seguridad Social y análisis de las actividades que actualmente se ejecutan.</t>
  </si>
  <si>
    <t xml:space="preserve">No se logro mayor avance </t>
  </si>
  <si>
    <t>No se logro mayor avance</t>
  </si>
  <si>
    <t xml:space="preserve">Se implementó en el Sistema de Información SIVI un anuncio a través del cual los investigadores asumian los compromisos de acceso al SIVI. </t>
  </si>
  <si>
    <t xml:space="preserve">Se realizaron 5 capacitaciones en el año 2016. 2 en el primer semestre y 3 en el segundo semestre. </t>
  </si>
  <si>
    <t>No se logro mayor avance pero se plantea para 2017</t>
  </si>
  <si>
    <t>se han hecho seguimiento y monitoreo permanente</t>
  </si>
  <si>
    <t>se han hecho las divulgaciones y se han aplicado los instrumentos de evaluacion pertinentes</t>
  </si>
  <si>
    <t xml:space="preserve">se han socializacion de roles y responsabilidades </t>
  </si>
  <si>
    <t>se  han establecidos acompañamiento a traves de personal del area juridica (Abogados)</t>
  </si>
  <si>
    <t xml:space="preserve">Verificar que las ordenes de pagos presenten cada uno de los requisitos legales, contables y administrativos soportados. </t>
  </si>
  <si>
    <t>Se realizaron reuniones correspondiente al Segundo Cuatrimestre de 2016 con el animo de  consolidar informes .</t>
  </si>
  <si>
    <t>No se presento avance</t>
  </si>
  <si>
    <t>Jornadas de revisión de los procedimientos asociados a normatividad y actividades en materia de Seguridad Social, Seguridad y Salud en el Trabajo, vinculación.</t>
  </si>
  <si>
    <t>La actividad quedó aplazada para la vigencia 2017</t>
  </si>
  <si>
    <t>2
3</t>
  </si>
  <si>
    <t>El Rector realizó audiencia pública de rendición de cuentas del año 2016 y del periodo 2012-2016. Así mismo se desarrollaron las audiencias de tres facultades (Humanidades, Ciencias Básicas y Ciencias de la Salud)</t>
  </si>
  <si>
    <t>Esta actividad se elimina por nuevas directrices institucionales</t>
  </si>
  <si>
    <t>Se está en proceso de estudio de alternativas de solución, para la implementación de un modelo de evaluación de la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</si>
</sst>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mm/dd/"/>
    <numFmt numFmtId="165" formatCode="0.0"/>
    <numFmt numFmtId="166" formatCode="0.0%"/>
    <numFmt numFmtId="167" formatCode="_(* #,##0_);_(* \(#,##0\);_(* &quot;-&quot;??_);_(@_)"/>
    <numFmt numFmtId="168" formatCode="_(* #,##0.0_);_(* \(#,##0.0\);_(* &quot;-&quot;??_);_(@_)"/>
  </numFmts>
  <fonts count="9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Arial"/>
      <family val="2"/>
    </font>
    <font>
      <u/>
      <sz val="12"/>
      <color indexed="12"/>
      <name val="Arial"/>
      <family val="2"/>
    </font>
    <font>
      <sz val="12"/>
      <name val="Arial"/>
      <family val="2"/>
    </font>
    <font>
      <sz val="11"/>
      <color indexed="8"/>
      <name val="Calibri"/>
      <family val="2"/>
    </font>
    <font>
      <sz val="12"/>
      <name val="Calibri"/>
      <family val="2"/>
    </font>
    <font>
      <sz val="11"/>
      <color indexed="8"/>
      <name val="Calibri"/>
      <family val="2"/>
    </font>
    <font>
      <b/>
      <sz val="12"/>
      <name val="Calibri"/>
      <family val="2"/>
    </font>
    <font>
      <b/>
      <sz val="12"/>
      <color indexed="9"/>
      <name val="Calibri"/>
      <family val="2"/>
    </font>
    <font>
      <u/>
      <sz val="12"/>
      <color indexed="12"/>
      <name val="Arial"/>
      <family val="2"/>
    </font>
    <font>
      <b/>
      <sz val="12"/>
      <color indexed="81"/>
      <name val="Calibri"/>
      <family val="2"/>
    </font>
    <font>
      <sz val="12"/>
      <color indexed="81"/>
      <name val="Calibri"/>
      <family val="2"/>
    </font>
    <font>
      <b/>
      <sz val="12"/>
      <name val="Arial"/>
      <family val="2"/>
    </font>
    <font>
      <b/>
      <i/>
      <sz val="12"/>
      <color indexed="81"/>
      <name val="Calibri"/>
      <family val="2"/>
    </font>
    <font>
      <b/>
      <sz val="12"/>
      <color indexed="62"/>
      <name val="Arial"/>
      <family val="2"/>
    </font>
    <font>
      <sz val="14"/>
      <color indexed="81"/>
      <name val="Tahoma"/>
      <family val="2"/>
    </font>
    <font>
      <b/>
      <sz val="12"/>
      <color indexed="81"/>
      <name val="Tahoma"/>
      <family val="2"/>
    </font>
    <font>
      <sz val="12"/>
      <color indexed="81"/>
      <name val="Tahoma"/>
      <family val="2"/>
    </font>
    <font>
      <sz val="11"/>
      <color theme="1"/>
      <name val="Calibri"/>
      <family val="2"/>
      <scheme val="minor"/>
    </font>
    <font>
      <sz val="11"/>
      <color theme="0"/>
      <name val="Calibri"/>
      <family val="2"/>
      <scheme val="minor"/>
    </font>
    <font>
      <sz val="12"/>
      <name val="Calibri"/>
      <family val="2"/>
      <scheme val="minor"/>
    </font>
    <font>
      <b/>
      <sz val="12"/>
      <name val="Calibri"/>
      <family val="2"/>
      <scheme val="minor"/>
    </font>
    <font>
      <b/>
      <sz val="10"/>
      <name val="Calibri"/>
      <family val="2"/>
      <scheme val="minor"/>
    </font>
    <font>
      <sz val="12"/>
      <color indexed="10"/>
      <name val="Calibri"/>
      <family val="2"/>
      <scheme val="minor"/>
    </font>
    <font>
      <b/>
      <sz val="11"/>
      <color theme="1"/>
      <name val="Calibri"/>
      <family val="2"/>
      <scheme val="minor"/>
    </font>
    <font>
      <b/>
      <sz val="12"/>
      <color indexed="9"/>
      <name val="Calibri"/>
      <family val="2"/>
      <scheme val="minor"/>
    </font>
    <font>
      <b/>
      <sz val="10"/>
      <color theme="1"/>
      <name val="Calibri"/>
      <family val="2"/>
      <scheme val="minor"/>
    </font>
    <font>
      <sz val="9"/>
      <name val="Calibri"/>
      <family val="2"/>
      <scheme val="minor"/>
    </font>
    <font>
      <sz val="12"/>
      <color rgb="FFE7EEF5"/>
      <name val="Arial"/>
      <family val="2"/>
    </font>
    <font>
      <sz val="12"/>
      <color theme="0"/>
      <name val="Calibri"/>
      <family val="2"/>
      <scheme val="minor"/>
    </font>
    <font>
      <b/>
      <sz val="11"/>
      <name val="Calibri"/>
      <family val="2"/>
      <scheme val="minor"/>
    </font>
    <font>
      <b/>
      <sz val="9"/>
      <color theme="1"/>
      <name val="Calibri"/>
      <family val="2"/>
      <scheme val="minor"/>
    </font>
    <font>
      <sz val="10"/>
      <name val="Calibri"/>
      <family val="2"/>
      <scheme val="minor"/>
    </font>
    <font>
      <b/>
      <sz val="12"/>
      <color rgb="FF333399"/>
      <name val="Arial"/>
      <family val="2"/>
    </font>
    <font>
      <sz val="12"/>
      <color rgb="FF333399"/>
      <name val="Calibri"/>
      <family val="2"/>
    </font>
    <font>
      <sz val="12"/>
      <name val="Arial"/>
      <family val="2"/>
    </font>
    <font>
      <b/>
      <sz val="12"/>
      <color rgb="FF333399"/>
      <name val="Calibri"/>
      <family val="2"/>
      <scheme val="minor"/>
    </font>
    <font>
      <b/>
      <sz val="10"/>
      <color rgb="FF333399"/>
      <name val="Calibri"/>
      <family val="2"/>
      <scheme val="minor"/>
    </font>
    <font>
      <b/>
      <sz val="9"/>
      <name val="Calibri"/>
      <family val="2"/>
      <scheme val="minor"/>
    </font>
    <font>
      <b/>
      <sz val="8"/>
      <name val="Calibri"/>
      <family val="2"/>
      <scheme val="minor"/>
    </font>
    <font>
      <b/>
      <sz val="11"/>
      <color rgb="FF333399"/>
      <name val="Calibri"/>
      <family val="2"/>
      <scheme val="minor"/>
    </font>
    <font>
      <b/>
      <sz val="8"/>
      <color rgb="FF333399"/>
      <name val="Calibri"/>
      <family val="2"/>
      <scheme val="minor"/>
    </font>
    <font>
      <b/>
      <sz val="13"/>
      <color theme="1"/>
      <name val="Calibri"/>
      <family val="2"/>
      <scheme val="minor"/>
    </font>
    <font>
      <sz val="11"/>
      <name val="Calibri"/>
      <family val="2"/>
      <scheme val="minor"/>
    </font>
    <font>
      <sz val="8"/>
      <color rgb="FF333399"/>
      <name val="Calibri"/>
      <family val="2"/>
      <scheme val="minor"/>
    </font>
    <font>
      <sz val="12"/>
      <color rgb="FFFF0000"/>
      <name val="Calibri"/>
      <family val="2"/>
    </font>
    <font>
      <b/>
      <sz val="12"/>
      <color rgb="FFFF0000"/>
      <name val="Calibri"/>
      <family val="2"/>
    </font>
    <font>
      <sz val="9"/>
      <name val="Arial"/>
      <family val="2"/>
    </font>
    <font>
      <sz val="11"/>
      <color rgb="FF9C6500"/>
      <name val="Calibri"/>
      <family val="2"/>
      <scheme val="minor"/>
    </font>
    <font>
      <sz val="11"/>
      <color rgb="FFFA7D00"/>
      <name val="Calibri"/>
      <family val="2"/>
      <scheme val="minor"/>
    </font>
    <font>
      <u/>
      <sz val="12"/>
      <color indexed="12"/>
      <name val="Calibri"/>
      <family val="2"/>
      <scheme val="minor"/>
    </font>
    <font>
      <b/>
      <sz val="8"/>
      <name val="Arial"/>
      <family val="2"/>
    </font>
    <font>
      <b/>
      <sz val="8"/>
      <color theme="4" tint="-0.249977111117893"/>
      <name val="Arial"/>
      <family val="2"/>
    </font>
    <font>
      <b/>
      <sz val="9"/>
      <color rgb="FF333399"/>
      <name val="Calibri"/>
      <family val="2"/>
      <scheme val="minor"/>
    </font>
    <font>
      <b/>
      <sz val="11"/>
      <color rgb="FF3F3F3F"/>
      <name val="Calibri"/>
      <family val="2"/>
      <scheme val="minor"/>
    </font>
    <font>
      <b/>
      <sz val="10"/>
      <color rgb="FF3F3F3F"/>
      <name val="Calibri"/>
      <family val="2"/>
      <scheme val="minor"/>
    </font>
    <font>
      <b/>
      <sz val="12"/>
      <color theme="1"/>
      <name val="Calibri"/>
      <family val="2"/>
      <scheme val="minor"/>
    </font>
    <font>
      <b/>
      <sz val="10"/>
      <color theme="5" tint="-0.249977111117893"/>
      <name val="Calibri"/>
      <family val="2"/>
      <scheme val="minor"/>
    </font>
    <font>
      <b/>
      <sz val="10"/>
      <color theme="6" tint="-0.499984740745262"/>
      <name val="Calibri"/>
      <family val="2"/>
      <scheme val="minor"/>
    </font>
    <font>
      <b/>
      <sz val="10"/>
      <color theme="9" tint="-0.249977111117893"/>
      <name val="Calibri"/>
      <family val="2"/>
      <scheme val="minor"/>
    </font>
    <font>
      <b/>
      <sz val="10"/>
      <color rgb="FFC0BC00"/>
      <name val="Calibri"/>
      <family val="2"/>
      <scheme val="minor"/>
    </font>
    <font>
      <b/>
      <sz val="10"/>
      <color theme="5" tint="-0.499984740745262"/>
      <name val="Calibri"/>
      <family val="2"/>
      <scheme val="minor"/>
    </font>
    <font>
      <b/>
      <sz val="12"/>
      <color theme="6" tint="-0.499984740745262"/>
      <name val="Calibri"/>
      <family val="2"/>
      <scheme val="minor"/>
    </font>
    <font>
      <b/>
      <sz val="12"/>
      <color rgb="FFC0BC00"/>
      <name val="Calibri"/>
      <family val="2"/>
      <scheme val="minor"/>
    </font>
    <font>
      <b/>
      <sz val="12"/>
      <color theme="9" tint="-0.249977111117893"/>
      <name val="Calibri"/>
      <family val="2"/>
      <scheme val="minor"/>
    </font>
    <font>
      <b/>
      <sz val="12"/>
      <color theme="5" tint="-0.499984740745262"/>
      <name val="Calibri"/>
      <family val="2"/>
      <scheme val="minor"/>
    </font>
    <font>
      <b/>
      <sz val="10"/>
      <name val="Arial"/>
      <family val="2"/>
    </font>
    <font>
      <sz val="7"/>
      <color theme="1"/>
      <name val="Calibri"/>
      <family val="2"/>
      <scheme val="minor"/>
    </font>
    <font>
      <b/>
      <sz val="11"/>
      <color theme="0"/>
      <name val="Calibri"/>
      <family val="2"/>
      <scheme val="minor"/>
    </font>
    <font>
      <sz val="7"/>
      <name val="Calibri"/>
      <family val="2"/>
      <scheme val="minor"/>
    </font>
    <font>
      <sz val="10"/>
      <color theme="1"/>
      <name val="Calibri"/>
      <family val="2"/>
      <scheme val="minor"/>
    </font>
    <font>
      <b/>
      <sz val="13"/>
      <name val="Calibri"/>
      <family val="2"/>
      <scheme val="minor"/>
    </font>
    <font>
      <b/>
      <sz val="10.5"/>
      <color theme="7" tint="0.79998168889431442"/>
      <name val="Calibri"/>
      <family val="2"/>
      <scheme val="minor"/>
    </font>
    <font>
      <b/>
      <sz val="8"/>
      <color theme="0" tint="-0.34998626667073579"/>
      <name val="Calibri"/>
      <family val="2"/>
      <scheme val="minor"/>
    </font>
    <font>
      <b/>
      <sz val="10"/>
      <color theme="1" tint="0.499984740745262"/>
      <name val="Calibri"/>
      <family val="2"/>
      <scheme val="minor"/>
    </font>
    <font>
      <b/>
      <sz val="12"/>
      <color theme="5" tint="0.39997558519241921"/>
      <name val="Calibri"/>
      <family val="2"/>
      <scheme val="minor"/>
    </font>
    <font>
      <b/>
      <sz val="12"/>
      <color rgb="FFDAD500"/>
      <name val="Calibri"/>
      <family val="2"/>
      <scheme val="minor"/>
    </font>
    <font>
      <b/>
      <sz val="10"/>
      <color rgb="FF4040C0"/>
      <name val="Calibri"/>
      <family val="2"/>
      <scheme val="minor"/>
    </font>
    <font>
      <b/>
      <sz val="11"/>
      <color rgb="FFFFFF61"/>
      <name val="Calibri"/>
      <family val="2"/>
      <scheme val="minor"/>
    </font>
    <font>
      <b/>
      <sz val="11"/>
      <color rgb="FFC0BC00"/>
      <name val="Calibri"/>
      <family val="2"/>
      <scheme val="minor"/>
    </font>
    <font>
      <b/>
      <sz val="10"/>
      <color theme="7" tint="0.79998168889431442"/>
      <name val="Calibri"/>
      <family val="2"/>
      <scheme val="minor"/>
    </font>
    <font>
      <sz val="12"/>
      <color theme="0"/>
      <name val="Arial"/>
      <family val="2"/>
    </font>
    <font>
      <sz val="8"/>
      <name val="Calibri"/>
      <family val="2"/>
      <scheme val="minor"/>
    </font>
    <font>
      <sz val="10"/>
      <name val="Calibri"/>
      <family val="2"/>
    </font>
    <font>
      <b/>
      <sz val="10"/>
      <name val="Calibri"/>
      <family val="2"/>
    </font>
    <font>
      <b/>
      <sz val="10"/>
      <color rgb="FF868300"/>
      <name val="Calibri"/>
      <family val="2"/>
      <scheme val="minor"/>
    </font>
    <font>
      <b/>
      <sz val="12"/>
      <color theme="4" tint="-0.249977111117893"/>
      <name val="Calibri"/>
      <family val="2"/>
      <scheme val="minor"/>
    </font>
    <font>
      <sz val="12"/>
      <name val="Arial"/>
      <family val="2"/>
    </font>
  </fonts>
  <fills count="43">
    <fill>
      <patternFill patternType="none"/>
    </fill>
    <fill>
      <patternFill patternType="gray125"/>
    </fill>
    <fill>
      <patternFill patternType="solid">
        <fgColor indexed="62"/>
        <bgColor indexed="42"/>
      </patternFill>
    </fill>
    <fill>
      <patternFill patternType="solid">
        <fgColor theme="4" tint="0.79998168889431442"/>
        <bgColor indexed="65"/>
      </patternFill>
    </fill>
    <fill>
      <patternFill patternType="solid">
        <fgColor theme="4"/>
      </patternFill>
    </fill>
    <fill>
      <patternFill patternType="solid">
        <fgColor theme="9"/>
      </patternFill>
    </fill>
    <fill>
      <patternFill patternType="solid">
        <fgColor theme="9" tint="0.59999389629810485"/>
        <bgColor indexed="65"/>
      </patternFill>
    </fill>
    <fill>
      <patternFill patternType="solid">
        <fgColor theme="4" tint="0.59999389629810485"/>
        <bgColor indexed="64"/>
      </patternFill>
    </fill>
    <fill>
      <patternFill patternType="solid">
        <fgColor theme="4" tint="0.39997558519241921"/>
        <bgColor indexed="42"/>
      </patternFill>
    </fill>
    <fill>
      <patternFill patternType="solid">
        <fgColor theme="4" tint="0.39997558519241921"/>
        <bgColor indexed="64"/>
      </patternFill>
    </fill>
    <fill>
      <patternFill patternType="solid">
        <fgColor theme="4" tint="0.59999389629810485"/>
        <bgColor indexed="4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42"/>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42"/>
      </patternFill>
    </fill>
    <fill>
      <patternFill patternType="solid">
        <fgColor theme="0"/>
        <bgColor indexed="42"/>
      </patternFill>
    </fill>
    <fill>
      <patternFill patternType="solid">
        <fgColor theme="9" tint="0.39997558519241921"/>
        <bgColor indexed="64"/>
      </patternFill>
    </fill>
    <fill>
      <patternFill patternType="solid">
        <fgColor theme="6" tint="0.59999389629810485"/>
        <bgColor indexed="42"/>
      </patternFill>
    </fill>
    <fill>
      <patternFill patternType="solid">
        <fgColor theme="9" tint="0.39997558519241921"/>
        <bgColor indexed="42"/>
      </patternFill>
    </fill>
    <fill>
      <patternFill patternType="solid">
        <fgColor theme="6" tint="0.39997558519241921"/>
        <bgColor indexed="64"/>
      </patternFill>
    </fill>
    <fill>
      <patternFill patternType="solid">
        <fgColor theme="0" tint="-4.9989318521683403E-2"/>
        <bgColor indexed="42"/>
      </patternFill>
    </fill>
    <fill>
      <patternFill patternType="solid">
        <fgColor rgb="FFFFFFFF"/>
        <bgColor indexed="64"/>
      </patternFill>
    </fill>
    <fill>
      <patternFill patternType="solid">
        <fgColor theme="6"/>
        <bgColor indexed="64"/>
      </patternFill>
    </fill>
    <fill>
      <patternFill patternType="solid">
        <fgColor rgb="FFFFEB9C"/>
      </patternFill>
    </fill>
    <fill>
      <patternFill patternType="solid">
        <fgColor theme="9" tint="0.59999389629810485"/>
        <bgColor indexed="64"/>
      </patternFill>
    </fill>
    <fill>
      <patternFill patternType="solid">
        <fgColor theme="9" tint="0.59999389629810485"/>
        <bgColor indexed="42"/>
      </patternFill>
    </fill>
    <fill>
      <patternFill patternType="solid">
        <fgColor rgb="FFF2F2F2"/>
      </patternFill>
    </fill>
    <fill>
      <patternFill patternType="solid">
        <fgColor theme="4" tint="0.79998168889431442"/>
        <bgColor indexed="64"/>
      </patternFill>
    </fill>
    <fill>
      <patternFill patternType="solid">
        <fgColor theme="5" tint="0.59999389629810485"/>
        <bgColor indexed="65"/>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9B"/>
        <bgColor indexed="64"/>
      </patternFill>
    </fill>
    <fill>
      <patternFill patternType="solid">
        <fgColor rgb="FFA5A5A5"/>
      </patternFill>
    </fill>
    <fill>
      <patternFill patternType="solid">
        <fgColor theme="0" tint="-0.249977111117893"/>
        <bgColor indexed="64"/>
      </patternFill>
    </fill>
    <fill>
      <patternFill patternType="solid">
        <fgColor rgb="FFFFFF61"/>
        <bgColor indexed="64"/>
      </patternFill>
    </fill>
    <fill>
      <patternFill patternType="solid">
        <fgColor rgb="FFFFFFB7"/>
        <bgColor indexed="64"/>
      </patternFill>
    </fill>
    <fill>
      <patternFill patternType="solid">
        <fgColor rgb="FF7030A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C1"/>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double">
        <color rgb="FFFF8001"/>
      </bottom>
      <diagonal/>
    </border>
    <border>
      <left style="thin">
        <color indexed="64"/>
      </left>
      <right style="thin">
        <color indexed="64"/>
      </right>
      <top style="thin">
        <color indexed="64"/>
      </top>
      <bottom style="double">
        <color theme="9" tint="-0.249977111117893"/>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indexed="64"/>
      </left>
      <right/>
      <top style="double">
        <color rgb="FF3F3F3F"/>
      </top>
      <bottom/>
      <diagonal/>
    </border>
    <border>
      <left/>
      <right/>
      <top style="double">
        <color rgb="FF3F3F3F"/>
      </top>
      <bottom/>
      <diagonal/>
    </border>
    <border>
      <left/>
      <right style="thin">
        <color indexed="64"/>
      </right>
      <top style="double">
        <color rgb="FF3F3F3F"/>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thin">
        <color indexed="64"/>
      </right>
      <top style="double">
        <color rgb="FF3F3F3F"/>
      </top>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thin">
        <color indexed="64"/>
      </left>
      <right/>
      <top style="thin">
        <color indexed="64"/>
      </top>
      <bottom style="double">
        <color theme="9" tint="-0.249977111117893"/>
      </bottom>
      <diagonal/>
    </border>
    <border>
      <left/>
      <right style="thin">
        <color indexed="64"/>
      </right>
      <top style="thin">
        <color indexed="64"/>
      </top>
      <bottom style="double">
        <color theme="9" tint="-0.249977111117893"/>
      </bottom>
      <diagonal/>
    </border>
    <border>
      <left/>
      <right/>
      <top style="thin">
        <color indexed="64"/>
      </top>
      <bottom style="double">
        <color rgb="FFFF8001"/>
      </bottom>
      <diagonal/>
    </border>
    <border>
      <left/>
      <right style="thin">
        <color indexed="64"/>
      </right>
      <top style="thin">
        <color indexed="64"/>
      </top>
      <bottom style="double">
        <color rgb="FFFF8001"/>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medium">
        <color rgb="FF868300"/>
      </left>
      <right style="thin">
        <color rgb="FF868300"/>
      </right>
      <top style="medium">
        <color rgb="FF868300"/>
      </top>
      <bottom style="medium">
        <color rgb="FF868300"/>
      </bottom>
      <diagonal/>
    </border>
    <border>
      <left style="thin">
        <color rgb="FF868300"/>
      </left>
      <right style="thin">
        <color rgb="FF868300"/>
      </right>
      <top style="medium">
        <color rgb="FF868300"/>
      </top>
      <bottom style="medium">
        <color rgb="FF868300"/>
      </bottom>
      <diagonal/>
    </border>
    <border>
      <left style="thin">
        <color rgb="FF868300"/>
      </left>
      <right style="medium">
        <color rgb="FF868300"/>
      </right>
      <top style="medium">
        <color rgb="FF868300"/>
      </top>
      <bottom style="medium">
        <color rgb="FF868300"/>
      </bottom>
      <diagonal/>
    </border>
    <border>
      <left style="double">
        <color rgb="FF3F3F3F"/>
      </left>
      <right style="thin">
        <color indexed="64"/>
      </right>
      <top style="thin">
        <color indexed="64"/>
      </top>
      <bottom/>
      <diagonal/>
    </border>
  </borders>
  <cellStyleXfs count="15">
    <xf numFmtId="0" fontId="0" fillId="0" borderId="0"/>
    <xf numFmtId="0" fontId="22" fillId="3" borderId="0" applyNumberFormat="0" applyBorder="0" applyAlignment="0" applyProtection="0"/>
    <xf numFmtId="0" fontId="22" fillId="6"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6" fillId="0" borderId="0" applyNumberFormat="0" applyFill="0" applyBorder="0" applyAlignment="0" applyProtection="0">
      <alignment vertical="top"/>
      <protection locked="0"/>
    </xf>
    <xf numFmtId="9" fontId="39" fillId="0" borderId="0" applyFont="0" applyFill="0" applyBorder="0" applyAlignment="0" applyProtection="0"/>
    <xf numFmtId="0" fontId="52" fillId="25" borderId="0" applyNumberFormat="0" applyBorder="0" applyAlignment="0" applyProtection="0"/>
    <xf numFmtId="0" fontId="53" fillId="0" borderId="27" applyNumberFormat="0" applyFill="0" applyAlignment="0" applyProtection="0"/>
    <xf numFmtId="0" fontId="58" fillId="28" borderId="29" applyNumberFormat="0" applyAlignment="0" applyProtection="0"/>
    <xf numFmtId="0" fontId="3" fillId="30" borderId="0" applyNumberFormat="0" applyBorder="0" applyAlignment="0" applyProtection="0"/>
    <xf numFmtId="0" fontId="72" fillId="34" borderId="33" applyNumberFormat="0" applyAlignment="0" applyProtection="0"/>
    <xf numFmtId="0" fontId="7" fillId="0" borderId="0"/>
    <xf numFmtId="0" fontId="7" fillId="0" borderId="0"/>
    <xf numFmtId="43" fontId="91" fillId="0" borderId="0" applyFont="0" applyFill="0" applyBorder="0" applyAlignment="0" applyProtection="0"/>
  </cellStyleXfs>
  <cellXfs count="722">
    <xf numFmtId="0" fontId="0" fillId="0" borderId="0" xfId="0"/>
    <xf numFmtId="0" fontId="9" fillId="0" borderId="0" xfId="0" applyFont="1"/>
    <xf numFmtId="0" fontId="11" fillId="0" borderId="0" xfId="0" applyFont="1"/>
    <xf numFmtId="0" fontId="24" fillId="0" borderId="0" xfId="0" applyFont="1" applyAlignment="1">
      <alignment vertical="center" wrapText="1"/>
    </xf>
    <xf numFmtId="0" fontId="25" fillId="7" borderId="1" xfId="0" applyFont="1" applyFill="1" applyBorder="1" applyAlignment="1">
      <alignment horizontal="center" vertical="center" wrapText="1"/>
    </xf>
    <xf numFmtId="0" fontId="24" fillId="0" borderId="0" xfId="0" applyFont="1" applyAlignment="1">
      <alignment horizontal="center" vertical="center" wrapText="1"/>
    </xf>
    <xf numFmtId="0" fontId="25" fillId="8" borderId="1" xfId="0" applyFont="1" applyFill="1" applyBorder="1" applyAlignment="1">
      <alignment horizontal="center" vertical="center" wrapText="1"/>
    </xf>
    <xf numFmtId="0" fontId="9" fillId="0" borderId="0" xfId="0" applyFont="1" applyFill="1"/>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5" fillId="8" borderId="1" xfId="0" applyFont="1" applyFill="1" applyBorder="1" applyAlignment="1">
      <alignment vertical="center" wrapText="1"/>
    </xf>
    <xf numFmtId="0" fontId="24" fillId="11" borderId="1" xfId="0" applyFont="1" applyFill="1" applyBorder="1" applyAlignment="1" applyProtection="1">
      <alignment horizontal="center" vertical="center" wrapText="1"/>
      <protection hidden="1"/>
    </xf>
    <xf numFmtId="0" fontId="10" fillId="3" borderId="0" xfId="1" applyFont="1" applyBorder="1" applyProtection="1">
      <protection hidden="1"/>
    </xf>
    <xf numFmtId="0" fontId="8" fillId="3" borderId="0" xfId="1" applyFont="1" applyBorder="1" applyProtection="1">
      <protection hidden="1"/>
    </xf>
    <xf numFmtId="0" fontId="9" fillId="0" borderId="0" xfId="0" applyFont="1" applyProtection="1">
      <protection hidden="1"/>
    </xf>
    <xf numFmtId="0" fontId="27" fillId="11" borderId="1" xfId="0" applyFont="1" applyFill="1" applyBorder="1" applyAlignment="1" applyProtection="1">
      <alignment horizontal="center" vertical="center" wrapText="1"/>
      <protection hidden="1"/>
    </xf>
    <xf numFmtId="0" fontId="11" fillId="9" borderId="1" xfId="3" applyFont="1" applyFill="1" applyBorder="1" applyAlignment="1">
      <alignment vertical="center" wrapText="1"/>
    </xf>
    <xf numFmtId="0" fontId="27" fillId="0" borderId="1" xfId="0" applyFont="1" applyBorder="1" applyAlignment="1" applyProtection="1">
      <alignment horizontal="center" vertical="center" wrapText="1"/>
    </xf>
    <xf numFmtId="0" fontId="24" fillId="11"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4" fillId="0" borderId="2"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6" fillId="13" borderId="1" xfId="0" applyFont="1" applyFill="1" applyBorder="1" applyAlignment="1">
      <alignment horizontal="center" vertical="center" wrapText="1"/>
    </xf>
    <xf numFmtId="0" fontId="0" fillId="14" borderId="0" xfId="0" applyFill="1"/>
    <xf numFmtId="0" fontId="13" fillId="14" borderId="0" xfId="5" applyFont="1" applyFill="1" applyAlignment="1" applyProtection="1">
      <alignment horizontal="center" vertical="center"/>
    </xf>
    <xf numFmtId="0" fontId="24" fillId="0" borderId="1" xfId="0" applyFont="1" applyBorder="1" applyAlignment="1" applyProtection="1">
      <alignment horizontal="center" vertical="center" wrapText="1"/>
      <protection locked="0"/>
    </xf>
    <xf numFmtId="0" fontId="25" fillId="8" borderId="1" xfId="0" applyFont="1" applyFill="1" applyBorder="1" applyAlignment="1">
      <alignment horizontal="center" vertical="center" wrapText="1"/>
    </xf>
    <xf numFmtId="0" fontId="13" fillId="14" borderId="0" xfId="5" applyFont="1" applyFill="1" applyAlignment="1" applyProtection="1">
      <alignment horizontal="center"/>
    </xf>
    <xf numFmtId="0" fontId="7" fillId="0" borderId="1" xfId="0" applyFont="1" applyBorder="1" applyAlignment="1">
      <alignment vertical="center" wrapText="1"/>
    </xf>
    <xf numFmtId="0" fontId="24" fillId="14" borderId="9" xfId="0" applyFont="1" applyFill="1" applyBorder="1" applyAlignment="1">
      <alignment horizontal="center" vertical="center" wrapText="1"/>
    </xf>
    <xf numFmtId="0" fontId="24" fillId="14" borderId="1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14" borderId="0" xfId="0" applyFont="1" applyFill="1" applyAlignment="1">
      <alignment vertical="center" wrapText="1"/>
    </xf>
    <xf numFmtId="0" fontId="7" fillId="14" borderId="1" xfId="0" applyFont="1" applyFill="1" applyBorder="1" applyAlignment="1">
      <alignment vertical="center" wrapText="1"/>
    </xf>
    <xf numFmtId="0" fontId="16" fillId="14" borderId="0" xfId="0" applyFont="1" applyFill="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8" fillId="6" borderId="1" xfId="2" applyFont="1" applyBorder="1" applyAlignment="1">
      <alignment horizontal="center" vertical="center" wrapText="1"/>
    </xf>
    <xf numFmtId="0" fontId="7" fillId="0" borderId="0" xfId="0" applyFont="1" applyBorder="1" applyAlignment="1">
      <alignment horizontal="left" vertical="center" wrapText="1"/>
    </xf>
    <xf numFmtId="0" fontId="7" fillId="14" borderId="0" xfId="0" applyFont="1" applyFill="1" applyBorder="1" applyAlignment="1">
      <alignment horizontal="left" vertical="center" wrapText="1"/>
    </xf>
    <xf numFmtId="0" fontId="29" fillId="15" borderId="0" xfId="0" applyFont="1" applyFill="1" applyBorder="1" applyAlignment="1">
      <alignment horizontal="center" vertical="center" wrapText="1"/>
    </xf>
    <xf numFmtId="0" fontId="24" fillId="12" borderId="0" xfId="0" applyFont="1" applyFill="1" applyBorder="1" applyAlignment="1" applyProtection="1">
      <alignment horizontal="left" vertical="center" wrapText="1"/>
      <protection hidden="1"/>
    </xf>
    <xf numFmtId="0" fontId="24" fillId="0" borderId="0" xfId="0" applyFont="1" applyAlignment="1">
      <alignment horizontal="center" vertical="center" wrapText="1"/>
    </xf>
    <xf numFmtId="0" fontId="30" fillId="6" borderId="1" xfId="2" applyFont="1" applyBorder="1" applyAlignment="1">
      <alignment horizontal="center" vertical="center" wrapText="1"/>
    </xf>
    <xf numFmtId="0" fontId="24" fillId="0" borderId="1" xfId="0" applyFont="1" applyBorder="1" applyAlignment="1" applyProtection="1">
      <alignment vertical="center" wrapText="1"/>
      <protection locked="0"/>
    </xf>
    <xf numFmtId="0" fontId="24" fillId="0" borderId="1" xfId="0" applyFont="1" applyBorder="1" applyAlignment="1" applyProtection="1">
      <alignment horizontal="left" vertical="center" wrapText="1"/>
    </xf>
    <xf numFmtId="0" fontId="24" fillId="0" borderId="1" xfId="0" applyFont="1" applyFill="1" applyBorder="1" applyAlignment="1" applyProtection="1">
      <alignment horizontal="center" vertical="center" wrapText="1"/>
      <protection locked="0"/>
    </xf>
    <xf numFmtId="0" fontId="31" fillId="12" borderId="1" xfId="0" applyFont="1" applyFill="1" applyBorder="1" applyAlignment="1" applyProtection="1">
      <alignment horizontal="center" vertical="center" wrapText="1"/>
      <protection hidden="1"/>
    </xf>
    <xf numFmtId="0" fontId="24" fillId="14" borderId="0" xfId="0" applyFont="1" applyFill="1" applyBorder="1" applyAlignment="1">
      <alignment vertical="center" wrapText="1"/>
    </xf>
    <xf numFmtId="0" fontId="6" fillId="14" borderId="0" xfId="5" applyFill="1" applyAlignment="1" applyProtection="1">
      <alignment horizontal="center" vertical="center"/>
    </xf>
    <xf numFmtId="0" fontId="6" fillId="14" borderId="0" xfId="5" applyFill="1" applyAlignment="1" applyProtection="1"/>
    <xf numFmtId="0" fontId="13" fillId="14" borderId="0" xfId="5" applyFont="1" applyFill="1" applyAlignment="1" applyProtection="1"/>
    <xf numFmtId="0" fontId="24" fillId="0" borderId="0" xfId="0" applyFont="1" applyAlignment="1">
      <alignment horizontal="center" vertical="center" wrapText="1"/>
    </xf>
    <xf numFmtId="0" fontId="25" fillId="9" borderId="13" xfId="0" applyFont="1" applyFill="1" applyBorder="1" applyAlignment="1" applyProtection="1">
      <alignment vertical="center" wrapText="1"/>
      <protection locked="0"/>
    </xf>
    <xf numFmtId="0" fontId="25" fillId="8" borderId="1" xfId="0" applyFont="1" applyFill="1" applyBorder="1" applyAlignment="1">
      <alignment horizontal="center" vertical="center" wrapText="1"/>
    </xf>
    <xf numFmtId="0" fontId="24" fillId="12" borderId="1" xfId="0" applyFont="1" applyFill="1" applyBorder="1" applyAlignment="1" applyProtection="1">
      <alignment horizontal="center" vertical="center" wrapText="1"/>
      <protection hidden="1"/>
    </xf>
    <xf numFmtId="0" fontId="26" fillId="13" borderId="8" xfId="0" applyFont="1" applyFill="1" applyBorder="1" applyAlignment="1">
      <alignment horizontal="center" vertical="center" wrapText="1"/>
    </xf>
    <xf numFmtId="0" fontId="24" fillId="0" borderId="0" xfId="0" applyFont="1" applyAlignment="1">
      <alignment horizontal="center" vertical="center" wrapText="1"/>
    </xf>
    <xf numFmtId="0" fontId="6" fillId="14" borderId="0" xfId="5" applyFill="1" applyAlignment="1" applyProtection="1">
      <alignment horizontal="center"/>
    </xf>
    <xf numFmtId="0" fontId="29" fillId="15" borderId="17" xfId="0" applyFont="1" applyFill="1" applyBorder="1" applyAlignment="1">
      <alignment horizontal="right" vertical="center" wrapText="1"/>
    </xf>
    <xf numFmtId="0" fontId="24" fillId="0" borderId="7" xfId="0" applyFont="1" applyBorder="1" applyAlignment="1" applyProtection="1">
      <alignment vertical="center" wrapText="1"/>
      <protection locked="0"/>
    </xf>
    <xf numFmtId="0" fontId="32" fillId="14" borderId="0" xfId="0" applyFont="1" applyFill="1"/>
    <xf numFmtId="0" fontId="35" fillId="6" borderId="1" xfId="2" applyFont="1" applyBorder="1" applyAlignment="1">
      <alignment horizontal="center" vertical="center" wrapText="1"/>
    </xf>
    <xf numFmtId="0" fontId="25" fillId="9" borderId="1" xfId="3" applyFont="1" applyFill="1" applyBorder="1" applyAlignment="1">
      <alignment horizontal="center" vertical="center" wrapText="1"/>
    </xf>
    <xf numFmtId="0" fontId="4" fillId="3" borderId="0" xfId="1" applyFont="1" applyBorder="1" applyProtection="1">
      <protection hidden="1"/>
    </xf>
    <xf numFmtId="0" fontId="26" fillId="20" borderId="1" xfId="0" applyFont="1" applyFill="1" applyBorder="1" applyAlignment="1">
      <alignment horizontal="center" vertical="center" wrapText="1"/>
    </xf>
    <xf numFmtId="0" fontId="26" fillId="20" borderId="7"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24" fillId="12" borderId="1" xfId="0" applyFont="1" applyFill="1" applyBorder="1" applyAlignment="1" applyProtection="1">
      <alignment vertical="center" wrapText="1"/>
      <protection hidden="1"/>
    </xf>
    <xf numFmtId="0" fontId="41" fillId="19" borderId="1" xfId="0" applyFont="1" applyFill="1" applyBorder="1" applyAlignment="1">
      <alignment horizontal="center" vertical="center" wrapText="1"/>
    </xf>
    <xf numFmtId="0" fontId="42" fillId="8" borderId="1" xfId="0" applyFont="1" applyFill="1" applyBorder="1" applyAlignment="1">
      <alignment horizontal="center" vertical="center" wrapText="1"/>
    </xf>
    <xf numFmtId="0" fontId="24" fillId="0" borderId="1" xfId="0" applyFont="1" applyBorder="1"/>
    <xf numFmtId="0" fontId="36" fillId="12" borderId="1" xfId="0" applyFont="1" applyFill="1" applyBorder="1" applyAlignment="1" applyProtection="1">
      <alignment horizontal="left" vertical="center" wrapText="1"/>
    </xf>
    <xf numFmtId="0" fontId="26" fillId="22" borderId="7" xfId="0" applyFont="1" applyFill="1" applyBorder="1" applyAlignment="1">
      <alignment horizontal="center" vertical="center" wrapText="1"/>
    </xf>
    <xf numFmtId="1" fontId="24" fillId="0" borderId="1" xfId="0" applyNumberFormat="1" applyFont="1" applyBorder="1"/>
    <xf numFmtId="0" fontId="41" fillId="22" borderId="1" xfId="0" applyFont="1" applyFill="1" applyBorder="1" applyAlignment="1">
      <alignment horizontal="center" vertical="center" wrapText="1"/>
    </xf>
    <xf numFmtId="9" fontId="41" fillId="19" borderId="1" xfId="6" applyFont="1" applyFill="1" applyBorder="1" applyAlignment="1">
      <alignment horizontal="center" vertical="center" wrapText="1"/>
    </xf>
    <xf numFmtId="14" fontId="25" fillId="12" borderId="6" xfId="0" applyNumberFormat="1" applyFont="1" applyFill="1" applyBorder="1" applyAlignment="1">
      <alignment horizontal="center"/>
    </xf>
    <xf numFmtId="0" fontId="25" fillId="12" borderId="1" xfId="0" applyNumberFormat="1" applyFont="1" applyFill="1" applyBorder="1" applyAlignment="1">
      <alignment horizontal="center"/>
    </xf>
    <xf numFmtId="164" fontId="40" fillId="12" borderId="8" xfId="0" applyNumberFormat="1" applyFont="1" applyFill="1" applyBorder="1" applyAlignment="1">
      <alignment horizontal="center"/>
    </xf>
    <xf numFmtId="14" fontId="40" fillId="12" borderId="8" xfId="0" applyNumberFormat="1" applyFont="1" applyFill="1" applyBorder="1" applyAlignment="1">
      <alignment horizontal="center"/>
    </xf>
    <xf numFmtId="14" fontId="9" fillId="0" borderId="0" xfId="0" applyNumberFormat="1" applyFont="1"/>
    <xf numFmtId="0" fontId="25" fillId="8" borderId="1" xfId="0" applyFont="1" applyFill="1" applyBorder="1" applyAlignment="1">
      <alignment horizontal="center" vertical="center" wrapText="1"/>
    </xf>
    <xf numFmtId="0" fontId="25" fillId="12" borderId="7" xfId="0" applyNumberFormat="1" applyFont="1" applyFill="1" applyBorder="1" applyAlignment="1">
      <alignment horizontal="center"/>
    </xf>
    <xf numFmtId="0" fontId="25" fillId="0" borderId="0" xfId="0" applyFont="1"/>
    <xf numFmtId="0" fontId="25" fillId="8" borderId="1" xfId="0" applyFont="1" applyFill="1" applyBorder="1" applyAlignment="1">
      <alignment horizontal="center" vertical="center" wrapText="1"/>
    </xf>
    <xf numFmtId="0" fontId="0" fillId="0" borderId="0" xfId="0" applyAlignment="1">
      <alignment horizontal="center"/>
    </xf>
    <xf numFmtId="14" fontId="24" fillId="0" borderId="1" xfId="0" applyNumberFormat="1" applyFont="1" applyBorder="1" applyAlignment="1">
      <alignment vertical="center" wrapText="1"/>
    </xf>
    <xf numFmtId="0" fontId="24" fillId="23" borderId="1" xfId="0" applyFont="1" applyFill="1" applyBorder="1" applyAlignment="1" applyProtection="1">
      <alignment horizontal="left" vertical="center" wrapText="1"/>
      <protection locked="0"/>
    </xf>
    <xf numFmtId="0" fontId="26" fillId="22" borderId="1" xfId="0" applyFont="1" applyFill="1" applyBorder="1" applyAlignment="1">
      <alignment horizontal="center" vertical="center" wrapText="1"/>
    </xf>
    <xf numFmtId="1" fontId="24" fillId="12" borderId="1" xfId="0" applyNumberFormat="1" applyFont="1" applyFill="1" applyBorder="1" applyAlignment="1">
      <alignment horizontal="center"/>
    </xf>
    <xf numFmtId="0" fontId="24" fillId="0" borderId="1" xfId="0" applyNumberFormat="1" applyFont="1" applyBorder="1" applyAlignment="1" applyProtection="1">
      <alignment horizontal="center" vertical="center" wrapText="1"/>
      <protection locked="0"/>
    </xf>
    <xf numFmtId="14" fontId="24" fillId="0" borderId="1" xfId="0" applyNumberFormat="1" applyFont="1" applyFill="1" applyBorder="1" applyAlignment="1">
      <alignment vertical="center"/>
    </xf>
    <xf numFmtId="14" fontId="36" fillId="12" borderId="7" xfId="0" applyNumberFormat="1" applyFont="1" applyFill="1" applyBorder="1" applyAlignment="1" applyProtection="1">
      <alignment horizontal="left" vertical="center" wrapText="1"/>
      <protection hidden="1"/>
    </xf>
    <xf numFmtId="0" fontId="0" fillId="0" borderId="0" xfId="6" applyNumberFormat="1" applyFont="1" applyAlignment="1">
      <alignment horizontal="center"/>
    </xf>
    <xf numFmtId="0" fontId="26" fillId="19" borderId="1" xfId="6" applyNumberFormat="1" applyFont="1" applyFill="1" applyBorder="1" applyAlignment="1">
      <alignment horizontal="center" vertical="center" wrapText="1"/>
    </xf>
    <xf numFmtId="0" fontId="25" fillId="0" borderId="0" xfId="6" applyNumberFormat="1" applyFont="1" applyBorder="1" applyAlignment="1">
      <alignment horizontal="center"/>
    </xf>
    <xf numFmtId="0" fontId="41" fillId="19" borderId="1" xfId="6" applyNumberFormat="1" applyFont="1" applyFill="1" applyBorder="1" applyAlignment="1">
      <alignment horizontal="center" vertical="center" wrapText="1"/>
    </xf>
    <xf numFmtId="9" fontId="0" fillId="0" borderId="0" xfId="6" applyNumberFormat="1" applyFont="1" applyAlignment="1">
      <alignment horizontal="center"/>
    </xf>
    <xf numFmtId="9" fontId="41" fillId="19" borderId="1" xfId="6" applyNumberFormat="1" applyFont="1" applyFill="1" applyBorder="1" applyAlignment="1">
      <alignment horizontal="center" vertical="center" wrapText="1"/>
    </xf>
    <xf numFmtId="1" fontId="0" fillId="0" borderId="0" xfId="0" applyNumberFormat="1"/>
    <xf numFmtId="1" fontId="25" fillId="12" borderId="6" xfId="0" applyNumberFormat="1" applyFont="1" applyFill="1" applyBorder="1" applyAlignment="1">
      <alignment horizontal="center"/>
    </xf>
    <xf numFmtId="1" fontId="25" fillId="12" borderId="1" xfId="0" applyNumberFormat="1" applyFont="1" applyFill="1" applyBorder="1" applyAlignment="1">
      <alignment horizontal="center"/>
    </xf>
    <xf numFmtId="1" fontId="25" fillId="12" borderId="7" xfId="0" applyNumberFormat="1" applyFont="1" applyFill="1" applyBorder="1" applyAlignment="1">
      <alignment horizontal="center"/>
    </xf>
    <xf numFmtId="1" fontId="40" fillId="12" borderId="8" xfId="0" applyNumberFormat="1" applyFont="1" applyFill="1" applyBorder="1" applyAlignment="1">
      <alignment horizontal="center"/>
    </xf>
    <xf numFmtId="1" fontId="41" fillId="22" borderId="1" xfId="0" applyNumberFormat="1" applyFont="1" applyFill="1" applyBorder="1" applyAlignment="1">
      <alignment horizontal="center" vertical="center" wrapText="1"/>
    </xf>
    <xf numFmtId="0" fontId="25" fillId="9" borderId="19" xfId="0" applyFont="1" applyFill="1" applyBorder="1" applyAlignment="1">
      <alignment vertical="center"/>
    </xf>
    <xf numFmtId="165" fontId="24" fillId="0" borderId="19" xfId="0" applyNumberFormat="1" applyFont="1" applyBorder="1"/>
    <xf numFmtId="0" fontId="25" fillId="0" borderId="0" xfId="0" applyFont="1" applyFill="1" applyBorder="1" applyAlignment="1">
      <alignment vertical="center"/>
    </xf>
    <xf numFmtId="0" fontId="46" fillId="3" borderId="0" xfId="1" applyFont="1" applyBorder="1" applyAlignment="1">
      <alignment vertical="center"/>
    </xf>
    <xf numFmtId="1" fontId="25" fillId="0" borderId="19" xfId="0" applyNumberFormat="1" applyFont="1" applyBorder="1"/>
    <xf numFmtId="0" fontId="25" fillId="0" borderId="19" xfId="0" applyFont="1" applyBorder="1"/>
    <xf numFmtId="0" fontId="25" fillId="0" borderId="0" xfId="0" applyFont="1" applyFill="1" applyBorder="1"/>
    <xf numFmtId="0" fontId="25" fillId="14" borderId="0" xfId="0" applyFont="1" applyFill="1" applyBorder="1" applyAlignment="1">
      <alignment vertical="center"/>
    </xf>
    <xf numFmtId="165" fontId="24" fillId="14" borderId="0" xfId="0" applyNumberFormat="1" applyFont="1" applyFill="1" applyBorder="1"/>
    <xf numFmtId="0" fontId="25" fillId="14" borderId="0" xfId="0" applyFont="1" applyFill="1" applyBorder="1"/>
    <xf numFmtId="1" fontId="25" fillId="14" borderId="0" xfId="0" applyNumberFormat="1" applyFont="1" applyFill="1" applyBorder="1"/>
    <xf numFmtId="1" fontId="0" fillId="14" borderId="0" xfId="0" applyNumberFormat="1" applyFill="1"/>
    <xf numFmtId="14" fontId="36" fillId="12" borderId="1" xfId="0" applyNumberFormat="1" applyFont="1" applyFill="1" applyBorder="1" applyAlignment="1" applyProtection="1">
      <alignment horizontal="center" vertical="center" wrapText="1"/>
    </xf>
    <xf numFmtId="0" fontId="26" fillId="12" borderId="1" xfId="0" applyFont="1" applyFill="1" applyBorder="1" applyAlignment="1" applyProtection="1">
      <alignment vertical="center" wrapText="1"/>
      <protection hidden="1"/>
    </xf>
    <xf numFmtId="14" fontId="36" fillId="12" borderId="1" xfId="0" applyNumberFormat="1" applyFont="1" applyFill="1" applyBorder="1" applyAlignment="1" applyProtection="1">
      <alignment vertical="center" wrapText="1"/>
      <protection hidden="1"/>
    </xf>
    <xf numFmtId="0" fontId="24" fillId="0" borderId="1" xfId="0" applyFont="1" applyBorder="1" applyProtection="1">
      <protection locked="0"/>
    </xf>
    <xf numFmtId="0" fontId="36" fillId="12" borderId="1" xfId="0" applyNumberFormat="1" applyFont="1" applyFill="1" applyBorder="1" applyAlignment="1" applyProtection="1">
      <alignment horizontal="center" vertical="center" wrapText="1"/>
    </xf>
    <xf numFmtId="0" fontId="0" fillId="14" borderId="0" xfId="0" applyFill="1" applyAlignment="1">
      <alignment horizontal="center"/>
    </xf>
    <xf numFmtId="0" fontId="41" fillId="22" borderId="25" xfId="0" applyFont="1" applyFill="1" applyBorder="1" applyAlignment="1">
      <alignment horizontal="center" vertical="center" wrapText="1"/>
    </xf>
    <xf numFmtId="0" fontId="41" fillId="22" borderId="22" xfId="0" applyFont="1" applyFill="1" applyBorder="1" applyAlignment="1">
      <alignment vertical="center" wrapText="1"/>
    </xf>
    <xf numFmtId="10" fontId="0" fillId="0" borderId="0" xfId="0" applyNumberFormat="1"/>
    <xf numFmtId="10" fontId="25" fillId="0" borderId="0" xfId="0" applyNumberFormat="1" applyFont="1"/>
    <xf numFmtId="0" fontId="41" fillId="22" borderId="22" xfId="0" applyFont="1" applyFill="1" applyBorder="1" applyAlignment="1">
      <alignment horizontal="center" vertical="center" wrapText="1"/>
    </xf>
    <xf numFmtId="10" fontId="0" fillId="0" borderId="0" xfId="6" applyNumberFormat="1" applyFont="1"/>
    <xf numFmtId="10" fontId="41" fillId="22" borderId="22" xfId="6" applyNumberFormat="1" applyFont="1" applyFill="1" applyBorder="1" applyAlignment="1">
      <alignment horizontal="center" vertical="center" wrapText="1"/>
    </xf>
    <xf numFmtId="10" fontId="25" fillId="0" borderId="0" xfId="6" applyNumberFormat="1" applyFont="1"/>
    <xf numFmtId="10" fontId="25" fillId="0" borderId="0" xfId="6" applyNumberFormat="1" applyFont="1" applyFill="1" applyBorder="1"/>
    <xf numFmtId="0" fontId="25" fillId="0" borderId="0" xfId="0" applyFont="1" applyAlignment="1">
      <alignment horizontal="center"/>
    </xf>
    <xf numFmtId="0" fontId="24" fillId="12" borderId="8"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center" vertical="center" wrapText="1"/>
    </xf>
    <xf numFmtId="10" fontId="41" fillId="21" borderId="7" xfId="4" applyNumberFormat="1" applyFont="1" applyFill="1" applyBorder="1" applyAlignment="1">
      <alignment horizontal="center" vertical="center" wrapText="1"/>
    </xf>
    <xf numFmtId="14" fontId="0" fillId="0" borderId="0" xfId="6" applyNumberFormat="1" applyFont="1"/>
    <xf numFmtId="10" fontId="5" fillId="0" borderId="0" xfId="6" applyNumberFormat="1" applyFont="1"/>
    <xf numFmtId="14" fontId="26" fillId="12" borderId="1" xfId="0" applyNumberFormat="1" applyFont="1" applyFill="1" applyBorder="1" applyAlignment="1" applyProtection="1">
      <alignment vertical="center" wrapText="1"/>
      <protection hidden="1"/>
    </xf>
    <xf numFmtId="0" fontId="0" fillId="0" borderId="0" xfId="6" applyNumberFormat="1" applyFont="1"/>
    <xf numFmtId="0" fontId="49" fillId="0" borderId="1" xfId="0" applyFont="1" applyBorder="1"/>
    <xf numFmtId="14" fontId="50" fillId="0" borderId="1" xfId="0" applyNumberFormat="1" applyFont="1" applyBorder="1"/>
    <xf numFmtId="0" fontId="49" fillId="0" borderId="1" xfId="0" quotePrefix="1" applyFont="1" applyBorder="1"/>
    <xf numFmtId="0" fontId="25" fillId="9" borderId="1" xfId="3" applyFont="1" applyFill="1" applyBorder="1" applyAlignment="1">
      <alignment horizontal="center" vertical="center" wrapText="1"/>
    </xf>
    <xf numFmtId="10" fontId="0" fillId="0" borderId="0" xfId="6" applyNumberFormat="1" applyFont="1" applyAlignment="1">
      <alignment horizontal="center" vertical="center"/>
    </xf>
    <xf numFmtId="14" fontId="9" fillId="0" borderId="1" xfId="0" quotePrefix="1" applyNumberFormat="1" applyFont="1" applyBorder="1"/>
    <xf numFmtId="0" fontId="9" fillId="0" borderId="1" xfId="0" applyFont="1" applyBorder="1"/>
    <xf numFmtId="0" fontId="0" fillId="0" borderId="7" xfId="0" applyBorder="1"/>
    <xf numFmtId="0" fontId="51" fillId="0" borderId="0" xfId="0" applyFont="1" applyAlignment="1">
      <alignment horizontal="center" vertical="center"/>
    </xf>
    <xf numFmtId="1" fontId="31" fillId="0" borderId="1" xfId="0" applyNumberFormat="1" applyFont="1" applyBorder="1" applyAlignment="1">
      <alignment horizontal="center" vertical="center"/>
    </xf>
    <xf numFmtId="0" fontId="43" fillId="19" borderId="1" xfId="0" applyFont="1" applyFill="1" applyBorder="1" applyAlignment="1">
      <alignment horizontal="center" vertical="center" wrapText="1"/>
    </xf>
    <xf numFmtId="0" fontId="9" fillId="0" borderId="1" xfId="0" applyFont="1" applyBorder="1" applyAlignment="1">
      <alignment wrapText="1"/>
    </xf>
    <xf numFmtId="14" fontId="24" fillId="0" borderId="1" xfId="0" applyNumberFormat="1" applyFont="1" applyBorder="1" applyAlignment="1" applyProtection="1">
      <alignment horizontal="center" vertical="center"/>
      <protection locked="0"/>
    </xf>
    <xf numFmtId="9" fontId="34" fillId="0" borderId="1" xfId="0" applyNumberFormat="1" applyFont="1" applyBorder="1" applyAlignment="1" applyProtection="1">
      <alignment horizontal="center" vertical="center" wrapText="1"/>
    </xf>
    <xf numFmtId="1" fontId="31" fillId="0" borderId="19" xfId="0" applyNumberFormat="1" applyFont="1" applyBorder="1" applyAlignment="1">
      <alignment horizontal="center" vertical="center"/>
    </xf>
    <xf numFmtId="10" fontId="25" fillId="15" borderId="0" xfId="0" applyNumberFormat="1" applyFont="1" applyFill="1" applyBorder="1"/>
    <xf numFmtId="9" fontId="34" fillId="0" borderId="28" xfId="0" applyNumberFormat="1" applyFont="1" applyBorder="1" applyAlignment="1" applyProtection="1">
      <alignment horizontal="center" vertical="center" wrapText="1"/>
    </xf>
    <xf numFmtId="0" fontId="0" fillId="0" borderId="0" xfId="0" applyFill="1" applyBorder="1"/>
    <xf numFmtId="10" fontId="41" fillId="21" borderId="1" xfId="4" applyNumberFormat="1" applyFont="1" applyFill="1" applyBorder="1" applyAlignment="1">
      <alignment horizontal="center" vertical="center" wrapText="1"/>
    </xf>
    <xf numFmtId="0" fontId="26" fillId="12" borderId="1" xfId="0" applyFont="1" applyFill="1" applyBorder="1" applyAlignment="1" applyProtection="1">
      <alignment horizontal="right" vertical="center" wrapText="1"/>
      <protection hidden="1"/>
    </xf>
    <xf numFmtId="14" fontId="26" fillId="12" borderId="1" xfId="0" applyNumberFormat="1" applyFont="1" applyFill="1" applyBorder="1" applyAlignment="1" applyProtection="1">
      <alignment horizontal="left" vertical="center" wrapText="1"/>
      <protection hidden="1"/>
    </xf>
    <xf numFmtId="14" fontId="36" fillId="12" borderId="1" xfId="0" applyNumberFormat="1" applyFont="1" applyFill="1" applyBorder="1" applyAlignment="1" applyProtection="1">
      <alignment horizontal="left" vertical="center" wrapText="1"/>
      <protection hidden="1"/>
    </xf>
    <xf numFmtId="0" fontId="26" fillId="9" borderId="1" xfId="0" applyFont="1" applyFill="1" applyBorder="1" applyAlignment="1" applyProtection="1">
      <alignment horizontal="right" vertical="top" wrapText="1"/>
      <protection hidden="1"/>
    </xf>
    <xf numFmtId="0" fontId="57" fillId="21" borderId="6" xfId="4" applyFont="1" applyFill="1" applyBorder="1" applyAlignment="1">
      <alignment horizontal="center" vertical="center" wrapText="1"/>
    </xf>
    <xf numFmtId="0" fontId="24" fillId="12" borderId="1" xfId="0" applyFont="1" applyFill="1" applyBorder="1" applyAlignment="1" applyProtection="1">
      <alignment horizontal="left" vertical="center" wrapText="1"/>
      <protection hidden="1"/>
    </xf>
    <xf numFmtId="0" fontId="25" fillId="9" borderId="1" xfId="3" applyFont="1" applyFill="1" applyBorder="1" applyAlignment="1">
      <alignment horizontal="center" vertical="center" wrapText="1"/>
    </xf>
    <xf numFmtId="0" fontId="24" fillId="17" borderId="8" xfId="0" applyFont="1" applyFill="1" applyBorder="1" applyAlignment="1">
      <alignment horizontal="left" vertical="center" wrapText="1"/>
    </xf>
    <xf numFmtId="0" fontId="36"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9" fontId="47" fillId="0" borderId="7" xfId="0" applyNumberFormat="1" applyFont="1" applyBorder="1" applyAlignment="1" applyProtection="1">
      <alignment horizontal="center" vertical="center" wrapText="1"/>
    </xf>
    <xf numFmtId="0" fontId="5" fillId="0" borderId="1" xfId="0" applyFont="1" applyBorder="1" applyAlignment="1">
      <alignment vertical="center" wrapText="1"/>
    </xf>
    <xf numFmtId="0" fontId="57" fillId="21" borderId="1" xfId="4" applyFont="1" applyFill="1" applyBorder="1" applyAlignment="1">
      <alignment horizontal="center" vertical="center" wrapText="1"/>
    </xf>
    <xf numFmtId="0" fontId="0" fillId="14" borderId="0" xfId="0" applyFill="1" applyBorder="1"/>
    <xf numFmtId="10" fontId="25" fillId="12" borderId="1" xfId="0" applyNumberFormat="1" applyFont="1" applyFill="1" applyBorder="1" applyAlignment="1">
      <alignment horizontal="center" vertical="center" wrapText="1"/>
    </xf>
    <xf numFmtId="0" fontId="30" fillId="26" borderId="1" xfId="2" applyFont="1" applyFill="1" applyBorder="1" applyAlignment="1">
      <alignment horizontal="center" vertical="center" wrapText="1"/>
    </xf>
    <xf numFmtId="0" fontId="36" fillId="12" borderId="8" xfId="0" applyFont="1" applyFill="1" applyBorder="1" applyAlignment="1" applyProtection="1">
      <alignment horizontal="left" vertical="center" wrapText="1"/>
      <protection hidden="1"/>
    </xf>
    <xf numFmtId="0" fontId="41" fillId="14" borderId="0" xfId="4" applyFont="1" applyFill="1" applyBorder="1" applyAlignment="1">
      <alignment horizontal="center" vertical="center" wrapText="1"/>
    </xf>
    <xf numFmtId="0" fontId="35" fillId="6" borderId="1" xfId="2" applyFont="1" applyBorder="1" applyAlignment="1">
      <alignment horizontal="center" vertical="center" wrapText="1"/>
    </xf>
    <xf numFmtId="0" fontId="24" fillId="0" borderId="0" xfId="0" applyFont="1" applyAlignment="1">
      <alignment vertical="center"/>
    </xf>
    <xf numFmtId="0" fontId="11" fillId="9" borderId="18" xfId="3" applyFont="1" applyFill="1" applyBorder="1" applyAlignment="1">
      <alignment horizontal="center" vertical="center" wrapText="1"/>
    </xf>
    <xf numFmtId="0" fontId="58" fillId="28" borderId="29" xfId="9" applyAlignment="1">
      <alignment horizontal="center" vertical="center" wrapText="1"/>
    </xf>
    <xf numFmtId="0" fontId="11" fillId="9" borderId="1" xfId="3" applyFont="1" applyFill="1" applyBorder="1" applyAlignment="1">
      <alignment horizontal="right" vertical="center" wrapText="1"/>
    </xf>
    <xf numFmtId="0" fontId="25" fillId="9" borderId="9"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16" xfId="0" applyFont="1" applyFill="1" applyBorder="1" applyAlignment="1">
      <alignment vertical="center" wrapText="1"/>
    </xf>
    <xf numFmtId="0" fontId="59" fillId="28" borderId="29" xfId="9" applyFont="1" applyAlignment="1">
      <alignment horizontal="center" vertical="center" wrapText="1"/>
    </xf>
    <xf numFmtId="0" fontId="16" fillId="14" borderId="10" xfId="0" applyNumberFormat="1" applyFont="1" applyFill="1" applyBorder="1" applyAlignment="1">
      <alignment horizontal="center" vertical="center" wrapText="1"/>
    </xf>
    <xf numFmtId="0" fontId="25" fillId="0" borderId="1" xfId="0" applyNumberFormat="1" applyFont="1" applyBorder="1" applyAlignment="1" applyProtection="1">
      <alignment horizontal="center" vertical="center" wrapText="1"/>
    </xf>
    <xf numFmtId="0" fontId="0" fillId="14" borderId="0" xfId="0" applyNumberFormat="1" applyFill="1" applyAlignment="1">
      <alignment horizontal="center"/>
    </xf>
    <xf numFmtId="0" fontId="0" fillId="0" borderId="0" xfId="0" applyNumberFormat="1" applyAlignment="1">
      <alignment horizontal="center"/>
    </xf>
    <xf numFmtId="0" fontId="57" fillId="21" borderId="1" xfId="4" applyNumberFormat="1" applyFont="1" applyFill="1" applyBorder="1" applyAlignment="1">
      <alignment horizontal="center" vertical="center" wrapText="1"/>
    </xf>
    <xf numFmtId="9" fontId="25" fillId="0" borderId="1" xfId="6" applyFont="1" applyBorder="1" applyAlignment="1" applyProtection="1">
      <alignment horizontal="center" vertical="center" wrapText="1"/>
    </xf>
    <xf numFmtId="0" fontId="57" fillId="21" borderId="7" xfId="4" applyFont="1" applyFill="1" applyBorder="1" applyAlignment="1">
      <alignment horizontal="center" vertical="center" wrapText="1"/>
    </xf>
    <xf numFmtId="0" fontId="57" fillId="21" borderId="26" xfId="4" applyFont="1" applyFill="1" applyBorder="1" applyAlignment="1">
      <alignment horizontal="center" vertical="center" wrapText="1"/>
    </xf>
    <xf numFmtId="0" fontId="16" fillId="14" borderId="0" xfId="0" applyFont="1" applyFill="1" applyBorder="1" applyAlignment="1">
      <alignment horizontal="center" vertical="center" wrapText="1"/>
    </xf>
    <xf numFmtId="0" fontId="41" fillId="14" borderId="0" xfId="4"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26" fillId="0" borderId="6" xfId="0" applyFont="1" applyFill="1" applyBorder="1" applyAlignment="1" applyProtection="1">
      <alignment horizontal="center" vertical="center" wrapText="1"/>
      <protection hidden="1"/>
    </xf>
    <xf numFmtId="10" fontId="41" fillId="0" borderId="0" xfId="4" applyNumberFormat="1"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xf>
    <xf numFmtId="0" fontId="24" fillId="0" borderId="1" xfId="0" applyFont="1" applyBorder="1" applyAlignment="1" applyProtection="1">
      <alignment horizontal="center"/>
      <protection locked="0"/>
    </xf>
    <xf numFmtId="9" fontId="24" fillId="12" borderId="1" xfId="6" applyNumberFormat="1" applyFont="1" applyFill="1" applyBorder="1" applyAlignment="1">
      <alignment horizontal="center"/>
    </xf>
    <xf numFmtId="14" fontId="25" fillId="24" borderId="6" xfId="0" applyNumberFormat="1" applyFont="1" applyFill="1" applyBorder="1" applyAlignment="1" applyProtection="1">
      <alignment horizontal="left"/>
      <protection locked="0"/>
    </xf>
    <xf numFmtId="0" fontId="41" fillId="14" borderId="0" xfId="4" applyFont="1" applyFill="1" applyBorder="1" applyAlignment="1">
      <alignment vertical="center" wrapText="1"/>
    </xf>
    <xf numFmtId="0" fontId="41" fillId="14" borderId="26" xfId="4" applyFont="1" applyFill="1" applyBorder="1" applyAlignment="1">
      <alignment vertical="center" wrapText="1"/>
    </xf>
    <xf numFmtId="0" fontId="41" fillId="7" borderId="0" xfId="4" applyFont="1" applyFill="1" applyBorder="1" applyAlignment="1">
      <alignment horizontal="center" vertical="center" wrapText="1"/>
    </xf>
    <xf numFmtId="0" fontId="61" fillId="30" borderId="26" xfId="10" applyFont="1" applyBorder="1" applyAlignment="1">
      <alignment horizontal="center" vertical="center" wrapText="1"/>
    </xf>
    <xf numFmtId="0" fontId="41" fillId="7" borderId="30" xfId="4" applyFont="1" applyFill="1" applyBorder="1" applyAlignment="1">
      <alignment horizontal="center" vertical="center" wrapText="1"/>
    </xf>
    <xf numFmtId="0" fontId="61" fillId="31" borderId="30" xfId="4" applyFont="1" applyFill="1" applyBorder="1" applyAlignment="1">
      <alignment horizontal="center" vertical="center" wrapText="1"/>
    </xf>
    <xf numFmtId="9" fontId="60" fillId="7" borderId="1" xfId="3" applyNumberFormat="1" applyFont="1" applyFill="1" applyBorder="1" applyAlignment="1">
      <alignment vertical="center" wrapText="1"/>
    </xf>
    <xf numFmtId="0" fontId="60" fillId="29" borderId="1" xfId="3" applyNumberFormat="1" applyFont="1" applyFill="1" applyBorder="1" applyAlignment="1">
      <alignment vertical="center" wrapText="1"/>
    </xf>
    <xf numFmtId="0" fontId="66" fillId="32" borderId="30" xfId="4" applyFont="1" applyFill="1" applyBorder="1" applyAlignment="1">
      <alignment horizontal="center" vertical="center" wrapText="1"/>
    </xf>
    <xf numFmtId="0" fontId="67" fillId="33" borderId="30" xfId="4" applyFont="1" applyFill="1" applyBorder="1" applyAlignment="1">
      <alignment horizontal="center" vertical="center" wrapText="1"/>
    </xf>
    <xf numFmtId="0" fontId="68" fillId="26" borderId="30" xfId="4" applyFont="1" applyFill="1" applyBorder="1" applyAlignment="1">
      <alignment horizontal="center" vertical="center" wrapText="1"/>
    </xf>
    <xf numFmtId="0" fontId="69" fillId="31" borderId="30" xfId="4" applyFont="1" applyFill="1" applyBorder="1" applyAlignment="1">
      <alignment horizontal="center" vertical="center" wrapText="1"/>
    </xf>
    <xf numFmtId="0" fontId="70" fillId="14" borderId="10" xfId="0" applyFont="1" applyFill="1" applyBorder="1" applyAlignment="1">
      <alignment horizontal="center" vertical="center" wrapText="1"/>
    </xf>
    <xf numFmtId="0" fontId="36" fillId="0" borderId="0" xfId="0" applyFont="1" applyAlignment="1">
      <alignment vertical="center" wrapText="1"/>
    </xf>
    <xf numFmtId="0" fontId="71" fillId="6" borderId="1" xfId="2" applyFont="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29" fillId="15" borderId="0" xfId="0" applyFont="1" applyFill="1" applyBorder="1" applyAlignment="1">
      <alignment vertical="center" wrapText="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0" borderId="0" xfId="0" applyFont="1" applyAlignment="1">
      <alignment horizontal="center" vertical="center" wrapText="1"/>
    </xf>
    <xf numFmtId="0" fontId="26" fillId="13" borderId="8" xfId="0" applyFont="1" applyFill="1" applyBorder="1" applyAlignment="1">
      <alignment horizontal="center" vertical="center" wrapText="1"/>
    </xf>
    <xf numFmtId="0" fontId="36" fillId="12" borderId="8" xfId="0" applyFont="1" applyFill="1" applyBorder="1" applyAlignment="1" applyProtection="1">
      <alignment horizontal="left" vertical="center" wrapText="1"/>
      <protection hidden="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4" fillId="0" borderId="1" xfId="0" applyFont="1" applyFill="1" applyBorder="1" applyAlignment="1" applyProtection="1">
      <alignment horizontal="center" vertical="center" wrapText="1"/>
    </xf>
    <xf numFmtId="0" fontId="62" fillId="32" borderId="31" xfId="4" applyFont="1" applyFill="1" applyBorder="1" applyAlignment="1">
      <alignment horizontal="center" vertical="center" wrapText="1"/>
    </xf>
    <xf numFmtId="0" fontId="64" fillId="33" borderId="31" xfId="4" applyFont="1" applyFill="1" applyBorder="1" applyAlignment="1">
      <alignment horizontal="center" vertical="center" wrapText="1"/>
    </xf>
    <xf numFmtId="0" fontId="63" fillId="26" borderId="31" xfId="4" applyFont="1" applyFill="1" applyBorder="1" applyAlignment="1">
      <alignment horizontal="center" vertical="center" wrapText="1"/>
    </xf>
    <xf numFmtId="0" fontId="65" fillId="31" borderId="31" xfId="4" applyFont="1" applyFill="1" applyBorder="1" applyAlignment="1">
      <alignment horizontal="center" vertical="center" wrapText="1"/>
    </xf>
    <xf numFmtId="0" fontId="25" fillId="0" borderId="32" xfId="0" applyNumberFormat="1" applyFont="1" applyBorder="1" applyAlignment="1" applyProtection="1">
      <alignment horizontal="center" vertical="center" wrapText="1"/>
    </xf>
    <xf numFmtId="0" fontId="24" fillId="12" borderId="1" xfId="0" applyFont="1" applyFill="1" applyBorder="1" applyAlignment="1" applyProtection="1">
      <alignment horizontal="left" vertical="center" wrapText="1"/>
      <protection hidden="1"/>
    </xf>
    <xf numFmtId="0" fontId="24" fillId="0" borderId="0" xfId="0" applyFont="1" applyAlignment="1">
      <alignment horizontal="center" vertical="center" wrapText="1"/>
    </xf>
    <xf numFmtId="0" fontId="24" fillId="12" borderId="1" xfId="0" applyFont="1" applyFill="1" applyBorder="1" applyAlignment="1" applyProtection="1">
      <alignment horizontal="center" vertical="center" wrapText="1"/>
      <protection hidden="1"/>
    </xf>
    <xf numFmtId="10" fontId="0" fillId="0" borderId="0" xfId="6" applyNumberFormat="1" applyFont="1" applyAlignment="1">
      <alignment horizontal="center" vertical="center"/>
    </xf>
    <xf numFmtId="10" fontId="25" fillId="12" borderId="1" xfId="0" applyNumberFormat="1"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28" fillId="34" borderId="34" xfId="11" applyFont="1" applyBorder="1" applyAlignment="1">
      <alignment horizontal="center" vertical="center" wrapText="1"/>
    </xf>
    <xf numFmtId="0" fontId="28" fillId="34" borderId="33" xfId="11" applyFont="1" applyAlignment="1" applyProtection="1">
      <alignment vertical="center" wrapText="1"/>
      <protection hidden="1"/>
    </xf>
    <xf numFmtId="0" fontId="38" fillId="0" borderId="0" xfId="0" applyFont="1" applyAlignment="1">
      <alignment wrapText="1"/>
    </xf>
    <xf numFmtId="1" fontId="0" fillId="14" borderId="0" xfId="0" applyNumberFormat="1" applyFill="1" applyBorder="1"/>
    <xf numFmtId="0" fontId="75" fillId="14" borderId="0" xfId="1" applyFont="1" applyFill="1" applyBorder="1" applyAlignment="1">
      <alignment horizontal="right" vertical="center"/>
    </xf>
    <xf numFmtId="0" fontId="46" fillId="14" borderId="0" xfId="1" applyFont="1" applyFill="1" applyBorder="1" applyAlignment="1">
      <alignment vertical="center"/>
    </xf>
    <xf numFmtId="10" fontId="25" fillId="14" borderId="0" xfId="6" applyNumberFormat="1" applyFont="1" applyFill="1" applyBorder="1" applyAlignment="1">
      <alignment horizontal="center"/>
    </xf>
    <xf numFmtId="10" fontId="0" fillId="14" borderId="0" xfId="6" applyNumberFormat="1" applyFont="1" applyFill="1" applyBorder="1"/>
    <xf numFmtId="10" fontId="0" fillId="14" borderId="0" xfId="6" applyNumberFormat="1" applyFont="1" applyFill="1" applyBorder="1" applyAlignment="1">
      <alignment horizontal="center" vertical="center"/>
    </xf>
    <xf numFmtId="10" fontId="25" fillId="14" borderId="0" xfId="0" applyNumberFormat="1" applyFont="1" applyFill="1" applyBorder="1" applyAlignment="1">
      <alignment horizontal="center" vertical="center" wrapText="1"/>
    </xf>
    <xf numFmtId="10" fontId="25" fillId="37" borderId="1" xfId="0" applyNumberFormat="1" applyFont="1" applyFill="1" applyBorder="1" applyAlignment="1">
      <alignment horizontal="center" vertical="center" wrapText="1"/>
    </xf>
    <xf numFmtId="0" fontId="25" fillId="29" borderId="10"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54" fillId="29" borderId="8" xfId="5" applyFont="1" applyFill="1" applyBorder="1" applyAlignment="1" applyProtection="1">
      <alignment horizontal="center" vertical="center"/>
      <protection locked="0"/>
    </xf>
    <xf numFmtId="0" fontId="54" fillId="11" borderId="8" xfId="5" applyFont="1" applyFill="1" applyBorder="1" applyAlignment="1" applyProtection="1">
      <alignment horizontal="center" vertical="center"/>
      <protection locked="0"/>
    </xf>
    <xf numFmtId="0" fontId="6" fillId="29" borderId="8" xfId="5" applyFill="1" applyBorder="1" applyAlignment="1" applyProtection="1">
      <alignment horizontal="center" vertical="center"/>
      <protection locked="0"/>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1" xfId="0" applyFont="1" applyFill="1" applyBorder="1" applyAlignment="1" applyProtection="1">
      <alignment horizontal="center" vertical="center" wrapText="1"/>
      <protection hidden="1"/>
    </xf>
    <xf numFmtId="9" fontId="34" fillId="0" borderId="28" xfId="0" applyNumberFormat="1" applyFont="1" applyBorder="1" applyAlignment="1" applyProtection="1">
      <alignment horizontal="center" vertical="center" wrapText="1"/>
    </xf>
    <xf numFmtId="9" fontId="47" fillId="0" borderId="1" xfId="0" applyNumberFormat="1" applyFont="1" applyBorder="1" applyAlignment="1" applyProtection="1">
      <alignment horizontal="center" vertical="center" wrapText="1"/>
    </xf>
    <xf numFmtId="0" fontId="57" fillId="21" borderId="1"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57" fillId="21" borderId="1"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9" fontId="0" fillId="14" borderId="0" xfId="0" applyNumberFormat="1" applyFill="1" applyBorder="1"/>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8"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41" fillId="14" borderId="0" xfId="4"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0" borderId="0" xfId="0" applyFont="1" applyAlignment="1">
      <alignment horizontal="center" vertical="center" wrapText="1"/>
    </xf>
    <xf numFmtId="0" fontId="41" fillId="14" borderId="0" xfId="4" applyFont="1" applyFill="1" applyBorder="1" applyAlignment="1">
      <alignment horizontal="center" vertical="center" wrapText="1"/>
    </xf>
    <xf numFmtId="0" fontId="57" fillId="21" borderId="1"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6" fillId="11" borderId="8" xfId="5" applyFill="1" applyBorder="1" applyAlignment="1" applyProtection="1">
      <alignment horizontal="center" vertical="center"/>
      <protection locked="0"/>
    </xf>
    <xf numFmtId="0" fontId="6" fillId="14" borderId="0" xfId="5" applyFill="1" applyAlignment="1" applyProtection="1">
      <alignment horizontal="center"/>
    </xf>
    <xf numFmtId="9" fontId="47" fillId="0" borderId="1" xfId="0" applyNumberFormat="1" applyFont="1" applyBorder="1" applyAlignment="1" applyProtection="1">
      <alignment horizontal="center" vertical="center" wrapText="1"/>
    </xf>
    <xf numFmtId="0" fontId="41" fillId="7" borderId="49" xfId="4" applyFont="1" applyFill="1" applyBorder="1" applyAlignment="1">
      <alignment horizontal="center" vertical="center" wrapText="1"/>
    </xf>
    <xf numFmtId="0" fontId="67" fillId="33" borderId="49" xfId="4" applyFont="1" applyFill="1" applyBorder="1" applyAlignment="1">
      <alignment horizontal="center" vertical="center" wrapText="1"/>
    </xf>
    <xf numFmtId="0" fontId="61" fillId="14" borderId="0" xfId="10" applyFont="1" applyFill="1" applyBorder="1" applyAlignment="1">
      <alignment horizontal="center" vertical="center" wrapText="1"/>
    </xf>
    <xf numFmtId="0" fontId="61" fillId="14" borderId="0" xfId="4" applyFont="1" applyFill="1" applyBorder="1" applyAlignment="1">
      <alignment horizontal="center" vertical="center" wrapText="1"/>
    </xf>
    <xf numFmtId="0" fontId="66" fillId="14" borderId="50" xfId="4" applyFont="1" applyFill="1" applyBorder="1" applyAlignment="1">
      <alignment horizontal="center" vertical="center" wrapText="1"/>
    </xf>
    <xf numFmtId="0" fontId="66" fillId="14" borderId="51" xfId="4" applyFont="1" applyFill="1" applyBorder="1" applyAlignment="1">
      <alignment horizontal="center" vertical="center" wrapText="1"/>
    </xf>
    <xf numFmtId="0" fontId="79" fillId="40" borderId="30" xfId="4" applyFont="1" applyFill="1" applyBorder="1" applyAlignment="1">
      <alignment horizontal="center" vertical="center" wrapText="1"/>
    </xf>
    <xf numFmtId="0" fontId="80" fillId="41" borderId="49" xfId="4" applyFont="1" applyFill="1" applyBorder="1" applyAlignment="1">
      <alignment horizontal="center" vertical="center" wrapText="1"/>
    </xf>
    <xf numFmtId="0" fontId="81" fillId="29" borderId="49" xfId="4" applyFont="1" applyFill="1" applyBorder="1" applyAlignment="1">
      <alignment horizontal="center" vertical="center" wrapText="1"/>
    </xf>
    <xf numFmtId="0" fontId="81" fillId="29" borderId="30" xfId="4" applyFont="1" applyFill="1" applyBorder="1" applyAlignment="1">
      <alignment horizontal="center" vertical="center" wrapText="1"/>
    </xf>
    <xf numFmtId="9" fontId="30" fillId="7" borderId="17" xfId="3" applyNumberFormat="1" applyFont="1" applyFill="1" applyBorder="1" applyAlignment="1">
      <alignment horizontal="left" vertical="center" wrapText="1"/>
    </xf>
    <xf numFmtId="0" fontId="30" fillId="42" borderId="14" xfId="3" applyNumberFormat="1" applyFont="1" applyFill="1" applyBorder="1" applyAlignment="1">
      <alignment horizontal="center" vertical="center" wrapText="1"/>
    </xf>
    <xf numFmtId="0" fontId="34" fillId="29" borderId="1" xfId="7" applyFont="1" applyFill="1" applyBorder="1" applyAlignment="1">
      <alignment horizontal="right" vertical="center" wrapText="1"/>
    </xf>
    <xf numFmtId="9" fontId="34" fillId="0" borderId="19" xfId="0" applyNumberFormat="1" applyFont="1" applyBorder="1" applyAlignment="1" applyProtection="1">
      <alignment horizontal="center" vertical="center" wrapText="1"/>
    </xf>
    <xf numFmtId="0" fontId="34" fillId="7" borderId="18" xfId="7" applyFont="1" applyFill="1" applyBorder="1" applyAlignment="1">
      <alignment horizontal="right" vertical="center" wrapText="1"/>
    </xf>
    <xf numFmtId="9" fontId="34" fillId="0" borderId="18" xfId="0" applyNumberFormat="1" applyFont="1" applyBorder="1" applyAlignment="1" applyProtection="1">
      <alignment horizontal="center" vertical="center" wrapText="1"/>
    </xf>
    <xf numFmtId="9" fontId="83" fillId="0" borderId="53" xfId="0" applyNumberFormat="1" applyFont="1" applyBorder="1" applyAlignment="1" applyProtection="1">
      <alignment horizontal="center" vertical="center" wrapText="1"/>
    </xf>
    <xf numFmtId="9" fontId="83" fillId="0" borderId="54" xfId="0" applyNumberFormat="1" applyFont="1" applyBorder="1" applyAlignment="1" applyProtection="1">
      <alignment horizontal="center" vertical="center" wrapText="1"/>
    </xf>
    <xf numFmtId="9" fontId="34" fillId="0" borderId="53" xfId="0" applyNumberFormat="1" applyFont="1" applyBorder="1" applyAlignment="1" applyProtection="1">
      <alignment horizontal="center" vertical="center" wrapText="1"/>
    </xf>
    <xf numFmtId="9" fontId="82" fillId="36" borderId="54" xfId="0" applyNumberFormat="1" applyFont="1" applyFill="1" applyBorder="1" applyAlignment="1" applyProtection="1">
      <alignment horizontal="center" vertical="center" wrapText="1"/>
    </xf>
    <xf numFmtId="0" fontId="34" fillId="40" borderId="19" xfId="8" applyFont="1" applyFill="1" applyBorder="1" applyAlignment="1">
      <alignment horizontal="right" vertical="center"/>
    </xf>
    <xf numFmtId="0" fontId="34" fillId="31" borderId="19" xfId="8" applyFont="1" applyFill="1" applyBorder="1" applyAlignment="1">
      <alignment horizontal="right" vertical="center"/>
    </xf>
    <xf numFmtId="9" fontId="85" fillId="14" borderId="0" xfId="0" applyNumberFormat="1" applyFont="1" applyFill="1" applyBorder="1" applyAlignment="1">
      <alignment horizontal="left"/>
    </xf>
    <xf numFmtId="1" fontId="25" fillId="0" borderId="1" xfId="0" applyNumberFormat="1" applyFont="1" applyBorder="1"/>
    <xf numFmtId="9" fontId="45" fillId="19" borderId="1" xfId="6" applyNumberFormat="1" applyFont="1" applyFill="1" applyBorder="1" applyAlignment="1">
      <alignment horizontal="center" vertical="center" wrapText="1"/>
    </xf>
    <xf numFmtId="9" fontId="5" fillId="0" borderId="0" xfId="6" applyNumberFormat="1" applyFont="1" applyAlignment="1">
      <alignment horizontal="center"/>
    </xf>
    <xf numFmtId="0" fontId="43" fillId="24" borderId="8" xfId="0" applyFont="1" applyFill="1" applyBorder="1" applyAlignment="1">
      <alignment horizontal="center"/>
    </xf>
    <xf numFmtId="0" fontId="43" fillId="0" borderId="0" xfId="0" applyFont="1"/>
    <xf numFmtId="10" fontId="43" fillId="14" borderId="0" xfId="6" applyNumberFormat="1" applyFont="1" applyFill="1" applyBorder="1" applyAlignment="1">
      <alignment horizontal="center"/>
    </xf>
    <xf numFmtId="0" fontId="25" fillId="12" borderId="1" xfId="0" applyFont="1" applyFill="1" applyBorder="1" applyAlignment="1" applyProtection="1">
      <alignment horizontal="center" vertical="center" wrapText="1"/>
      <protection hidden="1"/>
    </xf>
    <xf numFmtId="9" fontId="86" fillId="14" borderId="1" xfId="6" applyNumberFormat="1" applyFont="1" applyFill="1" applyBorder="1" applyAlignment="1" applyProtection="1">
      <alignment horizontal="center"/>
      <protection locked="0"/>
    </xf>
    <xf numFmtId="0" fontId="24" fillId="0" borderId="1" xfId="6" applyNumberFormat="1" applyFont="1" applyBorder="1" applyAlignment="1" applyProtection="1">
      <alignment horizontal="center" vertical="center"/>
      <protection locked="0"/>
    </xf>
    <xf numFmtId="0" fontId="24" fillId="0" borderId="1" xfId="0" applyFont="1" applyBorder="1" applyAlignment="1" applyProtection="1">
      <alignment horizontal="left" wrapText="1"/>
      <protection locked="0"/>
    </xf>
    <xf numFmtId="9" fontId="24" fillId="12" borderId="1" xfId="6" applyNumberFormat="1" applyFont="1" applyFill="1" applyBorder="1" applyAlignment="1">
      <alignment horizontal="center" vertical="center"/>
    </xf>
    <xf numFmtId="9" fontId="86" fillId="14" borderId="1" xfId="6" applyNumberFormat="1" applyFont="1" applyFill="1" applyBorder="1" applyAlignment="1" applyProtection="1">
      <alignment horizontal="center" vertical="center"/>
      <protection locked="0"/>
    </xf>
    <xf numFmtId="0" fontId="24" fillId="0" borderId="1" xfId="0" applyFont="1" applyBorder="1" applyAlignment="1" applyProtection="1">
      <alignment vertical="center"/>
      <protection locked="0"/>
    </xf>
    <xf numFmtId="0" fontId="24" fillId="0" borderId="1" xfId="0" applyFont="1" applyBorder="1" applyAlignment="1" applyProtection="1">
      <alignment horizontal="center" vertical="center"/>
      <protection locked="0"/>
    </xf>
    <xf numFmtId="0" fontId="28" fillId="34" borderId="33" xfId="11" applyFont="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5" fillId="12" borderId="1" xfId="0" applyFont="1" applyFill="1" applyBorder="1" applyAlignment="1" applyProtection="1">
      <alignment horizontal="center" vertical="center" wrapText="1"/>
      <protection hidden="1"/>
    </xf>
    <xf numFmtId="0" fontId="24" fillId="0" borderId="0" xfId="0" applyFont="1" applyAlignment="1">
      <alignment horizontal="center" vertical="center" wrapText="1"/>
    </xf>
    <xf numFmtId="0" fontId="24" fillId="12"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0" fontId="24" fillId="0" borderId="11" xfId="12" applyFont="1" applyBorder="1" applyAlignment="1" applyProtection="1">
      <alignment horizontal="left" vertical="center" wrapText="1"/>
      <protection locked="0"/>
    </xf>
    <xf numFmtId="0" fontId="24" fillId="0" borderId="12" xfId="12" applyFont="1" applyBorder="1" applyAlignment="1" applyProtection="1">
      <alignment horizontal="left" vertical="center" wrapText="1"/>
      <protection locked="0"/>
    </xf>
    <xf numFmtId="0" fontId="24" fillId="0" borderId="2" xfId="12" applyFont="1" applyBorder="1" applyAlignment="1" applyProtection="1">
      <alignment horizontal="left" vertical="center" wrapText="1"/>
      <protection locked="0"/>
    </xf>
    <xf numFmtId="0" fontId="24" fillId="0" borderId="3" xfId="12" applyFont="1" applyBorder="1" applyAlignment="1" applyProtection="1">
      <alignment horizontal="left" vertical="center" wrapText="1"/>
      <protection locked="0"/>
    </xf>
    <xf numFmtId="0" fontId="24" fillId="0" borderId="35" xfId="0" applyFont="1" applyBorder="1" applyAlignment="1" applyProtection="1">
      <alignment vertical="center" wrapText="1"/>
    </xf>
    <xf numFmtId="0" fontId="24" fillId="0" borderId="36" xfId="0" applyFont="1" applyBorder="1" applyAlignment="1" applyProtection="1">
      <alignment vertical="center" wrapText="1"/>
    </xf>
    <xf numFmtId="0" fontId="24" fillId="0" borderId="22" xfId="0" applyFont="1" applyBorder="1" applyAlignment="1" applyProtection="1">
      <alignment vertical="center" wrapText="1"/>
    </xf>
    <xf numFmtId="0" fontId="24" fillId="0" borderId="0" xfId="0" applyFont="1" applyBorder="1" applyAlignment="1" applyProtection="1">
      <alignment vertical="center" wrapText="1"/>
    </xf>
    <xf numFmtId="0" fontId="24" fillId="0" borderId="15" xfId="0" applyFont="1" applyBorder="1" applyAlignment="1" applyProtection="1">
      <alignment vertical="center" wrapText="1"/>
    </xf>
    <xf numFmtId="0" fontId="24" fillId="0" borderId="9" xfId="0" applyFont="1" applyBorder="1" applyAlignment="1" applyProtection="1">
      <alignment vertical="center" wrapText="1"/>
    </xf>
    <xf numFmtId="0" fontId="24" fillId="0" borderId="10" xfId="0" applyFont="1" applyBorder="1" applyAlignment="1" applyProtection="1">
      <alignment vertical="center" wrapText="1"/>
    </xf>
    <xf numFmtId="0" fontId="24" fillId="0" borderId="16" xfId="0" applyFont="1" applyBorder="1" applyAlignment="1" applyProtection="1">
      <alignment vertical="center" wrapText="1"/>
    </xf>
    <xf numFmtId="0" fontId="24" fillId="0" borderId="1" xfId="13" applyFont="1" applyFill="1" applyBorder="1" applyAlignment="1" applyProtection="1">
      <alignment horizontal="center" vertical="center" wrapText="1"/>
      <protection hidden="1"/>
    </xf>
    <xf numFmtId="0" fontId="24" fillId="0" borderId="19" xfId="13"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36" fillId="0" borderId="1" xfId="13" applyFont="1" applyFill="1" applyBorder="1" applyAlignment="1" applyProtection="1">
      <alignment horizontal="left" vertical="center" wrapText="1"/>
      <protection hidden="1"/>
    </xf>
    <xf numFmtId="0" fontId="36" fillId="0" borderId="1" xfId="0" applyFont="1" applyFill="1" applyBorder="1" applyAlignment="1" applyProtection="1">
      <alignment horizontal="left" vertical="center" wrapText="1"/>
      <protection hidden="1"/>
    </xf>
    <xf numFmtId="0" fontId="87" fillId="0" borderId="1" xfId="0" applyFont="1" applyFill="1" applyBorder="1" applyAlignment="1" applyProtection="1">
      <alignment horizontal="left" vertical="center" wrapText="1"/>
      <protection locked="0"/>
    </xf>
    <xf numFmtId="0" fontId="88" fillId="0" borderId="1" xfId="0" applyFont="1" applyFill="1" applyBorder="1" applyAlignment="1">
      <alignment horizontal="center" vertical="center" wrapText="1"/>
    </xf>
    <xf numFmtId="0" fontId="36" fillId="0" borderId="19" xfId="13" applyFont="1" applyFill="1" applyBorder="1" applyAlignment="1" applyProtection="1">
      <alignment horizontal="left" vertical="center" wrapText="1"/>
      <protection hidden="1"/>
    </xf>
    <xf numFmtId="0" fontId="88" fillId="0" borderId="19" xfId="0" applyFont="1" applyFill="1" applyBorder="1" applyAlignment="1">
      <alignment horizontal="center" vertical="center" wrapText="1"/>
    </xf>
    <xf numFmtId="0" fontId="36" fillId="0" borderId="19" xfId="0" applyFont="1" applyFill="1" applyBorder="1" applyAlignment="1" applyProtection="1">
      <alignment horizontal="left" vertical="center" wrapText="1"/>
      <protection hidden="1"/>
    </xf>
    <xf numFmtId="0" fontId="30" fillId="34" borderId="34" xfId="11" applyFont="1" applyBorder="1" applyAlignment="1">
      <alignment horizontal="center" vertical="center" wrapText="1"/>
    </xf>
    <xf numFmtId="0" fontId="30" fillId="34" borderId="33" xfId="11" applyFont="1" applyAlignment="1">
      <alignment horizontal="center" vertical="center" wrapText="1"/>
    </xf>
    <xf numFmtId="0" fontId="36" fillId="0" borderId="55" xfId="13" applyFont="1" applyFill="1" applyBorder="1" applyAlignment="1" applyProtection="1">
      <alignment horizontal="left" vertical="center" wrapText="1"/>
      <protection hidden="1"/>
    </xf>
    <xf numFmtId="0" fontId="87" fillId="0" borderId="19" xfId="0" applyFont="1" applyFill="1" applyBorder="1" applyAlignment="1" applyProtection="1">
      <alignment horizontal="left" vertical="center" wrapText="1"/>
      <protection locked="0"/>
    </xf>
    <xf numFmtId="0" fontId="87" fillId="0" borderId="18" xfId="0" applyFont="1" applyFill="1" applyBorder="1" applyAlignment="1" applyProtection="1">
      <alignment horizontal="left" vertical="center" wrapText="1"/>
      <protection locked="0"/>
    </xf>
    <xf numFmtId="0" fontId="24"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1"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center" vertical="center" wrapText="1"/>
    </xf>
    <xf numFmtId="9" fontId="47" fillId="0" borderId="0" xfId="0" applyNumberFormat="1" applyFont="1" applyFill="1" applyBorder="1" applyAlignment="1" applyProtection="1">
      <alignment horizontal="left" vertical="center" wrapText="1"/>
    </xf>
    <xf numFmtId="0" fontId="47" fillId="0" borderId="1" xfId="13" applyFont="1" applyBorder="1" applyAlignment="1" applyProtection="1">
      <alignment vertical="center" wrapText="1"/>
      <protection locked="0"/>
    </xf>
    <xf numFmtId="0" fontId="47" fillId="0" borderId="1" xfId="13"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47" fillId="0" borderId="1" xfId="0" applyFont="1" applyBorder="1" applyAlignment="1" applyProtection="1">
      <alignment horizontal="justify" vertical="center" wrapText="1"/>
      <protection locked="0"/>
    </xf>
    <xf numFmtId="0" fontId="36" fillId="0" borderId="1" xfId="6" applyNumberFormat="1" applyFont="1" applyBorder="1" applyAlignment="1" applyProtection="1">
      <alignment horizontal="center" vertical="center"/>
      <protection locked="0"/>
    </xf>
    <xf numFmtId="0" fontId="36" fillId="0" borderId="1" xfId="0" applyFont="1" applyBorder="1" applyAlignment="1" applyProtection="1">
      <alignment horizontal="left" wrapText="1"/>
      <protection locked="0"/>
    </xf>
    <xf numFmtId="0" fontId="36" fillId="0" borderId="1" xfId="0" applyFont="1" applyBorder="1" applyAlignment="1" applyProtection="1">
      <alignment horizontal="left" vertical="center" wrapText="1"/>
      <protection locked="0"/>
    </xf>
    <xf numFmtId="0" fontId="90" fillId="0" borderId="1" xfId="0" applyNumberFormat="1" applyFont="1" applyBorder="1" applyAlignment="1" applyProtection="1">
      <alignment horizontal="center" vertical="center" wrapText="1"/>
    </xf>
    <xf numFmtId="9" fontId="90" fillId="0" borderId="1" xfId="6" applyFont="1" applyBorder="1" applyAlignment="1" applyProtection="1">
      <alignment horizontal="center" vertical="center" wrapText="1"/>
    </xf>
    <xf numFmtId="0" fontId="90" fillId="0" borderId="0" xfId="0" applyNumberFormat="1" applyFont="1" applyFill="1" applyBorder="1" applyAlignment="1" applyProtection="1">
      <alignment horizontal="center" vertical="center" wrapText="1"/>
    </xf>
    <xf numFmtId="9" fontId="36" fillId="0" borderId="1" xfId="6" applyNumberFormat="1" applyFont="1" applyFill="1" applyBorder="1" applyAlignment="1" applyProtection="1">
      <alignment horizontal="center" vertical="center"/>
      <protection locked="0"/>
    </xf>
    <xf numFmtId="0" fontId="36" fillId="0" borderId="1" xfId="14" applyNumberFormat="1" applyFont="1" applyFill="1" applyBorder="1" applyAlignment="1" applyProtection="1">
      <alignment horizontal="center" vertical="center"/>
      <protection locked="0"/>
    </xf>
    <xf numFmtId="9" fontId="24" fillId="0" borderId="1" xfId="6" applyNumberFormat="1" applyFont="1" applyBorder="1" applyAlignment="1" applyProtection="1">
      <alignment horizontal="center" vertical="center"/>
      <protection locked="0"/>
    </xf>
    <xf numFmtId="166" fontId="36" fillId="0" borderId="1" xfId="6" applyNumberFormat="1" applyFont="1" applyBorder="1" applyAlignment="1" applyProtection="1">
      <alignment horizontal="center" vertical="center"/>
      <protection locked="0"/>
    </xf>
    <xf numFmtId="9" fontId="36" fillId="0" borderId="1" xfId="0" applyNumberFormat="1" applyFont="1" applyBorder="1" applyAlignment="1" applyProtection="1">
      <alignment horizontal="center" vertical="center"/>
      <protection locked="0"/>
    </xf>
    <xf numFmtId="0" fontId="36" fillId="0" borderId="1" xfId="12" applyFont="1" applyBorder="1" applyAlignment="1" applyProtection="1">
      <alignment horizontal="left" wrapText="1"/>
      <protection locked="0"/>
    </xf>
    <xf numFmtId="0" fontId="36" fillId="0" borderId="1" xfId="0" applyFont="1" applyBorder="1" applyAlignment="1" applyProtection="1">
      <alignment vertical="center"/>
      <protection locked="0"/>
    </xf>
    <xf numFmtId="9" fontId="24" fillId="0" borderId="1" xfId="0" applyNumberFormat="1" applyFont="1" applyBorder="1" applyAlignment="1" applyProtection="1">
      <alignment horizontal="center" vertical="center"/>
      <protection locked="0"/>
    </xf>
    <xf numFmtId="0" fontId="31" fillId="0" borderId="1" xfId="6" applyNumberFormat="1" applyFont="1" applyBorder="1" applyAlignment="1" applyProtection="1">
      <alignment horizontal="center" vertical="center"/>
      <protection locked="0"/>
    </xf>
    <xf numFmtId="0" fontId="86" fillId="0" borderId="1" xfId="0" applyFont="1" applyBorder="1" applyAlignment="1" applyProtection="1">
      <alignment horizontal="left" vertical="center" wrapText="1"/>
      <protection locked="0"/>
    </xf>
    <xf numFmtId="4" fontId="31" fillId="0" borderId="1" xfId="6" applyNumberFormat="1" applyFont="1" applyBorder="1" applyAlignment="1" applyProtection="1">
      <alignment horizontal="center" vertical="center"/>
      <protection locked="0"/>
    </xf>
    <xf numFmtId="0" fontId="24" fillId="0" borderId="0" xfId="0" applyFont="1" applyAlignment="1" applyProtection="1">
      <alignment wrapText="1"/>
      <protection locked="0"/>
    </xf>
    <xf numFmtId="0" fontId="47" fillId="0" borderId="0" xfId="0" applyFont="1" applyAlignment="1" applyProtection="1">
      <alignment wrapText="1"/>
      <protection locked="0"/>
    </xf>
    <xf numFmtId="9" fontId="24" fillId="0" borderId="1" xfId="0" applyNumberFormat="1" applyFont="1" applyBorder="1" applyAlignment="1" applyProtection="1">
      <alignment vertical="center"/>
      <protection locked="0"/>
    </xf>
    <xf numFmtId="0" fontId="31" fillId="0" borderId="1" xfId="0" applyFont="1" applyBorder="1" applyAlignment="1" applyProtection="1">
      <alignment horizontal="left" vertical="center" wrapText="1"/>
      <protection locked="0"/>
    </xf>
    <xf numFmtId="2" fontId="24" fillId="0" borderId="1" xfId="0" applyNumberFormat="1" applyFont="1" applyBorder="1" applyAlignment="1" applyProtection="1">
      <alignment horizontal="center" vertical="center"/>
      <protection locked="0"/>
    </xf>
    <xf numFmtId="9" fontId="24" fillId="0" borderId="1" xfId="6" applyFont="1" applyBorder="1" applyAlignment="1" applyProtection="1">
      <alignment horizontal="center" vertical="center"/>
      <protection locked="0"/>
    </xf>
    <xf numFmtId="0" fontId="24" fillId="14" borderId="17" xfId="0" applyFont="1" applyFill="1" applyBorder="1" applyAlignment="1">
      <alignment horizontal="center" vertical="center" wrapText="1"/>
    </xf>
    <xf numFmtId="0" fontId="24" fillId="14" borderId="26" xfId="0" applyFont="1" applyFill="1" applyBorder="1" applyAlignment="1">
      <alignment horizontal="center" vertical="center" wrapText="1"/>
    </xf>
    <xf numFmtId="0" fontId="24" fillId="14" borderId="14" xfId="0" applyFont="1" applyFill="1" applyBorder="1" applyAlignment="1">
      <alignment horizontal="center" vertical="center" wrapText="1"/>
    </xf>
    <xf numFmtId="0" fontId="24" fillId="0" borderId="9" xfId="0" applyFont="1" applyBorder="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24" fillId="0" borderId="7"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5" fillId="9" borderId="19"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9" fillId="15" borderId="1" xfId="0" applyFont="1" applyFill="1" applyBorder="1" applyAlignment="1">
      <alignment horizontal="center" vertical="center" wrapText="1"/>
    </xf>
    <xf numFmtId="0" fontId="29" fillId="15" borderId="19" xfId="0" applyFont="1" applyFill="1" applyBorder="1" applyAlignment="1">
      <alignment horizontal="center" vertical="center" wrapText="1"/>
    </xf>
    <xf numFmtId="0" fontId="24" fillId="0" borderId="20"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25" fillId="9" borderId="22" xfId="0" applyFont="1" applyFill="1" applyBorder="1" applyAlignment="1">
      <alignment horizontal="left" vertical="center" wrapText="1"/>
    </xf>
    <xf numFmtId="0" fontId="25" fillId="9" borderId="9" xfId="0" applyFont="1" applyFill="1" applyBorder="1" applyAlignment="1">
      <alignment horizontal="left" vertical="center" wrapText="1"/>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14" fontId="24" fillId="0" borderId="20" xfId="0" applyNumberFormat="1" applyFont="1" applyBorder="1" applyAlignment="1" applyProtection="1">
      <alignment horizontal="left" vertical="center" wrapText="1"/>
      <protection locked="0"/>
    </xf>
    <xf numFmtId="14" fontId="24" fillId="0" borderId="21" xfId="0" applyNumberFormat="1" applyFont="1" applyBorder="1" applyAlignment="1" applyProtection="1">
      <alignment horizontal="left" vertical="center" wrapText="1"/>
      <protection locked="0"/>
    </xf>
    <xf numFmtId="0" fontId="25" fillId="7" borderId="7"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4" fillId="0" borderId="7" xfId="12" applyFont="1" applyBorder="1" applyAlignment="1" applyProtection="1">
      <alignment horizontal="left" vertical="center" wrapText="1"/>
      <protection locked="0"/>
    </xf>
    <xf numFmtId="0" fontId="24" fillId="0" borderId="6" xfId="12" applyFont="1" applyBorder="1" applyAlignment="1" applyProtection="1">
      <alignment horizontal="left" vertical="center" wrapText="1"/>
      <protection locked="0"/>
    </xf>
    <xf numFmtId="0" fontId="36" fillId="0" borderId="19" xfId="0" applyFont="1" applyBorder="1" applyAlignment="1" applyProtection="1">
      <alignment horizontal="left" vertical="top" wrapText="1"/>
    </xf>
    <xf numFmtId="0" fontId="36" fillId="0" borderId="25" xfId="0" applyFont="1" applyBorder="1" applyAlignment="1" applyProtection="1">
      <alignment horizontal="left" vertical="top" wrapText="1"/>
    </xf>
    <xf numFmtId="0" fontId="36" fillId="0" borderId="18" xfId="0" applyFont="1" applyBorder="1" applyAlignment="1" applyProtection="1">
      <alignment horizontal="left" vertical="top" wrapText="1"/>
    </xf>
    <xf numFmtId="0" fontId="87" fillId="12" borderId="19" xfId="0" applyFont="1" applyFill="1" applyBorder="1" applyAlignment="1" applyProtection="1">
      <alignment horizontal="center" vertical="center" wrapText="1"/>
    </xf>
    <xf numFmtId="0" fontId="87" fillId="12" borderId="25" xfId="0" applyFont="1" applyFill="1" applyBorder="1" applyAlignment="1" applyProtection="1">
      <alignment horizontal="center" vertical="center" wrapText="1"/>
    </xf>
    <xf numFmtId="0" fontId="87" fillId="12" borderId="18" xfId="0" applyFont="1" applyFill="1" applyBorder="1" applyAlignment="1" applyProtection="1">
      <alignment horizontal="center" vertical="center" wrapText="1"/>
    </xf>
    <xf numFmtId="0" fontId="30" fillId="34" borderId="1" xfId="11" applyFont="1" applyBorder="1" applyAlignment="1">
      <alignment horizontal="center" vertical="center"/>
    </xf>
    <xf numFmtId="0" fontId="12" fillId="15" borderId="0" xfId="0" applyFont="1" applyFill="1" applyBorder="1" applyAlignment="1">
      <alignment horizontal="center" vertical="center"/>
    </xf>
    <xf numFmtId="0" fontId="12" fillId="15" borderId="15" xfId="0" applyFont="1" applyFill="1" applyBorder="1" applyAlignment="1">
      <alignment horizontal="center" vertical="center"/>
    </xf>
    <xf numFmtId="0" fontId="9" fillId="12" borderId="1" xfId="0" applyFont="1" applyFill="1" applyBorder="1" applyAlignment="1" applyProtection="1">
      <alignment horizontal="left"/>
      <protection hidden="1"/>
    </xf>
    <xf numFmtId="0" fontId="9" fillId="12" borderId="1" xfId="3" applyFont="1" applyFill="1" applyBorder="1" applyAlignment="1" applyProtection="1">
      <alignment horizontal="left" vertical="center" wrapText="1"/>
    </xf>
    <xf numFmtId="0" fontId="28" fillId="34" borderId="38" xfId="11" applyFont="1" applyBorder="1" applyAlignment="1" applyProtection="1">
      <alignment horizontal="center" vertical="center" wrapText="1"/>
      <protection hidden="1"/>
    </xf>
    <xf numFmtId="0" fontId="28" fillId="34" borderId="39" xfId="11" applyFont="1" applyBorder="1" applyAlignment="1" applyProtection="1">
      <alignment horizontal="center" vertical="center" wrapText="1"/>
      <protection hidden="1"/>
    </xf>
    <xf numFmtId="0" fontId="28" fillId="34" borderId="40" xfId="11" applyFont="1" applyBorder="1" applyAlignment="1" applyProtection="1">
      <alignment horizontal="center" vertical="center" wrapText="1"/>
      <protection hidden="1"/>
    </xf>
    <xf numFmtId="0" fontId="25" fillId="8" borderId="7"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26" xfId="0" applyFont="1" applyFill="1" applyBorder="1" applyAlignment="1">
      <alignment horizontal="center" vertical="center" wrapText="1"/>
    </xf>
    <xf numFmtId="0" fontId="16" fillId="14" borderId="14" xfId="0" applyFont="1" applyFill="1" applyBorder="1" applyAlignment="1">
      <alignment horizontal="center" vertical="center" wrapText="1"/>
    </xf>
    <xf numFmtId="0" fontId="16" fillId="14" borderId="22" xfId="0" applyFont="1" applyFill="1" applyBorder="1" applyAlignment="1">
      <alignment horizontal="center" vertical="center" wrapText="1"/>
    </xf>
    <xf numFmtId="0" fontId="16" fillId="14" borderId="0" xfId="0" applyFont="1" applyFill="1" applyBorder="1" applyAlignment="1">
      <alignment horizontal="center" vertical="center" wrapText="1"/>
    </xf>
    <xf numFmtId="0" fontId="16" fillId="14" borderId="15" xfId="0" applyFont="1" applyFill="1" applyBorder="1" applyAlignment="1">
      <alignment horizontal="center" vertical="center" wrapText="1"/>
    </xf>
    <xf numFmtId="0" fontId="16" fillId="14" borderId="9"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33" fillId="14" borderId="17" xfId="0" applyFont="1" applyFill="1" applyBorder="1" applyAlignment="1">
      <alignment horizontal="center" vertical="center" wrapText="1"/>
    </xf>
    <xf numFmtId="0" fontId="33" fillId="14" borderId="14" xfId="0" applyFont="1" applyFill="1" applyBorder="1" applyAlignment="1">
      <alignment horizontal="center" vertical="center" wrapText="1"/>
    </xf>
    <xf numFmtId="0" fontId="33" fillId="14" borderId="22"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33" fillId="14" borderId="9" xfId="0" applyFont="1" applyFill="1" applyBorder="1" applyAlignment="1">
      <alignment horizontal="center" vertical="center" wrapText="1"/>
    </xf>
    <xf numFmtId="0" fontId="33" fillId="14" borderId="16"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9" borderId="7" xfId="3" applyFont="1" applyFill="1" applyBorder="1" applyAlignment="1">
      <alignment horizontal="left" vertical="center" wrapText="1"/>
    </xf>
    <xf numFmtId="0" fontId="25" fillId="9" borderId="6" xfId="3" applyFont="1" applyFill="1" applyBorder="1" applyAlignment="1">
      <alignment horizontal="left" vertical="center" wrapText="1"/>
    </xf>
    <xf numFmtId="0" fontId="25" fillId="9" borderId="1" xfId="3" applyFont="1" applyFill="1" applyBorder="1" applyAlignment="1">
      <alignment horizontal="left" vertical="center" wrapText="1"/>
    </xf>
    <xf numFmtId="0" fontId="24" fillId="12" borderId="7" xfId="0" applyFont="1" applyFill="1" applyBorder="1" applyAlignment="1" applyProtection="1">
      <alignment horizontal="left" vertical="center" wrapText="1"/>
      <protection hidden="1"/>
    </xf>
    <xf numFmtId="0" fontId="24" fillId="12" borderId="8" xfId="0" applyFont="1" applyFill="1" applyBorder="1" applyAlignment="1" applyProtection="1">
      <alignment horizontal="left" vertical="center" wrapText="1"/>
      <protection hidden="1"/>
    </xf>
    <xf numFmtId="0" fontId="24" fillId="12" borderId="6" xfId="0" applyFont="1" applyFill="1" applyBorder="1" applyAlignment="1" applyProtection="1">
      <alignment horizontal="left" vertical="center" wrapText="1"/>
      <protection hidden="1"/>
    </xf>
    <xf numFmtId="0" fontId="2" fillId="34" borderId="42" xfId="11" applyFont="1" applyBorder="1" applyAlignment="1" applyProtection="1">
      <alignment horizontal="center" vertical="center" wrapText="1"/>
      <protection hidden="1"/>
    </xf>
    <xf numFmtId="0" fontId="2" fillId="34" borderId="43" xfId="11" applyFont="1" applyBorder="1" applyAlignment="1" applyProtection="1">
      <alignment horizontal="center" vertical="center" wrapText="1"/>
      <protection hidden="1"/>
    </xf>
    <xf numFmtId="0" fontId="2" fillId="34" borderId="34" xfId="11" applyFont="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4" fillId="12" borderId="19" xfId="0" applyFont="1" applyFill="1" applyBorder="1" applyAlignment="1" applyProtection="1">
      <alignment horizontal="center" vertical="center" wrapText="1"/>
      <protection hidden="1"/>
    </xf>
    <xf numFmtId="0" fontId="24" fillId="12" borderId="25" xfId="0" applyFont="1" applyFill="1" applyBorder="1" applyAlignment="1" applyProtection="1">
      <alignment horizontal="center" vertical="center" wrapText="1"/>
      <protection hidden="1"/>
    </xf>
    <xf numFmtId="0" fontId="24" fillId="12" borderId="18" xfId="0" applyFont="1" applyFill="1" applyBorder="1" applyAlignment="1" applyProtection="1">
      <alignment horizontal="center" vertical="center" wrapText="1"/>
      <protection hidden="1"/>
    </xf>
    <xf numFmtId="0" fontId="24" fillId="0" borderId="22"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5" fillId="12" borderId="1" xfId="0" applyFont="1" applyFill="1" applyBorder="1" applyAlignment="1" applyProtection="1">
      <alignment horizontal="center" vertical="center" wrapText="1"/>
      <protection hidden="1"/>
    </xf>
    <xf numFmtId="0" fontId="25" fillId="8" borderId="22"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5" borderId="7" xfId="4" applyFont="1" applyBorder="1" applyAlignment="1">
      <alignment horizontal="center" vertical="center" wrapText="1"/>
    </xf>
    <xf numFmtId="0" fontId="34" fillId="5" borderId="8" xfId="4" applyFont="1" applyBorder="1" applyAlignment="1">
      <alignment horizontal="center" vertical="center" wrapText="1"/>
    </xf>
    <xf numFmtId="0" fontId="34" fillId="5" borderId="6" xfId="4" applyFont="1" applyBorder="1" applyAlignment="1">
      <alignment horizontal="center" vertical="center" wrapText="1"/>
    </xf>
    <xf numFmtId="0" fontId="25"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6" fillId="13" borderId="7" xfId="0" applyFont="1" applyFill="1" applyBorder="1" applyAlignment="1">
      <alignment horizontal="center" vertical="center" wrapText="1"/>
    </xf>
    <xf numFmtId="0" fontId="26" fillId="13" borderId="8"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29" fillId="15" borderId="18"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34" fillId="11" borderId="41" xfId="0" applyFont="1" applyFill="1" applyBorder="1" applyAlignment="1" applyProtection="1">
      <alignment horizontal="center" vertical="center" wrapText="1"/>
      <protection hidden="1"/>
    </xf>
    <xf numFmtId="0" fontId="34" fillId="11" borderId="25" xfId="0" applyFont="1" applyFill="1" applyBorder="1" applyAlignment="1" applyProtection="1">
      <alignment horizontal="center" vertical="center" wrapText="1"/>
      <protection hidden="1"/>
    </xf>
    <xf numFmtId="0" fontId="34" fillId="11" borderId="18" xfId="0" applyFont="1" applyFill="1" applyBorder="1" applyAlignment="1" applyProtection="1">
      <alignment horizontal="center" vertical="center" wrapText="1"/>
      <protection hidden="1"/>
    </xf>
    <xf numFmtId="0" fontId="31" fillId="12" borderId="1" xfId="0" applyFont="1" applyFill="1" applyBorder="1" applyAlignment="1" applyProtection="1">
      <alignment horizontal="left" vertical="center" wrapText="1"/>
      <protection hidden="1"/>
    </xf>
    <xf numFmtId="0" fontId="31" fillId="12" borderId="19" xfId="0" applyFont="1" applyFill="1" applyBorder="1" applyAlignment="1" applyProtection="1">
      <alignment horizontal="left" vertical="center" wrapText="1"/>
      <protection hidden="1"/>
    </xf>
    <xf numFmtId="0" fontId="31" fillId="12" borderId="25" xfId="0" applyFont="1" applyFill="1" applyBorder="1" applyAlignment="1" applyProtection="1">
      <alignment horizontal="left" vertical="center" wrapText="1"/>
      <protection hidden="1"/>
    </xf>
    <xf numFmtId="0" fontId="31" fillId="12" borderId="18" xfId="0" applyFont="1" applyFill="1" applyBorder="1" applyAlignment="1" applyProtection="1">
      <alignment horizontal="left" vertical="center" wrapText="1"/>
      <protection hidden="1"/>
    </xf>
    <xf numFmtId="0" fontId="60" fillId="34" borderId="42" xfId="11" applyFont="1" applyBorder="1" applyAlignment="1" applyProtection="1">
      <alignment horizontal="center" vertical="center" wrapText="1"/>
      <protection hidden="1"/>
    </xf>
    <xf numFmtId="0" fontId="60" fillId="34" borderId="43" xfId="11" applyFont="1" applyBorder="1" applyAlignment="1" applyProtection="1">
      <alignment horizontal="center" vertical="center" wrapText="1"/>
      <protection hidden="1"/>
    </xf>
    <xf numFmtId="0" fontId="60" fillId="34" borderId="34" xfId="11" applyFont="1" applyBorder="1" applyAlignment="1" applyProtection="1">
      <alignment horizontal="center" vertical="center" wrapText="1"/>
      <protection hidden="1"/>
    </xf>
    <xf numFmtId="0" fontId="31" fillId="0" borderId="41"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24" fillId="12" borderId="1" xfId="0" applyFont="1" applyFill="1" applyBorder="1" applyAlignment="1" applyProtection="1">
      <alignment horizontal="center" vertical="center" wrapText="1"/>
      <protection hidden="1"/>
    </xf>
    <xf numFmtId="0" fontId="36" fillId="11" borderId="19" xfId="0" applyFont="1" applyFill="1" applyBorder="1" applyAlignment="1" applyProtection="1">
      <alignment horizontal="center" vertical="center" textRotation="90" wrapText="1"/>
      <protection hidden="1"/>
    </xf>
    <xf numFmtId="0" fontId="36" fillId="11" borderId="25" xfId="0" applyFont="1" applyFill="1" applyBorder="1" applyAlignment="1" applyProtection="1">
      <alignment horizontal="center" vertical="center" textRotation="90" wrapText="1"/>
      <protection hidden="1"/>
    </xf>
    <xf numFmtId="0" fontId="36" fillId="11" borderId="18" xfId="0" applyFont="1" applyFill="1" applyBorder="1" applyAlignment="1" applyProtection="1">
      <alignment horizontal="center" vertical="center" textRotation="90" wrapText="1"/>
      <protection hidden="1"/>
    </xf>
    <xf numFmtId="0" fontId="73" fillId="0" borderId="35" xfId="0" applyFont="1" applyBorder="1" applyAlignment="1" applyProtection="1">
      <alignment horizontal="center" vertical="center" wrapText="1"/>
    </xf>
    <xf numFmtId="0" fontId="73" fillId="0" borderId="37" xfId="0" applyFont="1" applyBorder="1" applyAlignment="1" applyProtection="1">
      <alignment horizontal="center" vertical="center" wrapText="1"/>
    </xf>
    <xf numFmtId="0" fontId="73" fillId="0" borderId="22" xfId="0" applyFont="1" applyBorder="1" applyAlignment="1" applyProtection="1">
      <alignment horizontal="center" vertical="center" wrapText="1"/>
    </xf>
    <xf numFmtId="0" fontId="73" fillId="0" borderId="15" xfId="0" applyFont="1" applyBorder="1" applyAlignment="1" applyProtection="1">
      <alignment horizontal="center" vertical="center" wrapText="1"/>
    </xf>
    <xf numFmtId="0" fontId="73" fillId="0" borderId="9" xfId="0" applyFont="1" applyBorder="1" applyAlignment="1" applyProtection="1">
      <alignment horizontal="center" vertical="center" wrapText="1"/>
    </xf>
    <xf numFmtId="0" fontId="73" fillId="0" borderId="16" xfId="0" applyFont="1" applyBorder="1" applyAlignment="1" applyProtection="1">
      <alignment horizontal="center" vertical="center" wrapText="1"/>
    </xf>
    <xf numFmtId="0" fontId="26" fillId="11" borderId="41" xfId="0" applyFont="1" applyFill="1" applyBorder="1" applyAlignment="1" applyProtection="1">
      <alignment horizontal="center" vertical="center" textRotation="90" wrapText="1"/>
      <protection hidden="1"/>
    </xf>
    <xf numFmtId="0" fontId="26" fillId="11" borderId="25" xfId="0" applyFont="1" applyFill="1" applyBorder="1" applyAlignment="1" applyProtection="1">
      <alignment horizontal="center" vertical="center" textRotation="90" wrapText="1"/>
      <protection hidden="1"/>
    </xf>
    <xf numFmtId="0" fontId="26" fillId="11" borderId="18" xfId="0" applyFont="1" applyFill="1" applyBorder="1" applyAlignment="1" applyProtection="1">
      <alignment horizontal="center" vertical="center" textRotation="90" wrapText="1"/>
      <protection hidden="1"/>
    </xf>
    <xf numFmtId="1" fontId="24" fillId="12" borderId="1" xfId="0" applyNumberFormat="1" applyFont="1" applyFill="1" applyBorder="1" applyAlignment="1" applyProtection="1">
      <alignment horizontal="center" vertical="center" wrapText="1"/>
      <protection hidden="1"/>
    </xf>
    <xf numFmtId="0" fontId="34" fillId="11" borderId="19" xfId="0" applyFont="1" applyFill="1" applyBorder="1" applyAlignment="1" applyProtection="1">
      <alignment horizontal="center" vertical="center" wrapText="1"/>
      <protection hidden="1"/>
    </xf>
    <xf numFmtId="0" fontId="26" fillId="11" borderId="19" xfId="0" applyFont="1" applyFill="1" applyBorder="1" applyAlignment="1" applyProtection="1">
      <alignment horizontal="center" vertical="center" textRotation="90" wrapText="1"/>
      <protection hidden="1"/>
    </xf>
    <xf numFmtId="0" fontId="71" fillId="6" borderId="1" xfId="2" applyFont="1" applyBorder="1" applyAlignment="1">
      <alignment horizontal="center" vertical="center" wrapText="1"/>
    </xf>
    <xf numFmtId="0" fontId="24" fillId="17" borderId="7" xfId="0" applyFont="1" applyFill="1" applyBorder="1" applyAlignment="1">
      <alignment horizontal="left" vertical="center" wrapText="1"/>
    </xf>
    <xf numFmtId="0" fontId="24" fillId="17" borderId="8" xfId="0" applyFont="1" applyFill="1" applyBorder="1" applyAlignment="1">
      <alignment horizontal="left" vertical="center" wrapText="1"/>
    </xf>
    <xf numFmtId="0" fontId="25" fillId="27" borderId="1"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25" fillId="9" borderId="7" xfId="0" applyFont="1" applyFill="1" applyBorder="1" applyAlignment="1">
      <alignment horizontal="right" vertical="center" wrapText="1"/>
    </xf>
    <xf numFmtId="0" fontId="25" fillId="9" borderId="6" xfId="0" applyFont="1" applyFill="1" applyBorder="1" applyAlignment="1">
      <alignment horizontal="right" vertical="center" wrapText="1"/>
    </xf>
    <xf numFmtId="0" fontId="1" fillId="34" borderId="42" xfId="11" applyFont="1" applyBorder="1" applyAlignment="1" applyProtection="1">
      <alignment horizontal="center" vertical="center" wrapText="1"/>
      <protection hidden="1"/>
    </xf>
    <xf numFmtId="0" fontId="1" fillId="34" borderId="43" xfId="11" applyFont="1" applyBorder="1" applyAlignment="1" applyProtection="1">
      <alignment horizontal="center" vertical="center" wrapText="1"/>
      <protection hidden="1"/>
    </xf>
    <xf numFmtId="0" fontId="1" fillId="34" borderId="34" xfId="11" applyFont="1" applyBorder="1" applyAlignment="1" applyProtection="1">
      <alignment horizontal="center" vertical="center" wrapText="1"/>
      <protection hidden="1"/>
    </xf>
    <xf numFmtId="0" fontId="47" fillId="12" borderId="1" xfId="0" applyFont="1" applyFill="1" applyBorder="1" applyAlignment="1" applyProtection="1">
      <alignment horizontal="left" vertical="center" wrapText="1"/>
      <protection hidden="1"/>
    </xf>
    <xf numFmtId="0" fontId="47" fillId="12" borderId="1" xfId="0" applyFont="1" applyFill="1" applyBorder="1" applyAlignment="1" applyProtection="1">
      <alignment horizontal="center" vertical="center" wrapText="1"/>
      <protection hidden="1"/>
    </xf>
    <xf numFmtId="0" fontId="25" fillId="8" borderId="1" xfId="0" applyFont="1" applyFill="1" applyBorder="1" applyAlignment="1">
      <alignment vertical="center" wrapText="1"/>
    </xf>
    <xf numFmtId="0" fontId="26" fillId="9" borderId="7"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29" fillId="15" borderId="10" xfId="0" applyFont="1" applyFill="1" applyBorder="1" applyAlignment="1">
      <alignment horizontal="center" vertical="center" wrapText="1"/>
    </xf>
    <xf numFmtId="10" fontId="0" fillId="0" borderId="15" xfId="6" applyNumberFormat="1" applyFont="1" applyBorder="1" applyAlignment="1">
      <alignment horizontal="center" vertical="center"/>
    </xf>
    <xf numFmtId="10" fontId="0" fillId="0" borderId="25" xfId="6" applyNumberFormat="1" applyFont="1" applyBorder="1" applyAlignment="1">
      <alignment horizontal="center" vertical="center"/>
    </xf>
    <xf numFmtId="10" fontId="25" fillId="12" borderId="1" xfId="0" applyNumberFormat="1" applyFont="1" applyFill="1" applyBorder="1" applyAlignment="1">
      <alignment horizontal="center" vertical="center" wrapText="1"/>
    </xf>
    <xf numFmtId="0" fontId="74" fillId="34" borderId="42" xfId="11" applyFont="1" applyBorder="1" applyAlignment="1" applyProtection="1">
      <alignment horizontal="center" vertical="center" wrapText="1"/>
      <protection hidden="1"/>
    </xf>
    <xf numFmtId="0" fontId="74" fillId="34" borderId="43" xfId="11" applyFont="1" applyBorder="1" applyAlignment="1" applyProtection="1">
      <alignment horizontal="center" vertical="center" wrapText="1"/>
      <protection hidden="1"/>
    </xf>
    <xf numFmtId="0" fontId="74" fillId="34" borderId="34" xfId="11" applyFont="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1" fontId="0" fillId="0" borderId="22" xfId="0" applyNumberFormat="1" applyBorder="1" applyAlignment="1">
      <alignment horizontal="center" vertical="center"/>
    </xf>
    <xf numFmtId="1" fontId="0" fillId="0" borderId="0" xfId="0" applyNumberFormat="1" applyBorder="1" applyAlignment="1">
      <alignment horizontal="center" vertical="center"/>
    </xf>
    <xf numFmtId="0" fontId="0" fillId="0" borderId="0" xfId="0" applyAlignment="1">
      <alignment horizontal="center" vertical="center"/>
    </xf>
    <xf numFmtId="10" fontId="0" fillId="0" borderId="0" xfId="6" applyNumberFormat="1" applyFont="1" applyAlignment="1">
      <alignment horizontal="center" vertical="center"/>
    </xf>
    <xf numFmtId="0" fontId="31" fillId="12" borderId="1" xfId="0" applyFont="1" applyFill="1" applyBorder="1" applyAlignment="1" applyProtection="1">
      <alignment horizontal="center" vertical="center" wrapText="1"/>
      <protection hidden="1"/>
    </xf>
    <xf numFmtId="0" fontId="75" fillId="36" borderId="1" xfId="1" applyFont="1" applyFill="1" applyBorder="1" applyAlignment="1">
      <alignment horizontal="right" vertical="center"/>
    </xf>
    <xf numFmtId="10" fontId="25" fillId="36" borderId="1" xfId="6" applyNumberFormat="1" applyFont="1" applyFill="1" applyBorder="1" applyAlignment="1">
      <alignment horizontal="center"/>
    </xf>
    <xf numFmtId="0" fontId="25" fillId="11" borderId="1" xfId="0" applyFont="1" applyFill="1" applyBorder="1" applyAlignment="1">
      <alignment horizontal="right" vertical="center"/>
    </xf>
    <xf numFmtId="10" fontId="34" fillId="0" borderId="1" xfId="6" applyNumberFormat="1" applyFont="1" applyBorder="1" applyAlignment="1">
      <alignment horizontal="center"/>
    </xf>
    <xf numFmtId="0" fontId="75" fillId="35" borderId="1" xfId="1" applyFont="1" applyFill="1" applyBorder="1" applyAlignment="1">
      <alignment horizontal="right" vertical="center"/>
    </xf>
    <xf numFmtId="10" fontId="25" fillId="0" borderId="1" xfId="6" applyNumberFormat="1" applyFont="1" applyBorder="1" applyAlignment="1">
      <alignment horizontal="center"/>
    </xf>
    <xf numFmtId="0" fontId="25" fillId="37" borderId="1" xfId="0" applyFont="1" applyFill="1" applyBorder="1" applyAlignment="1">
      <alignment horizontal="right" vertical="center"/>
    </xf>
    <xf numFmtId="10" fontId="34" fillId="37" borderId="1" xfId="6" applyNumberFormat="1" applyFont="1" applyFill="1" applyBorder="1" applyAlignment="1">
      <alignment horizontal="center"/>
    </xf>
    <xf numFmtId="0" fontId="29" fillId="15" borderId="0" xfId="0" applyFont="1" applyFill="1" applyBorder="1" applyAlignment="1">
      <alignment horizontal="center" vertical="center" wrapText="1"/>
    </xf>
    <xf numFmtId="0" fontId="25" fillId="18" borderId="1" xfId="0" applyFont="1" applyFill="1" applyBorder="1" applyAlignment="1">
      <alignment horizontal="center"/>
    </xf>
    <xf numFmtId="10" fontId="40" fillId="22" borderId="1" xfId="0" applyNumberFormat="1" applyFont="1" applyFill="1" applyBorder="1" applyAlignment="1">
      <alignment horizontal="center" vertical="center" wrapText="1"/>
    </xf>
    <xf numFmtId="0" fontId="40" fillId="21" borderId="18" xfId="0" applyFont="1" applyFill="1" applyBorder="1" applyAlignment="1">
      <alignment horizontal="center"/>
    </xf>
    <xf numFmtId="0" fontId="25" fillId="24" borderId="8" xfId="0" applyFont="1" applyFill="1" applyBorder="1" applyAlignment="1">
      <alignment horizontal="center"/>
    </xf>
    <xf numFmtId="0" fontId="40" fillId="21" borderId="9" xfId="0" applyFont="1" applyFill="1" applyBorder="1" applyAlignment="1">
      <alignment horizontal="center"/>
    </xf>
    <xf numFmtId="0" fontId="40" fillId="21" borderId="10" xfId="0" applyFont="1" applyFill="1" applyBorder="1" applyAlignment="1">
      <alignment horizontal="center"/>
    </xf>
    <xf numFmtId="0" fontId="34" fillId="24" borderId="7" xfId="0" applyFont="1" applyFill="1" applyBorder="1" applyAlignment="1">
      <alignment horizontal="center"/>
    </xf>
    <xf numFmtId="0" fontId="34" fillId="24" borderId="8" xfId="0" applyFont="1" applyFill="1" applyBorder="1" applyAlignment="1">
      <alignment horizontal="center"/>
    </xf>
    <xf numFmtId="0" fontId="25" fillId="21" borderId="8" xfId="0" applyFont="1" applyFill="1" applyBorder="1" applyAlignment="1">
      <alignment horizontal="center"/>
    </xf>
    <xf numFmtId="0" fontId="25" fillId="21" borderId="6" xfId="0" applyFont="1" applyFill="1" applyBorder="1" applyAlignment="1">
      <alignment horizontal="center"/>
    </xf>
    <xf numFmtId="0" fontId="26" fillId="9" borderId="7" xfId="0" applyFont="1" applyFill="1" applyBorder="1" applyAlignment="1" applyProtection="1">
      <alignment horizontal="center" vertical="top" wrapText="1"/>
      <protection hidden="1"/>
    </xf>
    <xf numFmtId="0" fontId="26" fillId="9" borderId="8" xfId="0" applyFont="1" applyFill="1" applyBorder="1" applyAlignment="1" applyProtection="1">
      <alignment horizontal="center" vertical="top" wrapText="1"/>
      <protection hidden="1"/>
    </xf>
    <xf numFmtId="0" fontId="26" fillId="9" borderId="6" xfId="0" applyFont="1" applyFill="1" applyBorder="1" applyAlignment="1" applyProtection="1">
      <alignment horizontal="center" vertical="top" wrapText="1"/>
      <protection hidden="1"/>
    </xf>
    <xf numFmtId="0" fontId="36" fillId="12" borderId="7" xfId="0" applyFont="1" applyFill="1" applyBorder="1" applyAlignment="1" applyProtection="1">
      <alignment horizontal="left" vertical="center" wrapText="1"/>
      <protection hidden="1"/>
    </xf>
    <xf numFmtId="0" fontId="36" fillId="12" borderId="8" xfId="0" applyFont="1" applyFill="1" applyBorder="1" applyAlignment="1" applyProtection="1">
      <alignment horizontal="left" vertical="center" wrapText="1"/>
      <protection hidden="1"/>
    </xf>
    <xf numFmtId="0" fontId="25" fillId="29" borderId="1" xfId="0" applyFont="1" applyFill="1" applyBorder="1" applyAlignment="1">
      <alignment horizontal="right" vertical="center"/>
    </xf>
    <xf numFmtId="0" fontId="46" fillId="7" borderId="1" xfId="1" applyFont="1" applyFill="1" applyBorder="1" applyAlignment="1">
      <alignment horizontal="right" vertical="center"/>
    </xf>
    <xf numFmtId="0" fontId="36" fillId="12" borderId="6" xfId="0" applyFont="1" applyFill="1" applyBorder="1" applyAlignment="1" applyProtection="1">
      <alignment horizontal="left" vertical="center" wrapText="1"/>
      <protection hidden="1"/>
    </xf>
    <xf numFmtId="0" fontId="25" fillId="21" borderId="9" xfId="0" applyFont="1" applyFill="1" applyBorder="1" applyAlignment="1">
      <alignment horizontal="center"/>
    </xf>
    <xf numFmtId="0" fontId="25" fillId="21" borderId="10" xfId="0" applyFont="1" applyFill="1" applyBorder="1" applyAlignment="1">
      <alignment horizontal="center"/>
    </xf>
    <xf numFmtId="0" fontId="25" fillId="21" borderId="16" xfId="0" applyFont="1" applyFill="1" applyBorder="1" applyAlignment="1">
      <alignment horizontal="center"/>
    </xf>
    <xf numFmtId="0" fontId="24" fillId="0" borderId="8" xfId="5" applyFont="1" applyBorder="1" applyAlignment="1" applyProtection="1">
      <alignment horizontal="left" vertical="center"/>
      <protection locked="0"/>
    </xf>
    <xf numFmtId="0" fontId="6" fillId="39" borderId="8" xfId="5" applyFill="1" applyBorder="1" applyAlignment="1" applyProtection="1">
      <alignment horizontal="center" vertical="center"/>
      <protection locked="0"/>
    </xf>
    <xf numFmtId="0" fontId="29" fillId="38" borderId="1" xfId="0" applyFont="1" applyFill="1" applyBorder="1" applyAlignment="1">
      <alignment horizontal="center" vertical="center" wrapText="1"/>
    </xf>
    <xf numFmtId="0" fontId="29" fillId="38" borderId="18" xfId="0" applyFont="1" applyFill="1" applyBorder="1" applyAlignment="1">
      <alignment horizontal="center" vertical="center" wrapText="1"/>
    </xf>
    <xf numFmtId="0" fontId="29" fillId="0" borderId="8" xfId="0" applyFont="1" applyFill="1" applyBorder="1" applyAlignment="1">
      <alignment horizontal="center" vertical="center" wrapText="1"/>
    </xf>
    <xf numFmtId="14" fontId="49" fillId="0" borderId="1" xfId="0" applyNumberFormat="1" applyFont="1" applyBorder="1" applyAlignment="1">
      <alignment horizontal="center"/>
    </xf>
    <xf numFmtId="0" fontId="49" fillId="0" borderId="1" xfId="0" applyFont="1" applyBorder="1" applyAlignment="1">
      <alignment horizontal="center"/>
    </xf>
    <xf numFmtId="0" fontId="9" fillId="0" borderId="0" xfId="0" applyFont="1" applyAlignment="1">
      <alignment horizontal="center"/>
    </xf>
    <xf numFmtId="9" fontId="47" fillId="0" borderId="1" xfId="0" applyNumberFormat="1" applyFont="1" applyBorder="1" applyAlignment="1" applyProtection="1">
      <alignment horizontal="left" vertical="top" wrapText="1"/>
    </xf>
    <xf numFmtId="0" fontId="36" fillId="12" borderId="1"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center" vertical="center" wrapText="1"/>
    </xf>
    <xf numFmtId="0" fontId="34" fillId="0" borderId="27" xfId="8" applyFont="1" applyAlignment="1">
      <alignment horizontal="right"/>
    </xf>
    <xf numFmtId="9" fontId="34" fillId="0" borderId="28" xfId="0" applyNumberFormat="1" applyFont="1" applyBorder="1" applyAlignment="1" applyProtection="1">
      <alignment horizontal="center" vertical="center" wrapText="1"/>
    </xf>
    <xf numFmtId="0" fontId="34" fillId="25" borderId="7" xfId="7" applyFont="1" applyBorder="1" applyAlignment="1">
      <alignment horizontal="right"/>
    </xf>
    <xf numFmtId="0" fontId="34" fillId="25" borderId="8" xfId="7" applyFont="1" applyBorder="1" applyAlignment="1">
      <alignment horizontal="right"/>
    </xf>
    <xf numFmtId="0" fontId="34" fillId="25" borderId="6" xfId="7" applyFont="1" applyBorder="1" applyAlignment="1">
      <alignment horizontal="right"/>
    </xf>
    <xf numFmtId="9" fontId="34" fillId="0" borderId="7" xfId="0" applyNumberFormat="1" applyFont="1" applyBorder="1" applyAlignment="1" applyProtection="1">
      <alignment horizontal="center" vertical="center" wrapText="1"/>
    </xf>
    <xf numFmtId="9" fontId="34" fillId="0" borderId="8" xfId="0" applyNumberFormat="1" applyFont="1" applyBorder="1" applyAlignment="1" applyProtection="1">
      <alignment horizontal="center" vertical="center" wrapText="1"/>
    </xf>
    <xf numFmtId="9" fontId="47" fillId="0" borderId="1" xfId="0" applyNumberFormat="1" applyFont="1" applyBorder="1" applyAlignment="1" applyProtection="1">
      <alignment horizontal="left" vertical="center" wrapText="1"/>
    </xf>
    <xf numFmtId="0" fontId="44" fillId="21" borderId="1" xfId="4" applyFont="1" applyFill="1" applyBorder="1" applyAlignment="1">
      <alignment horizontal="center" vertical="center" wrapText="1"/>
    </xf>
    <xf numFmtId="0" fontId="41" fillId="21" borderId="7" xfId="4" applyFont="1" applyFill="1" applyBorder="1" applyAlignment="1">
      <alignment horizontal="center" vertical="center" wrapText="1"/>
    </xf>
    <xf numFmtId="0" fontId="41" fillId="21" borderId="6" xfId="4" applyFont="1" applyFill="1" applyBorder="1" applyAlignment="1">
      <alignment horizontal="center" vertical="center" wrapText="1"/>
    </xf>
    <xf numFmtId="0" fontId="76" fillId="38" borderId="7" xfId="0" applyFont="1" applyFill="1" applyBorder="1" applyAlignment="1" applyProtection="1">
      <alignment horizontal="center" vertical="center" wrapText="1"/>
      <protection hidden="1"/>
    </xf>
    <xf numFmtId="0" fontId="76" fillId="38" borderId="8" xfId="0" applyFont="1" applyFill="1" applyBorder="1" applyAlignment="1" applyProtection="1">
      <alignment horizontal="center" vertical="center" wrapText="1"/>
      <protection hidden="1"/>
    </xf>
    <xf numFmtId="0" fontId="76" fillId="38" borderId="6" xfId="0" applyFont="1" applyFill="1" applyBorder="1" applyAlignment="1" applyProtection="1">
      <alignment horizontal="center" vertical="center" wrapText="1"/>
      <protection hidden="1"/>
    </xf>
    <xf numFmtId="0" fontId="34" fillId="0" borderId="46" xfId="8" applyFont="1" applyBorder="1" applyAlignment="1">
      <alignment horizontal="right"/>
    </xf>
    <xf numFmtId="0" fontId="34" fillId="0" borderId="47" xfId="8" applyFont="1" applyBorder="1" applyAlignment="1">
      <alignment horizontal="right"/>
    </xf>
    <xf numFmtId="9" fontId="34" fillId="0" borderId="44" xfId="0" applyNumberFormat="1" applyFont="1" applyBorder="1" applyAlignment="1" applyProtection="1">
      <alignment horizontal="center" vertical="center" wrapText="1"/>
    </xf>
    <xf numFmtId="9" fontId="34" fillId="0" borderId="45" xfId="0" applyNumberFormat="1" applyFont="1" applyBorder="1" applyAlignment="1" applyProtection="1">
      <alignment horizontal="center" vertical="center" wrapText="1"/>
    </xf>
    <xf numFmtId="9" fontId="34" fillId="0" borderId="6" xfId="0" applyNumberFormat="1" applyFont="1" applyBorder="1" applyAlignment="1" applyProtection="1">
      <alignment horizontal="center" vertical="center" wrapText="1"/>
    </xf>
    <xf numFmtId="9" fontId="47" fillId="0" borderId="0" xfId="0" applyNumberFormat="1" applyFont="1" applyFill="1" applyBorder="1" applyAlignment="1" applyProtection="1">
      <alignment horizontal="left" vertical="center" wrapText="1"/>
    </xf>
    <xf numFmtId="0" fontId="43" fillId="25" borderId="7" xfId="7" applyFont="1" applyBorder="1" applyAlignment="1">
      <alignment horizontal="center" vertical="center"/>
    </xf>
    <xf numFmtId="0" fontId="43" fillId="25" borderId="8" xfId="7" applyFont="1" applyBorder="1" applyAlignment="1">
      <alignment horizontal="center" vertical="center"/>
    </xf>
    <xf numFmtId="0" fontId="43" fillId="25" borderId="6" xfId="7" applyFont="1" applyBorder="1" applyAlignment="1">
      <alignment horizontal="center" vertical="center"/>
    </xf>
    <xf numFmtId="0" fontId="43" fillId="0" borderId="26" xfId="8" applyFont="1" applyBorder="1" applyAlignment="1">
      <alignment horizontal="center" vertical="center"/>
    </xf>
    <xf numFmtId="0" fontId="43" fillId="0" borderId="14" xfId="8" applyFont="1" applyBorder="1" applyAlignment="1">
      <alignment horizontal="center" vertical="center"/>
    </xf>
    <xf numFmtId="0" fontId="41" fillId="0" borderId="0" xfId="4" applyFont="1" applyFill="1" applyBorder="1" applyAlignment="1">
      <alignment horizontal="center" vertical="center" wrapText="1"/>
    </xf>
    <xf numFmtId="0" fontId="55" fillId="0" borderId="17"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6" xfId="0" applyFont="1" applyBorder="1" applyAlignment="1">
      <alignment horizontal="center" vertical="center" wrapText="1"/>
    </xf>
    <xf numFmtId="0" fontId="26" fillId="18" borderId="7" xfId="0" applyFont="1" applyFill="1" applyBorder="1" applyAlignment="1" applyProtection="1">
      <alignment horizontal="center" vertical="center" wrapText="1"/>
      <protection hidden="1"/>
    </xf>
    <xf numFmtId="0" fontId="26" fillId="18" borderId="8" xfId="0" applyFont="1" applyFill="1" applyBorder="1" applyAlignment="1" applyProtection="1">
      <alignment horizontal="center" vertical="center" wrapText="1"/>
      <protection hidden="1"/>
    </xf>
    <xf numFmtId="0" fontId="26" fillId="18" borderId="6" xfId="0" applyFont="1" applyFill="1" applyBorder="1" applyAlignment="1" applyProtection="1">
      <alignment horizontal="center" vertical="center" wrapText="1"/>
      <protection hidden="1"/>
    </xf>
    <xf numFmtId="0" fontId="41" fillId="14" borderId="0" xfId="4"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5" fillId="29" borderId="1" xfId="8" applyFont="1" applyFill="1" applyBorder="1" applyAlignment="1">
      <alignment horizontal="right" vertical="center"/>
    </xf>
    <xf numFmtId="0" fontId="25" fillId="0" borderId="7" xfId="8" applyFont="1" applyBorder="1" applyAlignment="1">
      <alignment horizontal="right" vertical="center"/>
    </xf>
    <xf numFmtId="0" fontId="25" fillId="0" borderId="6" xfId="8" applyFont="1" applyBorder="1" applyAlignment="1">
      <alignment horizontal="right" vertical="center"/>
    </xf>
    <xf numFmtId="9" fontId="60" fillId="7" borderId="17" xfId="3" applyNumberFormat="1" applyFont="1" applyFill="1" applyBorder="1" applyAlignment="1">
      <alignment horizontal="left" vertical="center" wrapText="1"/>
    </xf>
    <xf numFmtId="9" fontId="60" fillId="7" borderId="9" xfId="3" applyNumberFormat="1" applyFont="1" applyFill="1" applyBorder="1" applyAlignment="1">
      <alignment horizontal="left" vertical="center" wrapText="1"/>
    </xf>
    <xf numFmtId="0" fontId="60" fillId="29" borderId="14" xfId="3" applyNumberFormat="1" applyFont="1" applyFill="1" applyBorder="1" applyAlignment="1">
      <alignment horizontal="center" vertical="center" wrapText="1"/>
    </xf>
    <xf numFmtId="0" fontId="60" fillId="29" borderId="16" xfId="3" applyNumberFormat="1" applyFont="1" applyFill="1" applyBorder="1" applyAlignment="1">
      <alignment horizontal="center" vertical="center" wrapText="1"/>
    </xf>
    <xf numFmtId="0" fontId="25" fillId="14" borderId="7" xfId="7" applyFont="1" applyFill="1" applyBorder="1" applyAlignment="1">
      <alignment horizontal="right" vertical="center" wrapText="1"/>
    </xf>
    <xf numFmtId="0" fontId="25" fillId="14" borderId="6" xfId="7" applyFont="1" applyFill="1" applyBorder="1" applyAlignment="1">
      <alignment horizontal="right" vertical="center" wrapText="1"/>
    </xf>
    <xf numFmtId="9" fontId="60" fillId="7" borderId="9" xfId="3" applyNumberFormat="1" applyFont="1" applyFill="1" applyBorder="1" applyAlignment="1">
      <alignment horizontal="center" vertical="center" wrapText="1"/>
    </xf>
    <xf numFmtId="9" fontId="60" fillId="7" borderId="16" xfId="3" applyNumberFormat="1" applyFont="1" applyFill="1" applyBorder="1" applyAlignment="1">
      <alignment horizontal="center" vertical="center" wrapText="1"/>
    </xf>
    <xf numFmtId="0" fontId="57" fillId="21" borderId="7" xfId="4" applyNumberFormat="1" applyFont="1" applyFill="1" applyBorder="1" applyAlignment="1">
      <alignment horizontal="center" vertical="center" wrapText="1"/>
    </xf>
    <xf numFmtId="0" fontId="57" fillId="21" borderId="6"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5" fillId="0" borderId="1" xfId="0" applyFont="1" applyBorder="1" applyAlignment="1">
      <alignment horizontal="left" vertical="center" wrapText="1"/>
    </xf>
    <xf numFmtId="0" fontId="55" fillId="0" borderId="1" xfId="0" applyFont="1" applyBorder="1" applyAlignment="1">
      <alignment horizontal="center" vertical="center" wrapText="1"/>
    </xf>
    <xf numFmtId="0" fontId="29" fillId="15" borderId="22" xfId="0" applyFont="1" applyFill="1" applyBorder="1" applyAlignment="1">
      <alignment horizontal="center" vertical="center" wrapText="1"/>
    </xf>
    <xf numFmtId="0" fontId="77" fillId="0" borderId="19" xfId="0" applyNumberFormat="1" applyFont="1" applyBorder="1" applyAlignment="1" applyProtection="1">
      <alignment horizontal="center" vertical="center" wrapText="1"/>
    </xf>
    <xf numFmtId="0" fontId="77" fillId="0" borderId="18" xfId="0" applyNumberFormat="1" applyFont="1" applyBorder="1" applyAlignment="1" applyProtection="1">
      <alignment horizontal="center" vertical="center" wrapText="1"/>
    </xf>
    <xf numFmtId="0" fontId="78" fillId="29" borderId="48" xfId="4" applyFont="1" applyFill="1" applyBorder="1" applyAlignment="1">
      <alignment horizontal="center" vertical="center" wrapText="1"/>
    </xf>
    <xf numFmtId="0" fontId="41" fillId="7" borderId="48" xfId="4" applyFont="1" applyFill="1" applyBorder="1" applyAlignment="1">
      <alignment horizontal="center" vertical="center" wrapText="1"/>
    </xf>
    <xf numFmtId="0" fontId="76" fillId="38" borderId="1" xfId="0" applyFont="1" applyFill="1" applyBorder="1" applyAlignment="1" applyProtection="1">
      <alignment horizontal="center" vertical="center" wrapText="1"/>
      <protection hidden="1"/>
    </xf>
    <xf numFmtId="0" fontId="57" fillId="21" borderId="9" xfId="4" applyNumberFormat="1" applyFont="1" applyFill="1" applyBorder="1" applyAlignment="1">
      <alignment horizontal="center" vertical="center" wrapText="1"/>
    </xf>
    <xf numFmtId="0" fontId="57" fillId="21" borderId="16" xfId="4" applyNumberFormat="1" applyFont="1" applyFill="1" applyBorder="1" applyAlignment="1">
      <alignment horizontal="center" vertical="center" wrapText="1"/>
    </xf>
    <xf numFmtId="9" fontId="47" fillId="14" borderId="0" xfId="0" applyNumberFormat="1" applyFont="1" applyFill="1" applyBorder="1" applyAlignment="1" applyProtection="1">
      <alignment horizontal="left" vertical="center" wrapText="1"/>
    </xf>
    <xf numFmtId="9" fontId="30" fillId="7" borderId="17" xfId="3" applyNumberFormat="1" applyFont="1" applyFill="1" applyBorder="1" applyAlignment="1">
      <alignment horizontal="left" vertical="center" wrapText="1"/>
    </xf>
    <xf numFmtId="9" fontId="30" fillId="7" borderId="9" xfId="3" applyNumberFormat="1" applyFont="1" applyFill="1" applyBorder="1" applyAlignment="1">
      <alignment horizontal="left" vertical="center" wrapText="1"/>
    </xf>
    <xf numFmtId="0" fontId="30" fillId="29" borderId="14" xfId="3" applyNumberFormat="1" applyFont="1" applyFill="1" applyBorder="1" applyAlignment="1">
      <alignment horizontal="center" vertical="center" wrapText="1"/>
    </xf>
    <xf numFmtId="0" fontId="30" fillId="29" borderId="16" xfId="3" applyNumberFormat="1" applyFont="1" applyFill="1" applyBorder="1" applyAlignment="1">
      <alignment horizontal="center" vertical="center" wrapText="1"/>
    </xf>
    <xf numFmtId="0" fontId="34" fillId="25" borderId="1" xfId="7" applyFont="1" applyBorder="1" applyAlignment="1">
      <alignment horizontal="right" vertical="center" wrapText="1"/>
    </xf>
    <xf numFmtId="0" fontId="34" fillId="0" borderId="1" xfId="8" applyFont="1" applyBorder="1" applyAlignment="1">
      <alignment horizontal="right" vertical="center"/>
    </xf>
    <xf numFmtId="0" fontId="84" fillId="38" borderId="7" xfId="0" applyFont="1" applyFill="1" applyBorder="1" applyAlignment="1" applyProtection="1">
      <alignment horizontal="center" vertical="center" wrapText="1"/>
      <protection hidden="1"/>
    </xf>
    <xf numFmtId="0" fontId="84" fillId="38" borderId="8" xfId="0" applyFont="1" applyFill="1" applyBorder="1" applyAlignment="1" applyProtection="1">
      <alignment horizontal="center" vertical="center" wrapText="1"/>
      <protection hidden="1"/>
    </xf>
    <xf numFmtId="0" fontId="84" fillId="38" borderId="6" xfId="0" applyFont="1" applyFill="1" applyBorder="1" applyAlignment="1" applyProtection="1">
      <alignment horizontal="center" vertical="center" wrapText="1"/>
      <protection hidden="1"/>
    </xf>
    <xf numFmtId="0" fontId="34" fillId="37" borderId="52" xfId="7" applyFont="1" applyFill="1" applyBorder="1" applyAlignment="1">
      <alignment horizontal="center" vertical="center" wrapText="1"/>
    </xf>
    <xf numFmtId="0" fontId="34" fillId="37" borderId="53" xfId="7" applyFont="1" applyFill="1" applyBorder="1" applyAlignment="1">
      <alignment horizontal="center" vertical="center" wrapText="1"/>
    </xf>
    <xf numFmtId="0" fontId="34" fillId="0" borderId="25" xfId="8" applyFont="1" applyBorder="1" applyAlignment="1">
      <alignment horizontal="right" vertical="center"/>
    </xf>
    <xf numFmtId="0" fontId="34" fillId="36" borderId="52" xfId="7" applyFont="1" applyFill="1" applyBorder="1" applyAlignment="1">
      <alignment horizontal="center" vertical="center" wrapText="1"/>
    </xf>
    <xf numFmtId="0" fontId="34" fillId="36" borderId="53" xfId="7" applyFont="1" applyFill="1" applyBorder="1" applyAlignment="1">
      <alignment horizontal="center" vertical="center" wrapText="1"/>
    </xf>
    <xf numFmtId="0" fontId="34" fillId="0" borderId="19" xfId="7" applyFont="1" applyFill="1" applyBorder="1" applyAlignment="1">
      <alignment horizontal="right" vertical="center" wrapText="1"/>
    </xf>
    <xf numFmtId="0" fontId="34" fillId="0" borderId="25" xfId="7" applyFont="1" applyFill="1" applyBorder="1" applyAlignment="1">
      <alignment horizontal="right" vertical="center" wrapText="1"/>
    </xf>
    <xf numFmtId="0" fontId="6" fillId="14" borderId="0" xfId="5" applyFill="1" applyAlignment="1" applyProtection="1">
      <alignment horizontal="center"/>
    </xf>
    <xf numFmtId="167" fontId="24" fillId="0" borderId="1" xfId="14" applyNumberFormat="1" applyFont="1" applyFill="1" applyBorder="1" applyAlignment="1" applyProtection="1">
      <alignment horizontal="center" vertical="center"/>
      <protection locked="0"/>
    </xf>
    <xf numFmtId="167" fontId="24" fillId="0" borderId="1" xfId="14" applyNumberFormat="1" applyFont="1" applyFill="1" applyBorder="1" applyAlignment="1" applyProtection="1">
      <alignment vertical="center"/>
      <protection locked="0"/>
    </xf>
    <xf numFmtId="9" fontId="24" fillId="0" borderId="1" xfId="6" applyNumberFormat="1" applyFont="1" applyFill="1" applyBorder="1" applyAlignment="1" applyProtection="1">
      <alignment horizontal="center" vertical="center"/>
      <protection locked="0"/>
    </xf>
    <xf numFmtId="168" fontId="24" fillId="0" borderId="1" xfId="14" applyNumberFormat="1" applyFont="1" applyFill="1" applyBorder="1" applyAlignment="1" applyProtection="1">
      <alignment horizontal="center" vertical="center"/>
      <protection locked="0"/>
    </xf>
    <xf numFmtId="0" fontId="47" fillId="0" borderId="1" xfId="0" applyFont="1" applyBorder="1" applyAlignment="1" applyProtection="1">
      <alignment horizontal="left" vertical="center" wrapText="1"/>
      <protection locked="0"/>
    </xf>
    <xf numFmtId="0" fontId="24" fillId="0" borderId="1" xfId="0" applyNumberFormat="1" applyFont="1" applyBorder="1" applyAlignment="1" applyProtection="1">
      <alignment horizontal="center" vertical="center"/>
      <protection locked="0"/>
    </xf>
    <xf numFmtId="0" fontId="36" fillId="0" borderId="1" xfId="12" applyFont="1" applyBorder="1" applyAlignment="1" applyProtection="1">
      <alignment horizontal="left" vertical="center" wrapText="1"/>
      <protection locked="0"/>
    </xf>
    <xf numFmtId="0" fontId="47" fillId="0" borderId="1" xfId="0" applyFont="1" applyBorder="1" applyAlignment="1" applyProtection="1">
      <alignment horizontal="center" vertical="center"/>
      <protection locked="0"/>
    </xf>
    <xf numFmtId="4" fontId="47" fillId="0" borderId="1" xfId="6" applyNumberFormat="1" applyFont="1" applyBorder="1" applyAlignment="1" applyProtection="1">
      <alignment horizontal="center" vertical="center"/>
      <protection locked="0"/>
    </xf>
    <xf numFmtId="9" fontId="24" fillId="0" borderId="1" xfId="6" applyFont="1" applyBorder="1" applyAlignment="1" applyProtection="1">
      <alignment vertical="center"/>
      <protection locked="0"/>
    </xf>
  </cellXfs>
  <cellStyles count="15">
    <cellStyle name="20% - Énfasis1" xfId="1" builtinId="30"/>
    <cellStyle name="40% - Énfasis2" xfId="10" builtinId="35"/>
    <cellStyle name="40% - Énfasis6" xfId="2" builtinId="51"/>
    <cellStyle name="Celda de comprobación" xfId="11" builtinId="23"/>
    <cellStyle name="Celda vinculada" xfId="8" builtinId="24"/>
    <cellStyle name="Énfasis1" xfId="3" builtinId="29"/>
    <cellStyle name="Énfasis6" xfId="4" builtinId="49"/>
    <cellStyle name="Hipervínculo" xfId="5" builtinId="8"/>
    <cellStyle name="Millares" xfId="14" builtinId="3"/>
    <cellStyle name="Neutral" xfId="7" builtinId="28"/>
    <cellStyle name="Normal" xfId="0" builtinId="0"/>
    <cellStyle name="Normal 2" xfId="12"/>
    <cellStyle name="Normal 3" xfId="13"/>
    <cellStyle name="Porcentaje" xfId="6" builtinId="5"/>
    <cellStyle name="Salida" xfId="9" builtinId="21"/>
  </cellStyles>
  <dxfs count="537">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6500"/>
      </font>
      <fill>
        <patternFill>
          <bgColor rgb="FFFFEB9C"/>
        </patternFill>
      </fill>
    </dxf>
    <dxf>
      <font>
        <color rgb="FF9C6500"/>
      </font>
      <fill>
        <patternFill>
          <bgColor rgb="FFFFEB9C"/>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lor theme="6" tint="-0.499984740745262"/>
      </font>
      <fill>
        <patternFill>
          <bgColor theme="6" tint="0.79998168889431442"/>
        </patternFill>
      </fill>
    </dxf>
    <dxf>
      <font>
        <color rgb="FFE7E200"/>
      </font>
      <fill>
        <patternFill>
          <bgColor rgb="FFFFFFD1"/>
        </patternFill>
      </fill>
    </dxf>
    <dxf>
      <font>
        <color rgb="FFB0AC00"/>
      </font>
      <fill>
        <patternFill>
          <bgColor rgb="FFFFFFC1"/>
        </patternFill>
      </fill>
    </dxf>
    <dxf>
      <font>
        <condense val="0"/>
        <extend val="0"/>
        <color rgb="FF9C0006"/>
      </font>
      <fill>
        <patternFill>
          <bgColor rgb="FFFFC7CE"/>
        </patternFill>
      </fill>
    </dxf>
    <dxf>
      <font>
        <color theme="5" tint="-0.24994659260841701"/>
      </font>
      <fill>
        <patternFill>
          <bgColor theme="5" tint="0.79998168889431442"/>
        </patternFill>
      </fill>
    </dxf>
    <dxf>
      <font>
        <color theme="6" tint="-0.499984740745262"/>
      </font>
      <fill>
        <patternFill>
          <bgColor theme="6" tint="0.79998168889431442"/>
        </patternFill>
      </fill>
    </dxf>
    <dxf>
      <font>
        <color rgb="FFB0AC00"/>
      </font>
      <fill>
        <patternFill>
          <bgColor rgb="FFFFFFB9"/>
        </patternFill>
      </fill>
    </dxf>
    <dxf>
      <font>
        <condense val="0"/>
        <extend val="0"/>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bgColor theme="0"/>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24994659260841701"/>
      </font>
      <fill>
        <patternFill>
          <bgColor theme="9" tint="0.79998168889431442"/>
        </patternFill>
      </fill>
    </dxf>
    <dxf>
      <font>
        <condense val="0"/>
        <extend val="0"/>
        <color rgb="FF9C6500"/>
      </font>
      <fill>
        <patternFill>
          <bgColor rgb="FFFFEB9C"/>
        </patternFill>
      </fill>
    </dxf>
    <dxf>
      <font>
        <color theme="4" tint="-0.24994659260841701"/>
      </font>
      <fill>
        <patternFill>
          <bgColor theme="3"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lor theme="6" tint="-0.499984740745262"/>
      </font>
      <fill>
        <patternFill>
          <bgColor theme="6" tint="0.79998168889431442"/>
        </patternFill>
      </fill>
    </dxf>
    <dxf>
      <font>
        <color rgb="FFE7E200"/>
      </font>
      <fill>
        <patternFill>
          <bgColor rgb="FFFFFFD1"/>
        </patternFill>
      </fill>
    </dxf>
    <dxf>
      <font>
        <color rgb="FFB0AC00"/>
      </font>
      <fill>
        <patternFill>
          <bgColor rgb="FFFFFFC1"/>
        </patternFill>
      </fill>
    </dxf>
    <dxf>
      <font>
        <condense val="0"/>
        <extend val="0"/>
        <color rgb="FF9C0006"/>
      </font>
      <fill>
        <patternFill>
          <bgColor rgb="FFFFC7CE"/>
        </patternFill>
      </fill>
    </dxf>
    <dxf>
      <font>
        <color theme="5" tint="-0.24994659260841701"/>
      </font>
      <fill>
        <patternFill>
          <bgColor theme="5" tint="0.79998168889431442"/>
        </patternFill>
      </fill>
    </dxf>
    <dxf>
      <font>
        <color theme="6" tint="-0.499984740745262"/>
      </font>
      <fill>
        <patternFill>
          <bgColor theme="6" tint="0.79998168889431442"/>
        </patternFill>
      </fill>
    </dxf>
    <dxf>
      <font>
        <color rgb="FFB0AC00"/>
      </font>
      <fill>
        <patternFill>
          <bgColor rgb="FFFFFFB9"/>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theme="0" tint="-0.499984740745262"/>
      </font>
      <fill>
        <patternFill>
          <bgColor theme="5" tint="0.79998168889431442"/>
        </patternFill>
      </fill>
    </dxf>
    <dxf>
      <fill>
        <patternFill patternType="lightGrid">
          <fgColor theme="0" tint="-4.9989318521683403E-2"/>
          <bgColor theme="0"/>
        </patternFill>
      </fill>
    </dxf>
    <dxf>
      <fill>
        <patternFill patternType="lightGrid">
          <fgColor theme="0" tint="-4.9989318521683403E-2"/>
          <bgColor theme="0"/>
        </patternFill>
      </fill>
    </dxf>
    <dxf>
      <font>
        <condense val="0"/>
        <extend val="0"/>
        <color rgb="FF9C0006"/>
      </font>
      <fill>
        <patternFill>
          <bgColor rgb="FFFFC7CE"/>
        </patternFill>
      </fill>
    </dxf>
  </dxfs>
  <tableStyles count="0" defaultTableStyle="TableStyleMedium9" defaultPivotStyle="PivotStyleLight16"/>
  <colors>
    <mruColors>
      <color rgb="FF868300"/>
      <color rgb="FFC0BC00"/>
      <color rgb="FFFFFF61"/>
      <color rgb="FFFFFF33"/>
      <color rgb="FFFFFF99"/>
      <color rgb="FF8D42C6"/>
      <color rgb="FFFFFF66"/>
      <color rgb="FFFFFFB7"/>
      <color rgb="FF4040C0"/>
      <color rgb="FF3A3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Avances Cuatrimestrales de Acciones por Riesgo de GESTIÓN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238992252575471E-2"/>
          <c:y val="0.16041701753503398"/>
          <c:w val="0.92524316248357041"/>
          <c:h val="0.67257620131860885"/>
        </c:manualLayout>
      </c:layout>
      <c:bar3DChart>
        <c:barDir val="col"/>
        <c:grouping val="clustered"/>
        <c:varyColors val="0"/>
        <c:ser>
          <c:idx val="1"/>
          <c:order val="0"/>
          <c:tx>
            <c:strRef>
              <c:f>RXC!$C$8</c:f>
              <c:strCache>
                <c:ptCount val="1"/>
                <c:pt idx="0">
                  <c:v>% 1ER CuaT</c:v>
                </c:pt>
              </c:strCache>
            </c:strRef>
          </c:tx>
          <c:spPr>
            <a:solidFill>
              <a:schemeClr val="accent2"/>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RXC!$C$9:$C$36</c:f>
              <c:numCache>
                <c:formatCode>0%</c:formatCode>
                <c:ptCount val="28"/>
                <c:pt idx="0">
                  <c:v>0</c:v>
                </c:pt>
                <c:pt idx="1">
                  <c:v>1</c:v>
                </c:pt>
                <c:pt idx="2">
                  <c:v>1</c:v>
                </c:pt>
                <c:pt idx="3">
                  <c:v>0</c:v>
                </c:pt>
                <c:pt idx="4">
                  <c:v>1</c:v>
                </c:pt>
                <c:pt idx="5">
                  <c:v>0</c:v>
                </c:pt>
                <c:pt idx="6">
                  <c:v>0</c:v>
                </c:pt>
                <c:pt idx="7">
                  <c:v>0</c:v>
                </c:pt>
                <c:pt idx="8">
                  <c:v>1</c:v>
                </c:pt>
                <c:pt idx="9">
                  <c:v>0.125</c:v>
                </c:pt>
                <c:pt idx="10">
                  <c:v>0</c:v>
                </c:pt>
                <c:pt idx="11">
                  <c:v>0</c:v>
                </c:pt>
                <c:pt idx="12">
                  <c:v>0</c:v>
                </c:pt>
                <c:pt idx="13">
                  <c:v>0</c:v>
                </c:pt>
                <c:pt idx="14">
                  <c:v>0.58333333333333326</c:v>
                </c:pt>
                <c:pt idx="15">
                  <c:v>8.3333333333333343E-2</c:v>
                </c:pt>
                <c:pt idx="16">
                  <c:v>0</c:v>
                </c:pt>
                <c:pt idx="17">
                  <c:v>0</c:v>
                </c:pt>
                <c:pt idx="18">
                  <c:v>0</c:v>
                </c:pt>
                <c:pt idx="19">
                  <c:v>0</c:v>
                </c:pt>
                <c:pt idx="20">
                  <c:v>0</c:v>
                </c:pt>
                <c:pt idx="21">
                  <c:v>0</c:v>
                </c:pt>
                <c:pt idx="22">
                  <c:v>0</c:v>
                </c:pt>
                <c:pt idx="23">
                  <c:v>0</c:v>
                </c:pt>
                <c:pt idx="24">
                  <c:v>0</c:v>
                </c:pt>
                <c:pt idx="25">
                  <c:v>0</c:v>
                </c:pt>
                <c:pt idx="26">
                  <c:v>0</c:v>
                </c:pt>
                <c:pt idx="27">
                  <c:v>0</c:v>
                </c:pt>
              </c:numCache>
            </c:numRef>
          </c:val>
        </c:ser>
        <c:ser>
          <c:idx val="2"/>
          <c:order val="1"/>
          <c:tx>
            <c:strRef>
              <c:f>RXC!$D$8</c:f>
              <c:strCache>
                <c:ptCount val="1"/>
                <c:pt idx="0">
                  <c:v>% 2DO CuaT</c:v>
                </c:pt>
              </c:strCache>
            </c:strRef>
          </c:tx>
          <c:spPr>
            <a:solidFill>
              <a:schemeClr val="accent3"/>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RXC!$D$9:$D$36</c:f>
              <c:numCache>
                <c:formatCode>0%</c:formatCode>
                <c:ptCount val="28"/>
                <c:pt idx="0">
                  <c:v>0</c:v>
                </c:pt>
                <c:pt idx="1">
                  <c:v>1</c:v>
                </c:pt>
                <c:pt idx="2">
                  <c:v>1</c:v>
                </c:pt>
                <c:pt idx="3">
                  <c:v>0.5</c:v>
                </c:pt>
                <c:pt idx="4">
                  <c:v>1</c:v>
                </c:pt>
                <c:pt idx="5">
                  <c:v>0</c:v>
                </c:pt>
                <c:pt idx="6">
                  <c:v>0</c:v>
                </c:pt>
                <c:pt idx="7">
                  <c:v>0</c:v>
                </c:pt>
                <c:pt idx="8">
                  <c:v>1</c:v>
                </c:pt>
                <c:pt idx="9">
                  <c:v>0.25</c:v>
                </c:pt>
                <c:pt idx="10">
                  <c:v>3.5000000000000003E-2</c:v>
                </c:pt>
                <c:pt idx="11">
                  <c:v>0.05</c:v>
                </c:pt>
                <c:pt idx="12">
                  <c:v>0.05</c:v>
                </c:pt>
                <c:pt idx="13">
                  <c:v>0.02</c:v>
                </c:pt>
                <c:pt idx="14">
                  <c:v>0.71666666666666667</c:v>
                </c:pt>
                <c:pt idx="15">
                  <c:v>0.5</c:v>
                </c:pt>
                <c:pt idx="16">
                  <c:v>0.67</c:v>
                </c:pt>
                <c:pt idx="17">
                  <c:v>0</c:v>
                </c:pt>
                <c:pt idx="18">
                  <c:v>0</c:v>
                </c:pt>
                <c:pt idx="19">
                  <c:v>0</c:v>
                </c:pt>
                <c:pt idx="20">
                  <c:v>0</c:v>
                </c:pt>
                <c:pt idx="21">
                  <c:v>0.21666666666666665</c:v>
                </c:pt>
                <c:pt idx="22">
                  <c:v>0.5</c:v>
                </c:pt>
                <c:pt idx="23">
                  <c:v>0.45</c:v>
                </c:pt>
                <c:pt idx="24">
                  <c:v>0</c:v>
                </c:pt>
                <c:pt idx="25">
                  <c:v>0</c:v>
                </c:pt>
                <c:pt idx="26">
                  <c:v>0</c:v>
                </c:pt>
                <c:pt idx="27">
                  <c:v>0</c:v>
                </c:pt>
              </c:numCache>
            </c:numRef>
          </c:val>
        </c:ser>
        <c:ser>
          <c:idx val="3"/>
          <c:order val="2"/>
          <c:tx>
            <c:strRef>
              <c:f>RXC!$E$8</c:f>
              <c:strCache>
                <c:ptCount val="1"/>
                <c:pt idx="0">
                  <c:v>% 3ER CuaT</c:v>
                </c:pt>
              </c:strCache>
            </c:strRef>
          </c:tx>
          <c:spPr>
            <a:solidFill>
              <a:schemeClr val="accent4"/>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RXC!$E$9:$E$36</c:f>
              <c:numCache>
                <c:formatCode>0%</c:formatCode>
                <c:ptCount val="28"/>
                <c:pt idx="0">
                  <c:v>1</c:v>
                </c:pt>
                <c:pt idx="1">
                  <c:v>1</c:v>
                </c:pt>
                <c:pt idx="2">
                  <c:v>1</c:v>
                </c:pt>
                <c:pt idx="3">
                  <c:v>0.5</c:v>
                </c:pt>
                <c:pt idx="4">
                  <c:v>1</c:v>
                </c:pt>
                <c:pt idx="5">
                  <c:v>0</c:v>
                </c:pt>
                <c:pt idx="6">
                  <c:v>0</c:v>
                </c:pt>
                <c:pt idx="7">
                  <c:v>0</c:v>
                </c:pt>
                <c:pt idx="8">
                  <c:v>1</c:v>
                </c:pt>
                <c:pt idx="9">
                  <c:v>0.25</c:v>
                </c:pt>
                <c:pt idx="10">
                  <c:v>0.05</c:v>
                </c:pt>
                <c:pt idx="11">
                  <c:v>0.4</c:v>
                </c:pt>
                <c:pt idx="12">
                  <c:v>0.4</c:v>
                </c:pt>
                <c:pt idx="13">
                  <c:v>0.10000000000000002</c:v>
                </c:pt>
                <c:pt idx="14">
                  <c:v>0.98333333333333339</c:v>
                </c:pt>
                <c:pt idx="15">
                  <c:v>0.91666666666666663</c:v>
                </c:pt>
                <c:pt idx="16">
                  <c:v>0.67</c:v>
                </c:pt>
                <c:pt idx="17">
                  <c:v>0</c:v>
                </c:pt>
                <c:pt idx="18">
                  <c:v>0</c:v>
                </c:pt>
                <c:pt idx="19">
                  <c:v>0</c:v>
                </c:pt>
                <c:pt idx="20">
                  <c:v>0</c:v>
                </c:pt>
                <c:pt idx="21">
                  <c:v>0.21666666666666665</c:v>
                </c:pt>
                <c:pt idx="22">
                  <c:v>0.5</c:v>
                </c:pt>
                <c:pt idx="23">
                  <c:v>0.45</c:v>
                </c:pt>
                <c:pt idx="24">
                  <c:v>0.4</c:v>
                </c:pt>
                <c:pt idx="25">
                  <c:v>0.19999999999999998</c:v>
                </c:pt>
                <c:pt idx="26">
                  <c:v>0</c:v>
                </c:pt>
                <c:pt idx="27">
                  <c:v>0</c:v>
                </c:pt>
              </c:numCache>
            </c:numRef>
          </c:val>
        </c:ser>
        <c:ser>
          <c:idx val="0"/>
          <c:order val="3"/>
          <c:tx>
            <c:strRef>
              <c:f>RXC!$F$8</c:f>
              <c:strCache>
                <c:ptCount val="1"/>
                <c:pt idx="0">
                  <c:v>% Avance 
(Ultimo  Seguimeinto)</c:v>
                </c:pt>
              </c:strCache>
            </c:strRef>
          </c:tx>
          <c:spPr>
            <a:solidFill>
              <a:schemeClr val="accent1"/>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RXC!$F$9:$F$36</c:f>
            </c:numRef>
          </c:val>
        </c:ser>
        <c:dLbls>
          <c:showLegendKey val="0"/>
          <c:showVal val="0"/>
          <c:showCatName val="0"/>
          <c:showSerName val="0"/>
          <c:showPercent val="0"/>
          <c:showBubbleSize val="0"/>
        </c:dLbls>
        <c:gapWidth val="150"/>
        <c:shape val="box"/>
        <c:axId val="461495040"/>
        <c:axId val="461495600"/>
        <c:axId val="0"/>
      </c:bar3DChart>
      <c:catAx>
        <c:axId val="4614950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495600"/>
        <c:crosses val="autoZero"/>
        <c:auto val="1"/>
        <c:lblAlgn val="ctr"/>
        <c:lblOffset val="100"/>
        <c:noMultiLvlLbl val="0"/>
      </c:catAx>
      <c:valAx>
        <c:axId val="461495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495040"/>
        <c:crosses val="autoZero"/>
        <c:crossBetween val="between"/>
      </c:valAx>
      <c:spPr>
        <a:noFill/>
        <a:ln>
          <a:noFill/>
        </a:ln>
        <a:effectLst/>
      </c:spPr>
    </c:plotArea>
    <c:legend>
      <c:legendPos val="b"/>
      <c:layout>
        <c:manualLayout>
          <c:xMode val="edge"/>
          <c:yMode val="edge"/>
          <c:x val="0.239718134285614"/>
          <c:y val="0.9172446425590024"/>
          <c:w val="0.320371824740174"/>
          <c:h val="6.4470481637942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(Sistema)</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CONT!$K$9:$L$9</c:f>
              <c:strCache>
                <c:ptCount val="2"/>
                <c:pt idx="0">
                  <c:v>AUT</c:v>
                </c:pt>
                <c:pt idx="1">
                  <c:v>MAN</c:v>
                </c:pt>
              </c:strCache>
            </c:strRef>
          </c:cat>
          <c:val>
            <c:numRef>
              <c:f>CONT!$M$10:$M$11</c:f>
              <c:numCache>
                <c:formatCode>General</c:formatCode>
                <c:ptCount val="2"/>
                <c:pt idx="0">
                  <c:v>5.3571428571428568E-2</c:v>
                </c:pt>
                <c:pt idx="1">
                  <c:v>0.9464285714285714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(Evidencias)</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FFC000"/>
              </a:solidFill>
              <a:ln w="25400">
                <a:solidFill>
                  <a:schemeClr val="lt1"/>
                </a:solidFill>
              </a:ln>
              <a:effectLst/>
              <a:sp3d contourW="25400">
                <a:contourClr>
                  <a:schemeClr val="lt1"/>
                </a:contourClr>
              </a:sp3d>
            </c:spPr>
          </c:dPt>
          <c:dPt>
            <c:idx val="1"/>
            <c:bubble3D val="0"/>
            <c:explosion val="13"/>
            <c:spPr>
              <a:solidFill>
                <a:srgbClr val="C0BC0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CONT!$T$9:$U$9</c:f>
              <c:strCache>
                <c:ptCount val="2"/>
                <c:pt idx="0">
                  <c:v>SI</c:v>
                </c:pt>
                <c:pt idx="1">
                  <c:v>NO</c:v>
                </c:pt>
              </c:strCache>
            </c:strRef>
          </c:cat>
          <c:val>
            <c:numRef>
              <c:f>CONT!$V$10:$V$11</c:f>
              <c:numCache>
                <c:formatCode>General</c:formatCode>
                <c:ptCount val="2"/>
                <c:pt idx="0">
                  <c:v>0.9642857142857143</c:v>
                </c:pt>
                <c:pt idx="1">
                  <c:v>3.5714285714285712E-2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(Efectividad)</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C'!$A$10:$B$11</c:f>
              <c:strCache>
                <c:ptCount val="2"/>
                <c:pt idx="0">
                  <c:v>Controles Efectivos</c:v>
                </c:pt>
                <c:pt idx="1">
                  <c:v>Controles NO Efectivos</c:v>
                </c:pt>
              </c:strCache>
            </c:strRef>
          </c:cat>
          <c:val>
            <c:numRef>
              <c:f>'CONT C'!$G$10:$G$11</c:f>
              <c:numCache>
                <c:formatCode>0%</c:formatCode>
                <c:ptCount val="2"/>
                <c:pt idx="0">
                  <c:v>0.98148148148148151</c:v>
                </c:pt>
                <c:pt idx="1">
                  <c:v>1.8518518518518517E-2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5.000000000000001E-2"/>
          <c:y val="0.83420056867891512"/>
          <c:w val="0.8999999637976156"/>
          <c:h val="0.158854986876640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(Documentación)</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C'!$H$9:$I$9</c:f>
              <c:strCache>
                <c:ptCount val="2"/>
                <c:pt idx="0">
                  <c:v>SI</c:v>
                </c:pt>
                <c:pt idx="1">
                  <c:v>NO</c:v>
                </c:pt>
              </c:strCache>
            </c:strRef>
          </c:cat>
          <c:val>
            <c:numRef>
              <c:f>'CONT C'!$J$10:$J$11</c:f>
              <c:numCache>
                <c:formatCode>General</c:formatCode>
                <c:ptCount val="2"/>
                <c:pt idx="0">
                  <c:v>0.83333333333333337</c:v>
                </c:pt>
                <c:pt idx="1">
                  <c:v>0.16666666666666666</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(Responsable)</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9999"/>
              </a:solidFill>
              <a:ln w="25400">
                <a:solidFill>
                  <a:schemeClr val="lt1"/>
                </a:solidFill>
              </a:ln>
              <a:effectLst/>
              <a:sp3d contourW="25400">
                <a:contourClr>
                  <a:schemeClr val="lt1"/>
                </a:contourClr>
              </a:sp3d>
            </c:spPr>
          </c:dPt>
          <c:dPt>
            <c:idx val="1"/>
            <c:bubble3D val="0"/>
            <c:explosion val="13"/>
            <c:spPr>
              <a:solidFill>
                <a:srgbClr val="CC0066"/>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C'!$N$9:$O$9</c:f>
              <c:strCache>
                <c:ptCount val="2"/>
                <c:pt idx="0">
                  <c:v>SI</c:v>
                </c:pt>
                <c:pt idx="1">
                  <c:v>NO</c:v>
                </c:pt>
              </c:strCache>
            </c:strRef>
          </c:cat>
          <c:val>
            <c:numRef>
              <c:f>'CONT C'!$P$10:$P$11</c:f>
              <c:numCache>
                <c:formatCode>General</c:formatCode>
                <c:ptCount val="2"/>
                <c:pt idx="0">
                  <c:v>1</c:v>
                </c:pt>
                <c:pt idx="1">
                  <c:v>0</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(Periodicidad)</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C5C0"/>
              </a:solidFill>
              <a:ln w="25400">
                <a:solidFill>
                  <a:schemeClr val="lt1"/>
                </a:solidFill>
              </a:ln>
              <a:effectLst/>
              <a:sp3d contourW="25400">
                <a:contourClr>
                  <a:schemeClr val="lt1"/>
                </a:contourClr>
              </a:sp3d>
            </c:spPr>
          </c:dPt>
          <c:dPt>
            <c:idx val="1"/>
            <c:bubble3D val="0"/>
            <c:explosion val="13"/>
            <c:spPr>
              <a:solidFill>
                <a:srgbClr val="D11DA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C'!$Q$9:$R$9</c:f>
              <c:strCache>
                <c:ptCount val="2"/>
                <c:pt idx="0">
                  <c:v>SI</c:v>
                </c:pt>
                <c:pt idx="1">
                  <c:v>NO</c:v>
                </c:pt>
              </c:strCache>
            </c:strRef>
          </c:cat>
          <c:val>
            <c:numRef>
              <c:f>'CONT C'!$S$10:$S$11</c:f>
              <c:numCache>
                <c:formatCode>General</c:formatCode>
                <c:ptCount val="2"/>
                <c:pt idx="0">
                  <c:v>0.92592592592592593</c:v>
                </c:pt>
                <c:pt idx="1">
                  <c:v>7.407407407407407E-2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Tipo de </a:t>
            </a:r>
          </a:p>
          <a:p>
            <a:pPr>
              <a:defRPr sz="1000" b="1"/>
            </a:pPr>
            <a:r>
              <a:rPr lang="es-ES" sz="1000" b="1"/>
              <a:t>Control</a:t>
            </a:r>
          </a:p>
        </c:rich>
      </c:tx>
      <c:layout>
        <c:manualLayout>
          <c:xMode val="edge"/>
          <c:yMode val="edge"/>
          <c:x val="0.12251270224601797"/>
          <c:y val="0.41743979370999679"/>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100989032000141"/>
          <c:w val="1"/>
          <c:h val="0.85899010967999856"/>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C'!$C$8:$D$9</c:f>
              <c:strCache>
                <c:ptCount val="2"/>
                <c:pt idx="0">
                  <c:v>Preventivos</c:v>
                </c:pt>
                <c:pt idx="1">
                  <c:v>Correctivos</c:v>
                </c:pt>
              </c:strCache>
            </c:strRef>
          </c:cat>
          <c:val>
            <c:numRef>
              <c:f>'CONT C'!$C$12:$D$12</c:f>
              <c:numCache>
                <c:formatCode>General</c:formatCode>
                <c:ptCount val="2"/>
                <c:pt idx="0">
                  <c:v>52</c:v>
                </c:pt>
                <c:pt idx="1">
                  <c:v>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0.73513557933179208"/>
          <c:y val="0.6584472993507392"/>
          <c:w val="0.21614120584497135"/>
          <c:h val="0.2496386296083850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(Sistema)</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C'!$K$9:$L$9</c:f>
              <c:strCache>
                <c:ptCount val="2"/>
                <c:pt idx="0">
                  <c:v>AUT</c:v>
                </c:pt>
                <c:pt idx="1">
                  <c:v>MAN</c:v>
                </c:pt>
              </c:strCache>
            </c:strRef>
          </c:cat>
          <c:val>
            <c:numRef>
              <c:f>'CONT C'!$M$10:$M$11</c:f>
              <c:numCache>
                <c:formatCode>General</c:formatCode>
                <c:ptCount val="2"/>
                <c:pt idx="0">
                  <c:v>9.2592592592592587E-2</c:v>
                </c:pt>
                <c:pt idx="1">
                  <c:v>0.90740740740740744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(Evidencias)</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FFC000"/>
              </a:solidFill>
              <a:ln w="25400">
                <a:solidFill>
                  <a:schemeClr val="lt1"/>
                </a:solidFill>
              </a:ln>
              <a:effectLst/>
              <a:sp3d contourW="25400">
                <a:contourClr>
                  <a:schemeClr val="lt1"/>
                </a:contourClr>
              </a:sp3d>
            </c:spPr>
          </c:dPt>
          <c:dPt>
            <c:idx val="1"/>
            <c:bubble3D val="0"/>
            <c:explosion val="13"/>
            <c:spPr>
              <a:solidFill>
                <a:srgbClr val="C0BC0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C'!$T$9:$U$9</c:f>
              <c:strCache>
                <c:ptCount val="2"/>
                <c:pt idx="0">
                  <c:v>SI</c:v>
                </c:pt>
                <c:pt idx="1">
                  <c:v>NO</c:v>
                </c:pt>
              </c:strCache>
            </c:strRef>
          </c:cat>
          <c:val>
            <c:numRef>
              <c:f>'CONT C'!$V$10:$V$11</c:f>
              <c:numCache>
                <c:formatCode>General</c:formatCode>
                <c:ptCount val="2"/>
                <c:pt idx="0">
                  <c:v>0.90740740740740744</c:v>
                </c:pt>
                <c:pt idx="1">
                  <c:v>9.2592592592592587E-2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971014492753624E-2"/>
          <c:y val="0.10106303949336311"/>
          <c:w val="0.87163561076604557"/>
          <c:h val="0.85026788406119325"/>
        </c:manualLayout>
      </c:layout>
      <c:pie3DChart>
        <c:varyColors val="1"/>
        <c:ser>
          <c:idx val="0"/>
          <c:order val="0"/>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868300"/>
                      </a:solidFill>
                      <a:latin typeface="+mn-lt"/>
                      <a:ea typeface="+mn-ea"/>
                      <a:cs typeface="+mn-cs"/>
                    </a:defRPr>
                  </a:pPr>
                  <a:endParaRPr lang="es-CO"/>
                </a:p>
              </c:txPr>
              <c:dLblPos val="bestFit"/>
              <c:showLegendKey val="0"/>
              <c:showVal val="0"/>
              <c:showCatName val="0"/>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53735"/>
                      </a:solidFill>
                      <a:latin typeface="+mn-lt"/>
                      <a:ea typeface="+mn-ea"/>
                      <a:cs typeface="+mn-cs"/>
                    </a:defRPr>
                  </a:pPr>
                  <a:endParaRPr lang="es-CO"/>
                </a:p>
              </c:txPr>
              <c:dLblPos val="bestFit"/>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CYER!$N$10:$N$13</c:f>
              <c:strCache>
                <c:ptCount val="4"/>
                <c:pt idx="0">
                  <c:v>Zona de Riesgo BAJA</c:v>
                </c:pt>
                <c:pt idx="1">
                  <c:v>Zona de Riesgo MODERADA</c:v>
                </c:pt>
                <c:pt idx="2">
                  <c:v>Zona de Riesgo ALTA</c:v>
                </c:pt>
                <c:pt idx="3">
                  <c:v>Zona de Riesgo EXTREMA</c:v>
                </c:pt>
              </c:strCache>
            </c:strRef>
          </c:cat>
          <c:val>
            <c:numRef>
              <c:f>CYER!$O$10:$O$13</c:f>
              <c:numCache>
                <c:formatCode>General</c:formatCode>
                <c:ptCount val="4"/>
                <c:pt idx="0">
                  <c:v>0</c:v>
                </c:pt>
                <c:pt idx="1">
                  <c:v>0</c:v>
                </c:pt>
                <c:pt idx="2">
                  <c:v>0.8214285714285714</c:v>
                </c:pt>
                <c:pt idx="3">
                  <c:v>0.17857142857142858</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Avances Cuatrimestrales de Acciones por Riesgo de CORRUPCIÓN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4100244957198E-2"/>
          <c:y val="0.16041701753503398"/>
          <c:w val="0.94874551026228371"/>
          <c:h val="0.67257620131860885"/>
        </c:manualLayout>
      </c:layout>
      <c:bar3DChart>
        <c:barDir val="col"/>
        <c:grouping val="clustered"/>
        <c:varyColors val="0"/>
        <c:ser>
          <c:idx val="1"/>
          <c:order val="0"/>
          <c:tx>
            <c:strRef>
              <c:f>'RXC C'!$C$8</c:f>
              <c:strCache>
                <c:ptCount val="1"/>
                <c:pt idx="0">
                  <c:v>% 1ER CuaT</c:v>
                </c:pt>
              </c:strCache>
            </c:strRef>
          </c:tx>
          <c:spPr>
            <a:solidFill>
              <a:schemeClr val="accent2"/>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C'!$C$9:$C$42</c:f>
              <c:numCache>
                <c:formatCode>0%</c:formatCode>
                <c:ptCount val="34"/>
                <c:pt idx="0">
                  <c:v>1</c:v>
                </c:pt>
                <c:pt idx="1">
                  <c:v>0</c:v>
                </c:pt>
                <c:pt idx="2">
                  <c:v>0</c:v>
                </c:pt>
                <c:pt idx="3">
                  <c:v>0</c:v>
                </c:pt>
                <c:pt idx="4">
                  <c:v>1</c:v>
                </c:pt>
                <c:pt idx="5">
                  <c:v>1</c:v>
                </c:pt>
                <c:pt idx="6">
                  <c:v>0</c:v>
                </c:pt>
                <c:pt idx="7">
                  <c:v>0</c:v>
                </c:pt>
                <c:pt idx="8">
                  <c:v>0</c:v>
                </c:pt>
                <c:pt idx="9">
                  <c:v>0</c:v>
                </c:pt>
                <c:pt idx="10">
                  <c:v>0</c:v>
                </c:pt>
                <c:pt idx="11">
                  <c:v>0</c:v>
                </c:pt>
                <c:pt idx="12">
                  <c:v>0.2</c:v>
                </c:pt>
                <c:pt idx="13">
                  <c:v>0.75</c:v>
                </c:pt>
                <c:pt idx="14">
                  <c:v>0</c:v>
                </c:pt>
                <c:pt idx="15">
                  <c:v>0</c:v>
                </c:pt>
                <c:pt idx="16">
                  <c:v>0</c:v>
                </c:pt>
                <c:pt idx="17">
                  <c:v>0</c:v>
                </c:pt>
                <c:pt idx="18">
                  <c:v>0</c:v>
                </c:pt>
                <c:pt idx="19">
                  <c:v>0</c:v>
                </c:pt>
                <c:pt idx="20">
                  <c:v>0.25</c:v>
                </c:pt>
                <c:pt idx="21">
                  <c:v>0.25</c:v>
                </c:pt>
                <c:pt idx="22">
                  <c:v>0.25</c:v>
                </c:pt>
                <c:pt idx="23">
                  <c:v>0</c:v>
                </c:pt>
                <c:pt idx="24">
                  <c:v>0</c:v>
                </c:pt>
                <c:pt idx="25">
                  <c:v>0</c:v>
                </c:pt>
                <c:pt idx="26">
                  <c:v>4.9999999999999996E-2</c:v>
                </c:pt>
                <c:pt idx="27">
                  <c:v>0.85</c:v>
                </c:pt>
                <c:pt idx="28">
                  <c:v>0</c:v>
                </c:pt>
                <c:pt idx="29">
                  <c:v>0</c:v>
                </c:pt>
                <c:pt idx="30">
                  <c:v>7.7034358047016263E-2</c:v>
                </c:pt>
                <c:pt idx="31">
                  <c:v>0</c:v>
                </c:pt>
                <c:pt idx="32">
                  <c:v>0</c:v>
                </c:pt>
                <c:pt idx="33">
                  <c:v>0</c:v>
                </c:pt>
              </c:numCache>
            </c:numRef>
          </c:val>
        </c:ser>
        <c:ser>
          <c:idx val="2"/>
          <c:order val="1"/>
          <c:tx>
            <c:strRef>
              <c:f>'RXC C'!$D$8</c:f>
              <c:strCache>
                <c:ptCount val="1"/>
                <c:pt idx="0">
                  <c:v>% 2DO CuaT</c:v>
                </c:pt>
              </c:strCache>
            </c:strRef>
          </c:tx>
          <c:spPr>
            <a:solidFill>
              <a:schemeClr val="accent3"/>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C'!$D$9:$D$42</c:f>
              <c:numCache>
                <c:formatCode>0%</c:formatCode>
                <c:ptCount val="34"/>
                <c:pt idx="0">
                  <c:v>1</c:v>
                </c:pt>
                <c:pt idx="1">
                  <c:v>0</c:v>
                </c:pt>
                <c:pt idx="2">
                  <c:v>0</c:v>
                </c:pt>
                <c:pt idx="3">
                  <c:v>0</c:v>
                </c:pt>
                <c:pt idx="4">
                  <c:v>1</c:v>
                </c:pt>
                <c:pt idx="5">
                  <c:v>1</c:v>
                </c:pt>
                <c:pt idx="6">
                  <c:v>0</c:v>
                </c:pt>
                <c:pt idx="7">
                  <c:v>0</c:v>
                </c:pt>
                <c:pt idx="8">
                  <c:v>0</c:v>
                </c:pt>
                <c:pt idx="9">
                  <c:v>0.02</c:v>
                </c:pt>
                <c:pt idx="10">
                  <c:v>1.6666666666666666E-2</c:v>
                </c:pt>
                <c:pt idx="11">
                  <c:v>0.02</c:v>
                </c:pt>
                <c:pt idx="12">
                  <c:v>0.25</c:v>
                </c:pt>
                <c:pt idx="13">
                  <c:v>0.75</c:v>
                </c:pt>
                <c:pt idx="14">
                  <c:v>0.6</c:v>
                </c:pt>
                <c:pt idx="15">
                  <c:v>0.6</c:v>
                </c:pt>
                <c:pt idx="16">
                  <c:v>0.6</c:v>
                </c:pt>
                <c:pt idx="17">
                  <c:v>0.6</c:v>
                </c:pt>
                <c:pt idx="18">
                  <c:v>0.6</c:v>
                </c:pt>
                <c:pt idx="19">
                  <c:v>0</c:v>
                </c:pt>
                <c:pt idx="20">
                  <c:v>0.6</c:v>
                </c:pt>
                <c:pt idx="21">
                  <c:v>0.6</c:v>
                </c:pt>
                <c:pt idx="22">
                  <c:v>0.6</c:v>
                </c:pt>
                <c:pt idx="23">
                  <c:v>0.33333333333333331</c:v>
                </c:pt>
                <c:pt idx="24">
                  <c:v>0</c:v>
                </c:pt>
                <c:pt idx="25">
                  <c:v>0</c:v>
                </c:pt>
                <c:pt idx="26">
                  <c:v>4.9999999999999996E-2</c:v>
                </c:pt>
                <c:pt idx="27">
                  <c:v>0.85</c:v>
                </c:pt>
                <c:pt idx="28">
                  <c:v>0</c:v>
                </c:pt>
                <c:pt idx="29">
                  <c:v>0</c:v>
                </c:pt>
                <c:pt idx="30">
                  <c:v>0.23110307414104878</c:v>
                </c:pt>
                <c:pt idx="31">
                  <c:v>0</c:v>
                </c:pt>
                <c:pt idx="32">
                  <c:v>0</c:v>
                </c:pt>
                <c:pt idx="33">
                  <c:v>0</c:v>
                </c:pt>
              </c:numCache>
            </c:numRef>
          </c:val>
        </c:ser>
        <c:ser>
          <c:idx val="3"/>
          <c:order val="2"/>
          <c:tx>
            <c:strRef>
              <c:f>'RXC C'!$E$8</c:f>
              <c:strCache>
                <c:ptCount val="1"/>
                <c:pt idx="0">
                  <c:v>% 3ER CuaT</c:v>
                </c:pt>
              </c:strCache>
            </c:strRef>
          </c:tx>
          <c:spPr>
            <a:solidFill>
              <a:schemeClr val="accent4"/>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C'!$E$9:$E$42</c:f>
              <c:numCache>
                <c:formatCode>0%</c:formatCode>
                <c:ptCount val="34"/>
                <c:pt idx="0">
                  <c:v>1</c:v>
                </c:pt>
                <c:pt idx="1">
                  <c:v>0</c:v>
                </c:pt>
                <c:pt idx="2">
                  <c:v>0</c:v>
                </c:pt>
                <c:pt idx="3">
                  <c:v>0</c:v>
                </c:pt>
                <c:pt idx="4">
                  <c:v>1</c:v>
                </c:pt>
                <c:pt idx="5">
                  <c:v>1</c:v>
                </c:pt>
                <c:pt idx="6">
                  <c:v>0</c:v>
                </c:pt>
                <c:pt idx="7">
                  <c:v>0</c:v>
                </c:pt>
                <c:pt idx="8">
                  <c:v>0</c:v>
                </c:pt>
                <c:pt idx="9">
                  <c:v>0.02</c:v>
                </c:pt>
                <c:pt idx="10">
                  <c:v>1.6666666666666666E-2</c:v>
                </c:pt>
                <c:pt idx="11">
                  <c:v>0.02</c:v>
                </c:pt>
                <c:pt idx="12">
                  <c:v>1</c:v>
                </c:pt>
                <c:pt idx="13">
                  <c:v>1.125</c:v>
                </c:pt>
                <c:pt idx="14">
                  <c:v>0.6</c:v>
                </c:pt>
                <c:pt idx="15">
                  <c:v>0.89999999999999991</c:v>
                </c:pt>
                <c:pt idx="16">
                  <c:v>0.89999999999999991</c:v>
                </c:pt>
                <c:pt idx="17">
                  <c:v>0.89999999999999991</c:v>
                </c:pt>
                <c:pt idx="18">
                  <c:v>0.8</c:v>
                </c:pt>
                <c:pt idx="19">
                  <c:v>0</c:v>
                </c:pt>
                <c:pt idx="20">
                  <c:v>1</c:v>
                </c:pt>
                <c:pt idx="21">
                  <c:v>1</c:v>
                </c:pt>
                <c:pt idx="22">
                  <c:v>0.95</c:v>
                </c:pt>
                <c:pt idx="23">
                  <c:v>0.33333333333333331</c:v>
                </c:pt>
                <c:pt idx="24">
                  <c:v>0</c:v>
                </c:pt>
                <c:pt idx="25">
                  <c:v>0</c:v>
                </c:pt>
                <c:pt idx="26">
                  <c:v>0.19999999999999998</c:v>
                </c:pt>
                <c:pt idx="27">
                  <c:v>0.85</c:v>
                </c:pt>
                <c:pt idx="28">
                  <c:v>0</c:v>
                </c:pt>
                <c:pt idx="29">
                  <c:v>0</c:v>
                </c:pt>
                <c:pt idx="30">
                  <c:v>0.38517179023508136</c:v>
                </c:pt>
                <c:pt idx="31">
                  <c:v>0</c:v>
                </c:pt>
                <c:pt idx="32">
                  <c:v>0</c:v>
                </c:pt>
                <c:pt idx="33">
                  <c:v>0</c:v>
                </c:pt>
              </c:numCache>
            </c:numRef>
          </c:val>
        </c:ser>
        <c:dLbls>
          <c:showLegendKey val="0"/>
          <c:showVal val="0"/>
          <c:showCatName val="0"/>
          <c:showSerName val="0"/>
          <c:showPercent val="0"/>
          <c:showBubbleSize val="0"/>
        </c:dLbls>
        <c:gapWidth val="150"/>
        <c:shape val="box"/>
        <c:axId val="461503440"/>
        <c:axId val="479353312"/>
        <c:axId val="0"/>
      </c:bar3DChart>
      <c:catAx>
        <c:axId val="461503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79353312"/>
        <c:crosses val="autoZero"/>
        <c:auto val="1"/>
        <c:lblAlgn val="ctr"/>
        <c:lblOffset val="100"/>
        <c:noMultiLvlLbl val="0"/>
      </c:catAx>
      <c:valAx>
        <c:axId val="4793533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503440"/>
        <c:crosses val="autoZero"/>
        <c:crossBetween val="between"/>
      </c:valAx>
      <c:spPr>
        <a:noFill/>
        <a:ln>
          <a:noFill/>
        </a:ln>
        <a:effectLst/>
      </c:spPr>
    </c:plotArea>
    <c:legend>
      <c:legendPos val="b"/>
      <c:layout>
        <c:manualLayout>
          <c:xMode val="edge"/>
          <c:yMode val="edge"/>
          <c:x val="0.239718134285614"/>
          <c:y val="0.9172446425590024"/>
          <c:w val="0.52056351738822593"/>
          <c:h val="6.944506550999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971014492753624E-2"/>
          <c:y val="0.10106303949336311"/>
          <c:w val="0.87163561076604557"/>
          <c:h val="0.85026788406119325"/>
        </c:manualLayout>
      </c:layout>
      <c:pie3DChart>
        <c:varyColors val="1"/>
        <c:ser>
          <c:idx val="0"/>
          <c:order val="0"/>
          <c:dPt>
            <c:idx val="0"/>
            <c:bubble3D val="0"/>
            <c:explosion val="3"/>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868300"/>
                      </a:solidFill>
                      <a:latin typeface="+mn-lt"/>
                      <a:ea typeface="+mn-ea"/>
                      <a:cs typeface="+mn-cs"/>
                    </a:defRPr>
                  </a:pPr>
                  <a:endParaRPr lang="es-CO"/>
                </a:p>
              </c:txPr>
              <c:dLblPos val="bestFit"/>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53735"/>
                      </a:solidFill>
                      <a:latin typeface="+mn-lt"/>
                      <a:ea typeface="+mn-ea"/>
                      <a:cs typeface="+mn-cs"/>
                    </a:defRPr>
                  </a:pPr>
                  <a:endParaRPr lang="es-CO"/>
                </a:p>
              </c:txPr>
              <c:dLblPos val="bestFit"/>
              <c:showLegendKey val="0"/>
              <c:showVal val="0"/>
              <c:showCatName val="0"/>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es-CO"/>
                </a:p>
              </c:txPr>
              <c:dLblPos val="bestFit"/>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'CYER C'!$N$10:$N$11</c:f>
              <c:strCache>
                <c:ptCount val="2"/>
                <c:pt idx="0">
                  <c:v>Zona de Riesgo MODERADA</c:v>
                </c:pt>
                <c:pt idx="1">
                  <c:v>Zona de Riesgo EXTREMA</c:v>
                </c:pt>
              </c:strCache>
            </c:strRef>
          </c:cat>
          <c:val>
            <c:numRef>
              <c:f>'CYER C'!$O$10:$O$11</c:f>
              <c:numCache>
                <c:formatCode>General</c:formatCode>
                <c:ptCount val="2"/>
                <c:pt idx="0">
                  <c:v>0.97058823529411764</c:v>
                </c:pt>
                <c:pt idx="1">
                  <c:v>2.9411764705882353E-2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Cumplimiento Respecto a Plazos y Avance Mapa de </a:t>
            </a:r>
            <a:r>
              <a:rPr lang="es-CO" sz="1050" b="1" i="0" u="none" strike="noStrike" baseline="0">
                <a:effectLst/>
              </a:rPr>
              <a:t>Riesgos de GESTIÓN </a:t>
            </a:r>
            <a:endParaRPr lang="es-CO" sz="1050" b="1">
              <a:solidFill>
                <a:schemeClr val="accent4">
                  <a:lumMod val="20000"/>
                  <a:lumOff val="80000"/>
                </a:schemeClr>
              </a:solidFill>
            </a:endParaRPr>
          </a:p>
        </c:rich>
      </c:tx>
      <c:layout>
        <c:manualLayout>
          <c:xMode val="edge"/>
          <c:yMode val="edge"/>
          <c:x val="0.17083374761454209"/>
          <c:y val="2.500000000000000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AYCM!$A$19</c:f>
              <c:strCache>
                <c:ptCount val="1"/>
                <c:pt idx="0">
                  <c:v>Cumplimiento Riesgos de GESTIÓN (Respecto a los plazos establecidos)</c:v>
                </c:pt>
              </c:strCache>
            </c:strRef>
          </c:tx>
          <c:spPr>
            <a:solidFill>
              <a:schemeClr val="accent2"/>
            </a:solidFill>
            <a:ln>
              <a:noFill/>
            </a:ln>
            <a:effectLst/>
            <a:sp3d/>
          </c:spPr>
          <c:invertIfNegative val="0"/>
          <c:cat>
            <c:strRef>
              <c:f>AYCM!$C$8:$E$8</c:f>
              <c:strCache>
                <c:ptCount val="3"/>
                <c:pt idx="0">
                  <c:v>% 1ER CuaT</c:v>
                </c:pt>
                <c:pt idx="1">
                  <c:v>% 2DO CuaT</c:v>
                </c:pt>
                <c:pt idx="2">
                  <c:v>% 3ER CuaT</c:v>
                </c:pt>
              </c:strCache>
            </c:strRef>
          </c:cat>
          <c:val>
            <c:numRef>
              <c:f>AYCM!$C$19:$E$19</c:f>
              <c:numCache>
                <c:formatCode>0%</c:formatCode>
                <c:ptCount val="3"/>
                <c:pt idx="0">
                  <c:v>0.17424749163879599</c:v>
                </c:pt>
                <c:pt idx="1">
                  <c:v>0.40058372352285398</c:v>
                </c:pt>
                <c:pt idx="2">
                  <c:v>0.4535255295429208</c:v>
                </c:pt>
              </c:numCache>
            </c:numRef>
          </c:val>
        </c:ser>
        <c:ser>
          <c:idx val="0"/>
          <c:order val="1"/>
          <c:tx>
            <c:strRef>
              <c:f>AYCM!$A$20</c:f>
              <c:strCache>
                <c:ptCount val="1"/>
                <c:pt idx="0">
                  <c:v>% Avance Riesgos de GESTIÓN </c:v>
                </c:pt>
              </c:strCache>
            </c:strRef>
          </c:tx>
          <c:spPr>
            <a:solidFill>
              <a:schemeClr val="accent1"/>
            </a:solidFill>
            <a:ln>
              <a:noFill/>
            </a:ln>
            <a:effectLst/>
            <a:sp3d/>
          </c:spPr>
          <c:invertIfNegative val="0"/>
          <c:cat>
            <c:strRef>
              <c:f>AYCM!$C$8:$E$8</c:f>
              <c:strCache>
                <c:ptCount val="3"/>
                <c:pt idx="0">
                  <c:v>% 1ER CuaT</c:v>
                </c:pt>
                <c:pt idx="1">
                  <c:v>% 2DO CuaT</c:v>
                </c:pt>
                <c:pt idx="2">
                  <c:v>% 3ER CuaT</c:v>
                </c:pt>
              </c:strCache>
            </c:strRef>
          </c:cat>
          <c:val>
            <c:numRef>
              <c:f>AYCM!$C$20:$E$20</c:f>
              <c:numCache>
                <c:formatCode>0%</c:formatCode>
                <c:ptCount val="3"/>
                <c:pt idx="0">
                  <c:v>0.17424749163879599</c:v>
                </c:pt>
                <c:pt idx="1">
                  <c:v>0.40058372352285398</c:v>
                </c:pt>
                <c:pt idx="2">
                  <c:v>0.56848874024526197</c:v>
                </c:pt>
              </c:numCache>
            </c:numRef>
          </c:val>
        </c:ser>
        <c:dLbls>
          <c:showLegendKey val="0"/>
          <c:showVal val="0"/>
          <c:showCatName val="0"/>
          <c:showSerName val="0"/>
          <c:showPercent val="0"/>
          <c:showBubbleSize val="0"/>
        </c:dLbls>
        <c:gapWidth val="150"/>
        <c:shape val="box"/>
        <c:axId val="481201632"/>
        <c:axId val="481202192"/>
        <c:axId val="0"/>
      </c:bar3DChart>
      <c:catAx>
        <c:axId val="4812016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02192"/>
        <c:crosses val="autoZero"/>
        <c:auto val="1"/>
        <c:lblAlgn val="ctr"/>
        <c:lblOffset val="100"/>
        <c:noMultiLvlLbl val="0"/>
      </c:catAx>
      <c:valAx>
        <c:axId val="4812021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01632"/>
        <c:crosses val="autoZero"/>
        <c:crossBetween val="between"/>
      </c:valAx>
      <c:spPr>
        <a:noFill/>
        <a:ln>
          <a:noFill/>
        </a:ln>
        <a:effectLst/>
      </c:spPr>
    </c:plotArea>
    <c:legend>
      <c:legendPos val="b"/>
      <c:layout>
        <c:manualLayout>
          <c:xMode val="edge"/>
          <c:yMode val="edge"/>
          <c:x val="0.10652070242970266"/>
          <c:y val="0.91724458166212697"/>
          <c:w val="0.83480753296876586"/>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1295603674540683"/>
          <c:y val="2.9143804392871939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AYCM!$A$19</c:f>
              <c:strCache>
                <c:ptCount val="1"/>
                <c:pt idx="0">
                  <c:v>Cumplimiento Riesgos de GESTIÓN (Respecto a los plazos establecidos)</c:v>
                </c:pt>
              </c:strCache>
            </c:strRef>
          </c:tx>
          <c:explosion val="7"/>
          <c:dPt>
            <c:idx val="0"/>
            <c:bubble3D val="0"/>
            <c:spPr>
              <a:solidFill>
                <a:schemeClr val="accent2"/>
              </a:solidFill>
              <a:ln w="25400" cap="flat" cmpd="sng" algn="ctr">
                <a:solidFill>
                  <a:schemeClr val="accent2">
                    <a:shade val="50000"/>
                  </a:schemeClr>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AYCM!$F$19:$G$19</c:f>
              <c:numCache>
                <c:formatCode>0%</c:formatCode>
                <c:ptCount val="2"/>
                <c:pt idx="0">
                  <c:v>0.4535255295429208</c:v>
                </c:pt>
                <c:pt idx="1">
                  <c:v>0.5464744704570792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388196267133276"/>
          <c:y val="5.721397983146842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AYCM!$A$20</c:f>
              <c:strCache>
                <c:ptCount val="1"/>
                <c:pt idx="0">
                  <c:v>% Avance Riesgos de GESTIÓN </c:v>
                </c:pt>
              </c:strCache>
            </c:strRef>
          </c:tx>
          <c:explosion val="7"/>
          <c:dPt>
            <c:idx val="0"/>
            <c:bubble3D val="0"/>
            <c:spPr>
              <a:solidFill>
                <a:schemeClr val="accent1"/>
              </a:solidFill>
              <a:ln w="25400" cap="flat" cmpd="sng" algn="ctr">
                <a:solidFill>
                  <a:schemeClr val="accent1">
                    <a:shade val="50000"/>
                  </a:schemeClr>
                </a:solidFill>
                <a:prstDash val="solid"/>
              </a:ln>
              <a:effectLst/>
              <a:sp3d contourW="25400">
                <a:contourClr>
                  <a:schemeClr val="accent1">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AYCM!$F$20:$G$20</c:f>
              <c:numCache>
                <c:formatCode>0%</c:formatCode>
                <c:ptCount val="2"/>
                <c:pt idx="0">
                  <c:v>0.56848874024526197</c:v>
                </c:pt>
                <c:pt idx="1">
                  <c:v>0.43151125975473803</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Cumplimiento Respecto a Plazos y Avance Mapa de </a:t>
            </a:r>
            <a:r>
              <a:rPr lang="es-CO" sz="1050" b="1" i="0" u="none" strike="noStrike" baseline="0">
                <a:effectLst/>
              </a:rPr>
              <a:t>Riesgos de CORRUPCIÓN</a:t>
            </a:r>
            <a:endParaRPr lang="es-CO" sz="1050" b="1">
              <a:solidFill>
                <a:schemeClr val="accent4">
                  <a:lumMod val="20000"/>
                  <a:lumOff val="80000"/>
                </a:schemeClr>
              </a:solidFill>
            </a:endParaRPr>
          </a:p>
        </c:rich>
      </c:tx>
      <c:layout>
        <c:manualLayout>
          <c:xMode val="edge"/>
          <c:yMode val="edge"/>
          <c:x val="0.17083374761454209"/>
          <c:y val="2.500000000000000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'AYCM C'!$A$14</c:f>
              <c:strCache>
                <c:ptCount val="1"/>
                <c:pt idx="0">
                  <c:v>Cumplimiento Riesgos de CORRUPCIÓN (Respecto a los plazos establecidos)</c:v>
                </c:pt>
              </c:strCache>
            </c:strRef>
          </c:tx>
          <c:spPr>
            <a:solidFill>
              <a:schemeClr val="accent2"/>
            </a:solidFill>
            <a:ln>
              <a:noFill/>
            </a:ln>
            <a:effectLst/>
            <a:sp3d/>
          </c:spPr>
          <c:invertIfNegative val="0"/>
          <c:cat>
            <c:strRef>
              <c:f>'AYCM C'!$C$8:$E$8</c:f>
              <c:strCache>
                <c:ptCount val="3"/>
                <c:pt idx="0">
                  <c:v>% 1ER CuaT</c:v>
                </c:pt>
                <c:pt idx="1">
                  <c:v>% 2DO CuaT</c:v>
                </c:pt>
                <c:pt idx="2">
                  <c:v>% 3ER CuaT</c:v>
                </c:pt>
              </c:strCache>
            </c:strRef>
          </c:cat>
          <c:val>
            <c:numRef>
              <c:f>'AYCM C'!$C$14:$E$14</c:f>
              <c:numCache>
                <c:formatCode>0%</c:formatCode>
                <c:ptCount val="3"/>
                <c:pt idx="0">
                  <c:v>0.24291617473435656</c:v>
                </c:pt>
                <c:pt idx="1">
                  <c:v>0.42483333929614925</c:v>
                </c:pt>
                <c:pt idx="2">
                  <c:v>0.4422218048251107</c:v>
                </c:pt>
              </c:numCache>
            </c:numRef>
          </c:val>
        </c:ser>
        <c:ser>
          <c:idx val="0"/>
          <c:order val="1"/>
          <c:tx>
            <c:strRef>
              <c:f>'AYCM C'!$A$15</c:f>
              <c:strCache>
                <c:ptCount val="1"/>
                <c:pt idx="0">
                  <c:v>% Avance Riesgo de CORRUPCIÓN </c:v>
                </c:pt>
              </c:strCache>
            </c:strRef>
          </c:tx>
          <c:spPr>
            <a:solidFill>
              <a:schemeClr val="accent1"/>
            </a:solidFill>
            <a:ln>
              <a:noFill/>
            </a:ln>
            <a:effectLst/>
            <a:sp3d/>
          </c:spPr>
          <c:invertIfNegative val="0"/>
          <c:cat>
            <c:strRef>
              <c:f>'AYCM C'!$C$8:$E$8</c:f>
              <c:strCache>
                <c:ptCount val="3"/>
                <c:pt idx="0">
                  <c:v>% 1ER CuaT</c:v>
                </c:pt>
                <c:pt idx="1">
                  <c:v>% 2DO CuaT</c:v>
                </c:pt>
                <c:pt idx="2">
                  <c:v>% 3ER CuaT</c:v>
                </c:pt>
              </c:strCache>
            </c:strRef>
          </c:cat>
          <c:val>
            <c:numRef>
              <c:f>'AYCM C'!$C$15:$E$15</c:f>
              <c:numCache>
                <c:formatCode>0%</c:formatCode>
                <c:ptCount val="3"/>
                <c:pt idx="0">
                  <c:v>0.24291617473435656</c:v>
                </c:pt>
                <c:pt idx="1">
                  <c:v>0.43242161878525515</c:v>
                </c:pt>
                <c:pt idx="2">
                  <c:v>0.60297097301229541</c:v>
                </c:pt>
              </c:numCache>
            </c:numRef>
          </c:val>
        </c:ser>
        <c:dLbls>
          <c:showLegendKey val="0"/>
          <c:showVal val="0"/>
          <c:showCatName val="0"/>
          <c:showSerName val="0"/>
          <c:showPercent val="0"/>
          <c:showBubbleSize val="0"/>
        </c:dLbls>
        <c:gapWidth val="150"/>
        <c:shape val="box"/>
        <c:axId val="481211712"/>
        <c:axId val="481212272"/>
        <c:axId val="0"/>
      </c:bar3DChart>
      <c:catAx>
        <c:axId val="481211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12272"/>
        <c:crosses val="autoZero"/>
        <c:auto val="1"/>
        <c:lblAlgn val="ctr"/>
        <c:lblOffset val="100"/>
        <c:noMultiLvlLbl val="0"/>
      </c:catAx>
      <c:valAx>
        <c:axId val="4812122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11712"/>
        <c:crosses val="autoZero"/>
        <c:crossBetween val="between"/>
      </c:valAx>
      <c:spPr>
        <a:noFill/>
        <a:ln>
          <a:noFill/>
        </a:ln>
        <a:effectLst/>
      </c:spPr>
    </c:plotArea>
    <c:legend>
      <c:legendPos val="b"/>
      <c:layout>
        <c:manualLayout>
          <c:xMode val="edge"/>
          <c:yMode val="edge"/>
          <c:x val="0.10652070242970266"/>
          <c:y val="0.91724458166212697"/>
          <c:w val="0.81308316093889499"/>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a:t>Cumplimiento Riesgos de CORRUPCIÓN (Respecto a plazos establecidos)</a:t>
            </a:r>
          </a:p>
        </c:rich>
      </c:tx>
      <c:layout>
        <c:manualLayout>
          <c:xMode val="edge"/>
          <c:yMode val="edge"/>
          <c:x val="9.4437518226888312E-2"/>
          <c:y val="1.0736289542754521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 C'!$A$14</c:f>
              <c:strCache>
                <c:ptCount val="1"/>
                <c:pt idx="0">
                  <c:v>Cumplimiento Riesgos de CORRUPCIÓN (Respecto a los plazos establecidos)</c:v>
                </c:pt>
              </c:strCache>
            </c:strRef>
          </c:tx>
          <c:explosion val="7"/>
          <c:dPt>
            <c:idx val="0"/>
            <c:bubble3D val="0"/>
            <c:spPr>
              <a:solidFill>
                <a:schemeClr val="accent2"/>
              </a:solidFill>
              <a:ln w="25400" cap="flat" cmpd="sng" algn="ctr">
                <a:solidFill>
                  <a:schemeClr val="accent2">
                    <a:shade val="50000"/>
                  </a:schemeClr>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 C'!$F$14:$G$14</c:f>
              <c:numCache>
                <c:formatCode>0%</c:formatCode>
                <c:ptCount val="2"/>
                <c:pt idx="0">
                  <c:v>0.4422218048251107</c:v>
                </c:pt>
                <c:pt idx="1">
                  <c:v>0.55777819517488925</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388196267133276"/>
          <c:y val="5.721397983146842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 C'!$A$15</c:f>
              <c:strCache>
                <c:ptCount val="1"/>
                <c:pt idx="0">
                  <c:v>% Avance Riesgo de CORRUPCIÓN </c:v>
                </c:pt>
              </c:strCache>
            </c:strRef>
          </c:tx>
          <c:explosion val="7"/>
          <c:dPt>
            <c:idx val="0"/>
            <c:bubble3D val="0"/>
            <c:spPr>
              <a:solidFill>
                <a:schemeClr val="accent1"/>
              </a:solidFill>
              <a:ln w="25400" cap="flat" cmpd="sng" algn="ctr">
                <a:solidFill>
                  <a:schemeClr val="accent1">
                    <a:shade val="50000"/>
                  </a:schemeClr>
                </a:solidFill>
                <a:prstDash val="solid"/>
              </a:ln>
              <a:effectLst/>
              <a:sp3d contourW="25400">
                <a:contourClr>
                  <a:schemeClr val="accent1">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 C'!$F$15:$G$15</c:f>
              <c:numCache>
                <c:formatCode>0%</c:formatCode>
                <c:ptCount val="2"/>
                <c:pt idx="0">
                  <c:v>0.60297097301229541</c:v>
                </c:pt>
                <c:pt idx="1">
                  <c:v>0.39702902698770459</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r>
              <a:rPr lang="es-CO" sz="1000" b="1">
                <a:solidFill>
                  <a:schemeClr val="accent4">
                    <a:lumMod val="20000"/>
                    <a:lumOff val="80000"/>
                  </a:schemeClr>
                </a:solidFill>
              </a:rPr>
              <a:t>Resultados Cuatrimestrales MAPA DE RIESGO </a:t>
            </a:r>
          </a:p>
        </c:rich>
      </c:tx>
      <c:layout>
        <c:manualLayout>
          <c:xMode val="edge"/>
          <c:yMode val="edge"/>
          <c:x val="0.1360708036495438"/>
          <c:y val="1.308234908136483E-2"/>
        </c:manualLayout>
      </c:layout>
      <c:overlay val="0"/>
      <c:spPr>
        <a:solidFill>
          <a:srgbClr val="7030A0"/>
        </a:solidFill>
        <a:ln>
          <a:noFill/>
        </a:ln>
        <a:effectLst/>
      </c:spPr>
      <c:txPr>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AVANCE!$A$11</c:f>
              <c:strCache>
                <c:ptCount val="1"/>
                <c:pt idx="0">
                  <c:v>Cumplimiento MAPA Respecto a Plazos</c:v>
                </c:pt>
              </c:strCache>
            </c:strRef>
          </c:tx>
          <c:spPr>
            <a:solidFill>
              <a:srgbClr val="FFFF61"/>
            </a:solidFill>
            <a:ln>
              <a:noFill/>
            </a:ln>
            <a:effectLst/>
            <a:scene3d>
              <a:camera prst="orthographicFront"/>
              <a:lightRig rig="threePt" dir="t"/>
            </a:scene3d>
            <a:sp3d>
              <a:bevelT/>
            </a:sp3d>
          </c:spPr>
          <c:invertIfNegative val="0"/>
          <c:cat>
            <c:strRef>
              <c:f>AVANCE!$C$8:$E$8</c:f>
              <c:strCache>
                <c:ptCount val="3"/>
                <c:pt idx="0">
                  <c:v>% 1ER CuaT</c:v>
                </c:pt>
                <c:pt idx="1">
                  <c:v>% 2DO CuaT</c:v>
                </c:pt>
                <c:pt idx="2">
                  <c:v>% 3ER CuaT</c:v>
                </c:pt>
              </c:strCache>
            </c:strRef>
          </c:cat>
          <c:val>
            <c:numRef>
              <c:f>AVANCE!$C$11:$E$11</c:f>
              <c:numCache>
                <c:formatCode>0%</c:formatCode>
                <c:ptCount val="3"/>
                <c:pt idx="0">
                  <c:v>0.20971661415358461</c:v>
                </c:pt>
                <c:pt idx="1">
                  <c:v>0.41310926725000852</c:v>
                </c:pt>
                <c:pt idx="2">
                  <c:v>0.44768686803354679</c:v>
                </c:pt>
              </c:numCache>
            </c:numRef>
          </c:val>
        </c:ser>
        <c:ser>
          <c:idx val="0"/>
          <c:order val="1"/>
          <c:tx>
            <c:strRef>
              <c:f>AVANCE!$A$14</c:f>
              <c:strCache>
                <c:ptCount val="1"/>
                <c:pt idx="0">
                  <c:v>AVANCE DEL MAPA</c:v>
                </c:pt>
              </c:strCache>
            </c:strRef>
          </c:tx>
          <c:spPr>
            <a:solidFill>
              <a:srgbClr val="C0BC00"/>
            </a:solidFill>
            <a:ln>
              <a:noFill/>
            </a:ln>
            <a:effectLst/>
            <a:scene3d>
              <a:camera prst="orthographicFront"/>
              <a:lightRig rig="threePt" dir="t"/>
            </a:scene3d>
            <a:sp3d>
              <a:bevelT/>
            </a:sp3d>
          </c:spPr>
          <c:invertIfNegative val="0"/>
          <c:cat>
            <c:strRef>
              <c:f>AVANCE!$C$8:$E$8</c:f>
              <c:strCache>
                <c:ptCount val="3"/>
                <c:pt idx="0">
                  <c:v>% 1ER CuaT</c:v>
                </c:pt>
                <c:pt idx="1">
                  <c:v>% 2DO CuaT</c:v>
                </c:pt>
                <c:pt idx="2">
                  <c:v>% 3ER CuaT</c:v>
                </c:pt>
              </c:strCache>
            </c:strRef>
          </c:cat>
          <c:val>
            <c:numRef>
              <c:f>AVANCE!$C$14:$E$14</c:f>
              <c:numCache>
                <c:formatCode>0%</c:formatCode>
                <c:ptCount val="3"/>
                <c:pt idx="0">
                  <c:v>0.20971661415358461</c:v>
                </c:pt>
                <c:pt idx="1">
                  <c:v>0.41702880673645831</c:v>
                </c:pt>
                <c:pt idx="2">
                  <c:v>0.58629969108140001</c:v>
                </c:pt>
              </c:numCache>
            </c:numRef>
          </c:val>
        </c:ser>
        <c:dLbls>
          <c:showLegendKey val="0"/>
          <c:showVal val="0"/>
          <c:showCatName val="0"/>
          <c:showSerName val="0"/>
          <c:showPercent val="0"/>
          <c:showBubbleSize val="0"/>
        </c:dLbls>
        <c:gapWidth val="150"/>
        <c:shape val="box"/>
        <c:axId val="481220672"/>
        <c:axId val="481221232"/>
        <c:axId val="0"/>
      </c:bar3DChart>
      <c:catAx>
        <c:axId val="481220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21232"/>
        <c:crosses val="autoZero"/>
        <c:auto val="1"/>
        <c:lblAlgn val="ctr"/>
        <c:lblOffset val="100"/>
        <c:noMultiLvlLbl val="0"/>
      </c:catAx>
      <c:valAx>
        <c:axId val="4812212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20672"/>
        <c:crosses val="autoZero"/>
        <c:crossBetween val="between"/>
      </c:valAx>
      <c:spPr>
        <a:noFill/>
        <a:ln>
          <a:noFill/>
        </a:ln>
        <a:effectLst/>
      </c:spPr>
    </c:plotArea>
    <c:legend>
      <c:legendPos val="b"/>
      <c:layout>
        <c:manualLayout>
          <c:xMode val="edge"/>
          <c:yMode val="edge"/>
          <c:x val="3.3461442319710024E-3"/>
          <c:y val="0.9241890857392826"/>
          <c:w val="0.99499250093738278"/>
          <c:h val="7.58109142607174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CO" sz="900" b="1"/>
              <a:t>Cumplimiento del</a:t>
            </a:r>
            <a:r>
              <a:rPr lang="es-CO" sz="900" b="1" baseline="0"/>
              <a:t> Riesgo </a:t>
            </a:r>
            <a:r>
              <a:rPr lang="es-CO" sz="900" b="1"/>
              <a:t>Respecto a Plazos</a:t>
            </a:r>
          </a:p>
        </c:rich>
      </c:tx>
      <c:layout>
        <c:manualLayout>
          <c:xMode val="edge"/>
          <c:yMode val="edge"/>
          <c:x val="0.12103231123413326"/>
          <c:y val="2.1505358705161855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AVANCE!$B$9</c:f>
              <c:strCache>
                <c:ptCount val="1"/>
                <c:pt idx="0">
                  <c:v>Gestión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accent1">
                  <a:shade val="95000"/>
                  <a:satMod val="105000"/>
                </a:schemeClr>
              </a:solidFill>
              <a:prstDash val="solid"/>
            </a:ln>
            <a:effectLst>
              <a:outerShdw blurRad="40000" dist="23000" dir="5400000" rotWithShape="0">
                <a:srgbClr val="000000">
                  <a:alpha val="35000"/>
                </a:srgbClr>
              </a:outerShdw>
            </a:effectLst>
            <a:sp3d contourW="9525">
              <a:contourClr>
                <a:schemeClr val="accent1">
                  <a:shade val="95000"/>
                  <a:satMod val="105000"/>
                </a:schemeClr>
              </a:contourClr>
            </a:sp3d>
          </c:spPr>
          <c:invertIfNegative val="0"/>
          <c:cat>
            <c:strRef>
              <c:f>AVANCE!$C$8:$E$8</c:f>
              <c:strCache>
                <c:ptCount val="3"/>
                <c:pt idx="0">
                  <c:v>% 1ER CuaT</c:v>
                </c:pt>
                <c:pt idx="1">
                  <c:v>% 2DO CuaT</c:v>
                </c:pt>
                <c:pt idx="2">
                  <c:v>% 3ER CuaT</c:v>
                </c:pt>
              </c:strCache>
            </c:strRef>
          </c:cat>
          <c:val>
            <c:numRef>
              <c:f>AVANCE!$C$9:$E$9</c:f>
              <c:numCache>
                <c:formatCode>0%</c:formatCode>
                <c:ptCount val="3"/>
                <c:pt idx="0">
                  <c:v>0.17424749163879599</c:v>
                </c:pt>
                <c:pt idx="1">
                  <c:v>0.40058372352285398</c:v>
                </c:pt>
                <c:pt idx="2">
                  <c:v>0.4535255295429208</c:v>
                </c:pt>
              </c:numCache>
            </c:numRef>
          </c:val>
        </c:ser>
        <c:ser>
          <c:idx val="0"/>
          <c:order val="1"/>
          <c:tx>
            <c:strRef>
              <c:f>AVANCE!$B$10</c:f>
              <c:strCache>
                <c:ptCount val="1"/>
                <c:pt idx="0">
                  <c:v>Corrupción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a:sp3d contourW="9525">
              <a:contourClr>
                <a:schemeClr val="accent2">
                  <a:shade val="95000"/>
                  <a:satMod val="105000"/>
                </a:schemeClr>
              </a:contourClr>
            </a:sp3d>
          </c:spPr>
          <c:invertIfNegative val="0"/>
          <c:cat>
            <c:strRef>
              <c:f>AVANCE!$C$8:$E$8</c:f>
              <c:strCache>
                <c:ptCount val="3"/>
                <c:pt idx="0">
                  <c:v>% 1ER CuaT</c:v>
                </c:pt>
                <c:pt idx="1">
                  <c:v>% 2DO CuaT</c:v>
                </c:pt>
                <c:pt idx="2">
                  <c:v>% 3ER CuaT</c:v>
                </c:pt>
              </c:strCache>
            </c:strRef>
          </c:cat>
          <c:val>
            <c:numRef>
              <c:f>AVANCE!$C$10:$E$10</c:f>
              <c:numCache>
                <c:formatCode>0%</c:formatCode>
                <c:ptCount val="3"/>
                <c:pt idx="0">
                  <c:v>0.24291617473435656</c:v>
                </c:pt>
                <c:pt idx="1">
                  <c:v>0.42483333929614925</c:v>
                </c:pt>
                <c:pt idx="2">
                  <c:v>0.4422218048251107</c:v>
                </c:pt>
              </c:numCache>
            </c:numRef>
          </c:val>
        </c:ser>
        <c:dLbls>
          <c:showLegendKey val="0"/>
          <c:showVal val="0"/>
          <c:showCatName val="0"/>
          <c:showSerName val="0"/>
          <c:showPercent val="0"/>
          <c:showBubbleSize val="0"/>
        </c:dLbls>
        <c:gapWidth val="150"/>
        <c:shape val="box"/>
        <c:axId val="481224592"/>
        <c:axId val="481225152"/>
        <c:axId val="0"/>
      </c:bar3DChart>
      <c:catAx>
        <c:axId val="4812245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25152"/>
        <c:crosses val="autoZero"/>
        <c:auto val="1"/>
        <c:lblAlgn val="ctr"/>
        <c:lblOffset val="100"/>
        <c:noMultiLvlLbl val="0"/>
      </c:catAx>
      <c:valAx>
        <c:axId val="481225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24592"/>
        <c:crosses val="autoZero"/>
        <c:crossBetween val="between"/>
      </c:valAx>
      <c:spPr>
        <a:noFill/>
        <a:ln>
          <a:noFill/>
        </a:ln>
        <a:effectLst/>
      </c:spPr>
    </c:plotArea>
    <c:legend>
      <c:legendPos val="b"/>
      <c:layout>
        <c:manualLayout>
          <c:xMode val="edge"/>
          <c:yMode val="edge"/>
          <c:x val="0.10652070242970266"/>
          <c:y val="0.91724458166212697"/>
          <c:w val="0.78864324240529005"/>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CO" sz="900" b="1"/>
              <a:t>% de Avance del Riesgo </a:t>
            </a:r>
          </a:p>
        </c:rich>
      </c:tx>
      <c:layout>
        <c:manualLayout>
          <c:xMode val="edge"/>
          <c:yMode val="edge"/>
          <c:x val="0.26665233398726185"/>
          <c:y val="1.456091426071740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AVANCE!$B$12</c:f>
              <c:strCache>
                <c:ptCount val="1"/>
                <c:pt idx="0">
                  <c:v>Gestión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accent1">
                  <a:shade val="95000"/>
                  <a:satMod val="105000"/>
                </a:schemeClr>
              </a:solidFill>
              <a:prstDash val="solid"/>
            </a:ln>
            <a:effectLst>
              <a:outerShdw blurRad="40000" dist="23000" dir="5400000" rotWithShape="0">
                <a:srgbClr val="000000">
                  <a:alpha val="35000"/>
                </a:srgbClr>
              </a:outerShdw>
            </a:effectLst>
            <a:sp3d contourW="9525">
              <a:contourClr>
                <a:schemeClr val="accent1">
                  <a:shade val="95000"/>
                  <a:satMod val="105000"/>
                </a:schemeClr>
              </a:contourClr>
            </a:sp3d>
          </c:spPr>
          <c:invertIfNegative val="0"/>
          <c:cat>
            <c:strRef>
              <c:f>AVANCE!$C$8:$E$8</c:f>
              <c:strCache>
                <c:ptCount val="3"/>
                <c:pt idx="0">
                  <c:v>% 1ER CuaT</c:v>
                </c:pt>
                <c:pt idx="1">
                  <c:v>% 2DO CuaT</c:v>
                </c:pt>
                <c:pt idx="2">
                  <c:v>% 3ER CuaT</c:v>
                </c:pt>
              </c:strCache>
            </c:strRef>
          </c:cat>
          <c:val>
            <c:numRef>
              <c:f>AVANCE!$C$12:$E$12</c:f>
              <c:numCache>
                <c:formatCode>0%</c:formatCode>
                <c:ptCount val="3"/>
                <c:pt idx="0">
                  <c:v>0.17424749163879599</c:v>
                </c:pt>
                <c:pt idx="1">
                  <c:v>0.40058372352285398</c:v>
                </c:pt>
                <c:pt idx="2">
                  <c:v>0.56848874024526197</c:v>
                </c:pt>
              </c:numCache>
            </c:numRef>
          </c:val>
        </c:ser>
        <c:ser>
          <c:idx val="0"/>
          <c:order val="1"/>
          <c:tx>
            <c:strRef>
              <c:f>AVANCE!$B$13</c:f>
              <c:strCache>
                <c:ptCount val="1"/>
                <c:pt idx="0">
                  <c:v>Corrupción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a:sp3d contourW="9525">
              <a:contourClr>
                <a:schemeClr val="accent2">
                  <a:shade val="95000"/>
                  <a:satMod val="105000"/>
                </a:schemeClr>
              </a:contourClr>
            </a:sp3d>
          </c:spPr>
          <c:invertIfNegative val="0"/>
          <c:cat>
            <c:strRef>
              <c:f>AVANCE!$C$8:$E$8</c:f>
              <c:strCache>
                <c:ptCount val="3"/>
                <c:pt idx="0">
                  <c:v>% 1ER CuaT</c:v>
                </c:pt>
                <c:pt idx="1">
                  <c:v>% 2DO CuaT</c:v>
                </c:pt>
                <c:pt idx="2">
                  <c:v>% 3ER CuaT</c:v>
                </c:pt>
              </c:strCache>
            </c:strRef>
          </c:cat>
          <c:val>
            <c:numRef>
              <c:f>AVANCE!$C$13:$E$13</c:f>
              <c:numCache>
                <c:formatCode>0%</c:formatCode>
                <c:ptCount val="3"/>
                <c:pt idx="0">
                  <c:v>0.24291617473435656</c:v>
                </c:pt>
                <c:pt idx="1">
                  <c:v>0.43242161878525515</c:v>
                </c:pt>
                <c:pt idx="2">
                  <c:v>0.60297097301229541</c:v>
                </c:pt>
              </c:numCache>
            </c:numRef>
          </c:val>
        </c:ser>
        <c:dLbls>
          <c:showLegendKey val="0"/>
          <c:showVal val="0"/>
          <c:showCatName val="0"/>
          <c:showSerName val="0"/>
          <c:showPercent val="0"/>
          <c:showBubbleSize val="0"/>
        </c:dLbls>
        <c:gapWidth val="150"/>
        <c:shape val="box"/>
        <c:axId val="481228512"/>
        <c:axId val="482199872"/>
        <c:axId val="0"/>
      </c:bar3DChart>
      <c:catAx>
        <c:axId val="48122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2199872"/>
        <c:crosses val="autoZero"/>
        <c:auto val="1"/>
        <c:lblAlgn val="ctr"/>
        <c:lblOffset val="100"/>
        <c:noMultiLvlLbl val="0"/>
      </c:catAx>
      <c:valAx>
        <c:axId val="4821998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1228512"/>
        <c:crosses val="autoZero"/>
        <c:crossBetween val="between"/>
      </c:valAx>
      <c:spPr>
        <a:noFill/>
        <a:ln>
          <a:noFill/>
        </a:ln>
        <a:effectLst/>
      </c:spPr>
    </c:plotArea>
    <c:legend>
      <c:legendPos val="b"/>
      <c:layout>
        <c:manualLayout>
          <c:xMode val="edge"/>
          <c:yMode val="edge"/>
          <c:x val="0.10652070242970266"/>
          <c:y val="0.91724458166212697"/>
          <c:w val="0.78864324240529005"/>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 de las Acciones por Riesgo de GESTIÓN</a:t>
            </a:r>
          </a:p>
        </c:rich>
      </c:tx>
      <c:layout>
        <c:manualLayout>
          <c:xMode val="edge"/>
          <c:yMode val="edge"/>
          <c:x val="0.24967037755896174"/>
          <c:y val="1.661517763230802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378584451445586E-2"/>
          <c:y val="0.14437528420331536"/>
          <c:w val="0.943877878655767"/>
          <c:h val="0.66417223918419777"/>
        </c:manualLayout>
      </c:layout>
      <c:bar3DChart>
        <c:barDir val="col"/>
        <c:grouping val="clustered"/>
        <c:varyColors val="0"/>
        <c:ser>
          <c:idx val="1"/>
          <c:order val="0"/>
          <c:tx>
            <c:strRef>
              <c:f>AXR!$F$8</c:f>
              <c:strCache>
                <c:ptCount val="1"/>
                <c:pt idx="0">
                  <c:v>% Avance 
(Ultimo  Seguimiento)</c:v>
                </c:pt>
              </c:strCache>
            </c:strRef>
          </c:tx>
          <c:spPr>
            <a:solidFill>
              <a:schemeClr val="accent2"/>
            </a:solidFill>
            <a:ln>
              <a:noFill/>
            </a:ln>
            <a:effectLst/>
            <a:sp3d/>
          </c:spPr>
          <c:invertIfNegative val="0"/>
          <c:cat>
            <c:strRef>
              <c:f>AXR!$A$9:$A$36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AXR!$F$9:$F$36</c:f>
              <c:numCache>
                <c:formatCode>0%</c:formatCode>
                <c:ptCount val="28"/>
                <c:pt idx="0">
                  <c:v>1</c:v>
                </c:pt>
                <c:pt idx="1">
                  <c:v>1</c:v>
                </c:pt>
                <c:pt idx="2">
                  <c:v>1</c:v>
                </c:pt>
                <c:pt idx="3">
                  <c:v>0.5</c:v>
                </c:pt>
                <c:pt idx="4">
                  <c:v>1</c:v>
                </c:pt>
                <c:pt idx="5">
                  <c:v>0</c:v>
                </c:pt>
                <c:pt idx="6">
                  <c:v>0</c:v>
                </c:pt>
                <c:pt idx="7">
                  <c:v>0</c:v>
                </c:pt>
                <c:pt idx="8">
                  <c:v>1</c:v>
                </c:pt>
                <c:pt idx="9">
                  <c:v>0.25</c:v>
                </c:pt>
                <c:pt idx="10">
                  <c:v>0.05</c:v>
                </c:pt>
                <c:pt idx="11">
                  <c:v>0.4</c:v>
                </c:pt>
                <c:pt idx="12">
                  <c:v>0.4</c:v>
                </c:pt>
                <c:pt idx="13">
                  <c:v>0.10000000000000002</c:v>
                </c:pt>
                <c:pt idx="14">
                  <c:v>0.98333333333333339</c:v>
                </c:pt>
                <c:pt idx="15">
                  <c:v>0.91666666666666663</c:v>
                </c:pt>
                <c:pt idx="16">
                  <c:v>0.67</c:v>
                </c:pt>
                <c:pt idx="17">
                  <c:v>0</c:v>
                </c:pt>
                <c:pt idx="18">
                  <c:v>0</c:v>
                </c:pt>
                <c:pt idx="19">
                  <c:v>0</c:v>
                </c:pt>
                <c:pt idx="20">
                  <c:v>0</c:v>
                </c:pt>
                <c:pt idx="21">
                  <c:v>0.21666666666666665</c:v>
                </c:pt>
                <c:pt idx="22">
                  <c:v>0.5</c:v>
                </c:pt>
                <c:pt idx="23">
                  <c:v>0.45</c:v>
                </c:pt>
                <c:pt idx="24">
                  <c:v>0.4</c:v>
                </c:pt>
                <c:pt idx="25">
                  <c:v>0.19999999999999998</c:v>
                </c:pt>
                <c:pt idx="26">
                  <c:v>0</c:v>
                </c:pt>
                <c:pt idx="27">
                  <c:v>0</c:v>
                </c:pt>
              </c:numCache>
            </c:numRef>
          </c:val>
        </c:ser>
        <c:dLbls>
          <c:showLegendKey val="0"/>
          <c:showVal val="0"/>
          <c:showCatName val="0"/>
          <c:showSerName val="0"/>
          <c:showPercent val="0"/>
          <c:showBubbleSize val="0"/>
        </c:dLbls>
        <c:gapWidth val="150"/>
        <c:shape val="box"/>
        <c:axId val="479354992"/>
        <c:axId val="479355552"/>
        <c:axId val="0"/>
      </c:bar3DChart>
      <c:catAx>
        <c:axId val="4793549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355552"/>
        <c:crosses val="autoZero"/>
        <c:auto val="1"/>
        <c:lblAlgn val="ctr"/>
        <c:lblOffset val="100"/>
        <c:noMultiLvlLbl val="0"/>
      </c:catAx>
      <c:valAx>
        <c:axId val="4793555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354992"/>
        <c:crosses val="autoZero"/>
        <c:crossBetween val="between"/>
      </c:valAx>
      <c:spPr>
        <a:noFill/>
        <a:ln>
          <a:noFill/>
        </a:ln>
        <a:effectLst/>
      </c:spPr>
    </c:plotArea>
    <c:legend>
      <c:legendPos val="b"/>
      <c:layout>
        <c:manualLayout>
          <c:xMode val="edge"/>
          <c:yMode val="edge"/>
          <c:x val="0.35297940159400276"/>
          <c:y val="0.88437378813737821"/>
          <c:w val="0.29132288187615957"/>
          <c:h val="0.107292862125056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r>
              <a:rPr lang="en-US" sz="1000" b="1">
                <a:solidFill>
                  <a:schemeClr val="accent4">
                    <a:lumMod val="20000"/>
                    <a:lumOff val="80000"/>
                  </a:schemeClr>
                </a:solidFill>
              </a:rPr>
              <a:t>Cumplimiento MAPA DE RIESGO</a:t>
            </a:r>
          </a:p>
        </c:rich>
      </c:tx>
      <c:layout>
        <c:manualLayout>
          <c:xMode val="edge"/>
          <c:yMode val="edge"/>
          <c:x val="0.11479380028476832"/>
          <c:y val="8.6494869959436883E-3"/>
        </c:manualLayout>
      </c:layout>
      <c:overlay val="0"/>
      <c:spPr>
        <a:solidFill>
          <a:srgbClr val="7030A0"/>
        </a:solid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AVANCE!$A$11</c:f>
              <c:strCache>
                <c:ptCount val="1"/>
                <c:pt idx="0">
                  <c:v>Cumplimiento MAPA Respecto a Plazos</c:v>
                </c:pt>
              </c:strCache>
            </c:strRef>
          </c:tx>
          <c:explosion val="7"/>
          <c:dPt>
            <c:idx val="0"/>
            <c:bubble3D val="0"/>
            <c:spPr>
              <a:solidFill>
                <a:srgbClr val="FFFF61"/>
              </a:solidFill>
              <a:ln w="25400" cap="flat" cmpd="sng" algn="ctr">
                <a:solidFill>
                  <a:srgbClr val="FFFF61"/>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ysClr val="windowText" lastClr="000000"/>
                      </a:solidFill>
                      <a:effectLst>
                        <a:outerShdw blurRad="38100" dist="25400" dir="5400000" algn="ctr" rotWithShape="0">
                          <a:srgbClr val="6E747A">
                            <a:alpha val="43000"/>
                          </a:srgbClr>
                        </a:outerShdw>
                      </a:effectLst>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AVANCE!$F$11:$G$11</c:f>
              <c:numCache>
                <c:formatCode>0%</c:formatCode>
                <c:ptCount val="2"/>
                <c:pt idx="0">
                  <c:v>0.44768686803354679</c:v>
                </c:pt>
                <c:pt idx="1">
                  <c:v>0.55231313196645315</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n-US" sz="1050" b="1">
                <a:solidFill>
                  <a:schemeClr val="accent4">
                    <a:lumMod val="20000"/>
                    <a:lumOff val="80000"/>
                  </a:schemeClr>
                </a:solidFill>
              </a:rPr>
              <a:t>Avance MAPA DE RIESGO</a:t>
            </a:r>
          </a:p>
        </c:rich>
      </c:tx>
      <c:layout>
        <c:manualLayout>
          <c:xMode val="edge"/>
          <c:yMode val="edge"/>
          <c:x val="0.19104652359631513"/>
          <c:y val="8.6494869959436883E-3"/>
        </c:manualLayout>
      </c:layout>
      <c:overlay val="0"/>
      <c:spPr>
        <a:solidFill>
          <a:srgbClr val="7030A0"/>
        </a:solidFill>
        <a:ln>
          <a:noFill/>
        </a:ln>
        <a:effectLst/>
      </c:spPr>
    </c:title>
    <c:autoTitleDeleted val="0"/>
    <c:view3D>
      <c:rotX val="3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001972792616612E-2"/>
          <c:y val="0.12292829873538536"/>
          <c:w val="0.94576321342185166"/>
          <c:h val="0.87707170126461464"/>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AVANCE!$A$14</c:f>
              <c:strCache>
                <c:ptCount val="1"/>
                <c:pt idx="0">
                  <c:v>AVANCE DEL MAPA</c:v>
                </c:pt>
              </c:strCache>
            </c:strRef>
          </c:tx>
          <c:explosion val="7"/>
          <c:dPt>
            <c:idx val="0"/>
            <c:bubble3D val="0"/>
            <c:explosion val="0"/>
            <c:spPr>
              <a:solidFill>
                <a:srgbClr val="C0BC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explosion val="10"/>
            <c:spPr>
              <a:pattFill prst="pct70">
                <a:fgClr>
                  <a:schemeClr val="bg1">
                    <a:lumMod val="95000"/>
                  </a:schemeClr>
                </a:fgClr>
                <a:bgClr>
                  <a:schemeClr val="bg1"/>
                </a:bgClr>
              </a:pattFill>
              <a:ln w="25400">
                <a:solidFill>
                  <a:schemeClr val="bg1">
                    <a:lumMod val="50000"/>
                  </a:schemeClr>
                </a:solidFill>
              </a:ln>
              <a:effectLst>
                <a:innerShdw blurRad="63500" dist="50800" dir="16200000">
                  <a:prstClr val="black">
                    <a:alpha val="50000"/>
                  </a:prstClr>
                </a:innerShdw>
              </a:effectLst>
              <a:scene3d>
                <a:camera prst="orthographicFront"/>
                <a:lightRig rig="threePt" dir="t">
                  <a:rot lat="0" lon="0" rev="1200000"/>
                </a:lightRig>
              </a:scene3d>
              <a:sp3d>
                <a:bevelT w="63500" h="25400" prst="softRound"/>
                <a:contourClr>
                  <a:srgbClr val="000000"/>
                </a:contourClr>
              </a:sp3d>
            </c:spPr>
          </c:dPt>
          <c:dLbls>
            <c:dLbl>
              <c:idx val="0"/>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cap="none" spc="0" baseline="0">
                      <a:ln w="0">
                        <a:noFill/>
                      </a:ln>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AVANCE!$F$14:$G$14</c:f>
              <c:numCache>
                <c:formatCode>0%</c:formatCode>
                <c:ptCount val="2"/>
                <c:pt idx="0">
                  <c:v>0.58629969108140001</c:v>
                </c:pt>
                <c:pt idx="1">
                  <c:v>0.41370030891859999</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i="0" u="none" strike="noStrike" baseline="0">
                <a:effectLst/>
              </a:rPr>
              <a:t>Avance de las Acciones por Riesgo de </a:t>
            </a:r>
            <a:r>
              <a:rPr lang="es-CO" sz="1050" b="1">
                <a:solidFill>
                  <a:schemeClr val="accent4">
                    <a:lumMod val="20000"/>
                    <a:lumOff val="80000"/>
                  </a:schemeClr>
                </a:solidFill>
              </a:rPr>
              <a:t>CORRUPCIÓN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08986252956004E-2"/>
          <c:y val="0.14221452555683478"/>
          <c:w val="0.9377611028819417"/>
          <c:h val="0.67257604308985997"/>
        </c:manualLayout>
      </c:layout>
      <c:bar3DChart>
        <c:barDir val="col"/>
        <c:grouping val="clustered"/>
        <c:varyColors val="0"/>
        <c:ser>
          <c:idx val="1"/>
          <c:order val="0"/>
          <c:tx>
            <c:strRef>
              <c:f>'AXR C'!$F$8</c:f>
              <c:strCache>
                <c:ptCount val="1"/>
                <c:pt idx="0">
                  <c:v>% Avance 
(Ultimo  Seguimeinto)</c:v>
                </c:pt>
              </c:strCache>
            </c:strRef>
          </c:tx>
          <c:spPr>
            <a:solidFill>
              <a:schemeClr val="accent2"/>
            </a:solidFill>
            <a:ln>
              <a:noFill/>
            </a:ln>
            <a:effectLst/>
            <a:sp3d/>
          </c:spPr>
          <c:invertIfNegative val="0"/>
          <c:cat>
            <c:strRef>
              <c:f>'AXR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'AXR C'!$F$9:$F$42</c:f>
              <c:numCache>
                <c:formatCode>0%</c:formatCode>
                <c:ptCount val="34"/>
                <c:pt idx="0">
                  <c:v>1</c:v>
                </c:pt>
                <c:pt idx="1">
                  <c:v>0</c:v>
                </c:pt>
                <c:pt idx="2">
                  <c:v>0</c:v>
                </c:pt>
                <c:pt idx="3">
                  <c:v>0</c:v>
                </c:pt>
                <c:pt idx="4">
                  <c:v>1</c:v>
                </c:pt>
                <c:pt idx="5">
                  <c:v>1</c:v>
                </c:pt>
                <c:pt idx="6">
                  <c:v>0</c:v>
                </c:pt>
                <c:pt idx="7">
                  <c:v>0</c:v>
                </c:pt>
                <c:pt idx="8">
                  <c:v>0</c:v>
                </c:pt>
                <c:pt idx="9">
                  <c:v>0.02</c:v>
                </c:pt>
                <c:pt idx="10">
                  <c:v>1.6666666666666666E-2</c:v>
                </c:pt>
                <c:pt idx="11">
                  <c:v>0.02</c:v>
                </c:pt>
                <c:pt idx="12">
                  <c:v>1</c:v>
                </c:pt>
                <c:pt idx="13">
                  <c:v>1.125</c:v>
                </c:pt>
                <c:pt idx="14">
                  <c:v>0.6</c:v>
                </c:pt>
                <c:pt idx="15">
                  <c:v>0.89999999999999991</c:v>
                </c:pt>
                <c:pt idx="16">
                  <c:v>0.89999999999999991</c:v>
                </c:pt>
                <c:pt idx="17">
                  <c:v>0.89999999999999991</c:v>
                </c:pt>
                <c:pt idx="18">
                  <c:v>0.8</c:v>
                </c:pt>
                <c:pt idx="19">
                  <c:v>0</c:v>
                </c:pt>
                <c:pt idx="20">
                  <c:v>1</c:v>
                </c:pt>
                <c:pt idx="21">
                  <c:v>1</c:v>
                </c:pt>
                <c:pt idx="22">
                  <c:v>0.95</c:v>
                </c:pt>
                <c:pt idx="23">
                  <c:v>0.33333333333333331</c:v>
                </c:pt>
                <c:pt idx="24">
                  <c:v>0</c:v>
                </c:pt>
                <c:pt idx="25">
                  <c:v>0</c:v>
                </c:pt>
                <c:pt idx="26">
                  <c:v>0.19999999999999998</c:v>
                </c:pt>
                <c:pt idx="27">
                  <c:v>0.85</c:v>
                </c:pt>
                <c:pt idx="28">
                  <c:v>0</c:v>
                </c:pt>
                <c:pt idx="29">
                  <c:v>0</c:v>
                </c:pt>
                <c:pt idx="30">
                  <c:v>0.38517179023508136</c:v>
                </c:pt>
                <c:pt idx="31">
                  <c:v>0</c:v>
                </c:pt>
                <c:pt idx="32">
                  <c:v>0</c:v>
                </c:pt>
                <c:pt idx="33">
                  <c:v>0</c:v>
                </c:pt>
              </c:numCache>
            </c:numRef>
          </c:val>
        </c:ser>
        <c:dLbls>
          <c:showLegendKey val="0"/>
          <c:showVal val="0"/>
          <c:showCatName val="0"/>
          <c:showSerName val="0"/>
          <c:showPercent val="0"/>
          <c:showBubbleSize val="0"/>
        </c:dLbls>
        <c:gapWidth val="150"/>
        <c:shape val="box"/>
        <c:axId val="479359472"/>
        <c:axId val="479360032"/>
        <c:axId val="0"/>
      </c:bar3DChart>
      <c:catAx>
        <c:axId val="4793594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79360032"/>
        <c:crosses val="autoZero"/>
        <c:auto val="1"/>
        <c:lblAlgn val="ctr"/>
        <c:lblOffset val="100"/>
        <c:noMultiLvlLbl val="0"/>
      </c:catAx>
      <c:valAx>
        <c:axId val="4793600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359472"/>
        <c:crosses val="autoZero"/>
        <c:crossBetween val="between"/>
        <c:majorUnit val="0.1"/>
      </c:valAx>
      <c:spPr>
        <a:noFill/>
        <a:ln>
          <a:noFill/>
        </a:ln>
        <a:effectLst/>
      </c:spPr>
    </c:plotArea>
    <c:legend>
      <c:legendPos val="b"/>
      <c:layout>
        <c:manualLayout>
          <c:xMode val="edge"/>
          <c:yMode val="edge"/>
          <c:x val="0.26704057484617699"/>
          <c:y val="0.88083963883003502"/>
          <c:w val="0.55335032915967475"/>
          <c:h val="0.119160361169964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(Efectividad)</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CONT!$A$10:$B$11</c:f>
              <c:strCache>
                <c:ptCount val="2"/>
                <c:pt idx="0">
                  <c:v>Controles Efectivos</c:v>
                </c:pt>
                <c:pt idx="1">
                  <c:v>Controles NO Efectivos</c:v>
                </c:pt>
              </c:strCache>
            </c:strRef>
          </c:cat>
          <c:val>
            <c:numRef>
              <c:f>CONT!$G$10:$G$11</c:f>
              <c:numCache>
                <c:formatCode>0%</c:formatCode>
                <c:ptCount val="2"/>
                <c:pt idx="0">
                  <c:v>0.8928571428571429</c:v>
                </c:pt>
                <c:pt idx="1">
                  <c:v>0.10714285714285714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5.000000000000001E-2"/>
          <c:y val="0.83420056867891512"/>
          <c:w val="0.8999999637976156"/>
          <c:h val="0.158854986876640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(Documentación)</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CONT!$H$9:$I$9</c:f>
              <c:strCache>
                <c:ptCount val="2"/>
                <c:pt idx="0">
                  <c:v>SI</c:v>
                </c:pt>
                <c:pt idx="1">
                  <c:v>NO</c:v>
                </c:pt>
              </c:strCache>
            </c:strRef>
          </c:cat>
          <c:val>
            <c:numRef>
              <c:f>CONT!$J$10:$J$11</c:f>
              <c:numCache>
                <c:formatCode>General</c:formatCode>
                <c:ptCount val="2"/>
                <c:pt idx="0">
                  <c:v>0.9107142857142857</c:v>
                </c:pt>
                <c:pt idx="1">
                  <c:v>8.9285714285714288E-2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(Responsable)</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9999"/>
              </a:solidFill>
              <a:ln w="25400">
                <a:solidFill>
                  <a:schemeClr val="lt1"/>
                </a:solidFill>
              </a:ln>
              <a:effectLst/>
              <a:sp3d contourW="25400">
                <a:contourClr>
                  <a:schemeClr val="lt1"/>
                </a:contourClr>
              </a:sp3d>
            </c:spPr>
          </c:dPt>
          <c:dPt>
            <c:idx val="1"/>
            <c:bubble3D val="0"/>
            <c:explosion val="13"/>
            <c:spPr>
              <a:solidFill>
                <a:srgbClr val="CC0066"/>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CONT!$N$9:$O$9</c:f>
              <c:strCache>
                <c:ptCount val="2"/>
                <c:pt idx="0">
                  <c:v>SI</c:v>
                </c:pt>
                <c:pt idx="1">
                  <c:v>NO</c:v>
                </c:pt>
              </c:strCache>
            </c:strRef>
          </c:cat>
          <c:val>
            <c:numRef>
              <c:f>CONT!$P$10:$P$11</c:f>
              <c:numCache>
                <c:formatCode>General</c:formatCode>
                <c:ptCount val="2"/>
                <c:pt idx="0">
                  <c:v>0.9821428571428571</c:v>
                </c:pt>
                <c:pt idx="1">
                  <c:v>1.7857142857142856E-2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(Periodicidad)</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C5C0"/>
              </a:solidFill>
              <a:ln w="25400">
                <a:solidFill>
                  <a:schemeClr val="lt1"/>
                </a:solidFill>
              </a:ln>
              <a:effectLst/>
              <a:sp3d contourW="25400">
                <a:contourClr>
                  <a:schemeClr val="lt1"/>
                </a:contourClr>
              </a:sp3d>
            </c:spPr>
          </c:dPt>
          <c:dPt>
            <c:idx val="1"/>
            <c:bubble3D val="0"/>
            <c:explosion val="13"/>
            <c:spPr>
              <a:solidFill>
                <a:srgbClr val="D11DA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CONT!$Q$9:$R$9</c:f>
              <c:strCache>
                <c:ptCount val="2"/>
                <c:pt idx="0">
                  <c:v>SI</c:v>
                </c:pt>
                <c:pt idx="1">
                  <c:v>NO</c:v>
                </c:pt>
              </c:strCache>
            </c:strRef>
          </c:cat>
          <c:val>
            <c:numRef>
              <c:f>CONT!$S$10:$S$11</c:f>
              <c:numCache>
                <c:formatCode>General</c:formatCode>
                <c:ptCount val="2"/>
                <c:pt idx="0">
                  <c:v>0.8214285714285714</c:v>
                </c:pt>
                <c:pt idx="1">
                  <c:v>0.17857142857142858</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Tipo de </a:t>
            </a:r>
          </a:p>
          <a:p>
            <a:pPr>
              <a:defRPr sz="1000" b="1"/>
            </a:pPr>
            <a:r>
              <a:rPr lang="es-ES" sz="1000" b="1"/>
              <a:t>Control</a:t>
            </a:r>
          </a:p>
        </c:rich>
      </c:tx>
      <c:layout>
        <c:manualLayout>
          <c:xMode val="edge"/>
          <c:yMode val="edge"/>
          <c:x val="0.12251270224601797"/>
          <c:y val="0.41743979370999679"/>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100989032000141"/>
          <c:w val="1"/>
          <c:h val="0.85899010967999856"/>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CONT!$C$8:$D$9</c:f>
              <c:strCache>
                <c:ptCount val="2"/>
                <c:pt idx="0">
                  <c:v>Preventivos</c:v>
                </c:pt>
                <c:pt idx="1">
                  <c:v>Correctivos</c:v>
                </c:pt>
              </c:strCache>
            </c:strRef>
          </c:cat>
          <c:val>
            <c:numRef>
              <c:f>CONT!$C$12:$D$12</c:f>
              <c:numCache>
                <c:formatCode>General</c:formatCode>
                <c:ptCount val="2"/>
                <c:pt idx="0">
                  <c:v>54</c:v>
                </c:pt>
                <c:pt idx="1">
                  <c:v>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0.73513557933179208"/>
          <c:y val="0.6584472993507392"/>
          <c:w val="0.21614120584497135"/>
          <c:h val="0.2496386296083850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rtilla Gu&#237;a'!A2:A16"/></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3.xml"/><Relationship Id="rId1" Type="http://schemas.openxmlformats.org/officeDocument/2006/relationships/image" Target="../media/image1.png"/><Relationship Id="rId4"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6.xml"/><Relationship Id="rId7" Type="http://schemas.openxmlformats.org/officeDocument/2006/relationships/hyperlink" Target="#ESTADISTICAS!A1"/><Relationship Id="rId2" Type="http://schemas.openxmlformats.org/officeDocument/2006/relationships/chart" Target="../charts/chart5.xml"/><Relationship Id="rId1" Type="http://schemas.openxmlformats.org/officeDocument/2006/relationships/image" Target="../media/image1.png"/><Relationship Id="rId6" Type="http://schemas.openxmlformats.org/officeDocument/2006/relationships/chart" Target="../charts/chart9.xml"/><Relationship Id="rId5" Type="http://schemas.openxmlformats.org/officeDocument/2006/relationships/chart" Target="../charts/chart8.xml"/><Relationship Id="rId10" Type="http://schemas.openxmlformats.org/officeDocument/2006/relationships/chart" Target="../charts/chart11.xml"/><Relationship Id="rId4" Type="http://schemas.openxmlformats.org/officeDocument/2006/relationships/chart" Target="../charts/chart7.xml"/><Relationship Id="rId9"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13.xml"/><Relationship Id="rId7" Type="http://schemas.openxmlformats.org/officeDocument/2006/relationships/hyperlink" Target="#ESTADISTICAS!A1"/><Relationship Id="rId2" Type="http://schemas.openxmlformats.org/officeDocument/2006/relationships/chart" Target="../charts/chart12.xml"/><Relationship Id="rId1" Type="http://schemas.openxmlformats.org/officeDocument/2006/relationships/image" Target="../media/image1.png"/><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18.xml"/><Relationship Id="rId4" Type="http://schemas.openxmlformats.org/officeDocument/2006/relationships/chart" Target="../charts/chart14.xml"/><Relationship Id="rId9"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4"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4"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rtilla Gu&#237;a'!A41:A55"/></Relationships>
</file>

<file path=xl/drawings/_rels/drawing2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7.xml"/><Relationship Id="rId7" Type="http://schemas.openxmlformats.org/officeDocument/2006/relationships/chart" Target="../charts/chart30.xml"/><Relationship Id="rId2" Type="http://schemas.openxmlformats.org/officeDocument/2006/relationships/image" Target="../media/image3.jpeg"/><Relationship Id="rId1" Type="http://schemas.openxmlformats.org/officeDocument/2006/relationships/hyperlink" Target="#ESTADISTICAS!A1"/><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3" Type="http://schemas.openxmlformats.org/officeDocument/2006/relationships/image" Target="../media/image16.wmf"/><Relationship Id="rId18" Type="http://schemas.openxmlformats.org/officeDocument/2006/relationships/image" Target="../media/image21.jpeg"/><Relationship Id="rId26" Type="http://schemas.openxmlformats.org/officeDocument/2006/relationships/image" Target="../media/image29.png"/><Relationship Id="rId39" Type="http://schemas.openxmlformats.org/officeDocument/2006/relationships/image" Target="../media/image42.png"/><Relationship Id="rId21" Type="http://schemas.openxmlformats.org/officeDocument/2006/relationships/image" Target="../media/image24.jpeg"/><Relationship Id="rId34" Type="http://schemas.openxmlformats.org/officeDocument/2006/relationships/image" Target="../media/image37.png"/><Relationship Id="rId42" Type="http://schemas.openxmlformats.org/officeDocument/2006/relationships/image" Target="../media/image45.png"/><Relationship Id="rId7" Type="http://schemas.openxmlformats.org/officeDocument/2006/relationships/image" Target="../media/image10.wmf"/><Relationship Id="rId2" Type="http://schemas.openxmlformats.org/officeDocument/2006/relationships/image" Target="../media/image5.png"/><Relationship Id="rId16" Type="http://schemas.openxmlformats.org/officeDocument/2006/relationships/image" Target="../media/image19.jpe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1" Type="http://schemas.openxmlformats.org/officeDocument/2006/relationships/image" Target="../media/image4.png"/><Relationship Id="rId6" Type="http://schemas.openxmlformats.org/officeDocument/2006/relationships/image" Target="../media/image9.wmf"/><Relationship Id="rId11" Type="http://schemas.openxmlformats.org/officeDocument/2006/relationships/image" Target="../media/image14.emf"/><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5" Type="http://schemas.openxmlformats.org/officeDocument/2006/relationships/image" Target="../media/image8.png"/><Relationship Id="rId15" Type="http://schemas.openxmlformats.org/officeDocument/2006/relationships/image" Target="../media/image18.wmf"/><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3.wmf"/><Relationship Id="rId19" Type="http://schemas.openxmlformats.org/officeDocument/2006/relationships/image" Target="../media/image22.png"/><Relationship Id="rId31" Type="http://schemas.openxmlformats.org/officeDocument/2006/relationships/image" Target="../media/image34.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wmf"/><Relationship Id="rId22" Type="http://schemas.openxmlformats.org/officeDocument/2006/relationships/image" Target="../media/image25.jpe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 Id="rId8" Type="http://schemas.openxmlformats.org/officeDocument/2006/relationships/image" Target="../media/image11.wmf"/><Relationship Id="rId3" Type="http://schemas.openxmlformats.org/officeDocument/2006/relationships/image" Target="../media/image6.png"/><Relationship Id="rId12" Type="http://schemas.openxmlformats.org/officeDocument/2006/relationships/image" Target="../media/image15.wmf"/><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s>
</file>

<file path=xl/drawings/_rels/drawing3.xml.rels><?xml version="1.0" encoding="UTF-8" standalone="yes"?>
<Relationships xmlns="http://schemas.openxmlformats.org/package/2006/relationships"><Relationship Id="rId3" Type="http://schemas.openxmlformats.org/officeDocument/2006/relationships/hyperlink" Target="#'Cartilla Gu&#237;a'!A165:A179"/><Relationship Id="rId2" Type="http://schemas.openxmlformats.org/officeDocument/2006/relationships/image" Target="../media/image1.png"/><Relationship Id="rId1" Type="http://schemas.openxmlformats.org/officeDocument/2006/relationships/hyperlink" Target="#'Cartilla Gu&#237;a'!A107:A121"/></Relationships>
</file>

<file path=xl/drawings/_rels/drawing4.xml.rels><?xml version="1.0" encoding="UTF-8" standalone="yes"?>
<Relationships xmlns="http://schemas.openxmlformats.org/package/2006/relationships"><Relationship Id="rId3" Type="http://schemas.openxmlformats.org/officeDocument/2006/relationships/hyperlink" Target="#'Cartilla Gu&#237;a'!A225:A239"/><Relationship Id="rId2" Type="http://schemas.openxmlformats.org/officeDocument/2006/relationships/image" Target="../media/image1.png"/><Relationship Id="rId1" Type="http://schemas.openxmlformats.org/officeDocument/2006/relationships/hyperlink" Target="#'Cartilla Gu&#237;a'!A193:A207"/></Relationships>
</file>

<file path=xl/drawings/_rels/drawing5.xml.rels><?xml version="1.0" encoding="UTF-8" standalone="yes"?>
<Relationships xmlns="http://schemas.openxmlformats.org/package/2006/relationships"><Relationship Id="rId3" Type="http://schemas.openxmlformats.org/officeDocument/2006/relationships/hyperlink" Target="#'Cartilla Gu&#237;a'!A286:A300"/><Relationship Id="rId2" Type="http://schemas.openxmlformats.org/officeDocument/2006/relationships/image" Target="../media/image1.png"/><Relationship Id="rId1" Type="http://schemas.openxmlformats.org/officeDocument/2006/relationships/hyperlink" Target="#'Cartilla Gu&#237;a'!A243:A257"/></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656</xdr:colOff>
      <xdr:row>4</xdr:row>
      <xdr:rowOff>32756</xdr:rowOff>
    </xdr:from>
    <xdr:to>
      <xdr:col>2</xdr:col>
      <xdr:colOff>328104</xdr:colOff>
      <xdr:row>4</xdr:row>
      <xdr:rowOff>382005</xdr:rowOff>
    </xdr:to>
    <xdr:sp macro="" textlink="">
      <xdr:nvSpPr>
        <xdr:cNvPr id="2" name="1 Anillo" descr="Ayuda">
          <a:hlinkClick xmlns:r="http://schemas.openxmlformats.org/officeDocument/2006/relationships" r:id="rId1"/>
        </xdr:cNvPr>
        <xdr:cNvSpPr/>
      </xdr:nvSpPr>
      <xdr:spPr>
        <a:xfrm>
          <a:off x="6201854" y="1355673"/>
          <a:ext cx="349250" cy="349249"/>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933450</xdr:colOff>
      <xdr:row>0</xdr:row>
      <xdr:rowOff>114300</xdr:rowOff>
    </xdr:from>
    <xdr:to>
      <xdr:col>0</xdr:col>
      <xdr:colOff>1809750</xdr:colOff>
      <xdr:row>2</xdr:row>
      <xdr:rowOff>95250</xdr:rowOff>
    </xdr:to>
    <xdr:pic>
      <xdr:nvPicPr>
        <xdr:cNvPr id="2108"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114300"/>
          <a:ext cx="8763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76200</xdr:rowOff>
        </xdr:from>
        <xdr:to>
          <xdr:col>0</xdr:col>
          <xdr:colOff>504825</xdr:colOff>
          <xdr:row>19</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76200</xdr:rowOff>
        </xdr:from>
        <xdr:to>
          <xdr:col>0</xdr:col>
          <xdr:colOff>504825</xdr:colOff>
          <xdr:row>19</xdr:row>
          <xdr:rowOff>466725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76200</xdr:rowOff>
        </xdr:from>
        <xdr:to>
          <xdr:col>0</xdr:col>
          <xdr:colOff>504825</xdr:colOff>
          <xdr:row>20</xdr:row>
          <xdr:rowOff>466725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76200</xdr:rowOff>
        </xdr:from>
        <xdr:to>
          <xdr:col>0</xdr:col>
          <xdr:colOff>504825</xdr:colOff>
          <xdr:row>21</xdr:row>
          <xdr:rowOff>466725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76200</xdr:rowOff>
        </xdr:from>
        <xdr:to>
          <xdr:col>0</xdr:col>
          <xdr:colOff>504825</xdr:colOff>
          <xdr:row>23</xdr:row>
          <xdr:rowOff>466725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76200</xdr:rowOff>
        </xdr:from>
        <xdr:to>
          <xdr:col>0</xdr:col>
          <xdr:colOff>504825</xdr:colOff>
          <xdr:row>26</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76200</xdr:rowOff>
        </xdr:from>
        <xdr:to>
          <xdr:col>0</xdr:col>
          <xdr:colOff>504825</xdr:colOff>
          <xdr:row>26</xdr:row>
          <xdr:rowOff>466725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76200</xdr:rowOff>
        </xdr:from>
        <xdr:to>
          <xdr:col>0</xdr:col>
          <xdr:colOff>504825</xdr:colOff>
          <xdr:row>27</xdr:row>
          <xdr:rowOff>466725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76200</xdr:rowOff>
        </xdr:from>
        <xdr:to>
          <xdr:col>0</xdr:col>
          <xdr:colOff>504825</xdr:colOff>
          <xdr:row>28</xdr:row>
          <xdr:rowOff>466725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76200</xdr:rowOff>
        </xdr:from>
        <xdr:to>
          <xdr:col>0</xdr:col>
          <xdr:colOff>504825</xdr:colOff>
          <xdr:row>29</xdr:row>
          <xdr:rowOff>466725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76200</xdr:rowOff>
        </xdr:from>
        <xdr:to>
          <xdr:col>0</xdr:col>
          <xdr:colOff>504825</xdr:colOff>
          <xdr:row>31</xdr:row>
          <xdr:rowOff>466725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76200</xdr:rowOff>
        </xdr:from>
        <xdr:to>
          <xdr:col>0</xdr:col>
          <xdr:colOff>504825</xdr:colOff>
          <xdr:row>30</xdr:row>
          <xdr:rowOff>466725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76200</xdr:rowOff>
        </xdr:from>
        <xdr:to>
          <xdr:col>0</xdr:col>
          <xdr:colOff>504825</xdr:colOff>
          <xdr:row>22</xdr:row>
          <xdr:rowOff>466725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28575</xdr:rowOff>
    </xdr:from>
    <xdr:to>
      <xdr:col>1</xdr:col>
      <xdr:colOff>819150</xdr:colOff>
      <xdr:row>2</xdr:row>
      <xdr:rowOff>247650</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2857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381000</xdr:colOff>
      <xdr:row>0</xdr:row>
      <xdr:rowOff>174069</xdr:rowOff>
    </xdr:from>
    <xdr:to>
      <xdr:col>12</xdr:col>
      <xdr:colOff>590550</xdr:colOff>
      <xdr:row>2</xdr:row>
      <xdr:rowOff>266700</xdr:rowOff>
    </xdr:to>
    <xdr:pic>
      <xdr:nvPicPr>
        <xdr:cNvPr id="4" name="Imagen 3"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0125" y="174069"/>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9530</xdr:rowOff>
    </xdr:from>
    <xdr:to>
      <xdr:col>10</xdr:col>
      <xdr:colOff>876300</xdr:colOff>
      <xdr:row>18</xdr:row>
      <xdr:rowOff>171449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6" name="Imagen 5"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9530</xdr:rowOff>
    </xdr:from>
    <xdr:to>
      <xdr:col>11</xdr:col>
      <xdr:colOff>428625</xdr:colOff>
      <xdr:row>13</xdr:row>
      <xdr:rowOff>428625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19055</xdr:rowOff>
    </xdr:from>
    <xdr:to>
      <xdr:col>10</xdr:col>
      <xdr:colOff>962025</xdr:colOff>
      <xdr:row>18</xdr:row>
      <xdr:rowOff>66674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1847850</xdr:colOff>
      <xdr:row>0</xdr:row>
      <xdr:rowOff>28575</xdr:rowOff>
    </xdr:from>
    <xdr:to>
      <xdr:col>6</xdr:col>
      <xdr:colOff>2619375</xdr:colOff>
      <xdr:row>3</xdr:row>
      <xdr:rowOff>16431</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7</xdr:row>
      <xdr:rowOff>9530</xdr:rowOff>
    </xdr:from>
    <xdr:to>
      <xdr:col>10</xdr:col>
      <xdr:colOff>981075</xdr:colOff>
      <xdr:row>13</xdr:row>
      <xdr:rowOff>485774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1190625</xdr:colOff>
      <xdr:row>0</xdr:row>
      <xdr:rowOff>0</xdr:rowOff>
    </xdr:from>
    <xdr:to>
      <xdr:col>1</xdr:col>
      <xdr:colOff>133350</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0"/>
          <a:ext cx="590550"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12</xdr:row>
      <xdr:rowOff>38100</xdr:rowOff>
    </xdr:from>
    <xdr:to>
      <xdr:col>1</xdr:col>
      <xdr:colOff>370276</xdr:colOff>
      <xdr:row>21</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409573</xdr:colOff>
      <xdr:row>12</xdr:row>
      <xdr:rowOff>38100</xdr:rowOff>
    </xdr:from>
    <xdr:to>
      <xdr:col>5</xdr:col>
      <xdr:colOff>27373</xdr:colOff>
      <xdr:row>21</xdr:row>
      <xdr:rowOff>152400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85725</xdr:colOff>
      <xdr:row>12</xdr:row>
      <xdr:rowOff>47625</xdr:rowOff>
    </xdr:from>
    <xdr:to>
      <xdr:col>19</xdr:col>
      <xdr:colOff>255975</xdr:colOff>
      <xdr:row>21</xdr:row>
      <xdr:rowOff>161925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285749</xdr:colOff>
      <xdr:row>12</xdr:row>
      <xdr:rowOff>47625</xdr:rowOff>
    </xdr:from>
    <xdr:to>
      <xdr:col>22</xdr:col>
      <xdr:colOff>1408499</xdr:colOff>
      <xdr:row>21</xdr:row>
      <xdr:rowOff>161925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9526</xdr:colOff>
      <xdr:row>7</xdr:row>
      <xdr:rowOff>38100</xdr:rowOff>
    </xdr:from>
    <xdr:to>
      <xdr:col>23</xdr:col>
      <xdr:colOff>1857375</xdr:colOff>
      <xdr:row>11</xdr:row>
      <xdr:rowOff>161925</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695325</xdr:colOff>
      <xdr:row>0</xdr:row>
      <xdr:rowOff>47625</xdr:rowOff>
    </xdr:from>
    <xdr:to>
      <xdr:col>22</xdr:col>
      <xdr:colOff>1466850</xdr:colOff>
      <xdr:row>3</xdr:row>
      <xdr:rowOff>35481</xdr:rowOff>
    </xdr:to>
    <xdr:pic>
      <xdr:nvPicPr>
        <xdr:cNvPr id="9" name="Imagen 8" descr="http://www.libertadyprogresonline.org/wp-content/uploads/2014/08/estad%C3%ADsticas.jpg">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7245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12</xdr:row>
      <xdr:rowOff>38100</xdr:rowOff>
    </xdr:from>
    <xdr:to>
      <xdr:col>11</xdr:col>
      <xdr:colOff>313125</xdr:colOff>
      <xdr:row>21</xdr:row>
      <xdr:rowOff>152400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1447800</xdr:colOff>
      <xdr:row>12</xdr:row>
      <xdr:rowOff>38100</xdr:rowOff>
    </xdr:from>
    <xdr:to>
      <xdr:col>23</xdr:col>
      <xdr:colOff>1856175</xdr:colOff>
      <xdr:row>21</xdr:row>
      <xdr:rowOff>152400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1190625</xdr:colOff>
      <xdr:row>0</xdr:row>
      <xdr:rowOff>0</xdr:rowOff>
    </xdr:from>
    <xdr:to>
      <xdr:col>1</xdr:col>
      <xdr:colOff>133350</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0"/>
          <a:ext cx="590550"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12</xdr:row>
      <xdr:rowOff>38100</xdr:rowOff>
    </xdr:from>
    <xdr:to>
      <xdr:col>1</xdr:col>
      <xdr:colOff>370276</xdr:colOff>
      <xdr:row>21</xdr:row>
      <xdr:rowOff>152400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409573</xdr:colOff>
      <xdr:row>12</xdr:row>
      <xdr:rowOff>38100</xdr:rowOff>
    </xdr:from>
    <xdr:to>
      <xdr:col>5</xdr:col>
      <xdr:colOff>27373</xdr:colOff>
      <xdr:row>21</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85725</xdr:colOff>
      <xdr:row>12</xdr:row>
      <xdr:rowOff>47625</xdr:rowOff>
    </xdr:from>
    <xdr:to>
      <xdr:col>19</xdr:col>
      <xdr:colOff>255975</xdr:colOff>
      <xdr:row>21</xdr:row>
      <xdr:rowOff>161925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285749</xdr:colOff>
      <xdr:row>12</xdr:row>
      <xdr:rowOff>47625</xdr:rowOff>
    </xdr:from>
    <xdr:to>
      <xdr:col>22</xdr:col>
      <xdr:colOff>1408499</xdr:colOff>
      <xdr:row>21</xdr:row>
      <xdr:rowOff>161925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9526</xdr:colOff>
      <xdr:row>7</xdr:row>
      <xdr:rowOff>38100</xdr:rowOff>
    </xdr:from>
    <xdr:to>
      <xdr:col>23</xdr:col>
      <xdr:colOff>1857375</xdr:colOff>
      <xdr:row>11</xdr:row>
      <xdr:rowOff>161925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695325</xdr:colOff>
      <xdr:row>0</xdr:row>
      <xdr:rowOff>47625</xdr:rowOff>
    </xdr:from>
    <xdr:to>
      <xdr:col>22</xdr:col>
      <xdr:colOff>1466850</xdr:colOff>
      <xdr:row>3</xdr:row>
      <xdr:rowOff>35481</xdr:rowOff>
    </xdr:to>
    <xdr:pic>
      <xdr:nvPicPr>
        <xdr:cNvPr id="8" name="Imagen 7" descr="http://www.libertadyprogresonline.org/wp-content/uploads/2014/08/estad%C3%ADsticas.jpg">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4405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12</xdr:row>
      <xdr:rowOff>38100</xdr:rowOff>
    </xdr:from>
    <xdr:to>
      <xdr:col>11</xdr:col>
      <xdr:colOff>313125</xdr:colOff>
      <xdr:row>21</xdr:row>
      <xdr:rowOff>152400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1447800</xdr:colOff>
      <xdr:row>12</xdr:row>
      <xdr:rowOff>38100</xdr:rowOff>
    </xdr:from>
    <xdr:to>
      <xdr:col>23</xdr:col>
      <xdr:colOff>1856175</xdr:colOff>
      <xdr:row>21</xdr:row>
      <xdr:rowOff>152400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552450</xdr:colOff>
      <xdr:row>0</xdr:row>
      <xdr:rowOff>0</xdr:rowOff>
    </xdr:from>
    <xdr:to>
      <xdr:col>0</xdr:col>
      <xdr:colOff>1228725</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0"/>
          <a:ext cx="67627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771525</xdr:colOff>
      <xdr:row>0</xdr:row>
      <xdr:rowOff>47625</xdr:rowOff>
    </xdr:from>
    <xdr:to>
      <xdr:col>13</xdr:col>
      <xdr:colOff>1543050</xdr:colOff>
      <xdr:row>3</xdr:row>
      <xdr:rowOff>35481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0580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28574</xdr:colOff>
      <xdr:row>7</xdr:row>
      <xdr:rowOff>266700</xdr:rowOff>
    </xdr:from>
    <xdr:to>
      <xdr:col>18</xdr:col>
      <xdr:colOff>971549</xdr:colOff>
      <xdr:row>13</xdr:row>
      <xdr:rowOff>180974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552450</xdr:colOff>
      <xdr:row>0</xdr:row>
      <xdr:rowOff>0</xdr:rowOff>
    </xdr:from>
    <xdr:to>
      <xdr:col>0</xdr:col>
      <xdr:colOff>1228725</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0"/>
          <a:ext cx="67627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771525</xdr:colOff>
      <xdr:row>0</xdr:row>
      <xdr:rowOff>47625</xdr:rowOff>
    </xdr:from>
    <xdr:to>
      <xdr:col>13</xdr:col>
      <xdr:colOff>1543050</xdr:colOff>
      <xdr:row>3</xdr:row>
      <xdr:rowOff>35481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0580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9524</xdr:colOff>
      <xdr:row>7</xdr:row>
      <xdr:rowOff>57150</xdr:rowOff>
    </xdr:from>
    <xdr:to>
      <xdr:col>18</xdr:col>
      <xdr:colOff>952499</xdr:colOff>
      <xdr:row>12</xdr:row>
      <xdr:rowOff>142874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904875</xdr:colOff>
      <xdr:row>0</xdr:row>
      <xdr:rowOff>19050</xdr:rowOff>
    </xdr:from>
    <xdr:to>
      <xdr:col>1</xdr:col>
      <xdr:colOff>304800</xdr:colOff>
      <xdr:row>3</xdr:row>
      <xdr:rowOff>4258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905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1847850</xdr:colOff>
      <xdr:row>0</xdr:row>
      <xdr:rowOff>28575</xdr:rowOff>
    </xdr:from>
    <xdr:to>
      <xdr:col>6</xdr:col>
      <xdr:colOff>2619375</xdr:colOff>
      <xdr:row>3</xdr:row>
      <xdr:rowOff>16431</xdr:rowOff>
    </xdr:to>
    <xdr:pic>
      <xdr:nvPicPr>
        <xdr:cNvPr id="5" name="Imagen 4"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7</xdr:row>
      <xdr:rowOff>38100</xdr:rowOff>
    </xdr:from>
    <xdr:to>
      <xdr:col>7</xdr:col>
      <xdr:colOff>2085975</xdr:colOff>
      <xdr:row>29</xdr:row>
      <xdr:rowOff>133350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20</xdr:row>
      <xdr:rowOff>57150</xdr:rowOff>
    </xdr:from>
    <xdr:to>
      <xdr:col>2</xdr:col>
      <xdr:colOff>276225</xdr:colOff>
      <xdr:row>29</xdr:row>
      <xdr:rowOff>152400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371476</xdr:colOff>
      <xdr:row>20</xdr:row>
      <xdr:rowOff>57150</xdr:rowOff>
    </xdr:from>
    <xdr:to>
      <xdr:col>5</xdr:col>
      <xdr:colOff>1428751</xdr:colOff>
      <xdr:row>29</xdr:row>
      <xdr:rowOff>152400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923984</xdr:colOff>
      <xdr:row>3</xdr:row>
      <xdr:rowOff>50492</xdr:rowOff>
    </xdr:from>
    <xdr:to>
      <xdr:col>3</xdr:col>
      <xdr:colOff>1268749</xdr:colOff>
      <xdr:row>5</xdr:row>
      <xdr:rowOff>4983</xdr:rowOff>
    </xdr:to>
    <xdr:sp macro="" textlink="">
      <xdr:nvSpPr>
        <xdr:cNvPr id="3" name="2 Anillo" descr="Ayuda">
          <a:hlinkClick xmlns:r="http://schemas.openxmlformats.org/officeDocument/2006/relationships" r:id="rId1"/>
        </xdr:cNvPr>
        <xdr:cNvSpPr/>
      </xdr:nvSpPr>
      <xdr:spPr>
        <a:xfrm>
          <a:off x="7771401" y="844242"/>
          <a:ext cx="344765" cy="314324"/>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1206502</xdr:colOff>
      <xdr:row>0</xdr:row>
      <xdr:rowOff>63500</xdr:rowOff>
    </xdr:from>
    <xdr:to>
      <xdr:col>0</xdr:col>
      <xdr:colOff>1989668</xdr:colOff>
      <xdr:row>2</xdr:row>
      <xdr:rowOff>232833</xdr:rowOff>
    </xdr:to>
    <xdr:pic>
      <xdr:nvPicPr>
        <xdr:cNvPr id="4"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2" y="63500"/>
          <a:ext cx="783166"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1047750</xdr:colOff>
      <xdr:row>35</xdr:row>
      <xdr:rowOff>867833</xdr:rowOff>
    </xdr:from>
    <xdr:to>
      <xdr:col>3</xdr:col>
      <xdr:colOff>1392515</xdr:colOff>
      <xdr:row>36</xdr:row>
      <xdr:rowOff>303741</xdr:rowOff>
    </xdr:to>
    <xdr:sp macro="" textlink="">
      <xdr:nvSpPr>
        <xdr:cNvPr id="6" name="2 Anillo" descr="Ayuda">
          <a:hlinkClick xmlns:r="http://schemas.openxmlformats.org/officeDocument/2006/relationships" r:id="rId1"/>
        </xdr:cNvPr>
        <xdr:cNvSpPr/>
      </xdr:nvSpPr>
      <xdr:spPr>
        <a:xfrm>
          <a:off x="7895167" y="26701750"/>
          <a:ext cx="344765" cy="314324"/>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904875</xdr:colOff>
      <xdr:row>0</xdr:row>
      <xdr:rowOff>19050</xdr:rowOff>
    </xdr:from>
    <xdr:to>
      <xdr:col>1</xdr:col>
      <xdr:colOff>304800</xdr:colOff>
      <xdr:row>3</xdr:row>
      <xdr:rowOff>4258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905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1847850</xdr:colOff>
      <xdr:row>0</xdr:row>
      <xdr:rowOff>28575</xdr:rowOff>
    </xdr:from>
    <xdr:to>
      <xdr:col>6</xdr:col>
      <xdr:colOff>2619375</xdr:colOff>
      <xdr:row>3</xdr:row>
      <xdr:rowOff>16431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7</xdr:row>
      <xdr:rowOff>38100</xdr:rowOff>
    </xdr:from>
    <xdr:to>
      <xdr:col>7</xdr:col>
      <xdr:colOff>2085975</xdr:colOff>
      <xdr:row>24</xdr:row>
      <xdr:rowOff>133350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15</xdr:row>
      <xdr:rowOff>57150</xdr:rowOff>
    </xdr:from>
    <xdr:to>
      <xdr:col>2</xdr:col>
      <xdr:colOff>276225</xdr:colOff>
      <xdr:row>24</xdr:row>
      <xdr:rowOff>152400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371476</xdr:colOff>
      <xdr:row>15</xdr:row>
      <xdr:rowOff>57150</xdr:rowOff>
    </xdr:from>
    <xdr:to>
      <xdr:col>5</xdr:col>
      <xdr:colOff>1428751</xdr:colOff>
      <xdr:row>24</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1847850</xdr:colOff>
      <xdr:row>0</xdr:row>
      <xdr:rowOff>28575</xdr:rowOff>
    </xdr:from>
    <xdr:to>
      <xdr:col>6</xdr:col>
      <xdr:colOff>2619375</xdr:colOff>
      <xdr:row>3</xdr:row>
      <xdr:rowOff>16431</xdr:rowOff>
    </xdr:to>
    <xdr:pic>
      <xdr:nvPicPr>
        <xdr:cNvPr id="3" name="Imagen 2" descr="http://www.libertadyprogresonline.org/wp-content/uploads/2014/08/estad%C3%ADsticas.jp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1371601</xdr:colOff>
      <xdr:row>14</xdr:row>
      <xdr:rowOff>38100</xdr:rowOff>
    </xdr:from>
    <xdr:to>
      <xdr:col>7</xdr:col>
      <xdr:colOff>1914526</xdr:colOff>
      <xdr:row>23</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923925</xdr:colOff>
      <xdr:row>0</xdr:row>
      <xdr:rowOff>0</xdr:rowOff>
    </xdr:from>
    <xdr:to>
      <xdr:col>0</xdr:col>
      <xdr:colOff>1581150</xdr:colOff>
      <xdr:row>2</xdr:row>
      <xdr:rowOff>175708</xdr:rowOff>
    </xdr:to>
    <xdr:pic>
      <xdr:nvPicPr>
        <xdr:cNvPr id="7" name="Imagen 6" descr="escud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14</xdr:row>
      <xdr:rowOff>38100</xdr:rowOff>
    </xdr:from>
    <xdr:to>
      <xdr:col>3</xdr:col>
      <xdr:colOff>295275</xdr:colOff>
      <xdr:row>23</xdr:row>
      <xdr:rowOff>152400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552450</xdr:colOff>
      <xdr:row>14</xdr:row>
      <xdr:rowOff>47625</xdr:rowOff>
    </xdr:from>
    <xdr:to>
      <xdr:col>6</xdr:col>
      <xdr:colOff>1123950</xdr:colOff>
      <xdr:row>23</xdr:row>
      <xdr:rowOff>161925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38100</xdr:colOff>
      <xdr:row>7</xdr:row>
      <xdr:rowOff>47625</xdr:rowOff>
    </xdr:from>
    <xdr:to>
      <xdr:col>6</xdr:col>
      <xdr:colOff>2369820</xdr:colOff>
      <xdr:row>13</xdr:row>
      <xdr:rowOff>228600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2419350</xdr:colOff>
      <xdr:row>7</xdr:row>
      <xdr:rowOff>47625</xdr:rowOff>
    </xdr:from>
    <xdr:to>
      <xdr:col>7</xdr:col>
      <xdr:colOff>2093595</xdr:colOff>
      <xdr:row>13</xdr:row>
      <xdr:rowOff>228600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1</xdr:col>
      <xdr:colOff>228599</xdr:colOff>
      <xdr:row>42</xdr:row>
      <xdr:rowOff>15088</xdr:rowOff>
    </xdr:from>
    <xdr:ext cx="5591176" cy="11624462"/>
    <xdr:sp macro="" textlink="">
      <xdr:nvSpPr>
        <xdr:cNvPr id="17" name="16 CuadroTexto"/>
        <xdr:cNvSpPr txBox="1"/>
      </xdr:nvSpPr>
      <xdr:spPr>
        <a:xfrm>
          <a:off x="3971924" y="9378163"/>
          <a:ext cx="5591176" cy="11624462"/>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100" b="1" baseline="0">
              <a:solidFill>
                <a:srgbClr val="C00000"/>
              </a:solidFill>
              <a:latin typeface="+mn-lt"/>
              <a:ea typeface="+mn-ea"/>
              <a:cs typeface="+mn-cs"/>
            </a:rPr>
            <a:t>Posibles Riesgo de CORRUPCIÓN:</a:t>
          </a:r>
          <a:endParaRPr lang="es-CO" sz="1100" b="1">
            <a:solidFill>
              <a:srgbClr val="C00000"/>
            </a:solidFill>
            <a:latin typeface="+mn-lt"/>
            <a:ea typeface="+mn-ea"/>
            <a:cs typeface="+mn-cs"/>
          </a:endParaRPr>
        </a:p>
        <a:p>
          <a:pPr lvl="0"/>
          <a:endParaRPr lang="es-ES" sz="800" i="1">
            <a:solidFill>
              <a:schemeClr val="dk1"/>
            </a:solidFill>
            <a:latin typeface="+mn-lt"/>
            <a:ea typeface="+mn-ea"/>
            <a:cs typeface="+mn-cs"/>
          </a:endParaRPr>
        </a:p>
        <a:p>
          <a:pPr lvl="0"/>
          <a:r>
            <a:rPr lang="es-CO" b="1" i="1"/>
            <a:t>*</a:t>
          </a:r>
          <a:r>
            <a:rPr lang="es-CO" b="1" i="1" baseline="0"/>
            <a:t> </a:t>
          </a:r>
          <a:r>
            <a:rPr lang="es-CO" b="1" i="1"/>
            <a:t>Alta Dirección. </a:t>
          </a:r>
        </a:p>
        <a:p>
          <a:pPr lvl="0"/>
          <a:r>
            <a:rPr lang="es-CO"/>
            <a:t>+ Concentración de autoridad o exceso de poder</a:t>
          </a:r>
        </a:p>
        <a:p>
          <a:pPr lvl="0"/>
          <a:r>
            <a:rPr lang="es-CO"/>
            <a:t>+ Extralimitación de funciones</a:t>
          </a:r>
        </a:p>
        <a:p>
          <a:pPr lvl="0"/>
          <a:r>
            <a:rPr lang="es-CO"/>
            <a:t>+ Ausencia de canales de comunicación</a:t>
          </a:r>
        </a:p>
        <a:p>
          <a:pPr lvl="0"/>
          <a:r>
            <a:rPr lang="es-CO"/>
            <a:t>+ Amiguismo y clientelismo</a:t>
          </a:r>
        </a:p>
        <a:p>
          <a:pPr lvl="0"/>
          <a:endParaRPr lang="es-CO"/>
        </a:p>
        <a:p>
          <a:pPr lvl="0"/>
          <a:r>
            <a:rPr lang="es-CO" b="1"/>
            <a:t>* </a:t>
          </a:r>
          <a:r>
            <a:rPr lang="es-CO" b="1" i="1"/>
            <a:t>Financieros </a:t>
          </a:r>
        </a:p>
        <a:p>
          <a:pPr lvl="0"/>
          <a:r>
            <a:rPr lang="es-CO"/>
            <a:t>+ Inclusión de gastos no autorizados</a:t>
          </a:r>
        </a:p>
        <a:p>
          <a:pPr lvl="0"/>
          <a:r>
            <a:rPr lang="es-CO"/>
            <a:t>+ Inversiones de dineros públicos en entidades de dudosa solidez financiera, a cambio de beneficios indebidos para servidores públicos encargados de su administración</a:t>
          </a:r>
        </a:p>
        <a:p>
          <a:pPr lvl="0"/>
          <a:r>
            <a:rPr lang="es-CO"/>
            <a:t>+ Inexistencia de registros auxiliares que permitan identificar y controlar los rubros de inversión</a:t>
          </a:r>
        </a:p>
        <a:p>
          <a:pPr lvl="0"/>
          <a:r>
            <a:rPr lang="es-CO"/>
            <a:t>+ Archivos contables con vacíos de información</a:t>
          </a:r>
        </a:p>
        <a:p>
          <a:pPr lvl="0"/>
          <a:r>
            <a:rPr lang="es-CO"/>
            <a:t>+ Afectar rubros que no corresponden con el objeto del gasto en beneficio propio o a cambio de una retribución económica</a:t>
          </a:r>
        </a:p>
        <a:p>
          <a:pPr lvl="0"/>
          <a:endParaRPr lang="es-CO"/>
        </a:p>
        <a:p>
          <a:pPr lvl="0"/>
          <a:r>
            <a:rPr lang="es-CO" b="1" i="1"/>
            <a:t>* De contratación </a:t>
          </a:r>
        </a:p>
        <a:p>
          <a:pPr lvl="0"/>
          <a:r>
            <a:rPr lang="es-CO" i="1"/>
            <a:t>+ </a:t>
          </a:r>
          <a:r>
            <a:rPr lang="es-CO"/>
            <a:t>Estudios previos o de factibilidad superficiales</a:t>
          </a:r>
        </a:p>
        <a:p>
          <a:pPr lvl="0"/>
          <a:r>
            <a:rPr lang="es-CO"/>
            <a:t>+ Estudios previos o de factibilidad manipulados por personal interesado en el futuro proceso de contratación (Estableciendo necesidades inexistentes o aspectos que benefician a una firma en particular)</a:t>
          </a:r>
        </a:p>
        <a:p>
          <a:pPr lvl="0"/>
          <a:r>
            <a:rPr lang="es-CO"/>
            <a:t>+ Pliegos de condiciones hechos a la medida de una firma en particular</a:t>
          </a:r>
        </a:p>
        <a:p>
          <a:pPr lvl="0"/>
          <a:r>
            <a:rPr lang="es-CO"/>
            <a:t>+ Disposiciones establecidas en los pliegos de condiciones que permiten a los participantes direccionar los procesos hacia un grupo en particular, como la media geométrica</a:t>
          </a:r>
        </a:p>
        <a:p>
          <a:pPr lvl="0"/>
          <a:r>
            <a:rPr lang="es-CO"/>
            <a:t>+  Restricción de la participación a través de visitas obligatorias innecesarias, establecidas en el pliego de condiciones</a:t>
          </a:r>
        </a:p>
        <a:p>
          <a:pPr lvl="0"/>
          <a:r>
            <a:rPr lang="es-CO"/>
            <a:t>+</a:t>
          </a:r>
          <a:r>
            <a:rPr lang="es-CO" baseline="0"/>
            <a:t> </a:t>
          </a:r>
          <a:r>
            <a:rPr lang="es-CO"/>
            <a:t>Adendas que cambian condiciones generales del proceso para favorecer a grupos determinados</a:t>
          </a:r>
        </a:p>
        <a:p>
          <a:pPr lvl="0"/>
          <a:r>
            <a:rPr lang="es-CO"/>
            <a:t>+ Urgencia manifiesta inexistente</a:t>
          </a:r>
        </a:p>
        <a:p>
          <a:pPr lvl="0"/>
          <a:r>
            <a:rPr lang="es-CO"/>
            <a:t>+</a:t>
          </a:r>
          <a:r>
            <a:rPr lang="es-CO" baseline="0"/>
            <a:t> </a:t>
          </a:r>
          <a:r>
            <a:rPr lang="es-CO"/>
            <a:t>Designar supervisores que no cuentan con conocimientos suficientes para desempeñar la función</a:t>
          </a:r>
        </a:p>
        <a:p>
          <a:pPr lvl="0"/>
          <a:r>
            <a:rPr lang="es-CO"/>
            <a:t>+ Concentrar las labores de supervisión de múltiples contratos en poco personal</a:t>
          </a:r>
        </a:p>
        <a:p>
          <a:pPr lvl="0"/>
          <a:r>
            <a:rPr lang="es-CO"/>
            <a:t>+ Contratar con compañías de papel, las cuales son especialmente creadas para participar procesos específicos, que no cuentan con experiencia, pero si con músculo financiero</a:t>
          </a:r>
        </a:p>
        <a:p>
          <a:pPr lvl="0"/>
          <a:endParaRPr lang="es-CO"/>
        </a:p>
        <a:p>
          <a:pPr lvl="0"/>
          <a:r>
            <a:rPr lang="es-CO" b="1" i="1"/>
            <a:t>* De información y documentación</a:t>
          </a:r>
        </a:p>
        <a:p>
          <a:pPr lvl="0"/>
          <a:r>
            <a:rPr lang="es-CO" i="0"/>
            <a:t>+</a:t>
          </a:r>
          <a:r>
            <a:rPr lang="es-CO"/>
            <a:t> Concentración de información de determinadas actividades o procesos en una persona</a:t>
          </a:r>
        </a:p>
        <a:p>
          <a:pPr lvl="0"/>
          <a:r>
            <a:rPr lang="es-CO"/>
            <a:t>+ Sistemas de información susceptibles de manipulación o adulteración</a:t>
          </a:r>
        </a:p>
        <a:p>
          <a:pPr lvl="0"/>
          <a:r>
            <a:rPr lang="es-CO"/>
            <a:t>+ Ocultar a la ciudadanía la información considerada pública</a:t>
          </a:r>
        </a:p>
        <a:p>
          <a:pPr lvl="0"/>
          <a:r>
            <a:rPr lang="es-CO"/>
            <a:t>+</a:t>
          </a:r>
          <a:r>
            <a:rPr lang="es-CO" baseline="0"/>
            <a:t> </a:t>
          </a:r>
          <a:r>
            <a:rPr lang="es-CO"/>
            <a:t>Deficiencias en el manejo documental y de archivo</a:t>
          </a:r>
        </a:p>
        <a:p>
          <a:pPr lvl="0"/>
          <a:endParaRPr lang="es-CO" sz="1100" baseline="0">
            <a:solidFill>
              <a:schemeClr val="dk1"/>
            </a:solidFill>
            <a:latin typeface="+mn-lt"/>
            <a:ea typeface="+mn-ea"/>
            <a:cs typeface="+mn-cs"/>
          </a:endParaRPr>
        </a:p>
        <a:p>
          <a:pPr lvl="0"/>
          <a:r>
            <a:rPr lang="es-CO" b="1"/>
            <a:t>* </a:t>
          </a:r>
          <a:r>
            <a:rPr lang="es-CO" b="1" i="1"/>
            <a:t>De investigación y sanción</a:t>
          </a:r>
          <a:r>
            <a:rPr lang="es-CO" b="1"/>
            <a:t> </a:t>
          </a:r>
        </a:p>
        <a:p>
          <a:pPr lvl="0"/>
          <a:r>
            <a:rPr lang="es-CO"/>
            <a:t>+ Fallos amañados</a:t>
          </a:r>
        </a:p>
        <a:p>
          <a:pPr lvl="0"/>
          <a:r>
            <a:rPr lang="es-CO"/>
            <a:t>+ Dilatación de los procesos con el propósito de obtener el vencimiento de términos o la prescripción del mismo</a:t>
          </a:r>
        </a:p>
        <a:p>
          <a:pPr lvl="0"/>
          <a:r>
            <a:rPr lang="es-CO"/>
            <a:t>+ Desconocimiento de la ley, mediante interpretaciones subjetivas de las normas vigentes para evitar o postergar su aplicación</a:t>
          </a:r>
        </a:p>
        <a:p>
          <a:pPr lvl="0"/>
          <a:r>
            <a:rPr lang="es-CO"/>
            <a:t>+ Exceder las facultades legales en los fallos</a:t>
          </a:r>
        </a:p>
        <a:p>
          <a:pPr lvl="0"/>
          <a:r>
            <a:rPr lang="es-CO"/>
            <a:t>+ Soborno (Cohecho)</a:t>
          </a:r>
        </a:p>
        <a:p>
          <a:pPr lvl="0"/>
          <a:endParaRPr lang="es-CO"/>
        </a:p>
        <a:p>
          <a:pPr lvl="0"/>
          <a:r>
            <a:rPr lang="es-CO" b="1"/>
            <a:t>* </a:t>
          </a:r>
          <a:r>
            <a:rPr lang="es-CO" b="1" i="1"/>
            <a:t>De actividades regulatorias</a:t>
          </a:r>
          <a:r>
            <a:rPr lang="es-CO" b="1"/>
            <a:t> </a:t>
          </a:r>
        </a:p>
        <a:p>
          <a:pPr lvl="0"/>
          <a:r>
            <a:rPr lang="es-CO"/>
            <a:t>+ Decisiones ajustadas a intereses particulares</a:t>
          </a:r>
        </a:p>
        <a:p>
          <a:pPr lvl="0"/>
          <a:r>
            <a:rPr lang="es-CO"/>
            <a:t>+ Tráfico de influencias, (amiguismo, persona influyente)</a:t>
          </a:r>
        </a:p>
        <a:p>
          <a:pPr lvl="0"/>
          <a:r>
            <a:rPr lang="es-CO"/>
            <a:t>+ Soborno (Cohecho)</a:t>
          </a:r>
        </a:p>
        <a:p>
          <a:pPr lvl="0"/>
          <a:endParaRPr lang="es-CO"/>
        </a:p>
        <a:p>
          <a:pPr lvl="0"/>
          <a:r>
            <a:rPr lang="es-CO" b="1"/>
            <a:t>* </a:t>
          </a:r>
          <a:r>
            <a:rPr lang="es-CO" b="1" i="1"/>
            <a:t>De trámites y/o servicios internos y externos</a:t>
          </a:r>
          <a:r>
            <a:rPr lang="es-CO" b="1"/>
            <a:t> </a:t>
          </a:r>
        </a:p>
        <a:p>
          <a:pPr lvl="0"/>
          <a:r>
            <a:rPr lang="es-CO"/>
            <a:t>+ Cobro por realización del trámite, (Concusión)</a:t>
          </a:r>
        </a:p>
        <a:p>
          <a:pPr lvl="0"/>
          <a:r>
            <a:rPr lang="es-CO"/>
            <a:t>+ Tráfico de influencias, (amiguismo, persona influyente)</a:t>
          </a:r>
        </a:p>
        <a:p>
          <a:pPr lvl="0"/>
          <a:r>
            <a:rPr lang="es-CO"/>
            <a:t>+ Falta de información sobre el estado del proceso del trámite al interior de la entidad</a:t>
          </a:r>
        </a:p>
        <a:p>
          <a:pPr lvl="0"/>
          <a:endParaRPr lang="es-CO" sz="1100" baseline="0">
            <a:solidFill>
              <a:schemeClr val="dk1"/>
            </a:solidFill>
            <a:latin typeface="+mn-lt"/>
            <a:ea typeface="+mn-ea"/>
            <a:cs typeface="+mn-cs"/>
          </a:endParaRPr>
        </a:p>
        <a:p>
          <a:pPr lvl="0"/>
          <a:r>
            <a:rPr lang="es-CO" sz="1100" b="1" baseline="0">
              <a:solidFill>
                <a:schemeClr val="dk1"/>
              </a:solidFill>
              <a:latin typeface="+mn-lt"/>
              <a:ea typeface="+mn-ea"/>
              <a:cs typeface="+mn-cs"/>
            </a:rPr>
            <a:t>* </a:t>
          </a:r>
          <a:r>
            <a:rPr lang="es-CO" b="1" i="1"/>
            <a:t>De reconocimiento de un derecho</a:t>
          </a:r>
        </a:p>
        <a:p>
          <a:pPr lvl="0"/>
          <a:r>
            <a:rPr lang="es-CO" sz="1100" baseline="0">
              <a:solidFill>
                <a:schemeClr val="dk1"/>
              </a:solidFill>
              <a:latin typeface="+mn-lt"/>
              <a:ea typeface="+mn-ea"/>
              <a:cs typeface="+mn-cs"/>
            </a:rPr>
            <a:t>+ </a:t>
          </a:r>
          <a:r>
            <a:rPr lang="es-CO"/>
            <a:t>Cobrar por el trámite, (Concusión)</a:t>
          </a:r>
        </a:p>
        <a:p>
          <a:pPr lvl="0"/>
          <a:r>
            <a:rPr lang="es-CO"/>
            <a:t>+ Imposibilitar el otorgamiento de diploma</a:t>
          </a:r>
        </a:p>
        <a:p>
          <a:pPr lvl="0"/>
          <a:r>
            <a:rPr lang="es-CO"/>
            <a:t>+ Ofrecer beneficios económicos para acelerar la expedición de diploma o para su obtención sin el cumplimiento de todos los requisitos legales</a:t>
          </a:r>
        </a:p>
        <a:p>
          <a:pPr lvl="0"/>
          <a:r>
            <a:rPr lang="es-CO"/>
            <a:t>+ Tráfico de influencias, (amiguismo, persona influyente)</a:t>
          </a:r>
          <a:endParaRPr lang="es-ES" sz="1100" baseline="0">
            <a:solidFill>
              <a:schemeClr val="dk1"/>
            </a:solidFill>
            <a:latin typeface="+mn-lt"/>
            <a:ea typeface="+mn-ea"/>
            <a:cs typeface="+mn-cs"/>
          </a:endParaRPr>
        </a:p>
      </xdr:txBody>
    </xdr:sp>
    <xdr:clientData/>
  </xdr:oneCellAnchor>
  <xdr:oneCellAnchor>
    <xdr:from>
      <xdr:col>1</xdr:col>
      <xdr:colOff>609600</xdr:colOff>
      <xdr:row>194</xdr:row>
      <xdr:rowOff>185632</xdr:rowOff>
    </xdr:from>
    <xdr:ext cx="5238750" cy="1986826"/>
    <xdr:sp macro="" textlink="">
      <xdr:nvSpPr>
        <xdr:cNvPr id="27" name="26 CuadroTexto"/>
        <xdr:cNvSpPr txBox="1"/>
      </xdr:nvSpPr>
      <xdr:spPr>
        <a:xfrm>
          <a:off x="4352925" y="38504707"/>
          <a:ext cx="5238750" cy="1986826"/>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spAutoFit/>
        </a:bodyPr>
        <a:lstStyle/>
        <a:p>
          <a:r>
            <a:rPr lang="es-ES" sz="1100">
              <a:solidFill>
                <a:schemeClr val="dk1"/>
              </a:solidFill>
              <a:latin typeface="+mn-lt"/>
              <a:ea typeface="+mn-ea"/>
              <a:cs typeface="+mn-cs"/>
            </a:rPr>
            <a:t>Pueden</a:t>
          </a:r>
          <a:r>
            <a:rPr lang="es-ES" sz="1100" baseline="0">
              <a:solidFill>
                <a:schemeClr val="dk1"/>
              </a:solidFill>
              <a:latin typeface="+mn-lt"/>
              <a:ea typeface="+mn-ea"/>
              <a:cs typeface="+mn-cs"/>
            </a:rPr>
            <a:t> existir controles de Gestión, Operativos o Legales, y p</a:t>
          </a:r>
          <a:r>
            <a:rPr lang="es-ES" sz="1100">
              <a:solidFill>
                <a:schemeClr val="dk1"/>
              </a:solidFill>
              <a:latin typeface="+mn-lt"/>
              <a:ea typeface="+mn-ea"/>
              <a:cs typeface="+mn-cs"/>
            </a:rPr>
            <a:t>ara la evaluación de los controles existentes para cada uno de los riesgos, es necesario:</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Establecer si son </a:t>
          </a:r>
          <a:r>
            <a:rPr lang="es-ES" sz="1100" b="1">
              <a:solidFill>
                <a:schemeClr val="dk1"/>
              </a:solidFill>
              <a:latin typeface="+mn-lt"/>
              <a:ea typeface="+mn-ea"/>
              <a:cs typeface="+mn-cs"/>
            </a:rPr>
            <a:t>preventivos</a:t>
          </a:r>
          <a:r>
            <a:rPr lang="es-ES" sz="1100">
              <a:solidFill>
                <a:schemeClr val="dk1"/>
              </a:solidFill>
              <a:latin typeface="+mn-lt"/>
              <a:ea typeface="+mn-ea"/>
              <a:cs typeface="+mn-cs"/>
            </a:rPr>
            <a:t> o </a:t>
          </a:r>
          <a:r>
            <a:rPr lang="es-ES" sz="1100" b="1">
              <a:solidFill>
                <a:schemeClr val="dk1"/>
              </a:solidFill>
              <a:latin typeface="+mn-lt"/>
              <a:ea typeface="+mn-ea"/>
              <a:cs typeface="+mn-cs"/>
            </a:rPr>
            <a:t>correctivos</a:t>
          </a:r>
          <a:r>
            <a:rPr lang="es-ES" sz="1100">
              <a:solidFill>
                <a:schemeClr val="dk1"/>
              </a:solidFill>
              <a:latin typeface="+mn-lt"/>
              <a:ea typeface="+mn-ea"/>
              <a:cs typeface="+mn-cs"/>
            </a:rPr>
            <a:t>, entendiéndose estos como:</a:t>
          </a:r>
        </a:p>
        <a:p>
          <a:r>
            <a:rPr lang="es-ES" sz="1100">
              <a:solidFill>
                <a:schemeClr val="dk1"/>
              </a:solidFill>
              <a:latin typeface="+mn-lt"/>
              <a:ea typeface="+mn-ea"/>
              <a:cs typeface="+mn-cs"/>
            </a:rPr>
            <a:t> </a:t>
          </a:r>
        </a:p>
        <a:p>
          <a:r>
            <a:rPr lang="es-ES" sz="1100" i="1">
              <a:solidFill>
                <a:schemeClr val="dk1"/>
              </a:solidFill>
              <a:latin typeface="+mn-lt"/>
              <a:ea typeface="+mn-ea"/>
              <a:cs typeface="+mn-cs"/>
            </a:rPr>
            <a:t>Preventivos, </a:t>
          </a:r>
          <a:r>
            <a:rPr lang="es-ES" sz="1100">
              <a:solidFill>
                <a:schemeClr val="dk1"/>
              </a:solidFill>
              <a:latin typeface="+mn-lt"/>
              <a:ea typeface="+mn-ea"/>
              <a:cs typeface="+mn-cs"/>
            </a:rPr>
            <a:t>aquellos que actúan para eliminar las causas del riesgo, para prevenir su ocurrencia o materialización.</a:t>
          </a:r>
        </a:p>
        <a:p>
          <a:r>
            <a:rPr lang="es-ES" sz="1100" i="1">
              <a:solidFill>
                <a:schemeClr val="dk1"/>
              </a:solidFill>
              <a:latin typeface="+mn-lt"/>
              <a:ea typeface="+mn-ea"/>
              <a:cs typeface="+mn-cs"/>
            </a:rPr>
            <a:t> </a:t>
          </a:r>
          <a:endParaRPr lang="es-ES" sz="1100">
            <a:solidFill>
              <a:schemeClr val="dk1"/>
            </a:solidFill>
            <a:latin typeface="+mn-lt"/>
            <a:ea typeface="+mn-ea"/>
            <a:cs typeface="+mn-cs"/>
          </a:endParaRPr>
        </a:p>
        <a:p>
          <a:r>
            <a:rPr lang="es-ES" sz="1100" i="1">
              <a:solidFill>
                <a:schemeClr val="dk1"/>
              </a:solidFill>
              <a:latin typeface="+mn-lt"/>
              <a:ea typeface="+mn-ea"/>
              <a:cs typeface="+mn-cs"/>
            </a:rPr>
            <a:t>Correctivos, </a:t>
          </a:r>
          <a:r>
            <a:rPr lang="es-ES" sz="1100">
              <a:solidFill>
                <a:schemeClr val="dk1"/>
              </a:solidFill>
              <a:latin typeface="+mn-lt"/>
              <a:ea typeface="+mn-ea"/>
              <a:cs typeface="+mn-cs"/>
            </a:rPr>
            <a:t>aquellos que permiten el restablecimiento de la actividad después de ser detectado un evento no deseable; también permiten la modificación de las acciones que propiciaron su ocurrencia.</a:t>
          </a:r>
        </a:p>
      </xdr:txBody>
    </xdr:sp>
    <xdr:clientData/>
  </xdr:oneCellAnchor>
  <xdr:twoCellAnchor>
    <xdr:from>
      <xdr:col>0</xdr:col>
      <xdr:colOff>447675</xdr:colOff>
      <xdr:row>242</xdr:row>
      <xdr:rowOff>28575</xdr:rowOff>
    </xdr:from>
    <xdr:to>
      <xdr:col>1</xdr:col>
      <xdr:colOff>209550</xdr:colOff>
      <xdr:row>244</xdr:row>
      <xdr:rowOff>114300</xdr:rowOff>
    </xdr:to>
    <xdr:pic>
      <xdr:nvPicPr>
        <xdr:cNvPr id="10252" name="Picture 1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1318200"/>
          <a:ext cx="3505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twoCellAnchor>
    <xdr:from>
      <xdr:col>0</xdr:col>
      <xdr:colOff>114300</xdr:colOff>
      <xdr:row>244</xdr:row>
      <xdr:rowOff>95250</xdr:rowOff>
    </xdr:from>
    <xdr:to>
      <xdr:col>1</xdr:col>
      <xdr:colOff>733425</xdr:colOff>
      <xdr:row>250</xdr:row>
      <xdr:rowOff>47625</xdr:rowOff>
    </xdr:to>
    <xdr:pic>
      <xdr:nvPicPr>
        <xdr:cNvPr id="10253" name="Picture 1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1765875"/>
          <a:ext cx="43624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twoCellAnchor>
    <xdr:from>
      <xdr:col>0</xdr:col>
      <xdr:colOff>247650</xdr:colOff>
      <xdr:row>262</xdr:row>
      <xdr:rowOff>171450</xdr:rowOff>
    </xdr:from>
    <xdr:to>
      <xdr:col>1</xdr:col>
      <xdr:colOff>438150</xdr:colOff>
      <xdr:row>266</xdr:row>
      <xdr:rowOff>161925</xdr:rowOff>
    </xdr:to>
    <xdr:pic>
      <xdr:nvPicPr>
        <xdr:cNvPr id="10257" name="Picture 1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51444525"/>
          <a:ext cx="3933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oneCellAnchor>
    <xdr:from>
      <xdr:col>1</xdr:col>
      <xdr:colOff>971549</xdr:colOff>
      <xdr:row>245</xdr:row>
      <xdr:rowOff>19050</xdr:rowOff>
    </xdr:from>
    <xdr:ext cx="4857751" cy="7048500"/>
    <xdr:sp macro="" textlink="">
      <xdr:nvSpPr>
        <xdr:cNvPr id="34" name="33 CuadroTexto"/>
        <xdr:cNvSpPr txBox="1"/>
      </xdr:nvSpPr>
      <xdr:spPr>
        <a:xfrm>
          <a:off x="4714874" y="48053625"/>
          <a:ext cx="4857751" cy="7048500"/>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CO" sz="1100">
              <a:solidFill>
                <a:schemeClr val="dk1"/>
              </a:solidFill>
              <a:latin typeface="+mn-lt"/>
              <a:ea typeface="+mn-ea"/>
              <a:cs typeface="+mn-cs"/>
            </a:rPr>
            <a:t>Estas posibles acciones a tomar según Calificación del Riesgo son:</a:t>
          </a:r>
        </a:p>
        <a:p>
          <a:endParaRPr lang="es-CO" sz="1100">
            <a:solidFill>
              <a:schemeClr val="dk1"/>
            </a:solidFill>
            <a:latin typeface="+mn-lt"/>
            <a:ea typeface="+mn-ea"/>
            <a:cs typeface="+mn-cs"/>
          </a:endParaRPr>
        </a:p>
        <a:p>
          <a:r>
            <a:rPr lang="es-CO" sz="1100" b="1">
              <a:solidFill>
                <a:sysClr val="windowText" lastClr="000000"/>
              </a:solidFill>
              <a:latin typeface="+mn-lt"/>
              <a:ea typeface="+mn-ea"/>
              <a:cs typeface="+mn-cs"/>
            </a:rPr>
            <a:t>*</a:t>
          </a:r>
          <a:r>
            <a:rPr lang="es-CO" sz="1100" b="1" baseline="0">
              <a:solidFill>
                <a:sysClr val="windowText" lastClr="000000"/>
              </a:solidFill>
              <a:latin typeface="+mn-lt"/>
              <a:ea typeface="+mn-ea"/>
              <a:cs typeface="+mn-cs"/>
            </a:rPr>
            <a:t> </a:t>
          </a:r>
          <a:r>
            <a:rPr lang="es-CO" sz="1100" b="1">
              <a:solidFill>
                <a:sysClr val="windowText" lastClr="000000"/>
              </a:solidFill>
              <a:latin typeface="+mn-lt"/>
              <a:ea typeface="+mn-ea"/>
              <a:cs typeface="+mn-cs"/>
            </a:rPr>
            <a:t>Para Riesgos de </a:t>
          </a:r>
          <a:r>
            <a:rPr lang="es-CO" sz="1100" b="1">
              <a:solidFill>
                <a:schemeClr val="accent1">
                  <a:lumMod val="75000"/>
                </a:schemeClr>
              </a:solidFill>
              <a:latin typeface="+mn-lt"/>
              <a:ea typeface="+mn-ea"/>
              <a:cs typeface="+mn-cs"/>
            </a:rPr>
            <a:t>GESTIÓN:</a:t>
          </a:r>
          <a:endParaRPr lang="es-ES" sz="1100" b="1">
            <a:solidFill>
              <a:schemeClr val="accent1">
                <a:lumMod val="75000"/>
              </a:schemeClr>
            </a:solidFill>
            <a:latin typeface="+mn-lt"/>
            <a:ea typeface="+mn-ea"/>
            <a:cs typeface="+mn-cs"/>
          </a:endParaRPr>
        </a:p>
        <a:p>
          <a:r>
            <a:rPr lang="es-CO" sz="1100">
              <a:solidFill>
                <a:schemeClr val="dk1"/>
              </a:solidFill>
              <a:latin typeface="+mn-lt"/>
              <a:ea typeface="+mn-ea"/>
              <a:cs typeface="+mn-cs"/>
            </a:rPr>
            <a:t> </a:t>
          </a:r>
          <a:endParaRPr lang="es-ES" sz="1100" b="1">
            <a:solidFill>
              <a:schemeClr val="dk1"/>
            </a:solidFill>
            <a:latin typeface="+mn-lt"/>
            <a:ea typeface="+mn-ea"/>
            <a:cs typeface="+mn-cs"/>
          </a:endParaRPr>
        </a:p>
        <a:p>
          <a:pPr lvl="0"/>
          <a:r>
            <a:rPr lang="es-ES" sz="1100" b="1">
              <a:solidFill>
                <a:schemeClr val="dk1"/>
              </a:solidFill>
              <a:latin typeface="+mn-lt"/>
              <a:ea typeface="+mn-ea"/>
              <a:cs typeface="+mn-cs"/>
            </a:rPr>
            <a:t>Eliminar la Causa:</a:t>
          </a:r>
          <a:r>
            <a:rPr lang="es-ES" sz="1100" b="1" baseline="0">
              <a:solidFill>
                <a:schemeClr val="dk1"/>
              </a:solidFill>
              <a:latin typeface="+mn-lt"/>
              <a:ea typeface="+mn-ea"/>
              <a:cs typeface="+mn-cs"/>
            </a:rPr>
            <a:t>  </a:t>
          </a:r>
          <a:r>
            <a:rPr lang="es-ES" sz="1100" b="0" baseline="0">
              <a:solidFill>
                <a:schemeClr val="dk1"/>
              </a:solidFill>
              <a:latin typeface="+mn-lt"/>
              <a:ea typeface="+mn-ea"/>
              <a:cs typeface="+mn-cs"/>
            </a:rPr>
            <a:t>eliminar  la actividad que ocasiona el riesgo, en la medida de lo posible.</a:t>
          </a:r>
        </a:p>
        <a:p>
          <a:pPr lvl="0"/>
          <a:endParaRPr lang="es-ES" sz="1100" b="1">
            <a:solidFill>
              <a:schemeClr val="dk1"/>
            </a:solidFill>
            <a:latin typeface="+mn-lt"/>
            <a:ea typeface="+mn-ea"/>
            <a:cs typeface="+mn-cs"/>
          </a:endParaRPr>
        </a:p>
        <a:p>
          <a:pPr lvl="0"/>
          <a:r>
            <a:rPr lang="es-ES" sz="1100" b="1">
              <a:solidFill>
                <a:schemeClr val="dk1"/>
              </a:solidFill>
              <a:latin typeface="+mn-lt"/>
              <a:ea typeface="+mn-ea"/>
              <a:cs typeface="+mn-cs"/>
            </a:rPr>
            <a:t>Compartir o Transferir el Riesgo: </a:t>
          </a:r>
          <a:r>
            <a:rPr lang="es-ES" sz="1100">
              <a:solidFill>
                <a:schemeClr val="dk1"/>
              </a:solidFill>
              <a:latin typeface="+mn-lt"/>
              <a:ea typeface="+mn-ea"/>
              <a:cs typeface="+mn-cs"/>
            </a:rPr>
            <a:t>medidas que permitan reducir el efecto del riesgo, mediante el traspaso de las pérdidas a otras organizaciones, a través de contratos seguros y, otros mecanismos que logran compartir el riesgo, como los contratos a riesgo compartido.</a:t>
          </a:r>
        </a:p>
        <a:p>
          <a:r>
            <a:rPr lang="es-ES" sz="1100">
              <a:solidFill>
                <a:schemeClr val="dk1"/>
              </a:solidFill>
              <a:latin typeface="+mn-lt"/>
              <a:ea typeface="+mn-ea"/>
              <a:cs typeface="+mn-cs"/>
            </a:rPr>
            <a:t> </a:t>
          </a:r>
        </a:p>
        <a:p>
          <a:pPr lvl="0"/>
          <a:r>
            <a:rPr lang="es-ES" sz="1100" b="1">
              <a:solidFill>
                <a:schemeClr val="dk1"/>
              </a:solidFill>
              <a:latin typeface="+mn-lt"/>
              <a:ea typeface="+mn-ea"/>
              <a:cs typeface="+mn-cs"/>
            </a:rPr>
            <a:t>Asumir el riesgo: </a:t>
          </a:r>
          <a:r>
            <a:rPr lang="es-ES" sz="1100">
              <a:solidFill>
                <a:schemeClr val="dk1"/>
              </a:solidFill>
              <a:latin typeface="+mn-lt"/>
              <a:ea typeface="+mn-ea"/>
              <a:cs typeface="+mn-cs"/>
            </a:rPr>
            <a:t>aceptarlo sin necesidad de tomar otras medidas de control diferentes a las que se poseen.   </a:t>
          </a:r>
        </a:p>
        <a:p>
          <a:endParaRPr lang="es-E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Para Riesgos de </a:t>
          </a:r>
          <a:r>
            <a:rPr lang="es-CO" sz="1100" b="1">
              <a:solidFill>
                <a:schemeClr val="accent1">
                  <a:lumMod val="75000"/>
                </a:schemeClr>
              </a:solidFill>
              <a:effectLst/>
              <a:latin typeface="+mn-lt"/>
              <a:ea typeface="+mn-ea"/>
              <a:cs typeface="+mn-cs"/>
            </a:rPr>
            <a:t>GESTIÓN</a:t>
          </a:r>
          <a:r>
            <a:rPr lang="es-CO" sz="1100" b="1">
              <a:solidFill>
                <a:schemeClr val="dk1"/>
              </a:solidFill>
              <a:effectLst/>
              <a:latin typeface="+mn-lt"/>
              <a:ea typeface="+mn-ea"/>
              <a:cs typeface="+mn-cs"/>
            </a:rPr>
            <a:t> y </a:t>
          </a:r>
          <a:r>
            <a:rPr lang="es-CO" sz="1100" b="1">
              <a:solidFill>
                <a:schemeClr val="accent2">
                  <a:lumMod val="75000"/>
                </a:schemeClr>
              </a:solidFill>
              <a:effectLst/>
              <a:latin typeface="+mn-lt"/>
              <a:ea typeface="+mn-ea"/>
              <a:cs typeface="+mn-cs"/>
            </a:rPr>
            <a:t>CORRUPCIÓN</a:t>
          </a:r>
          <a:r>
            <a:rPr lang="es-CO" sz="1100" b="1">
              <a:solidFill>
                <a:schemeClr val="dk1"/>
              </a:solidFill>
              <a:effectLst/>
              <a:latin typeface="+mn-lt"/>
              <a:ea typeface="+mn-ea"/>
              <a:cs typeface="+mn-cs"/>
            </a:rPr>
            <a:t>:</a:t>
          </a:r>
          <a:endParaRPr lang="es-CO">
            <a:effectLst/>
          </a:endParaRPr>
        </a:p>
        <a:p>
          <a:r>
            <a:rPr lang="es-ES" sz="1100">
              <a:solidFill>
                <a:schemeClr val="dk1"/>
              </a:solidFill>
              <a:latin typeface="+mn-lt"/>
              <a:ea typeface="+mn-ea"/>
              <a:cs typeface="+mn-cs"/>
            </a:rPr>
            <a:t> </a:t>
          </a:r>
        </a:p>
        <a:p>
          <a:r>
            <a:rPr lang="es-ES" sz="1100" b="1">
              <a:solidFill>
                <a:schemeClr val="dk1"/>
              </a:solidFill>
              <a:effectLst/>
              <a:latin typeface="+mn-lt"/>
              <a:ea typeface="+mn-ea"/>
              <a:cs typeface="+mn-cs"/>
            </a:rPr>
            <a:t>Evitar la Posibilidad: </a:t>
          </a:r>
          <a:r>
            <a:rPr lang="es-ES" sz="1100">
              <a:solidFill>
                <a:schemeClr val="dk1"/>
              </a:solidFill>
              <a:effectLst/>
              <a:latin typeface="+mn-lt"/>
              <a:ea typeface="+mn-ea"/>
              <a:cs typeface="+mn-cs"/>
            </a:rPr>
            <a:t>tomar las medidas encaminadas a prevenir su materialización (medidas de prevención). Se logra cuando al interior de los procesos se generan cambios sustanciales por mejoramiento, rediseño o eliminación, resultado de unos adecuados controles y acciones emprendidas. </a:t>
          </a:r>
          <a:r>
            <a:rPr lang="es-ES" sz="1100" i="1">
              <a:solidFill>
                <a:schemeClr val="dk1"/>
              </a:solidFill>
              <a:effectLst/>
              <a:latin typeface="+mn-lt"/>
              <a:ea typeface="+mn-ea"/>
              <a:cs typeface="+mn-cs"/>
            </a:rPr>
            <a:t>Ejemplo: mantenimiento preventivo de los equipos, desarrollo tecnológico, etc.</a:t>
          </a:r>
          <a:endParaRPr lang="es-CO">
            <a:effectLst/>
          </a:endParaRPr>
        </a:p>
        <a:p>
          <a:r>
            <a:rPr lang="es-ES" sz="1100">
              <a:solidFill>
                <a:schemeClr val="dk1"/>
              </a:solidFill>
              <a:effectLst/>
              <a:latin typeface="+mn-lt"/>
              <a:ea typeface="+mn-ea"/>
              <a:cs typeface="+mn-cs"/>
            </a:rPr>
            <a:t> </a:t>
          </a:r>
          <a:endParaRPr lang="es-CO">
            <a:effectLst/>
          </a:endParaRPr>
        </a:p>
        <a:p>
          <a:r>
            <a:rPr lang="es-ES" sz="1100" b="1">
              <a:solidFill>
                <a:schemeClr val="dk1"/>
              </a:solidFill>
              <a:effectLst/>
              <a:latin typeface="+mn-lt"/>
              <a:ea typeface="+mn-ea"/>
              <a:cs typeface="+mn-cs"/>
            </a:rPr>
            <a:t>Reducir el Riesgo: </a:t>
          </a:r>
          <a:r>
            <a:rPr lang="es-ES" sz="1100">
              <a:solidFill>
                <a:schemeClr val="dk1"/>
              </a:solidFill>
              <a:effectLst/>
              <a:latin typeface="+mn-lt"/>
              <a:ea typeface="+mn-ea"/>
              <a:cs typeface="+mn-cs"/>
            </a:rPr>
            <a:t>medidas orientadas a disminuir tanto la posibilidad (medidas de prevención), como el impacto (medidas de protección o correctivas), mediante la optimización de procedimientos y la implementación de controles.</a:t>
          </a:r>
          <a:endParaRPr lang="es-ES" sz="1100">
            <a:solidFill>
              <a:schemeClr val="dk1"/>
            </a:solidFill>
            <a:latin typeface="+mn-lt"/>
            <a:ea typeface="+mn-ea"/>
            <a:cs typeface="+mn-cs"/>
          </a:endParaRPr>
        </a:p>
        <a:p>
          <a:endParaRPr lang="es-ES" sz="1100">
            <a:solidFill>
              <a:schemeClr val="dk1"/>
            </a:solidFill>
            <a:latin typeface="+mn-lt"/>
            <a:ea typeface="+mn-ea"/>
            <a:cs typeface="+mn-cs"/>
          </a:endParaRPr>
        </a:p>
        <a:p>
          <a:r>
            <a:rPr lang="es-ES" sz="1100">
              <a:solidFill>
                <a:schemeClr val="dk1"/>
              </a:solidFill>
              <a:latin typeface="+mn-lt"/>
              <a:ea typeface="+mn-ea"/>
              <a:cs typeface="+mn-cs"/>
            </a:rPr>
            <a:t>O en caso de </a:t>
          </a:r>
          <a:r>
            <a:rPr lang="es-ES" sz="1100" b="1">
              <a:solidFill>
                <a:schemeClr val="dk1"/>
              </a:solidFill>
              <a:latin typeface="+mn-lt"/>
              <a:ea typeface="+mn-ea"/>
              <a:cs typeface="+mn-cs"/>
            </a:rPr>
            <a:t>riesgo residual</a:t>
          </a:r>
          <a:r>
            <a:rPr lang="es-ES" sz="1100">
              <a:solidFill>
                <a:schemeClr val="dk1"/>
              </a:solidFill>
              <a:latin typeface="+mn-lt"/>
              <a:ea typeface="+mn-ea"/>
              <a:cs typeface="+mn-cs"/>
            </a:rPr>
            <a:t>, dado por reducción o transferencia del riesgo, el responsable del proceso o representante legal puede aceptar la pérdida residual probable y elaborar los planes de contingencia para su manejo.</a:t>
          </a:r>
        </a:p>
        <a:p>
          <a:r>
            <a:rPr lang="es-ES" sz="1100">
              <a:solidFill>
                <a:schemeClr val="dk1"/>
              </a:solidFill>
              <a:latin typeface="+mn-lt"/>
              <a:ea typeface="+mn-ea"/>
              <a:cs typeface="+mn-cs"/>
            </a:rPr>
            <a:t> </a:t>
          </a:r>
        </a:p>
        <a:p>
          <a:r>
            <a:rPr lang="es-ES" sz="1100">
              <a:solidFill>
                <a:schemeClr val="dk1"/>
              </a:solidFill>
              <a:latin typeface="+mn-lt"/>
              <a:ea typeface="+mn-ea"/>
              <a:cs typeface="+mn-cs"/>
            </a:rPr>
            <a:t>Para escoger las acciones que van a tratar el riesgo, también tiene que tener en cuenta que:</a:t>
          </a:r>
        </a:p>
        <a:p>
          <a:endParaRPr lang="es-ES" sz="1100">
            <a:solidFill>
              <a:schemeClr val="dk1"/>
            </a:solidFill>
            <a:latin typeface="+mn-lt"/>
            <a:ea typeface="+mn-ea"/>
            <a:cs typeface="+mn-cs"/>
          </a:endParaRPr>
        </a:p>
        <a:p>
          <a:pPr lvl="0"/>
          <a:r>
            <a:rPr lang="es-ES" sz="1100">
              <a:solidFill>
                <a:schemeClr val="dk1"/>
              </a:solidFill>
              <a:latin typeface="+mn-lt"/>
              <a:ea typeface="+mn-ea"/>
              <a:cs typeface="+mn-cs"/>
            </a:rPr>
            <a:t>- En caso</a:t>
          </a:r>
          <a:r>
            <a:rPr lang="es-ES" sz="1100" baseline="0">
              <a:solidFill>
                <a:schemeClr val="dk1"/>
              </a:solidFill>
              <a:latin typeface="+mn-lt"/>
              <a:ea typeface="+mn-ea"/>
              <a:cs typeface="+mn-cs"/>
            </a:rPr>
            <a:t> que el riesgo se encuentre en las zonas Moderadas o Altas, d</a:t>
          </a:r>
          <a:r>
            <a:rPr lang="es-ES" sz="1100">
              <a:solidFill>
                <a:schemeClr val="dk1"/>
              </a:solidFill>
              <a:latin typeface="+mn-lt"/>
              <a:ea typeface="+mn-ea"/>
              <a:cs typeface="+mn-cs"/>
            </a:rPr>
            <a:t>ebe realizar un análisis del costo beneficio, costo de la implementación</a:t>
          </a:r>
          <a:r>
            <a:rPr lang="es-ES" sz="1100" baseline="0">
              <a:solidFill>
                <a:schemeClr val="dk1"/>
              </a:solidFill>
              <a:latin typeface="+mn-lt"/>
              <a:ea typeface="+mn-ea"/>
              <a:cs typeface="+mn-cs"/>
            </a:rPr>
            <a:t> de la acción contra el beneficio</a:t>
          </a:r>
          <a:r>
            <a:rPr lang="es-ES" sz="1100">
              <a:solidFill>
                <a:schemeClr val="dk1"/>
              </a:solidFill>
              <a:latin typeface="+mn-lt"/>
              <a:ea typeface="+mn-ea"/>
              <a:cs typeface="+mn-cs"/>
            </a:rPr>
            <a:t> de la</a:t>
          </a:r>
          <a:r>
            <a:rPr lang="es-ES" sz="1100" baseline="0">
              <a:solidFill>
                <a:schemeClr val="dk1"/>
              </a:solidFill>
              <a:latin typeface="+mn-lt"/>
              <a:ea typeface="+mn-ea"/>
              <a:cs typeface="+mn-cs"/>
            </a:rPr>
            <a:t> misma.</a:t>
          </a:r>
          <a:endParaRPr lang="es-ES" sz="1100">
            <a:solidFill>
              <a:schemeClr val="dk1"/>
            </a:solidFill>
            <a:latin typeface="+mn-lt"/>
            <a:ea typeface="+mn-ea"/>
            <a:cs typeface="+mn-cs"/>
          </a:endParaRP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 Siempre que el riesgo sea calificado en la zona Extrema, con impacto Catastrófico, se aconseja elminar la causa del riesgo, y diseñar planes de contingencia, para protegerse en caso de su ocurrencia</a:t>
          </a:r>
        </a:p>
      </xdr:txBody>
    </xdr:sp>
    <xdr:clientData/>
  </xdr:oneCellAnchor>
  <xdr:twoCellAnchor editAs="oneCell">
    <xdr:from>
      <xdr:col>0</xdr:col>
      <xdr:colOff>38100</xdr:colOff>
      <xdr:row>202</xdr:row>
      <xdr:rowOff>152400</xdr:rowOff>
    </xdr:from>
    <xdr:to>
      <xdr:col>1</xdr:col>
      <xdr:colOff>0</xdr:colOff>
      <xdr:row>219</xdr:row>
      <xdr:rowOff>152400</xdr:rowOff>
    </xdr:to>
    <xdr:pic>
      <xdr:nvPicPr>
        <xdr:cNvPr id="10260" name="68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39995475"/>
          <a:ext cx="37052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9524</xdr:colOff>
      <xdr:row>111</xdr:row>
      <xdr:rowOff>57151</xdr:rowOff>
    </xdr:from>
    <xdr:to>
      <xdr:col>6</xdr:col>
      <xdr:colOff>857249</xdr:colOff>
      <xdr:row>129</xdr:row>
      <xdr:rowOff>180975</xdr:rowOff>
    </xdr:to>
    <xdr:pic>
      <xdr:nvPicPr>
        <xdr:cNvPr id="10261" name="3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43449" y="22564726"/>
          <a:ext cx="4810125" cy="3552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66676</xdr:colOff>
      <xdr:row>297</xdr:row>
      <xdr:rowOff>142876</xdr:rowOff>
    </xdr:from>
    <xdr:ext cx="9505949" cy="3162300"/>
    <xdr:sp macro="" textlink="">
      <xdr:nvSpPr>
        <xdr:cNvPr id="52" name="51 CuadroTexto"/>
        <xdr:cNvSpPr txBox="1"/>
      </xdr:nvSpPr>
      <xdr:spPr>
        <a:xfrm>
          <a:off x="66676" y="58083451"/>
          <a:ext cx="9505949" cy="3162300"/>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Algunas de las acciones tienden  a controlar la </a:t>
          </a:r>
          <a:r>
            <a:rPr lang="es-ES" sz="1100" i="1">
              <a:solidFill>
                <a:schemeClr val="dk1"/>
              </a:solidFill>
              <a:latin typeface="+mn-lt"/>
              <a:ea typeface="+mn-ea"/>
              <a:cs typeface="+mn-cs"/>
            </a:rPr>
            <a:t>Posibilidad </a:t>
          </a:r>
          <a:r>
            <a:rPr lang="es-ES" sz="1100">
              <a:solidFill>
                <a:schemeClr val="dk1"/>
              </a:solidFill>
              <a:latin typeface="+mn-lt"/>
              <a:ea typeface="+mn-ea"/>
              <a:cs typeface="+mn-cs"/>
            </a:rPr>
            <a:t>y otras el </a:t>
          </a:r>
          <a:r>
            <a:rPr lang="es-ES" sz="1100" i="1">
              <a:solidFill>
                <a:schemeClr val="dk1"/>
              </a:solidFill>
              <a:latin typeface="+mn-lt"/>
              <a:ea typeface="+mn-ea"/>
              <a:cs typeface="+mn-cs"/>
            </a:rPr>
            <a:t>impacto </a:t>
          </a:r>
          <a:r>
            <a:rPr lang="es-ES" sz="1100" i="0">
              <a:solidFill>
                <a:schemeClr val="dk1"/>
              </a:solidFill>
              <a:latin typeface="+mn-lt"/>
              <a:ea typeface="+mn-ea"/>
              <a:cs typeface="+mn-cs"/>
            </a:rPr>
            <a:t>Son</a:t>
          </a:r>
          <a:r>
            <a:rPr lang="es-ES" sz="1100">
              <a:solidFill>
                <a:schemeClr val="dk1"/>
              </a:solidFill>
              <a:latin typeface="+mn-lt"/>
              <a:ea typeface="+mn-ea"/>
              <a:cs typeface="+mn-cs"/>
            </a:rPr>
            <a:t>:</a:t>
          </a:r>
        </a:p>
        <a:p>
          <a:r>
            <a:rPr lang="es-ES" sz="1100">
              <a:solidFill>
                <a:schemeClr val="dk1"/>
              </a:solidFill>
              <a:latin typeface="+mn-lt"/>
              <a:ea typeface="+mn-ea"/>
              <a:cs typeface="+mn-cs"/>
            </a:rPr>
            <a:t> </a:t>
          </a:r>
        </a:p>
        <a:p>
          <a:r>
            <a:rPr lang="es-ES" sz="1100" b="1" i="1">
              <a:solidFill>
                <a:schemeClr val="dk1"/>
              </a:solidFill>
              <a:latin typeface="+mn-lt"/>
              <a:ea typeface="+mn-ea"/>
              <a:cs typeface="+mn-cs"/>
            </a:rPr>
            <a:t>POSIBILIDAD						</a:t>
          </a:r>
          <a:r>
            <a:rPr lang="es-ES" sz="1100" b="1" i="1">
              <a:solidFill>
                <a:schemeClr val="dk1"/>
              </a:solidFill>
              <a:effectLst/>
              <a:latin typeface="+mn-lt"/>
              <a:ea typeface="+mn-ea"/>
              <a:cs typeface="+mn-cs"/>
            </a:rPr>
            <a:t>IMPACTO</a:t>
          </a:r>
        </a:p>
        <a:p>
          <a:r>
            <a:rPr lang="es-ES" sz="1100">
              <a:solidFill>
                <a:schemeClr val="dk1"/>
              </a:solidFill>
              <a:latin typeface="+mn-lt"/>
              <a:ea typeface="+mn-ea"/>
              <a:cs typeface="+mn-cs"/>
            </a:rPr>
            <a:t>Planes de auditoria					</a:t>
          </a:r>
          <a:r>
            <a:rPr lang="es-ES" sz="1100">
              <a:solidFill>
                <a:schemeClr val="dk1"/>
              </a:solidFill>
              <a:effectLst/>
              <a:latin typeface="+mn-lt"/>
              <a:ea typeface="+mn-ea"/>
              <a:cs typeface="+mn-cs"/>
            </a:rPr>
            <a:t>Planes de contingencia</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Condiciones contractuales					</a:t>
          </a:r>
          <a:r>
            <a:rPr lang="es-ES" sz="1100">
              <a:solidFill>
                <a:schemeClr val="dk1"/>
              </a:solidFill>
              <a:effectLst/>
              <a:latin typeface="+mn-lt"/>
              <a:ea typeface="+mn-ea"/>
              <a:cs typeface="+mn-cs"/>
            </a:rPr>
            <a:t>Arreglos contractuales</a:t>
          </a:r>
          <a:endParaRPr lang="es-ES" sz="1100">
            <a:solidFill>
              <a:schemeClr val="dk1"/>
            </a:solidFill>
            <a:latin typeface="+mn-lt"/>
            <a:ea typeface="+mn-ea"/>
            <a:cs typeface="+mn-cs"/>
          </a:endParaRPr>
        </a:p>
        <a:p>
          <a:pPr lvl="0"/>
          <a:r>
            <a:rPr lang="es-ES" sz="1100">
              <a:solidFill>
                <a:schemeClr val="dk1"/>
              </a:solidFill>
              <a:latin typeface="+mn-lt"/>
              <a:ea typeface="+mn-ea"/>
              <a:cs typeface="+mn-cs"/>
            </a:rPr>
            <a:t>Revisiones formales de requerimientos, especificaciones, diseños, ingeniería y operaciones	</a:t>
          </a:r>
          <a:r>
            <a:rPr lang="es-ES" sz="1100">
              <a:solidFill>
                <a:schemeClr val="dk1"/>
              </a:solidFill>
              <a:effectLst/>
              <a:latin typeface="+mn-lt"/>
              <a:ea typeface="+mn-ea"/>
              <a:cs typeface="+mn-cs"/>
            </a:rPr>
            <a:t>Condiciones contractuales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Inspecciones y controles a los procesos				</a:t>
          </a:r>
          <a:r>
            <a:rPr lang="es-ES" sz="1100">
              <a:solidFill>
                <a:schemeClr val="dk1"/>
              </a:solidFill>
              <a:effectLst/>
              <a:latin typeface="+mn-lt"/>
              <a:ea typeface="+mn-ea"/>
              <a:cs typeface="+mn-cs"/>
            </a:rPr>
            <a:t>Características de diseño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Administración de  la inversión y la cartera				P</a:t>
          </a:r>
          <a:r>
            <a:rPr lang="es-ES" sz="1100">
              <a:solidFill>
                <a:schemeClr val="dk1"/>
              </a:solidFill>
              <a:effectLst/>
              <a:latin typeface="+mn-lt"/>
              <a:ea typeface="+mn-ea"/>
              <a:cs typeface="+mn-cs"/>
            </a:rPr>
            <a:t>lanes de recuperación ante desastres o siniestros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Administración de los proyectos					</a:t>
          </a:r>
          <a:r>
            <a:rPr lang="es-ES" sz="1100">
              <a:solidFill>
                <a:schemeClr val="dk1"/>
              </a:solidFill>
              <a:effectLst/>
              <a:latin typeface="+mn-lt"/>
              <a:ea typeface="+mn-ea"/>
              <a:cs typeface="+mn-cs"/>
            </a:rPr>
            <a:t>Establecimiento de políticas para controlar los fraudes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Mantenimientos preventivos					</a:t>
          </a:r>
          <a:r>
            <a:rPr lang="es-ES" sz="1100">
              <a:solidFill>
                <a:schemeClr val="dk1"/>
              </a:solidFill>
              <a:effectLst/>
              <a:latin typeface="+mn-lt"/>
              <a:ea typeface="+mn-ea"/>
              <a:cs typeface="+mn-cs"/>
            </a:rPr>
            <a:t>Minimizar la exposición a fuentes de riesgo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Aseguramiento de la calidad					</a:t>
          </a:r>
          <a:r>
            <a:rPr lang="es-ES" sz="1100">
              <a:solidFill>
                <a:schemeClr val="dk1"/>
              </a:solidFill>
              <a:effectLst/>
              <a:latin typeface="+mn-lt"/>
              <a:ea typeface="+mn-ea"/>
              <a:cs typeface="+mn-cs"/>
            </a:rPr>
            <a:t>Planeación de cartera</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Investigación y desarrollo tecnológico				</a:t>
          </a:r>
          <a:r>
            <a:rPr lang="es-ES" sz="1100">
              <a:solidFill>
                <a:schemeClr val="dk1"/>
              </a:solidFill>
              <a:effectLst/>
              <a:latin typeface="+mn-lt"/>
              <a:ea typeface="+mn-ea"/>
              <a:cs typeface="+mn-cs"/>
            </a:rPr>
            <a:t>Separación o reubicación de una actividad y recurso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Capacitaciones						</a:t>
          </a:r>
          <a:r>
            <a:rPr lang="es-ES" sz="1100">
              <a:solidFill>
                <a:schemeClr val="dk1"/>
              </a:solidFill>
              <a:effectLst/>
              <a:latin typeface="+mn-lt"/>
              <a:ea typeface="+mn-ea"/>
              <a:cs typeface="+mn-cs"/>
            </a:rPr>
            <a:t>Relaciones públicas</a:t>
          </a:r>
          <a:endParaRPr lang="es-ES" sz="1100">
            <a:solidFill>
              <a:schemeClr val="dk1"/>
            </a:solidFill>
            <a:latin typeface="+mn-lt"/>
            <a:ea typeface="+mn-ea"/>
            <a:cs typeface="+mn-cs"/>
          </a:endParaRPr>
        </a:p>
        <a:p>
          <a:pPr lvl="0"/>
          <a:r>
            <a:rPr lang="es-ES" sz="1100">
              <a:solidFill>
                <a:schemeClr val="dk1"/>
              </a:solidFill>
              <a:latin typeface="+mn-lt"/>
              <a:ea typeface="+mn-ea"/>
              <a:cs typeface="+mn-cs"/>
            </a:rPr>
            <a:t>Supervisiones</a:t>
          </a:r>
        </a:p>
        <a:p>
          <a:pPr lvl="0"/>
          <a:r>
            <a:rPr lang="es-ES" sz="1100">
              <a:solidFill>
                <a:schemeClr val="dk1"/>
              </a:solidFill>
              <a:latin typeface="+mn-lt"/>
              <a:ea typeface="+mn-ea"/>
              <a:cs typeface="+mn-cs"/>
            </a:rPr>
            <a:t>Comprobaciones</a:t>
          </a:r>
        </a:p>
        <a:p>
          <a:pPr lvl="0"/>
          <a:r>
            <a:rPr lang="es-ES" sz="1100">
              <a:solidFill>
                <a:schemeClr val="dk1"/>
              </a:solidFill>
              <a:latin typeface="+mn-lt"/>
              <a:ea typeface="+mn-ea"/>
              <a:cs typeface="+mn-cs"/>
            </a:rPr>
            <a:t>Acuerdos organizacionales</a:t>
          </a:r>
        </a:p>
        <a:p>
          <a:pPr lvl="0"/>
          <a:r>
            <a:rPr lang="es-ES" sz="1100">
              <a:solidFill>
                <a:schemeClr val="dk1"/>
              </a:solidFill>
              <a:latin typeface="+mn-lt"/>
              <a:ea typeface="+mn-ea"/>
              <a:cs typeface="+mn-cs"/>
            </a:rPr>
            <a:t>Controles técnicos</a:t>
          </a:r>
        </a:p>
        <a:p>
          <a:pPr lvl="0"/>
          <a:r>
            <a:rPr lang="es-ES" sz="1100">
              <a:solidFill>
                <a:schemeClr val="dk1"/>
              </a:solidFill>
              <a:latin typeface="+mn-lt"/>
              <a:ea typeface="+mn-ea"/>
              <a:cs typeface="+mn-cs"/>
            </a:rPr>
            <a:t>Entre otros</a:t>
          </a:r>
        </a:p>
      </xdr:txBody>
    </xdr:sp>
    <xdr:clientData/>
  </xdr:oneCellAnchor>
  <xdr:oneCellAnchor>
    <xdr:from>
      <xdr:col>2</xdr:col>
      <xdr:colOff>1</xdr:colOff>
      <xdr:row>282</xdr:row>
      <xdr:rowOff>133351</xdr:rowOff>
    </xdr:from>
    <xdr:ext cx="4838700" cy="2705099"/>
    <xdr:sp macro="" textlink="">
      <xdr:nvSpPr>
        <xdr:cNvPr id="56" name="55 CuadroTexto"/>
        <xdr:cNvSpPr txBox="1"/>
      </xdr:nvSpPr>
      <xdr:spPr>
        <a:xfrm>
          <a:off x="4733926" y="55216426"/>
          <a:ext cx="4838700" cy="2705099"/>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Las acciones que decida implementar deben:</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Ser Factibles y Efectivas, tales como: la implementación de las políticas, definición de estándares, optimización de procesos y procedimientos y cambios físicos, entre otros.</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Considerar la viabilidad jurídica, técnica, institucional, financiera y económica y se puede realizar con base en los criterios de: La valoración del riesgo, y El balance entre el costo de la implementación de cada acción contra el beneficio de la misma.</a:t>
          </a:r>
        </a:p>
        <a:p>
          <a:r>
            <a:rPr lang="es-ES" sz="1100">
              <a:solidFill>
                <a:schemeClr val="dk1"/>
              </a:solidFill>
              <a:latin typeface="+mn-lt"/>
              <a:ea typeface="+mn-ea"/>
              <a:cs typeface="+mn-cs"/>
            </a:rPr>
            <a:t> </a:t>
          </a:r>
        </a:p>
        <a:p>
          <a:r>
            <a:rPr lang="es-ES" sz="1100">
              <a:solidFill>
                <a:schemeClr val="dk1"/>
              </a:solidFill>
              <a:latin typeface="+mn-lt"/>
              <a:ea typeface="+mn-ea"/>
              <a:cs typeface="+mn-cs"/>
            </a:rPr>
            <a:t>Una vez escogida la acción debe </a:t>
          </a:r>
          <a:r>
            <a:rPr lang="pt-BR" sz="1100">
              <a:solidFill>
                <a:schemeClr val="dk1"/>
              </a:solidFill>
              <a:latin typeface="+mn-lt"/>
              <a:ea typeface="+mn-ea"/>
              <a:cs typeface="+mn-cs"/>
            </a:rPr>
            <a:t>Identificar </a:t>
          </a:r>
          <a:r>
            <a:rPr lang="es-CO" sz="1100">
              <a:solidFill>
                <a:schemeClr val="dk1"/>
              </a:solidFill>
              <a:latin typeface="+mn-lt"/>
              <a:ea typeface="+mn-ea"/>
              <a:cs typeface="+mn-cs"/>
            </a:rPr>
            <a:t>los </a:t>
          </a:r>
          <a:r>
            <a:rPr lang="es-ES" sz="1100">
              <a:solidFill>
                <a:schemeClr val="dk1"/>
              </a:solidFill>
              <a:latin typeface="+mn-lt"/>
              <a:ea typeface="+mn-ea"/>
              <a:cs typeface="+mn-cs"/>
            </a:rPr>
            <a:t>responsables de </a:t>
          </a:r>
          <a:r>
            <a:rPr lang="es-CO" sz="1100">
              <a:solidFill>
                <a:schemeClr val="dk1"/>
              </a:solidFill>
              <a:latin typeface="+mn-lt"/>
              <a:ea typeface="+mn-ea"/>
              <a:cs typeface="+mn-cs"/>
            </a:rPr>
            <a:t>las</a:t>
          </a:r>
          <a:r>
            <a:rPr lang="pt-BR" sz="1100">
              <a:solidFill>
                <a:schemeClr val="dk1"/>
              </a:solidFill>
              <a:latin typeface="+mn-lt"/>
              <a:ea typeface="+mn-ea"/>
              <a:cs typeface="+mn-cs"/>
            </a:rPr>
            <a:t> áreas o </a:t>
          </a:r>
          <a:r>
            <a:rPr lang="es-CO" sz="1100">
              <a:solidFill>
                <a:schemeClr val="dk1"/>
              </a:solidFill>
              <a:latin typeface="+mn-lt"/>
              <a:ea typeface="+mn-ea"/>
              <a:cs typeface="+mn-cs"/>
            </a:rPr>
            <a:t>dependencias </a:t>
          </a:r>
          <a:r>
            <a:rPr lang="es-ES" sz="1100">
              <a:solidFill>
                <a:schemeClr val="dk1"/>
              </a:solidFill>
              <a:latin typeface="+mn-lt"/>
              <a:ea typeface="+mn-ea"/>
              <a:cs typeface="+mn-cs"/>
            </a:rPr>
            <a:t>para llevar a cabo las acciones y definir unos indicadores que permitan verificar el cumplimiento para tomar medidas correctivas cuando sea necesario.  Con el fin de consignarlos en el Mapa de Riesgos.</a:t>
          </a:r>
        </a:p>
      </xdr:txBody>
    </xdr:sp>
    <xdr:clientData/>
  </xdr:oneCellAnchor>
  <xdr:twoCellAnchor editAs="oneCell">
    <xdr:from>
      <xdr:col>0</xdr:col>
      <xdr:colOff>28575</xdr:colOff>
      <xdr:row>113</xdr:row>
      <xdr:rowOff>142874</xdr:rowOff>
    </xdr:from>
    <xdr:to>
      <xdr:col>1</xdr:col>
      <xdr:colOff>680318</xdr:colOff>
      <xdr:row>122</xdr:row>
      <xdr:rowOff>190499</xdr:rowOff>
    </xdr:to>
    <xdr:pic>
      <xdr:nvPicPr>
        <xdr:cNvPr id="10267" name="38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2824"/>
        <a:stretch>
          <a:fillRect/>
        </a:stretch>
      </xdr:blipFill>
      <xdr:spPr bwMode="auto">
        <a:xfrm>
          <a:off x="28575" y="12572999"/>
          <a:ext cx="4395068"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123</xdr:row>
      <xdr:rowOff>9525</xdr:rowOff>
    </xdr:from>
    <xdr:to>
      <xdr:col>1</xdr:col>
      <xdr:colOff>732794</xdr:colOff>
      <xdr:row>131</xdr:row>
      <xdr:rowOff>47625</xdr:rowOff>
    </xdr:to>
    <xdr:pic>
      <xdr:nvPicPr>
        <xdr:cNvPr id="10268" name="39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14344650"/>
          <a:ext cx="4438019"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131</xdr:row>
      <xdr:rowOff>142875</xdr:rowOff>
    </xdr:from>
    <xdr:to>
      <xdr:col>1</xdr:col>
      <xdr:colOff>765613</xdr:colOff>
      <xdr:row>134</xdr:row>
      <xdr:rowOff>180975</xdr:rowOff>
    </xdr:to>
    <xdr:pic>
      <xdr:nvPicPr>
        <xdr:cNvPr id="10269" name="40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6002000"/>
          <a:ext cx="4508938"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135</xdr:row>
      <xdr:rowOff>19050</xdr:rowOff>
    </xdr:from>
    <xdr:to>
      <xdr:col>1</xdr:col>
      <xdr:colOff>823136</xdr:colOff>
      <xdr:row>142</xdr:row>
      <xdr:rowOff>76200</xdr:rowOff>
    </xdr:to>
    <xdr:pic>
      <xdr:nvPicPr>
        <xdr:cNvPr id="10270" name="41 Image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6640175"/>
          <a:ext cx="4566461"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135</xdr:row>
      <xdr:rowOff>28575</xdr:rowOff>
    </xdr:from>
    <xdr:to>
      <xdr:col>6</xdr:col>
      <xdr:colOff>642366</xdr:colOff>
      <xdr:row>142</xdr:row>
      <xdr:rowOff>180975</xdr:rowOff>
    </xdr:to>
    <xdr:pic>
      <xdr:nvPicPr>
        <xdr:cNvPr id="10271" name="42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772025" y="27108150"/>
          <a:ext cx="4566666"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143</xdr:row>
      <xdr:rowOff>161925</xdr:rowOff>
    </xdr:from>
    <xdr:to>
      <xdr:col>1</xdr:col>
      <xdr:colOff>809133</xdr:colOff>
      <xdr:row>151</xdr:row>
      <xdr:rowOff>152400</xdr:rowOff>
    </xdr:to>
    <xdr:pic>
      <xdr:nvPicPr>
        <xdr:cNvPr id="10272" name="60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8575" y="28765500"/>
          <a:ext cx="4523883"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942975</xdr:colOff>
      <xdr:row>143</xdr:row>
      <xdr:rowOff>123825</xdr:rowOff>
    </xdr:from>
    <xdr:to>
      <xdr:col>6</xdr:col>
      <xdr:colOff>498725</xdr:colOff>
      <xdr:row>152</xdr:row>
      <xdr:rowOff>180975</xdr:rowOff>
    </xdr:to>
    <xdr:pic>
      <xdr:nvPicPr>
        <xdr:cNvPr id="10273" name="61 Imagen"/>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86300" y="28727400"/>
          <a:ext cx="45087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152</xdr:row>
      <xdr:rowOff>142875</xdr:rowOff>
    </xdr:from>
    <xdr:to>
      <xdr:col>1</xdr:col>
      <xdr:colOff>872714</xdr:colOff>
      <xdr:row>161</xdr:row>
      <xdr:rowOff>161925</xdr:rowOff>
    </xdr:to>
    <xdr:pic>
      <xdr:nvPicPr>
        <xdr:cNvPr id="10274" name="62 Imagen"/>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625" y="30460950"/>
          <a:ext cx="4568414"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226</xdr:row>
      <xdr:rowOff>171449</xdr:rowOff>
    </xdr:from>
    <xdr:to>
      <xdr:col>0</xdr:col>
      <xdr:colOff>3559493</xdr:colOff>
      <xdr:row>234</xdr:row>
      <xdr:rowOff>9524</xdr:rowOff>
    </xdr:to>
    <xdr:pic>
      <xdr:nvPicPr>
        <xdr:cNvPr id="10276" name="65 Imagen"/>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3350" y="44586524"/>
          <a:ext cx="342614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267</xdr:row>
      <xdr:rowOff>28575</xdr:rowOff>
    </xdr:from>
    <xdr:to>
      <xdr:col>1</xdr:col>
      <xdr:colOff>952500</xdr:colOff>
      <xdr:row>284</xdr:row>
      <xdr:rowOff>123825</xdr:rowOff>
    </xdr:to>
    <xdr:pic>
      <xdr:nvPicPr>
        <xdr:cNvPr id="10277" name="66 Imagen"/>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52254150"/>
          <a:ext cx="46958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206</xdr:row>
      <xdr:rowOff>0</xdr:rowOff>
    </xdr:from>
    <xdr:to>
      <xdr:col>6</xdr:col>
      <xdr:colOff>896813</xdr:colOff>
      <xdr:row>224</xdr:row>
      <xdr:rowOff>47625</xdr:rowOff>
    </xdr:to>
    <xdr:pic>
      <xdr:nvPicPr>
        <xdr:cNvPr id="5" name="Imagen 4"/>
        <xdr:cNvPicPr>
          <a:picLocks noChangeAspect="1"/>
        </xdr:cNvPicPr>
      </xdr:nvPicPr>
      <xdr:blipFill>
        <a:blip xmlns:r="http://schemas.openxmlformats.org/officeDocument/2006/relationships" r:embed="rId16"/>
        <a:stretch>
          <a:fillRect/>
        </a:stretch>
      </xdr:blipFill>
      <xdr:spPr>
        <a:xfrm>
          <a:off x="3848100" y="40605075"/>
          <a:ext cx="5745038" cy="3476625"/>
        </a:xfrm>
        <a:prstGeom prst="rect">
          <a:avLst/>
        </a:prstGeom>
      </xdr:spPr>
    </xdr:pic>
    <xdr:clientData/>
  </xdr:twoCellAnchor>
  <xdr:twoCellAnchor editAs="oneCell">
    <xdr:from>
      <xdr:col>0</xdr:col>
      <xdr:colOff>0</xdr:colOff>
      <xdr:row>0</xdr:row>
      <xdr:rowOff>0</xdr:rowOff>
    </xdr:from>
    <xdr:to>
      <xdr:col>6</xdr:col>
      <xdr:colOff>942975</xdr:colOff>
      <xdr:row>1</xdr:row>
      <xdr:rowOff>57150</xdr:rowOff>
    </xdr:to>
    <xdr:pic>
      <xdr:nvPicPr>
        <xdr:cNvPr id="44" name="Imagen 43"/>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96393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3209925</xdr:colOff>
      <xdr:row>0</xdr:row>
      <xdr:rowOff>1023466</xdr:rowOff>
    </xdr:from>
    <xdr:to>
      <xdr:col>3</xdr:col>
      <xdr:colOff>409575</xdr:colOff>
      <xdr:row>0</xdr:row>
      <xdr:rowOff>1524000</xdr:rowOff>
    </xdr:to>
    <xdr:pic>
      <xdr:nvPicPr>
        <xdr:cNvPr id="6" name="Imagen 5"/>
        <xdr:cNvPicPr>
          <a:picLocks noChangeAspect="1"/>
        </xdr:cNvPicPr>
      </xdr:nvPicPr>
      <xdr:blipFill rotWithShape="1">
        <a:blip xmlns:r="http://schemas.openxmlformats.org/officeDocument/2006/relationships" r:embed="rId18">
          <a:clrChange>
            <a:clrFrom>
              <a:srgbClr val="FFFFFF"/>
            </a:clrFrom>
            <a:clrTo>
              <a:srgbClr val="FFFFFF">
                <a:alpha val="0"/>
              </a:srgbClr>
            </a:clrTo>
          </a:clrChange>
        </a:blip>
        <a:srcRect l="29509" r="31185" b="28030"/>
        <a:stretch/>
      </xdr:blipFill>
      <xdr:spPr>
        <a:xfrm>
          <a:off x="3209925" y="1023466"/>
          <a:ext cx="2924175" cy="500534"/>
        </a:xfrm>
        <a:prstGeom prst="rect">
          <a:avLst/>
        </a:prstGeom>
      </xdr:spPr>
    </xdr:pic>
    <xdr:clientData/>
  </xdr:twoCellAnchor>
  <xdr:twoCellAnchor editAs="oneCell">
    <xdr:from>
      <xdr:col>0</xdr:col>
      <xdr:colOff>1</xdr:colOff>
      <xdr:row>3</xdr:row>
      <xdr:rowOff>85725</xdr:rowOff>
    </xdr:from>
    <xdr:to>
      <xdr:col>0</xdr:col>
      <xdr:colOff>3703361</xdr:colOff>
      <xdr:row>9</xdr:row>
      <xdr:rowOff>76200</xdr:rowOff>
    </xdr:to>
    <xdr:pic>
      <xdr:nvPicPr>
        <xdr:cNvPr id="9" name="Imagen 8"/>
        <xdr:cNvPicPr>
          <a:picLocks noChangeAspect="1"/>
        </xdr:cNvPicPr>
      </xdr:nvPicPr>
      <xdr:blipFill>
        <a:blip xmlns:r="http://schemas.openxmlformats.org/officeDocument/2006/relationships" r:embed="rId19"/>
        <a:stretch>
          <a:fillRect/>
        </a:stretch>
      </xdr:blipFill>
      <xdr:spPr>
        <a:xfrm>
          <a:off x="1" y="2019300"/>
          <a:ext cx="3703360" cy="1133475"/>
        </a:xfrm>
        <a:prstGeom prst="rect">
          <a:avLst/>
        </a:prstGeom>
      </xdr:spPr>
    </xdr:pic>
    <xdr:clientData/>
  </xdr:twoCellAnchor>
  <xdr:twoCellAnchor editAs="oneCell">
    <xdr:from>
      <xdr:col>0</xdr:col>
      <xdr:colOff>47625</xdr:colOff>
      <xdr:row>8</xdr:row>
      <xdr:rowOff>161761</xdr:rowOff>
    </xdr:from>
    <xdr:to>
      <xdr:col>0</xdr:col>
      <xdr:colOff>3733121</xdr:colOff>
      <xdr:row>21</xdr:row>
      <xdr:rowOff>104774</xdr:rowOff>
    </xdr:to>
    <xdr:pic>
      <xdr:nvPicPr>
        <xdr:cNvPr id="14" name="Imagen 13"/>
        <xdr:cNvPicPr>
          <a:picLocks noChangeAspect="1"/>
        </xdr:cNvPicPr>
      </xdr:nvPicPr>
      <xdr:blipFill>
        <a:blip xmlns:r="http://schemas.openxmlformats.org/officeDocument/2006/relationships" r:embed="rId20"/>
        <a:stretch>
          <a:fillRect/>
        </a:stretch>
      </xdr:blipFill>
      <xdr:spPr>
        <a:xfrm>
          <a:off x="47625" y="3047836"/>
          <a:ext cx="3685496" cy="2419513"/>
        </a:xfrm>
        <a:prstGeom prst="rect">
          <a:avLst/>
        </a:prstGeom>
      </xdr:spPr>
    </xdr:pic>
    <xdr:clientData/>
  </xdr:twoCellAnchor>
  <xdr:twoCellAnchor editAs="oneCell">
    <xdr:from>
      <xdr:col>1</xdr:col>
      <xdr:colOff>82124</xdr:colOff>
      <xdr:row>1</xdr:row>
      <xdr:rowOff>161925</xdr:rowOff>
    </xdr:from>
    <xdr:to>
      <xdr:col>6</xdr:col>
      <xdr:colOff>919408</xdr:colOff>
      <xdr:row>22</xdr:row>
      <xdr:rowOff>179069</xdr:rowOff>
    </xdr:to>
    <xdr:pic>
      <xdr:nvPicPr>
        <xdr:cNvPr id="15" name="Imagen 14"/>
        <xdr:cNvPicPr>
          <a:picLocks noChangeAspect="1"/>
        </xdr:cNvPicPr>
      </xdr:nvPicPr>
      <xdr:blipFill>
        <a:blip xmlns:r="http://schemas.openxmlformats.org/officeDocument/2006/relationships" r:embed="rId21"/>
        <a:stretch>
          <a:fillRect/>
        </a:stretch>
      </xdr:blipFill>
      <xdr:spPr>
        <a:xfrm>
          <a:off x="3825449" y="1714500"/>
          <a:ext cx="5790284" cy="4017644"/>
        </a:xfrm>
        <a:prstGeom prst="rect">
          <a:avLst/>
        </a:prstGeom>
      </xdr:spPr>
    </xdr:pic>
    <xdr:clientData/>
  </xdr:twoCellAnchor>
  <xdr:twoCellAnchor editAs="oneCell">
    <xdr:from>
      <xdr:col>0</xdr:col>
      <xdr:colOff>0</xdr:colOff>
      <xdr:row>23</xdr:row>
      <xdr:rowOff>0</xdr:rowOff>
    </xdr:from>
    <xdr:to>
      <xdr:col>6</xdr:col>
      <xdr:colOff>862293</xdr:colOff>
      <xdr:row>37</xdr:row>
      <xdr:rowOff>0</xdr:rowOff>
    </xdr:to>
    <xdr:pic>
      <xdr:nvPicPr>
        <xdr:cNvPr id="16" name="Imagen 15"/>
        <xdr:cNvPicPr>
          <a:picLocks noChangeAspect="1"/>
        </xdr:cNvPicPr>
      </xdr:nvPicPr>
      <xdr:blipFill>
        <a:blip xmlns:r="http://schemas.openxmlformats.org/officeDocument/2006/relationships" r:embed="rId22"/>
        <a:stretch>
          <a:fillRect/>
        </a:stretch>
      </xdr:blipFill>
      <xdr:spPr>
        <a:xfrm>
          <a:off x="0" y="5743575"/>
          <a:ext cx="9558618" cy="2667000"/>
        </a:xfrm>
        <a:prstGeom prst="rect">
          <a:avLst/>
        </a:prstGeom>
      </xdr:spPr>
    </xdr:pic>
    <xdr:clientData/>
  </xdr:twoCellAnchor>
  <xdr:twoCellAnchor editAs="oneCell">
    <xdr:from>
      <xdr:col>0</xdr:col>
      <xdr:colOff>0</xdr:colOff>
      <xdr:row>39</xdr:row>
      <xdr:rowOff>152400</xdr:rowOff>
    </xdr:from>
    <xdr:to>
      <xdr:col>1</xdr:col>
      <xdr:colOff>753376</xdr:colOff>
      <xdr:row>42</xdr:row>
      <xdr:rowOff>180975</xdr:rowOff>
    </xdr:to>
    <xdr:pic>
      <xdr:nvPicPr>
        <xdr:cNvPr id="18" name="Imagen 17"/>
        <xdr:cNvPicPr>
          <a:picLocks noChangeAspect="1"/>
        </xdr:cNvPicPr>
      </xdr:nvPicPr>
      <xdr:blipFill rotWithShape="1">
        <a:blip xmlns:r="http://schemas.openxmlformats.org/officeDocument/2006/relationships" r:embed="rId23"/>
        <a:srcRect l="12924" t="1587" r="2333" b="-1587"/>
        <a:stretch/>
      </xdr:blipFill>
      <xdr:spPr>
        <a:xfrm>
          <a:off x="0" y="8943975"/>
          <a:ext cx="4496701" cy="600075"/>
        </a:xfrm>
        <a:prstGeom prst="rect">
          <a:avLst/>
        </a:prstGeom>
      </xdr:spPr>
    </xdr:pic>
    <xdr:clientData/>
  </xdr:twoCellAnchor>
  <xdr:twoCellAnchor editAs="oneCell">
    <xdr:from>
      <xdr:col>0</xdr:col>
      <xdr:colOff>1</xdr:colOff>
      <xdr:row>42</xdr:row>
      <xdr:rowOff>85726</xdr:rowOff>
    </xdr:from>
    <xdr:to>
      <xdr:col>1</xdr:col>
      <xdr:colOff>218410</xdr:colOff>
      <xdr:row>48</xdr:row>
      <xdr:rowOff>133350</xdr:rowOff>
    </xdr:to>
    <xdr:pic>
      <xdr:nvPicPr>
        <xdr:cNvPr id="20" name="Imagen 19"/>
        <xdr:cNvPicPr>
          <a:picLocks noChangeAspect="1"/>
        </xdr:cNvPicPr>
      </xdr:nvPicPr>
      <xdr:blipFill>
        <a:blip xmlns:r="http://schemas.openxmlformats.org/officeDocument/2006/relationships" r:embed="rId24"/>
        <a:stretch>
          <a:fillRect/>
        </a:stretch>
      </xdr:blipFill>
      <xdr:spPr>
        <a:xfrm>
          <a:off x="1" y="9448801"/>
          <a:ext cx="3961734" cy="1190624"/>
        </a:xfrm>
        <a:prstGeom prst="rect">
          <a:avLst/>
        </a:prstGeom>
      </xdr:spPr>
    </xdr:pic>
    <xdr:clientData/>
  </xdr:twoCellAnchor>
  <xdr:oneCellAnchor>
    <xdr:from>
      <xdr:col>0</xdr:col>
      <xdr:colOff>142875</xdr:colOff>
      <xdr:row>55</xdr:row>
      <xdr:rowOff>85725</xdr:rowOff>
    </xdr:from>
    <xdr:ext cx="3705225" cy="1704975"/>
    <xdr:sp macro="" textlink="">
      <xdr:nvSpPr>
        <xdr:cNvPr id="63" name="16 CuadroTexto"/>
        <xdr:cNvSpPr txBox="1"/>
      </xdr:nvSpPr>
      <xdr:spPr>
        <a:xfrm>
          <a:off x="142875" y="11925300"/>
          <a:ext cx="3705225" cy="1704975"/>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pPr lvl="0"/>
          <a:r>
            <a:rPr lang="es-ES" sz="1100" b="1" i="1">
              <a:solidFill>
                <a:schemeClr val="dk1"/>
              </a:solidFill>
              <a:latin typeface="+mn-lt"/>
              <a:ea typeface="+mn-ea"/>
              <a:cs typeface="+mn-cs"/>
            </a:rPr>
            <a:t>Riesgo de GESTIÓN: </a:t>
          </a:r>
          <a:r>
            <a:rPr lang="es-ES" sz="1100" i="0">
              <a:solidFill>
                <a:schemeClr val="dk1"/>
              </a:solidFill>
              <a:latin typeface="+mn-lt"/>
              <a:ea typeface="+mn-ea"/>
              <a:cs typeface="+mn-cs"/>
            </a:rPr>
            <a:t>P</a:t>
          </a:r>
          <a:r>
            <a:rPr lang="es-ES" sz="1100">
              <a:solidFill>
                <a:schemeClr val="dk1"/>
              </a:solidFill>
              <a:latin typeface="+mn-lt"/>
              <a:ea typeface="+mn-ea"/>
              <a:cs typeface="+mn-cs"/>
            </a:rPr>
            <a:t>osibilidad de ocurrencia de un evento que pueda entorpecer el normal desarrollo de las funciones de la Universidad y afectar el logro de sus objetivos.</a:t>
          </a:r>
        </a:p>
        <a:p>
          <a:pPr lvl="0"/>
          <a:endParaRPr lang="es-ES" sz="1100">
            <a:solidFill>
              <a:schemeClr val="dk1"/>
            </a:solidFill>
            <a:latin typeface="+mn-lt"/>
            <a:ea typeface="+mn-ea"/>
            <a:cs typeface="+mn-cs"/>
          </a:endParaRPr>
        </a:p>
        <a:p>
          <a:pPr lvl="0"/>
          <a:r>
            <a:rPr lang="es-ES" sz="1100" b="1" i="1">
              <a:solidFill>
                <a:schemeClr val="dk1"/>
              </a:solidFill>
              <a:effectLst/>
              <a:latin typeface="+mn-lt"/>
              <a:ea typeface="+mn-ea"/>
              <a:cs typeface="+mn-cs"/>
            </a:rPr>
            <a:t>Riesgo de CORRUPCIÓN</a:t>
          </a:r>
          <a:r>
            <a:rPr lang="es-ES" sz="1100" b="1">
              <a:solidFill>
                <a:schemeClr val="dk1"/>
              </a:solidFill>
              <a:effectLst/>
              <a:latin typeface="+mn-lt"/>
              <a:ea typeface="+mn-ea"/>
              <a:cs typeface="+mn-cs"/>
            </a:rPr>
            <a:t>: </a:t>
          </a:r>
          <a:r>
            <a:rPr lang="es-CO" sz="1100">
              <a:solidFill>
                <a:schemeClr val="dk1"/>
              </a:solidFill>
              <a:effectLst/>
              <a:latin typeface="+mn-lt"/>
              <a:ea typeface="+mn-ea"/>
              <a:cs typeface="+mn-cs"/>
            </a:rPr>
            <a:t>Posibilidad de que por acción u omisión, mediante el uso indebido del poder, de los recursos o de la información, se lesionen los intereses de laUniversidad y en consecuencia del Estado, para la obtención de un beneficio particular</a:t>
          </a:r>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endParaRPr lang="es-ES" sz="1100">
            <a:solidFill>
              <a:schemeClr val="dk1"/>
            </a:solidFill>
            <a:latin typeface="+mn-lt"/>
            <a:ea typeface="+mn-ea"/>
            <a:cs typeface="+mn-cs"/>
          </a:endParaRPr>
        </a:p>
      </xdr:txBody>
    </xdr:sp>
    <xdr:clientData/>
  </xdr:oneCellAnchor>
  <xdr:twoCellAnchor editAs="oneCell">
    <xdr:from>
      <xdr:col>0</xdr:col>
      <xdr:colOff>1</xdr:colOff>
      <xdr:row>48</xdr:row>
      <xdr:rowOff>161925</xdr:rowOff>
    </xdr:from>
    <xdr:to>
      <xdr:col>1</xdr:col>
      <xdr:colOff>190500</xdr:colOff>
      <xdr:row>54</xdr:row>
      <xdr:rowOff>28575</xdr:rowOff>
    </xdr:to>
    <xdr:pic>
      <xdr:nvPicPr>
        <xdr:cNvPr id="25" name="Imagen 24"/>
        <xdr:cNvPicPr>
          <a:picLocks noChangeAspect="1"/>
        </xdr:cNvPicPr>
      </xdr:nvPicPr>
      <xdr:blipFill>
        <a:blip xmlns:r="http://schemas.openxmlformats.org/officeDocument/2006/relationships" r:embed="rId25"/>
        <a:stretch>
          <a:fillRect/>
        </a:stretch>
      </xdr:blipFill>
      <xdr:spPr>
        <a:xfrm>
          <a:off x="1" y="10668000"/>
          <a:ext cx="3933824" cy="1009650"/>
        </a:xfrm>
        <a:prstGeom prst="rect">
          <a:avLst/>
        </a:prstGeom>
      </xdr:spPr>
    </xdr:pic>
    <xdr:clientData/>
  </xdr:twoCellAnchor>
  <xdr:twoCellAnchor editAs="oneCell">
    <xdr:from>
      <xdr:col>0</xdr:col>
      <xdr:colOff>0</xdr:colOff>
      <xdr:row>106</xdr:row>
      <xdr:rowOff>0</xdr:rowOff>
    </xdr:from>
    <xdr:to>
      <xdr:col>2</xdr:col>
      <xdr:colOff>215541</xdr:colOff>
      <xdr:row>109</xdr:row>
      <xdr:rowOff>57150</xdr:rowOff>
    </xdr:to>
    <xdr:pic>
      <xdr:nvPicPr>
        <xdr:cNvPr id="2" name="Imagen 1"/>
        <xdr:cNvPicPr>
          <a:picLocks noChangeAspect="1"/>
        </xdr:cNvPicPr>
      </xdr:nvPicPr>
      <xdr:blipFill rotWithShape="1">
        <a:blip xmlns:r="http://schemas.openxmlformats.org/officeDocument/2006/relationships" r:embed="rId26"/>
        <a:srcRect l="10965"/>
        <a:stretch/>
      </xdr:blipFill>
      <xdr:spPr>
        <a:xfrm>
          <a:off x="0" y="21555075"/>
          <a:ext cx="4949466" cy="628650"/>
        </a:xfrm>
        <a:prstGeom prst="rect">
          <a:avLst/>
        </a:prstGeom>
      </xdr:spPr>
    </xdr:pic>
    <xdr:clientData/>
  </xdr:twoCellAnchor>
  <xdr:twoCellAnchor editAs="oneCell">
    <xdr:from>
      <xdr:col>0</xdr:col>
      <xdr:colOff>1</xdr:colOff>
      <xdr:row>108</xdr:row>
      <xdr:rowOff>133351</xdr:rowOff>
    </xdr:from>
    <xdr:to>
      <xdr:col>1</xdr:col>
      <xdr:colOff>600076</xdr:colOff>
      <xdr:row>113</xdr:row>
      <xdr:rowOff>156320</xdr:rowOff>
    </xdr:to>
    <xdr:pic>
      <xdr:nvPicPr>
        <xdr:cNvPr id="8" name="Imagen 7"/>
        <xdr:cNvPicPr>
          <a:picLocks noChangeAspect="1"/>
        </xdr:cNvPicPr>
      </xdr:nvPicPr>
      <xdr:blipFill>
        <a:blip xmlns:r="http://schemas.openxmlformats.org/officeDocument/2006/relationships" r:embed="rId27"/>
        <a:stretch>
          <a:fillRect/>
        </a:stretch>
      </xdr:blipFill>
      <xdr:spPr>
        <a:xfrm>
          <a:off x="1" y="22069426"/>
          <a:ext cx="4343400" cy="975469"/>
        </a:xfrm>
        <a:prstGeom prst="rect">
          <a:avLst/>
        </a:prstGeom>
      </xdr:spPr>
    </xdr:pic>
    <xdr:clientData/>
  </xdr:twoCellAnchor>
  <xdr:oneCellAnchor>
    <xdr:from>
      <xdr:col>2</xdr:col>
      <xdr:colOff>1</xdr:colOff>
      <xdr:row>153</xdr:row>
      <xdr:rowOff>190499</xdr:rowOff>
    </xdr:from>
    <xdr:ext cx="4838699" cy="6486525"/>
    <xdr:sp macro="" textlink="">
      <xdr:nvSpPr>
        <xdr:cNvPr id="48" name="22 CuadroTexto"/>
        <xdr:cNvSpPr txBox="1"/>
      </xdr:nvSpPr>
      <xdr:spPr>
        <a:xfrm>
          <a:off x="4733926" y="30699074"/>
          <a:ext cx="4838699" cy="6486525"/>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Entendiéndose por </a:t>
          </a:r>
        </a:p>
        <a:p>
          <a:r>
            <a:rPr lang="es-ES" sz="1100" i="1">
              <a:solidFill>
                <a:schemeClr val="dk1"/>
              </a:solidFill>
              <a:latin typeface="+mn-lt"/>
              <a:ea typeface="+mn-ea"/>
              <a:cs typeface="+mn-cs"/>
            </a:rPr>
            <a:t>posibilidad de ocurrencia del Riesgo</a:t>
          </a:r>
          <a:r>
            <a:rPr lang="es-ES" sz="1100">
              <a:solidFill>
                <a:schemeClr val="dk1"/>
              </a:solidFill>
              <a:latin typeface="+mn-lt"/>
              <a:ea typeface="+mn-ea"/>
              <a:cs typeface="+mn-cs"/>
            </a:rPr>
            <a:t>, la frecuencia la presencia de factores internos y externos que pueden propiciar el riesgo de gestión, aunque éste no se haya presentado nunca.  </a:t>
          </a:r>
        </a:p>
        <a:p>
          <a:endParaRPr lang="es-ES" sz="1100">
            <a:solidFill>
              <a:schemeClr val="dk1"/>
            </a:solidFill>
            <a:latin typeface="+mn-lt"/>
            <a:ea typeface="+mn-ea"/>
            <a:cs typeface="+mn-cs"/>
          </a:endParaRPr>
        </a:p>
        <a:p>
          <a:r>
            <a:rPr lang="es-ES" sz="1100">
              <a:solidFill>
                <a:schemeClr val="dk1"/>
              </a:solidFill>
              <a:latin typeface="+mn-lt"/>
              <a:ea typeface="+mn-ea"/>
              <a:cs typeface="+mn-cs"/>
            </a:rPr>
            <a:t>Y como</a:t>
          </a:r>
        </a:p>
        <a:p>
          <a:pPr algn="just"/>
          <a:r>
            <a:rPr lang="es-ES" sz="1100" i="1">
              <a:solidFill>
                <a:schemeClr val="dk1"/>
              </a:solidFill>
              <a:latin typeface="+mn-lt"/>
              <a:ea typeface="+mn-ea"/>
              <a:cs typeface="+mn-cs"/>
            </a:rPr>
            <a:t>Impacto (En Riesgos de Gestión - RG)</a:t>
          </a:r>
          <a:r>
            <a:rPr lang="es-ES" sz="1100">
              <a:solidFill>
                <a:schemeClr val="dk1"/>
              </a:solidFill>
              <a:latin typeface="+mn-lt"/>
              <a:ea typeface="+mn-ea"/>
              <a:cs typeface="+mn-cs"/>
            </a:rPr>
            <a:t>, el efecto o consecuencias que puede ocasionar al proceso y a la Universidad la materialización del riesgo de gestión.</a:t>
          </a:r>
        </a:p>
        <a:p>
          <a:pPr algn="just"/>
          <a:r>
            <a:rPr lang="es-ES" sz="1100" i="1">
              <a:solidFill>
                <a:schemeClr val="dk1"/>
              </a:solidFill>
              <a:effectLst/>
              <a:latin typeface="+mn-lt"/>
              <a:ea typeface="+mn-ea"/>
              <a:cs typeface="+mn-cs"/>
            </a:rPr>
            <a:t>Impacto (En Riesgos de Corrupción- RC), </a:t>
          </a:r>
          <a:r>
            <a:rPr lang="es-ES" sz="1100">
              <a:solidFill>
                <a:schemeClr val="dk1"/>
              </a:solidFill>
              <a:latin typeface="+mn-lt"/>
              <a:ea typeface="+mn-ea"/>
              <a:cs typeface="+mn-cs"/>
            </a:rPr>
            <a:t>el impacto de la materialización de un riesgo de corrupción es único, por cuanto lesiona la imagen, la credibilidad, la transparencia y la probidad de las entidades y del Estado, afectando los recursos públicos, la confianza y el cumplimiento de las funciones de la administración, siendo por tanto inaceptable la materialización de un riesgo de corrupción.</a:t>
          </a:r>
        </a:p>
        <a:p>
          <a:r>
            <a:rPr lang="es-ES" sz="1100">
              <a:solidFill>
                <a:schemeClr val="dk1"/>
              </a:solidFill>
              <a:latin typeface="+mn-lt"/>
              <a:ea typeface="+mn-ea"/>
              <a:cs typeface="+mn-cs"/>
            </a:rPr>
            <a:t> </a:t>
          </a:r>
        </a:p>
        <a:p>
          <a:r>
            <a:rPr lang="es-ES" sz="1100">
              <a:solidFill>
                <a:schemeClr val="dk1"/>
              </a:solidFill>
              <a:latin typeface="+mn-lt"/>
              <a:ea typeface="+mn-ea"/>
              <a:cs typeface="+mn-cs"/>
            </a:rPr>
            <a:t>Para adelantar el análisis del riesgo se deben considerar los siguientes aspectos, así como sus análisis cualitativos y cuantitativos:</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La </a:t>
          </a:r>
          <a:r>
            <a:rPr lang="es-ES" sz="1100" i="1">
              <a:solidFill>
                <a:schemeClr val="dk1"/>
              </a:solidFill>
              <a:latin typeface="+mn-lt"/>
              <a:ea typeface="+mn-ea"/>
              <a:cs typeface="+mn-cs"/>
            </a:rPr>
            <a:t>Calificación del Riesgo: </a:t>
          </a:r>
          <a:r>
            <a:rPr lang="es-ES" sz="1100">
              <a:solidFill>
                <a:schemeClr val="dk1"/>
              </a:solidFill>
              <a:latin typeface="+mn-lt"/>
              <a:ea typeface="+mn-ea"/>
              <a:cs typeface="+mn-cs"/>
            </a:rPr>
            <a:t>deben calificar cada riesgo identificado mediante el elemento anterior, a través del análisis cualitativo y/o cuantitativo que le haga a la posibilidad de ocurrencia del riesgo y el impacto (RG) de éste. </a:t>
          </a:r>
        </a:p>
        <a:p>
          <a:pPr marL="0" marR="0" lvl="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La </a:t>
          </a:r>
          <a:r>
            <a:rPr lang="es-ES" sz="1100" i="1">
              <a:solidFill>
                <a:schemeClr val="dk1"/>
              </a:solidFill>
              <a:latin typeface="+mn-lt"/>
              <a:ea typeface="+mn-ea"/>
              <a:cs typeface="+mn-cs"/>
            </a:rPr>
            <a:t>Evaluación del Riesgo: </a:t>
          </a:r>
          <a:r>
            <a:rPr lang="es-ES" sz="1100">
              <a:solidFill>
                <a:schemeClr val="dk1"/>
              </a:solidFill>
              <a:latin typeface="+mn-lt"/>
              <a:ea typeface="+mn-ea"/>
              <a:cs typeface="+mn-cs"/>
            </a:rPr>
            <a:t>permite comparar los resultados de su calificación, con los criterios definidos para establecer el grado de exposición de la Universidad al riesgo, ubicándolo en una zona de riesgo y de esta forma distinguir entre los riesgos Bajos, Moderados, altos o Extremos y fijar las prioridades de las acciones requeridas para su tratamiento.</a:t>
          </a:r>
        </a:p>
        <a:p>
          <a:pPr algn="just"/>
          <a:endParaRPr lang="es-ES" sz="1100" baseline="0">
            <a:solidFill>
              <a:schemeClr val="dk1"/>
            </a:solidFill>
            <a:latin typeface="+mn-lt"/>
            <a:ea typeface="+mn-ea"/>
            <a:cs typeface="+mn-cs"/>
          </a:endParaRPr>
        </a:p>
        <a:p>
          <a:pPr algn="just"/>
          <a:r>
            <a:rPr lang="es-ES" sz="1100">
              <a:solidFill>
                <a:schemeClr val="dk1"/>
              </a:solidFill>
              <a:latin typeface="+mn-lt"/>
              <a:ea typeface="+mn-ea"/>
              <a:cs typeface="+mn-cs"/>
            </a:rPr>
            <a:t>Con el Elemento Análisis de Riesgos y su diligenciamiento, se busca que el proceso o la Universidad obtenga los siguientes resultados:</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Establecer la posibilidad de ocurrencia de los riesgos, que pueden disminuir la capacidad de proceso y la Universidad, para cumplir su propósito.</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 Medir el impacto (en RG), las consecuencias del riesgo sobre las personas, los recursos, los objetivos institucionales o el desarrollo de los procesos.</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 Establecer criterios de calificación y evaluación de los riesgos que permiten tomar decisiones pertinentes sobre su tratamiento.</a:t>
          </a:r>
          <a:endParaRPr lang="es-ES" sz="1100" baseline="0">
            <a:solidFill>
              <a:schemeClr val="dk1"/>
            </a:solidFill>
            <a:latin typeface="+mn-lt"/>
            <a:ea typeface="+mn-ea"/>
            <a:cs typeface="+mn-cs"/>
          </a:endParaRPr>
        </a:p>
      </xdr:txBody>
    </xdr:sp>
    <xdr:clientData/>
  </xdr:oneCellAnchor>
  <xdr:twoCellAnchor editAs="oneCell">
    <xdr:from>
      <xdr:col>0</xdr:col>
      <xdr:colOff>0</xdr:colOff>
      <xdr:row>163</xdr:row>
      <xdr:rowOff>142876</xdr:rowOff>
    </xdr:from>
    <xdr:to>
      <xdr:col>2</xdr:col>
      <xdr:colOff>0</xdr:colOff>
      <xdr:row>169</xdr:row>
      <xdr:rowOff>46978</xdr:rowOff>
    </xdr:to>
    <xdr:pic>
      <xdr:nvPicPr>
        <xdr:cNvPr id="10" name="Imagen 9"/>
        <xdr:cNvPicPr>
          <a:picLocks noChangeAspect="1"/>
        </xdr:cNvPicPr>
      </xdr:nvPicPr>
      <xdr:blipFill>
        <a:blip xmlns:r="http://schemas.openxmlformats.org/officeDocument/2006/relationships" r:embed="rId28"/>
        <a:stretch>
          <a:fillRect/>
        </a:stretch>
      </xdr:blipFill>
      <xdr:spPr>
        <a:xfrm>
          <a:off x="0" y="32556451"/>
          <a:ext cx="4733925" cy="1047102"/>
        </a:xfrm>
        <a:prstGeom prst="rect">
          <a:avLst/>
        </a:prstGeom>
      </xdr:spPr>
    </xdr:pic>
    <xdr:clientData/>
  </xdr:twoCellAnchor>
  <xdr:twoCellAnchor editAs="oneCell">
    <xdr:from>
      <xdr:col>0</xdr:col>
      <xdr:colOff>0</xdr:colOff>
      <xdr:row>170</xdr:row>
      <xdr:rowOff>0</xdr:rowOff>
    </xdr:from>
    <xdr:to>
      <xdr:col>1</xdr:col>
      <xdr:colOff>914400</xdr:colOff>
      <xdr:row>174</xdr:row>
      <xdr:rowOff>4624</xdr:rowOff>
    </xdr:to>
    <xdr:pic>
      <xdr:nvPicPr>
        <xdr:cNvPr id="12" name="Imagen 11"/>
        <xdr:cNvPicPr>
          <a:picLocks noChangeAspect="1"/>
        </xdr:cNvPicPr>
      </xdr:nvPicPr>
      <xdr:blipFill>
        <a:blip xmlns:r="http://schemas.openxmlformats.org/officeDocument/2006/relationships" r:embed="rId29"/>
        <a:stretch>
          <a:fillRect/>
        </a:stretch>
      </xdr:blipFill>
      <xdr:spPr>
        <a:xfrm>
          <a:off x="0" y="33747075"/>
          <a:ext cx="4657725" cy="766624"/>
        </a:xfrm>
        <a:prstGeom prst="rect">
          <a:avLst/>
        </a:prstGeom>
      </xdr:spPr>
    </xdr:pic>
    <xdr:clientData/>
  </xdr:twoCellAnchor>
  <xdr:twoCellAnchor editAs="oneCell">
    <xdr:from>
      <xdr:col>0</xdr:col>
      <xdr:colOff>0</xdr:colOff>
      <xdr:row>174</xdr:row>
      <xdr:rowOff>0</xdr:rowOff>
    </xdr:from>
    <xdr:to>
      <xdr:col>1</xdr:col>
      <xdr:colOff>933450</xdr:colOff>
      <xdr:row>176</xdr:row>
      <xdr:rowOff>27213</xdr:rowOff>
    </xdr:to>
    <xdr:pic>
      <xdr:nvPicPr>
        <xdr:cNvPr id="19" name="Imagen 18"/>
        <xdr:cNvPicPr>
          <a:picLocks noChangeAspect="1"/>
        </xdr:cNvPicPr>
      </xdr:nvPicPr>
      <xdr:blipFill>
        <a:blip xmlns:r="http://schemas.openxmlformats.org/officeDocument/2006/relationships" r:embed="rId30"/>
        <a:stretch>
          <a:fillRect/>
        </a:stretch>
      </xdr:blipFill>
      <xdr:spPr>
        <a:xfrm>
          <a:off x="0" y="34509075"/>
          <a:ext cx="4676775" cy="408213"/>
        </a:xfrm>
        <a:prstGeom prst="rect">
          <a:avLst/>
        </a:prstGeom>
      </xdr:spPr>
    </xdr:pic>
    <xdr:clientData/>
  </xdr:twoCellAnchor>
  <xdr:twoCellAnchor editAs="oneCell">
    <xdr:from>
      <xdr:col>0</xdr:col>
      <xdr:colOff>0</xdr:colOff>
      <xdr:row>177</xdr:row>
      <xdr:rowOff>0</xdr:rowOff>
    </xdr:from>
    <xdr:to>
      <xdr:col>2</xdr:col>
      <xdr:colOff>95250</xdr:colOff>
      <xdr:row>179</xdr:row>
      <xdr:rowOff>19542</xdr:rowOff>
    </xdr:to>
    <xdr:pic>
      <xdr:nvPicPr>
        <xdr:cNvPr id="26" name="Imagen 25"/>
        <xdr:cNvPicPr>
          <a:picLocks noChangeAspect="1"/>
        </xdr:cNvPicPr>
      </xdr:nvPicPr>
      <xdr:blipFill>
        <a:blip xmlns:r="http://schemas.openxmlformats.org/officeDocument/2006/relationships" r:embed="rId31"/>
        <a:stretch>
          <a:fillRect/>
        </a:stretch>
      </xdr:blipFill>
      <xdr:spPr>
        <a:xfrm>
          <a:off x="0" y="35080575"/>
          <a:ext cx="4829175" cy="400542"/>
        </a:xfrm>
        <a:prstGeom prst="rect">
          <a:avLst/>
        </a:prstGeom>
      </xdr:spPr>
    </xdr:pic>
    <xdr:clientData/>
  </xdr:twoCellAnchor>
  <xdr:twoCellAnchor editAs="oneCell">
    <xdr:from>
      <xdr:col>0</xdr:col>
      <xdr:colOff>485775</xdr:colOff>
      <xdr:row>179</xdr:row>
      <xdr:rowOff>0</xdr:rowOff>
    </xdr:from>
    <xdr:to>
      <xdr:col>0</xdr:col>
      <xdr:colOff>3219450</xdr:colOff>
      <xdr:row>184</xdr:row>
      <xdr:rowOff>166928</xdr:rowOff>
    </xdr:to>
    <xdr:pic>
      <xdr:nvPicPr>
        <xdr:cNvPr id="29" name="Imagen 28"/>
        <xdr:cNvPicPr>
          <a:picLocks noChangeAspect="1"/>
        </xdr:cNvPicPr>
      </xdr:nvPicPr>
      <xdr:blipFill>
        <a:blip xmlns:r="http://schemas.openxmlformats.org/officeDocument/2006/relationships" r:embed="rId32"/>
        <a:stretch>
          <a:fillRect/>
        </a:stretch>
      </xdr:blipFill>
      <xdr:spPr>
        <a:xfrm>
          <a:off x="485775" y="35461575"/>
          <a:ext cx="2733675" cy="1119428"/>
        </a:xfrm>
        <a:prstGeom prst="rect">
          <a:avLst/>
        </a:prstGeom>
      </xdr:spPr>
    </xdr:pic>
    <xdr:clientData/>
  </xdr:twoCellAnchor>
  <xdr:twoCellAnchor editAs="oneCell">
    <xdr:from>
      <xdr:col>0</xdr:col>
      <xdr:colOff>0</xdr:colOff>
      <xdr:row>191</xdr:row>
      <xdr:rowOff>171449</xdr:rowOff>
    </xdr:from>
    <xdr:to>
      <xdr:col>2</xdr:col>
      <xdr:colOff>32705</xdr:colOff>
      <xdr:row>195</xdr:row>
      <xdr:rowOff>76200</xdr:rowOff>
    </xdr:to>
    <xdr:pic>
      <xdr:nvPicPr>
        <xdr:cNvPr id="3" name="Imagen 2"/>
        <xdr:cNvPicPr>
          <a:picLocks noChangeAspect="1"/>
        </xdr:cNvPicPr>
      </xdr:nvPicPr>
      <xdr:blipFill rotWithShape="1">
        <a:blip xmlns:r="http://schemas.openxmlformats.org/officeDocument/2006/relationships" r:embed="rId33"/>
        <a:srcRect l="11018"/>
        <a:stretch/>
      </xdr:blipFill>
      <xdr:spPr>
        <a:xfrm>
          <a:off x="0" y="37919024"/>
          <a:ext cx="4766630" cy="666751"/>
        </a:xfrm>
        <a:prstGeom prst="rect">
          <a:avLst/>
        </a:prstGeom>
      </xdr:spPr>
    </xdr:pic>
    <xdr:clientData/>
  </xdr:twoCellAnchor>
  <xdr:twoCellAnchor editAs="oneCell">
    <xdr:from>
      <xdr:col>0</xdr:col>
      <xdr:colOff>0</xdr:colOff>
      <xdr:row>194</xdr:row>
      <xdr:rowOff>161925</xdr:rowOff>
    </xdr:from>
    <xdr:to>
      <xdr:col>1</xdr:col>
      <xdr:colOff>634841</xdr:colOff>
      <xdr:row>201</xdr:row>
      <xdr:rowOff>0</xdr:rowOff>
    </xdr:to>
    <xdr:pic>
      <xdr:nvPicPr>
        <xdr:cNvPr id="13" name="Imagen 12"/>
        <xdr:cNvPicPr>
          <a:picLocks noChangeAspect="1"/>
        </xdr:cNvPicPr>
      </xdr:nvPicPr>
      <xdr:blipFill>
        <a:blip xmlns:r="http://schemas.openxmlformats.org/officeDocument/2006/relationships" r:embed="rId34"/>
        <a:stretch>
          <a:fillRect/>
        </a:stretch>
      </xdr:blipFill>
      <xdr:spPr>
        <a:xfrm>
          <a:off x="0" y="38481000"/>
          <a:ext cx="4378166" cy="1171575"/>
        </a:xfrm>
        <a:prstGeom prst="rect">
          <a:avLst/>
        </a:prstGeom>
      </xdr:spPr>
    </xdr:pic>
    <xdr:clientData/>
  </xdr:twoCellAnchor>
  <xdr:twoCellAnchor editAs="oneCell">
    <xdr:from>
      <xdr:col>0</xdr:col>
      <xdr:colOff>0</xdr:colOff>
      <xdr:row>221</xdr:row>
      <xdr:rowOff>9526</xdr:rowOff>
    </xdr:from>
    <xdr:to>
      <xdr:col>1</xdr:col>
      <xdr:colOff>18158</xdr:colOff>
      <xdr:row>227</xdr:row>
      <xdr:rowOff>47626</xdr:rowOff>
    </xdr:to>
    <xdr:pic>
      <xdr:nvPicPr>
        <xdr:cNvPr id="21" name="Imagen 20"/>
        <xdr:cNvPicPr>
          <a:picLocks noChangeAspect="1"/>
        </xdr:cNvPicPr>
      </xdr:nvPicPr>
      <xdr:blipFill>
        <a:blip xmlns:r="http://schemas.openxmlformats.org/officeDocument/2006/relationships" r:embed="rId35"/>
        <a:stretch>
          <a:fillRect/>
        </a:stretch>
      </xdr:blipFill>
      <xdr:spPr>
        <a:xfrm>
          <a:off x="0" y="43472101"/>
          <a:ext cx="3761483" cy="1181100"/>
        </a:xfrm>
        <a:prstGeom prst="rect">
          <a:avLst/>
        </a:prstGeom>
      </xdr:spPr>
    </xdr:pic>
    <xdr:clientData/>
  </xdr:twoCellAnchor>
  <xdr:twoCellAnchor editAs="oneCell">
    <xdr:from>
      <xdr:col>1</xdr:col>
      <xdr:colOff>857250</xdr:colOff>
      <xdr:row>224</xdr:row>
      <xdr:rowOff>161926</xdr:rowOff>
    </xdr:from>
    <xdr:to>
      <xdr:col>5</xdr:col>
      <xdr:colOff>641268</xdr:colOff>
      <xdr:row>229</xdr:row>
      <xdr:rowOff>38100</xdr:rowOff>
    </xdr:to>
    <xdr:pic>
      <xdr:nvPicPr>
        <xdr:cNvPr id="22" name="Imagen 21"/>
        <xdr:cNvPicPr>
          <a:picLocks noChangeAspect="1"/>
        </xdr:cNvPicPr>
      </xdr:nvPicPr>
      <xdr:blipFill>
        <a:blip xmlns:r="http://schemas.openxmlformats.org/officeDocument/2006/relationships" r:embed="rId36"/>
        <a:stretch>
          <a:fillRect/>
        </a:stretch>
      </xdr:blipFill>
      <xdr:spPr>
        <a:xfrm>
          <a:off x="4600575" y="44196001"/>
          <a:ext cx="3746418" cy="828674"/>
        </a:xfrm>
        <a:prstGeom prst="rect">
          <a:avLst/>
        </a:prstGeom>
      </xdr:spPr>
    </xdr:pic>
    <xdr:clientData/>
  </xdr:twoCellAnchor>
  <xdr:twoCellAnchor editAs="oneCell">
    <xdr:from>
      <xdr:col>0</xdr:col>
      <xdr:colOff>0</xdr:colOff>
      <xdr:row>249</xdr:row>
      <xdr:rowOff>171450</xdr:rowOff>
    </xdr:from>
    <xdr:to>
      <xdr:col>2</xdr:col>
      <xdr:colOff>240304</xdr:colOff>
      <xdr:row>253</xdr:row>
      <xdr:rowOff>28575</xdr:rowOff>
    </xdr:to>
    <xdr:pic>
      <xdr:nvPicPr>
        <xdr:cNvPr id="28" name="Imagen 27"/>
        <xdr:cNvPicPr>
          <a:picLocks noChangeAspect="1"/>
        </xdr:cNvPicPr>
      </xdr:nvPicPr>
      <xdr:blipFill>
        <a:blip xmlns:r="http://schemas.openxmlformats.org/officeDocument/2006/relationships" r:embed="rId37"/>
        <a:stretch>
          <a:fillRect/>
        </a:stretch>
      </xdr:blipFill>
      <xdr:spPr>
        <a:xfrm>
          <a:off x="0" y="48968025"/>
          <a:ext cx="4974229" cy="619125"/>
        </a:xfrm>
        <a:prstGeom prst="rect">
          <a:avLst/>
        </a:prstGeom>
      </xdr:spPr>
    </xdr:pic>
    <xdr:clientData/>
  </xdr:twoCellAnchor>
  <xdr:twoCellAnchor editAs="oneCell">
    <xdr:from>
      <xdr:col>0</xdr:col>
      <xdr:colOff>1</xdr:colOff>
      <xdr:row>253</xdr:row>
      <xdr:rowOff>0</xdr:rowOff>
    </xdr:from>
    <xdr:to>
      <xdr:col>1</xdr:col>
      <xdr:colOff>962026</xdr:colOff>
      <xdr:row>260</xdr:row>
      <xdr:rowOff>161925</xdr:rowOff>
    </xdr:to>
    <xdr:pic>
      <xdr:nvPicPr>
        <xdr:cNvPr id="31" name="Imagen 30"/>
        <xdr:cNvPicPr>
          <a:picLocks noChangeAspect="1"/>
        </xdr:cNvPicPr>
      </xdr:nvPicPr>
      <xdr:blipFill>
        <a:blip xmlns:r="http://schemas.openxmlformats.org/officeDocument/2006/relationships" r:embed="rId38"/>
        <a:stretch>
          <a:fillRect/>
        </a:stretch>
      </xdr:blipFill>
      <xdr:spPr>
        <a:xfrm>
          <a:off x="1" y="49558575"/>
          <a:ext cx="4705350" cy="1495425"/>
        </a:xfrm>
        <a:prstGeom prst="rect">
          <a:avLst/>
        </a:prstGeom>
      </xdr:spPr>
    </xdr:pic>
    <xdr:clientData/>
  </xdr:twoCellAnchor>
  <xdr:twoCellAnchor editAs="oneCell">
    <xdr:from>
      <xdr:col>0</xdr:col>
      <xdr:colOff>0</xdr:colOff>
      <xdr:row>260</xdr:row>
      <xdr:rowOff>171450</xdr:rowOff>
    </xdr:from>
    <xdr:to>
      <xdr:col>1</xdr:col>
      <xdr:colOff>942975</xdr:colOff>
      <xdr:row>262</xdr:row>
      <xdr:rowOff>179142</xdr:rowOff>
    </xdr:to>
    <xdr:pic>
      <xdr:nvPicPr>
        <xdr:cNvPr id="33" name="Imagen 32"/>
        <xdr:cNvPicPr>
          <a:picLocks noChangeAspect="1"/>
        </xdr:cNvPicPr>
      </xdr:nvPicPr>
      <xdr:blipFill>
        <a:blip xmlns:r="http://schemas.openxmlformats.org/officeDocument/2006/relationships" r:embed="rId39"/>
        <a:stretch>
          <a:fillRect/>
        </a:stretch>
      </xdr:blipFill>
      <xdr:spPr>
        <a:xfrm>
          <a:off x="0" y="51063525"/>
          <a:ext cx="4686300" cy="388692"/>
        </a:xfrm>
        <a:prstGeom prst="rect">
          <a:avLst/>
        </a:prstGeom>
      </xdr:spPr>
    </xdr:pic>
    <xdr:clientData/>
  </xdr:twoCellAnchor>
  <xdr:twoCellAnchor editAs="oneCell">
    <xdr:from>
      <xdr:col>0</xdr:col>
      <xdr:colOff>0</xdr:colOff>
      <xdr:row>284</xdr:row>
      <xdr:rowOff>190499</xdr:rowOff>
    </xdr:from>
    <xdr:to>
      <xdr:col>2</xdr:col>
      <xdr:colOff>663509</xdr:colOff>
      <xdr:row>287</xdr:row>
      <xdr:rowOff>66674</xdr:rowOff>
    </xdr:to>
    <xdr:pic>
      <xdr:nvPicPr>
        <xdr:cNvPr id="35" name="Imagen 34"/>
        <xdr:cNvPicPr>
          <a:picLocks noChangeAspect="1"/>
        </xdr:cNvPicPr>
      </xdr:nvPicPr>
      <xdr:blipFill>
        <a:blip xmlns:r="http://schemas.openxmlformats.org/officeDocument/2006/relationships" r:embed="rId40"/>
        <a:stretch>
          <a:fillRect/>
        </a:stretch>
      </xdr:blipFill>
      <xdr:spPr>
        <a:xfrm>
          <a:off x="0" y="55654574"/>
          <a:ext cx="5397434" cy="447675"/>
        </a:xfrm>
        <a:prstGeom prst="rect">
          <a:avLst/>
        </a:prstGeom>
      </xdr:spPr>
    </xdr:pic>
    <xdr:clientData/>
  </xdr:twoCellAnchor>
  <xdr:twoCellAnchor editAs="oneCell">
    <xdr:from>
      <xdr:col>0</xdr:col>
      <xdr:colOff>123826</xdr:colOff>
      <xdr:row>287</xdr:row>
      <xdr:rowOff>45671</xdr:rowOff>
    </xdr:from>
    <xdr:to>
      <xdr:col>1</xdr:col>
      <xdr:colOff>838200</xdr:colOff>
      <xdr:row>297</xdr:row>
      <xdr:rowOff>85849</xdr:rowOff>
    </xdr:to>
    <xdr:pic>
      <xdr:nvPicPr>
        <xdr:cNvPr id="37" name="Imagen 36"/>
        <xdr:cNvPicPr>
          <a:picLocks noChangeAspect="1"/>
        </xdr:cNvPicPr>
      </xdr:nvPicPr>
      <xdr:blipFill>
        <a:blip xmlns:r="http://schemas.openxmlformats.org/officeDocument/2006/relationships" r:embed="rId41"/>
        <a:stretch>
          <a:fillRect/>
        </a:stretch>
      </xdr:blipFill>
      <xdr:spPr>
        <a:xfrm>
          <a:off x="123826" y="56081246"/>
          <a:ext cx="4457699" cy="1945178"/>
        </a:xfrm>
        <a:prstGeom prst="rect">
          <a:avLst/>
        </a:prstGeom>
      </xdr:spPr>
    </xdr:pic>
    <xdr:clientData/>
  </xdr:twoCellAnchor>
  <xdr:twoCellAnchor editAs="oneCell">
    <xdr:from>
      <xdr:col>0</xdr:col>
      <xdr:colOff>0</xdr:colOff>
      <xdr:row>0</xdr:row>
      <xdr:rowOff>1495425</xdr:rowOff>
    </xdr:from>
    <xdr:to>
      <xdr:col>2</xdr:col>
      <xdr:colOff>466725</xdr:colOff>
      <xdr:row>4</xdr:row>
      <xdr:rowOff>64380</xdr:rowOff>
    </xdr:to>
    <xdr:pic>
      <xdr:nvPicPr>
        <xdr:cNvPr id="38" name="Imagen 37"/>
        <xdr:cNvPicPr>
          <a:picLocks noChangeAspect="1"/>
        </xdr:cNvPicPr>
      </xdr:nvPicPr>
      <xdr:blipFill rotWithShape="1">
        <a:blip xmlns:r="http://schemas.openxmlformats.org/officeDocument/2006/relationships" r:embed="rId42"/>
        <a:srcRect l="15073"/>
        <a:stretch/>
      </xdr:blipFill>
      <xdr:spPr>
        <a:xfrm>
          <a:off x="0" y="1495425"/>
          <a:ext cx="5200650" cy="693030"/>
        </a:xfrm>
        <a:prstGeom prst="rect">
          <a:avLst/>
        </a:prstGeom>
      </xdr:spPr>
    </xdr:pic>
    <xdr:clientData/>
  </xdr:twoCellAnchor>
  <xdr:twoCellAnchor editAs="oneCell">
    <xdr:from>
      <xdr:col>1</xdr:col>
      <xdr:colOff>971551</xdr:colOff>
      <xdr:row>229</xdr:row>
      <xdr:rowOff>28575</xdr:rowOff>
    </xdr:from>
    <xdr:to>
      <xdr:col>5</xdr:col>
      <xdr:colOff>427653</xdr:colOff>
      <xdr:row>234</xdr:row>
      <xdr:rowOff>123824</xdr:rowOff>
    </xdr:to>
    <xdr:pic>
      <xdr:nvPicPr>
        <xdr:cNvPr id="4" name="Imagen 3"/>
        <xdr:cNvPicPr>
          <a:picLocks noChangeAspect="1"/>
        </xdr:cNvPicPr>
      </xdr:nvPicPr>
      <xdr:blipFill>
        <a:blip xmlns:r="http://schemas.openxmlformats.org/officeDocument/2006/relationships" r:embed="rId43"/>
        <a:stretch>
          <a:fillRect/>
        </a:stretch>
      </xdr:blipFill>
      <xdr:spPr>
        <a:xfrm>
          <a:off x="4714876" y="45015150"/>
          <a:ext cx="3418502"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1088762</xdr:colOff>
      <xdr:row>3</xdr:row>
      <xdr:rowOff>39158</xdr:rowOff>
    </xdr:from>
    <xdr:to>
      <xdr:col>5</xdr:col>
      <xdr:colOff>1438028</xdr:colOff>
      <xdr:row>5</xdr:row>
      <xdr:rowOff>5291</xdr:rowOff>
    </xdr:to>
    <xdr:sp macro="" textlink="">
      <xdr:nvSpPr>
        <xdr:cNvPr id="3" name="2 Anillo" descr="Ayuda">
          <a:hlinkClick xmlns:r="http://schemas.openxmlformats.org/officeDocument/2006/relationships" r:id="rId1"/>
        </xdr:cNvPr>
        <xdr:cNvSpPr/>
      </xdr:nvSpPr>
      <xdr:spPr>
        <a:xfrm>
          <a:off x="6528595" y="928158"/>
          <a:ext cx="349266" cy="3471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1</xdr:col>
      <xdr:colOff>401108</xdr:colOff>
      <xdr:row>0</xdr:row>
      <xdr:rowOff>28575</xdr:rowOff>
    </xdr:from>
    <xdr:to>
      <xdr:col>1</xdr:col>
      <xdr:colOff>1185334</xdr:colOff>
      <xdr:row>2</xdr:row>
      <xdr:rowOff>222250</xdr:rowOff>
    </xdr:to>
    <xdr:pic>
      <xdr:nvPicPr>
        <xdr:cNvPr id="1033"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608" y="28575"/>
          <a:ext cx="784226" cy="78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984251</xdr:colOff>
      <xdr:row>38</xdr:row>
      <xdr:rowOff>0</xdr:rowOff>
    </xdr:from>
    <xdr:to>
      <xdr:col>5</xdr:col>
      <xdr:colOff>1333517</xdr:colOff>
      <xdr:row>39</xdr:row>
      <xdr:rowOff>19049</xdr:rowOff>
    </xdr:to>
    <xdr:sp macro="" textlink="">
      <xdr:nvSpPr>
        <xdr:cNvPr id="5" name="2 Anillo" descr="Ayuda">
          <a:hlinkClick xmlns:r="http://schemas.openxmlformats.org/officeDocument/2006/relationships" r:id="rId3"/>
        </xdr:cNvPr>
        <xdr:cNvSpPr/>
      </xdr:nvSpPr>
      <xdr:spPr>
        <a:xfrm>
          <a:off x="6424084" y="19441583"/>
          <a:ext cx="349266" cy="3471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231873</xdr:colOff>
      <xdr:row>4</xdr:row>
      <xdr:rowOff>795</xdr:rowOff>
    </xdr:from>
    <xdr:to>
      <xdr:col>14</xdr:col>
      <xdr:colOff>581129</xdr:colOff>
      <xdr:row>4</xdr:row>
      <xdr:rowOff>351103</xdr:rowOff>
    </xdr:to>
    <xdr:sp macro="" textlink="">
      <xdr:nvSpPr>
        <xdr:cNvPr id="3" name="2 Anillo" descr="Ayuda">
          <a:hlinkClick xmlns:r="http://schemas.openxmlformats.org/officeDocument/2006/relationships" r:id="rId1"/>
        </xdr:cNvPr>
        <xdr:cNvSpPr/>
      </xdr:nvSpPr>
      <xdr:spPr>
        <a:xfrm>
          <a:off x="9602092" y="953295"/>
          <a:ext cx="349256" cy="350308"/>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933450</xdr:colOff>
      <xdr:row>0</xdr:row>
      <xdr:rowOff>114300</xdr:rowOff>
    </xdr:from>
    <xdr:to>
      <xdr:col>0</xdr:col>
      <xdr:colOff>1933575</xdr:colOff>
      <xdr:row>2</xdr:row>
      <xdr:rowOff>247650</xdr:rowOff>
    </xdr:to>
    <xdr:pic>
      <xdr:nvPicPr>
        <xdr:cNvPr id="3188" name="Imagen 1" descr="escud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143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66675</xdr:rowOff>
    </xdr:from>
    <xdr:to>
      <xdr:col>1</xdr:col>
      <xdr:colOff>1181100</xdr:colOff>
      <xdr:row>2</xdr:row>
      <xdr:rowOff>285750</xdr:rowOff>
    </xdr:to>
    <xdr:pic>
      <xdr:nvPicPr>
        <xdr:cNvPr id="3189"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66675"/>
          <a:ext cx="876300" cy="814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321468</xdr:colOff>
      <xdr:row>92</xdr:row>
      <xdr:rowOff>440531</xdr:rowOff>
    </xdr:from>
    <xdr:to>
      <xdr:col>14</xdr:col>
      <xdr:colOff>670724</xdr:colOff>
      <xdr:row>94</xdr:row>
      <xdr:rowOff>16933</xdr:rowOff>
    </xdr:to>
    <xdr:sp macro="" textlink="">
      <xdr:nvSpPr>
        <xdr:cNvPr id="6" name="2 Anillo" descr="Ayuda">
          <a:hlinkClick xmlns:r="http://schemas.openxmlformats.org/officeDocument/2006/relationships" r:id="rId3"/>
        </xdr:cNvPr>
        <xdr:cNvSpPr/>
      </xdr:nvSpPr>
      <xdr:spPr>
        <a:xfrm>
          <a:off x="9691687" y="40719375"/>
          <a:ext cx="349256" cy="350308"/>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13</xdr:col>
      <xdr:colOff>159807</xdr:colOff>
      <xdr:row>4</xdr:row>
      <xdr:rowOff>52917</xdr:rowOff>
    </xdr:from>
    <xdr:to>
      <xdr:col>13</xdr:col>
      <xdr:colOff>518598</xdr:colOff>
      <xdr:row>4</xdr:row>
      <xdr:rowOff>412750</xdr:rowOff>
    </xdr:to>
    <xdr:sp macro="" textlink="">
      <xdr:nvSpPr>
        <xdr:cNvPr id="3" name="2 Anillo" descr="Ayuda">
          <a:hlinkClick xmlns:r="http://schemas.openxmlformats.org/officeDocument/2006/relationships" r:id="rId1"/>
        </xdr:cNvPr>
        <xdr:cNvSpPr/>
      </xdr:nvSpPr>
      <xdr:spPr>
        <a:xfrm>
          <a:off x="8795807" y="963084"/>
          <a:ext cx="358791" cy="3598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1</xdr:col>
      <xdr:colOff>209550</xdr:colOff>
      <xdr:row>0</xdr:row>
      <xdr:rowOff>9525</xdr:rowOff>
    </xdr:from>
    <xdr:to>
      <xdr:col>1</xdr:col>
      <xdr:colOff>1114425</xdr:colOff>
      <xdr:row>2</xdr:row>
      <xdr:rowOff>257175</xdr:rowOff>
    </xdr:to>
    <xdr:pic>
      <xdr:nvPicPr>
        <xdr:cNvPr id="4211"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952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179917</xdr:colOff>
      <xdr:row>91</xdr:row>
      <xdr:rowOff>476250</xdr:rowOff>
    </xdr:from>
    <xdr:to>
      <xdr:col>13</xdr:col>
      <xdr:colOff>538708</xdr:colOff>
      <xdr:row>93</xdr:row>
      <xdr:rowOff>10583</xdr:rowOff>
    </xdr:to>
    <xdr:sp macro="" textlink="">
      <xdr:nvSpPr>
        <xdr:cNvPr id="5" name="2 Anillo" descr="Ayuda">
          <a:hlinkClick xmlns:r="http://schemas.openxmlformats.org/officeDocument/2006/relationships" r:id="rId3"/>
        </xdr:cNvPr>
        <xdr:cNvSpPr/>
      </xdr:nvSpPr>
      <xdr:spPr>
        <a:xfrm>
          <a:off x="8815917" y="45021500"/>
          <a:ext cx="358791" cy="3598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209550</xdr:colOff>
      <xdr:row>0</xdr:row>
      <xdr:rowOff>9525</xdr:rowOff>
    </xdr:from>
    <xdr:to>
      <xdr:col>1</xdr:col>
      <xdr:colOff>1114425</xdr:colOff>
      <xdr:row>2</xdr:row>
      <xdr:rowOff>257175</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9525"/>
          <a:ext cx="904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209550</xdr:colOff>
      <xdr:row>0</xdr:row>
      <xdr:rowOff>9525</xdr:rowOff>
    </xdr:from>
    <xdr:to>
      <xdr:col>1</xdr:col>
      <xdr:colOff>1114425</xdr:colOff>
      <xdr:row>2</xdr:row>
      <xdr:rowOff>257175</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952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152400</xdr:rowOff>
    </xdr:from>
    <xdr:to>
      <xdr:col>1</xdr:col>
      <xdr:colOff>819150</xdr:colOff>
      <xdr:row>2</xdr:row>
      <xdr:rowOff>371475</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52400"/>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942975</xdr:colOff>
      <xdr:row>0</xdr:row>
      <xdr:rowOff>0</xdr:rowOff>
    </xdr:from>
    <xdr:to>
      <xdr:col>4</xdr:col>
      <xdr:colOff>1333500</xdr:colOff>
      <xdr:row>5</xdr:row>
      <xdr:rowOff>15002</xdr:rowOff>
    </xdr:to>
    <xdr:pic>
      <xdr:nvPicPr>
        <xdr:cNvPr id="5" name="Imagen 4" descr="http://www.libertadyprogresonline.org/wp-content/uploads/2014/08/estad%C3%ADsticas.jpg"/>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0"/>
          <a:ext cx="1781175" cy="129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6"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28575</xdr:rowOff>
    </xdr:from>
    <xdr:to>
      <xdr:col>1</xdr:col>
      <xdr:colOff>819150</xdr:colOff>
      <xdr:row>2</xdr:row>
      <xdr:rowOff>247650</xdr:rowOff>
    </xdr:to>
    <xdr:pic>
      <xdr:nvPicPr>
        <xdr:cNvPr id="7"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2857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381000</xdr:colOff>
      <xdr:row>0</xdr:row>
      <xdr:rowOff>174069</xdr:rowOff>
    </xdr:from>
    <xdr:to>
      <xdr:col>12</xdr:col>
      <xdr:colOff>590550</xdr:colOff>
      <xdr:row>2</xdr:row>
      <xdr:rowOff>266700</xdr:rowOff>
    </xdr:to>
    <xdr:pic>
      <xdr:nvPicPr>
        <xdr:cNvPr id="4" name="Imagen 3"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0125" y="174069"/>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ln/>
      </a:spPr>
      <a:bodyPr wrap="square" rtlCol="0" anchor="ctr" anchorCtr="0">
        <a:spAutoFit/>
      </a:bodyPr>
      <a:lstStyle>
        <a:defPPr algn="just">
          <a:defRPr sz="1100" baseline="0">
            <a:solidFill>
              <a:schemeClr val="dk1"/>
            </a:solidFill>
            <a:latin typeface="+mn-lt"/>
            <a:ea typeface="+mn-ea"/>
            <a:cs typeface="+mn-cs"/>
          </a:defRPr>
        </a:defPPr>
      </a:lstStyle>
      <a:style>
        <a:lnRef idx="1">
          <a:schemeClr val="accent1"/>
        </a:lnRef>
        <a:fillRef idx="2">
          <a:schemeClr val="accent1"/>
        </a:fillRef>
        <a:effectRef idx="1">
          <a:schemeClr val="accent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6" tint="-0.249977111117893"/>
  </sheetPr>
  <dimension ref="A1:E32"/>
  <sheetViews>
    <sheetView zoomScale="90" zoomScaleNormal="90" workbookViewId="0">
      <pane xSplit="1" ySplit="7" topLeftCell="B8" activePane="bottomRight" state="frozen"/>
      <selection pane="topRight" activeCell="B1" sqref="B1"/>
      <selection pane="bottomLeft" activeCell="A8" sqref="A8"/>
      <selection pane="bottomRight" activeCell="B6" sqref="B6:C6"/>
    </sheetView>
  </sheetViews>
  <sheetFormatPr baseColWidth="10" defaultRowHeight="15.75" x14ac:dyDescent="0.2"/>
  <cols>
    <col min="1" max="1" width="34.88671875" style="3" customWidth="1"/>
    <col min="2" max="2" width="37.6640625" style="3" customWidth="1"/>
    <col min="3" max="3" width="34.33203125" style="3" customWidth="1"/>
    <col min="4" max="5" width="11.5546875" style="3" hidden="1" customWidth="1"/>
    <col min="6" max="7" width="11.5546875" style="3" customWidth="1"/>
    <col min="8" max="16384" width="11.5546875" style="3"/>
  </cols>
  <sheetData>
    <row r="1" spans="1:5" ht="34.5" customHeight="1" x14ac:dyDescent="0.2">
      <c r="A1" s="433" t="s">
        <v>145</v>
      </c>
      <c r="B1" s="434" t="s">
        <v>142</v>
      </c>
      <c r="C1" s="32" t="s">
        <v>71</v>
      </c>
    </row>
    <row r="2" spans="1:5" ht="32.25" customHeight="1" x14ac:dyDescent="0.2">
      <c r="A2" s="433"/>
      <c r="B2" s="434"/>
      <c r="C2" s="32" t="s">
        <v>107</v>
      </c>
    </row>
    <row r="3" spans="1:5" ht="33" customHeight="1" x14ac:dyDescent="0.2">
      <c r="A3" s="433"/>
      <c r="B3" s="434"/>
      <c r="C3" s="32" t="s">
        <v>408</v>
      </c>
    </row>
    <row r="4" spans="1:5" ht="3.75" customHeight="1" x14ac:dyDescent="0.2">
      <c r="A4" s="36"/>
      <c r="B4" s="36"/>
      <c r="C4" s="36"/>
    </row>
    <row r="5" spans="1:5" ht="33.6" customHeight="1" x14ac:dyDescent="0.2">
      <c r="A5" s="435" t="s">
        <v>75</v>
      </c>
      <c r="B5" s="436"/>
      <c r="C5" s="436"/>
    </row>
    <row r="6" spans="1:5" ht="19.899999999999999" customHeight="1" x14ac:dyDescent="0.2">
      <c r="A6" s="69" t="s">
        <v>165</v>
      </c>
      <c r="B6" s="443">
        <v>42443</v>
      </c>
      <c r="C6" s="444"/>
    </row>
    <row r="7" spans="1:5" ht="15" customHeight="1" x14ac:dyDescent="0.2">
      <c r="A7" s="63" t="s">
        <v>409</v>
      </c>
      <c r="B7" s="437" t="s">
        <v>110</v>
      </c>
      <c r="C7" s="438"/>
      <c r="E7" s="3" t="s">
        <v>110</v>
      </c>
    </row>
    <row r="8" spans="1:5" ht="40.9" customHeight="1" x14ac:dyDescent="0.2">
      <c r="A8" s="17" t="str">
        <f>IF(A7="INSTITUCIONAL","MISION",IF(A7="PROCESO","OBJETIVO","Defina el campo de arriba"))</f>
        <v>MISION</v>
      </c>
      <c r="B8" s="441" t="s">
        <v>410</v>
      </c>
      <c r="C8" s="442"/>
    </row>
    <row r="9" spans="1:5" ht="24" customHeight="1" x14ac:dyDescent="0.2">
      <c r="A9" s="439" t="s">
        <v>24</v>
      </c>
      <c r="B9" s="359" t="s">
        <v>411</v>
      </c>
      <c r="C9" s="360" t="s">
        <v>412</v>
      </c>
    </row>
    <row r="10" spans="1:5" ht="75.75" customHeight="1" x14ac:dyDescent="0.2">
      <c r="A10" s="439"/>
      <c r="B10" s="361" t="s">
        <v>413</v>
      </c>
      <c r="C10" s="362" t="s">
        <v>414</v>
      </c>
    </row>
    <row r="11" spans="1:5" ht="94.5" customHeight="1" x14ac:dyDescent="0.2">
      <c r="A11" s="439"/>
      <c r="B11" s="361" t="s">
        <v>415</v>
      </c>
      <c r="C11" s="362" t="s">
        <v>416</v>
      </c>
    </row>
    <row r="12" spans="1:5" ht="24" customHeight="1" x14ac:dyDescent="0.2">
      <c r="A12" s="439"/>
      <c r="B12" s="22"/>
      <c r="C12" s="23"/>
    </row>
    <row r="13" spans="1:5" ht="24" customHeight="1" thickBot="1" x14ac:dyDescent="0.25">
      <c r="A13" s="440"/>
      <c r="B13" s="24"/>
      <c r="C13" s="25"/>
    </row>
    <row r="14" spans="1:5" x14ac:dyDescent="0.2">
      <c r="A14" s="431" t="s">
        <v>130</v>
      </c>
      <c r="B14" s="432"/>
      <c r="C14" s="432"/>
    </row>
    <row r="15" spans="1:5" x14ac:dyDescent="0.2">
      <c r="A15" s="423" t="s">
        <v>229</v>
      </c>
      <c r="B15" s="424"/>
      <c r="C15" s="425"/>
    </row>
    <row r="16" spans="1:5" ht="21.75" customHeight="1" x14ac:dyDescent="0.2">
      <c r="A16" s="426" t="str">
        <f>VLOOKUP($B$7,Datos!AA2:AC22,3)</f>
        <v>Procesos / Control y Evaluación / Gestión y Rendición de Cuentas / Normatividad</v>
      </c>
      <c r="B16" s="427"/>
      <c r="C16" s="428"/>
    </row>
    <row r="17" spans="1:4" x14ac:dyDescent="0.2">
      <c r="A17" s="194"/>
      <c r="B17" s="195" t="s">
        <v>407</v>
      </c>
      <c r="C17" s="196"/>
      <c r="D17" s="190" t="s">
        <v>205</v>
      </c>
    </row>
    <row r="18" spans="1:4" x14ac:dyDescent="0.2">
      <c r="A18" s="4" t="s">
        <v>136</v>
      </c>
      <c r="B18" s="445" t="s">
        <v>315</v>
      </c>
      <c r="C18" s="446"/>
      <c r="D18" s="190" t="s">
        <v>228</v>
      </c>
    </row>
    <row r="19" spans="1:4" ht="39" customHeight="1" x14ac:dyDescent="0.2">
      <c r="A19" s="70" t="s">
        <v>319</v>
      </c>
      <c r="B19" s="447" t="s">
        <v>417</v>
      </c>
      <c r="C19" s="448"/>
      <c r="D19" s="190" t="str">
        <f>IF(B19="",CONCATENATE(D18,D17,""),CONCATENATE(D18,D17,"* Financieros: ",B19,D17))</f>
        <v xml:space="preserve">Dadas por Factores Internos:
* Financieros: Falta de gestión de recursos para actividades de investigación.
Disponibilidad presupuestal no coherente con las actividades misionales
</v>
      </c>
    </row>
    <row r="20" spans="1:4" ht="39.75" customHeight="1" x14ac:dyDescent="0.2">
      <c r="A20" s="70" t="s">
        <v>131</v>
      </c>
      <c r="B20" s="447" t="s">
        <v>418</v>
      </c>
      <c r="C20" s="448"/>
      <c r="D20" s="190" t="str">
        <f>IF(B20="",CONCATENATE(D19,""),CONCATENATE(D19,"* Personal: ",B20,$D$17))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v>
      </c>
    </row>
    <row r="21" spans="1:4" ht="39.75" customHeight="1" x14ac:dyDescent="0.2">
      <c r="A21" s="70" t="s">
        <v>132</v>
      </c>
      <c r="B21" s="447" t="s">
        <v>419</v>
      </c>
      <c r="C21" s="448"/>
      <c r="D21" s="190" t="str">
        <f>IF(B21="",CONCATENATE(D20,""),CONCATENATE(D20,"* Procesos: ",B21,$D$17))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v>
      </c>
    </row>
    <row r="22" spans="1:4" ht="39.75" customHeight="1" x14ac:dyDescent="0.2">
      <c r="A22" s="70" t="s">
        <v>133</v>
      </c>
      <c r="B22" s="447" t="s">
        <v>420</v>
      </c>
      <c r="C22" s="448"/>
      <c r="D22" s="190" t="str">
        <f>IF(B22="",CONCATENATE(D21,""),CONCATENATE(D21,"* Tecnología: ",B22,$D$17))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v>
      </c>
    </row>
    <row r="23" spans="1:4" ht="39.75" customHeight="1" x14ac:dyDescent="0.2">
      <c r="A23" s="70" t="s">
        <v>320</v>
      </c>
      <c r="B23" s="429" t="s">
        <v>421</v>
      </c>
      <c r="C23" s="430"/>
      <c r="D23" s="190" t="str">
        <f>IF(B23="",CONCATENATE(D22,""),CONCATENATE(D22,"* Comunicación Interna: ",B23,$D$17))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v>
      </c>
    </row>
    <row r="24" spans="1:4" ht="39.75" customHeight="1" x14ac:dyDescent="0.2">
      <c r="A24" s="70" t="s">
        <v>134</v>
      </c>
      <c r="B24" s="447" t="s">
        <v>422</v>
      </c>
      <c r="C24" s="448"/>
      <c r="D24" s="190" t="str">
        <f>IF(B24="",CONCATENATE(D23,""),CONCATENATE(D23,"* Otros? Cuales: ",B24,$D$17))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v>
      </c>
    </row>
    <row r="25" spans="1:4" x14ac:dyDescent="0.2">
      <c r="A25" s="4" t="s">
        <v>135</v>
      </c>
      <c r="B25" s="445" t="s">
        <v>316</v>
      </c>
      <c r="C25" s="446"/>
      <c r="D25" s="190" t="str">
        <f>CONCATENATE(D24,$D$17,"Dadas por Factores Externos:",$D$17)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v>
      </c>
    </row>
    <row r="26" spans="1:4" ht="39.75" customHeight="1" x14ac:dyDescent="0.2">
      <c r="A26" s="70" t="s">
        <v>137</v>
      </c>
      <c r="B26" s="447" t="s">
        <v>423</v>
      </c>
      <c r="C26" s="448"/>
      <c r="D26" s="190" t="str">
        <f>IF(B26="",CONCATENATE(D25,""),CONCATENATE(D25,"* Económicos: ",B26,$D$17))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v>
      </c>
    </row>
    <row r="27" spans="1:4" ht="39.75" customHeight="1" x14ac:dyDescent="0.2">
      <c r="A27" s="70" t="s">
        <v>138</v>
      </c>
      <c r="B27" s="447" t="s">
        <v>424</v>
      </c>
      <c r="C27" s="448"/>
      <c r="D27" s="190" t="str">
        <f>IF(B27="",CONCATENATE(D26,""),CONCATENATE(D26,"* Medio Ambientales: ",B27,$D$17))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v>
      </c>
    </row>
    <row r="28" spans="1:4" ht="39.75" customHeight="1" x14ac:dyDescent="0.2">
      <c r="A28" s="70" t="s">
        <v>139</v>
      </c>
      <c r="B28" s="447" t="s">
        <v>425</v>
      </c>
      <c r="C28" s="448"/>
      <c r="D28" s="190" t="str">
        <f>IF(B28="",CONCATENATE(D27,""),CONCATENATE(D27,"* Políticos: ",B28,$D$17))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v>
      </c>
    </row>
    <row r="29" spans="1:4" ht="39.75" customHeight="1" x14ac:dyDescent="0.2">
      <c r="A29" s="70" t="s">
        <v>140</v>
      </c>
      <c r="B29" s="447" t="s">
        <v>426</v>
      </c>
      <c r="C29" s="448"/>
      <c r="D29" s="190" t="str">
        <f>IF(B29="",CONCATENATE(D28,""),CONCATENATE(D28,"* Sociales: ",B29,$D$17))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v>
      </c>
    </row>
    <row r="30" spans="1:4" ht="39.75" customHeight="1" x14ac:dyDescent="0.2">
      <c r="A30" s="70" t="s">
        <v>141</v>
      </c>
      <c r="B30" s="429" t="s">
        <v>427</v>
      </c>
      <c r="C30" s="430"/>
      <c r="D30" s="190" t="str">
        <f>IF(B30="",CONCATENATE(D29,""),CONCATENATE(D29,"* Tecnológicos: ",B30,$D$17))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v>
      </c>
    </row>
    <row r="31" spans="1:4" ht="39.75" customHeight="1" x14ac:dyDescent="0.2">
      <c r="A31" s="54" t="s">
        <v>318</v>
      </c>
      <c r="B31" s="429" t="s">
        <v>428</v>
      </c>
      <c r="C31" s="430"/>
      <c r="D31" s="190" t="str">
        <f>IF(B31="",CONCATENATE(D30,""),CONCATENATE(D30,"* Comunicación Externa: ",B31,$D$17))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row>
    <row r="32" spans="1:4" ht="39.75" customHeight="1" x14ac:dyDescent="0.2">
      <c r="A32" s="70" t="s">
        <v>134</v>
      </c>
      <c r="B32" s="429"/>
      <c r="C32" s="430"/>
      <c r="D32" s="190" t="str">
        <f>IF(B32="",CONCATENATE(D31,""),CONCATENATE(D31,"* Otros? Cuales: ",B32,$D$17))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row>
  </sheetData>
  <sheetProtection algorithmName="SHA-512" hashValue="VPs2UJytBJFp8vX/XEV2WHhV3C+9cy2NwVIMkven5t+iRIdGA2P5BlzPw0PF17c9cRoo+UcLlUfpsUsMp3V8fg==" saltValue="1LzQDcHPhu+L/xgP3GAaJw==" spinCount="100000" sheet="1" objects="1" scenarios="1" formatCells="0" formatRows="0" insertRows="0" selectLockedCells="1"/>
  <dataConsolidate>
    <dataRefs count="1">
      <dataRef ref="G2:G3" sheet="Datos"/>
    </dataRefs>
  </dataConsolidate>
  <mergeCells count="25">
    <mergeCell ref="B32:C32"/>
    <mergeCell ref="B18:C18"/>
    <mergeCell ref="B19:C19"/>
    <mergeCell ref="B20:C20"/>
    <mergeCell ref="B21:C21"/>
    <mergeCell ref="B22:C22"/>
    <mergeCell ref="B24:C24"/>
    <mergeCell ref="B25:C25"/>
    <mergeCell ref="B26:C26"/>
    <mergeCell ref="B27:C27"/>
    <mergeCell ref="B28:C28"/>
    <mergeCell ref="B29:C29"/>
    <mergeCell ref="B31:C31"/>
    <mergeCell ref="B23:C23"/>
    <mergeCell ref="A15:C15"/>
    <mergeCell ref="A16:C16"/>
    <mergeCell ref="B30:C30"/>
    <mergeCell ref="A14:C14"/>
    <mergeCell ref="A1:A3"/>
    <mergeCell ref="B1:B3"/>
    <mergeCell ref="A5:C5"/>
    <mergeCell ref="B7:C7"/>
    <mergeCell ref="A9:A13"/>
    <mergeCell ref="B8:C8"/>
    <mergeCell ref="B6:C6"/>
  </mergeCells>
  <phoneticPr fontId="5" type="noConversion"/>
  <conditionalFormatting sqref="A7:A8">
    <cfRule type="cellIs" dxfId="536" priority="5" operator="equal">
      <formula>"Seleccione la clase de Mapa"</formula>
    </cfRule>
  </conditionalFormatting>
  <conditionalFormatting sqref="B7:C7">
    <cfRule type="cellIs" dxfId="535" priority="3" operator="equal">
      <formula>$A7="PROCESO"</formula>
    </cfRule>
  </conditionalFormatting>
  <conditionalFormatting sqref="B6:C6">
    <cfRule type="cellIs" dxfId="534" priority="2" operator="equal">
      <formula>$A6="PROCESO"</formula>
    </cfRule>
  </conditionalFormatting>
  <conditionalFormatting sqref="A8">
    <cfRule type="cellIs" dxfId="533" priority="1" operator="equal">
      <formula>"Defina el campo de arriba"</formula>
    </cfRule>
  </conditionalFormatting>
  <dataValidations count="2">
    <dataValidation type="list" allowBlank="1" showInputMessage="1" showErrorMessage="1" sqref="A7">
      <formula1>"Seleccione la clase de Mapa, PROCESO, INSTITUCIONAL"</formula1>
    </dataValidation>
    <dataValidation type="list" allowBlank="1" showInputMessage="1" showErrorMessage="1" promptTitle="PROCESO" prompt="Seleccione de la Lista Desplegable el Proceso" sqref="B7:C7">
      <formula1>IF(A7="PROCESO",mproc,IF(A7="INSTITUCIONAL",inst,""))</formula1>
    </dataValidation>
  </dataValidations>
  <pageMargins left="0.75" right="0.75" top="1" bottom="1"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6" r:id="rId4" name="Check Box 28">
              <controlPr locked="0" defaultSize="0" autoFill="0" autoLine="0" autoPict="0" altText="">
                <anchor moveWithCells="1">
                  <from>
                    <xdr:col>0</xdr:col>
                    <xdr:colOff>95250</xdr:colOff>
                    <xdr:row>18</xdr:row>
                    <xdr:rowOff>76200</xdr:rowOff>
                  </from>
                  <to>
                    <xdr:col>0</xdr:col>
                    <xdr:colOff>504825</xdr:colOff>
                    <xdr:row>19</xdr:row>
                    <xdr:rowOff>0</xdr:rowOff>
                  </to>
                </anchor>
              </controlPr>
            </control>
          </mc:Choice>
        </mc:AlternateContent>
        <mc:AlternateContent xmlns:mc="http://schemas.openxmlformats.org/markup-compatibility/2006">
          <mc:Choice Requires="x14">
            <control shapeId="2081" r:id="rId5" name="Check Box 33">
              <controlPr locked="0" defaultSize="0" autoFill="0" autoLine="0" autoPict="0" altText="">
                <anchor moveWithCells="1">
                  <from>
                    <xdr:col>0</xdr:col>
                    <xdr:colOff>95250</xdr:colOff>
                    <xdr:row>19</xdr:row>
                    <xdr:rowOff>76200</xdr:rowOff>
                  </from>
                  <to>
                    <xdr:col>0</xdr:col>
                    <xdr:colOff>504825</xdr:colOff>
                    <xdr:row>19</xdr:row>
                    <xdr:rowOff>466725</xdr:rowOff>
                  </to>
                </anchor>
              </controlPr>
            </control>
          </mc:Choice>
        </mc:AlternateContent>
        <mc:AlternateContent xmlns:mc="http://schemas.openxmlformats.org/markup-compatibility/2006">
          <mc:Choice Requires="x14">
            <control shapeId="2082" r:id="rId6" name="Check Box 34">
              <controlPr locked="0" defaultSize="0" autoFill="0" autoLine="0" autoPict="0" altText="">
                <anchor moveWithCells="1">
                  <from>
                    <xdr:col>0</xdr:col>
                    <xdr:colOff>95250</xdr:colOff>
                    <xdr:row>20</xdr:row>
                    <xdr:rowOff>76200</xdr:rowOff>
                  </from>
                  <to>
                    <xdr:col>0</xdr:col>
                    <xdr:colOff>504825</xdr:colOff>
                    <xdr:row>20</xdr:row>
                    <xdr:rowOff>466725</xdr:rowOff>
                  </to>
                </anchor>
              </controlPr>
            </control>
          </mc:Choice>
        </mc:AlternateContent>
        <mc:AlternateContent xmlns:mc="http://schemas.openxmlformats.org/markup-compatibility/2006">
          <mc:Choice Requires="x14">
            <control shapeId="2083" r:id="rId7" name="Check Box 35">
              <controlPr locked="0" defaultSize="0" autoFill="0" autoLine="0" autoPict="0" altText="">
                <anchor moveWithCells="1">
                  <from>
                    <xdr:col>0</xdr:col>
                    <xdr:colOff>95250</xdr:colOff>
                    <xdr:row>21</xdr:row>
                    <xdr:rowOff>76200</xdr:rowOff>
                  </from>
                  <to>
                    <xdr:col>0</xdr:col>
                    <xdr:colOff>504825</xdr:colOff>
                    <xdr:row>21</xdr:row>
                    <xdr:rowOff>466725</xdr:rowOff>
                  </to>
                </anchor>
              </controlPr>
            </control>
          </mc:Choice>
        </mc:AlternateContent>
        <mc:AlternateContent xmlns:mc="http://schemas.openxmlformats.org/markup-compatibility/2006">
          <mc:Choice Requires="x14">
            <control shapeId="2084" r:id="rId8" name="Check Box 36">
              <controlPr locked="0" defaultSize="0" autoFill="0" autoLine="0" autoPict="0" altText="">
                <anchor moveWithCells="1">
                  <from>
                    <xdr:col>0</xdr:col>
                    <xdr:colOff>95250</xdr:colOff>
                    <xdr:row>23</xdr:row>
                    <xdr:rowOff>76200</xdr:rowOff>
                  </from>
                  <to>
                    <xdr:col>0</xdr:col>
                    <xdr:colOff>504825</xdr:colOff>
                    <xdr:row>23</xdr:row>
                    <xdr:rowOff>466725</xdr:rowOff>
                  </to>
                </anchor>
              </controlPr>
            </control>
          </mc:Choice>
        </mc:AlternateContent>
        <mc:AlternateContent xmlns:mc="http://schemas.openxmlformats.org/markup-compatibility/2006">
          <mc:Choice Requires="x14">
            <control shapeId="2087" r:id="rId9" name="Check Box 39">
              <controlPr locked="0" defaultSize="0" autoFill="0" autoLine="0" autoPict="0" altText="">
                <anchor moveWithCells="1">
                  <from>
                    <xdr:col>0</xdr:col>
                    <xdr:colOff>95250</xdr:colOff>
                    <xdr:row>25</xdr:row>
                    <xdr:rowOff>76200</xdr:rowOff>
                  </from>
                  <to>
                    <xdr:col>0</xdr:col>
                    <xdr:colOff>504825</xdr:colOff>
                    <xdr:row>26</xdr:row>
                    <xdr:rowOff>0</xdr:rowOff>
                  </to>
                </anchor>
              </controlPr>
            </control>
          </mc:Choice>
        </mc:AlternateContent>
        <mc:AlternateContent xmlns:mc="http://schemas.openxmlformats.org/markup-compatibility/2006">
          <mc:Choice Requires="x14">
            <control shapeId="2088" r:id="rId10" name="Check Box 40">
              <controlPr locked="0" defaultSize="0" autoFill="0" autoLine="0" autoPict="0" altText="">
                <anchor moveWithCells="1">
                  <from>
                    <xdr:col>0</xdr:col>
                    <xdr:colOff>95250</xdr:colOff>
                    <xdr:row>26</xdr:row>
                    <xdr:rowOff>76200</xdr:rowOff>
                  </from>
                  <to>
                    <xdr:col>0</xdr:col>
                    <xdr:colOff>504825</xdr:colOff>
                    <xdr:row>26</xdr:row>
                    <xdr:rowOff>466725</xdr:rowOff>
                  </to>
                </anchor>
              </controlPr>
            </control>
          </mc:Choice>
        </mc:AlternateContent>
        <mc:AlternateContent xmlns:mc="http://schemas.openxmlformats.org/markup-compatibility/2006">
          <mc:Choice Requires="x14">
            <control shapeId="2089" r:id="rId11" name="Check Box 41">
              <controlPr locked="0" defaultSize="0" autoFill="0" autoLine="0" autoPict="0" altText="">
                <anchor moveWithCells="1">
                  <from>
                    <xdr:col>0</xdr:col>
                    <xdr:colOff>95250</xdr:colOff>
                    <xdr:row>27</xdr:row>
                    <xdr:rowOff>76200</xdr:rowOff>
                  </from>
                  <to>
                    <xdr:col>0</xdr:col>
                    <xdr:colOff>504825</xdr:colOff>
                    <xdr:row>27</xdr:row>
                    <xdr:rowOff>466725</xdr:rowOff>
                  </to>
                </anchor>
              </controlPr>
            </control>
          </mc:Choice>
        </mc:AlternateContent>
        <mc:AlternateContent xmlns:mc="http://schemas.openxmlformats.org/markup-compatibility/2006">
          <mc:Choice Requires="x14">
            <control shapeId="2090" r:id="rId12" name="Check Box 42">
              <controlPr locked="0" defaultSize="0" autoFill="0" autoLine="0" autoPict="0" altText="">
                <anchor moveWithCells="1">
                  <from>
                    <xdr:col>0</xdr:col>
                    <xdr:colOff>95250</xdr:colOff>
                    <xdr:row>28</xdr:row>
                    <xdr:rowOff>76200</xdr:rowOff>
                  </from>
                  <to>
                    <xdr:col>0</xdr:col>
                    <xdr:colOff>504825</xdr:colOff>
                    <xdr:row>28</xdr:row>
                    <xdr:rowOff>466725</xdr:rowOff>
                  </to>
                </anchor>
              </controlPr>
            </control>
          </mc:Choice>
        </mc:AlternateContent>
        <mc:AlternateContent xmlns:mc="http://schemas.openxmlformats.org/markup-compatibility/2006">
          <mc:Choice Requires="x14">
            <control shapeId="2091" r:id="rId13" name="Check Box 43">
              <controlPr locked="0" defaultSize="0" autoFill="0" autoLine="0" autoPict="0" altText="">
                <anchor moveWithCells="1">
                  <from>
                    <xdr:col>0</xdr:col>
                    <xdr:colOff>95250</xdr:colOff>
                    <xdr:row>29</xdr:row>
                    <xdr:rowOff>76200</xdr:rowOff>
                  </from>
                  <to>
                    <xdr:col>0</xdr:col>
                    <xdr:colOff>504825</xdr:colOff>
                    <xdr:row>29</xdr:row>
                    <xdr:rowOff>466725</xdr:rowOff>
                  </to>
                </anchor>
              </controlPr>
            </control>
          </mc:Choice>
        </mc:AlternateContent>
        <mc:AlternateContent xmlns:mc="http://schemas.openxmlformats.org/markup-compatibility/2006">
          <mc:Choice Requires="x14">
            <control shapeId="2092" r:id="rId14" name="Check Box 44">
              <controlPr locked="0" defaultSize="0" autoFill="0" autoLine="0" autoPict="0" altText="">
                <anchor moveWithCells="1">
                  <from>
                    <xdr:col>0</xdr:col>
                    <xdr:colOff>95250</xdr:colOff>
                    <xdr:row>31</xdr:row>
                    <xdr:rowOff>76200</xdr:rowOff>
                  </from>
                  <to>
                    <xdr:col>0</xdr:col>
                    <xdr:colOff>504825</xdr:colOff>
                    <xdr:row>31</xdr:row>
                    <xdr:rowOff>466725</xdr:rowOff>
                  </to>
                </anchor>
              </controlPr>
            </control>
          </mc:Choice>
        </mc:AlternateContent>
        <mc:AlternateContent xmlns:mc="http://schemas.openxmlformats.org/markup-compatibility/2006">
          <mc:Choice Requires="x14">
            <control shapeId="2107" r:id="rId15" name="Check Box 59">
              <controlPr locked="0" defaultSize="0" autoFill="0" autoLine="0" autoPict="0" altText="">
                <anchor moveWithCells="1">
                  <from>
                    <xdr:col>0</xdr:col>
                    <xdr:colOff>95250</xdr:colOff>
                    <xdr:row>30</xdr:row>
                    <xdr:rowOff>76200</xdr:rowOff>
                  </from>
                  <to>
                    <xdr:col>0</xdr:col>
                    <xdr:colOff>504825</xdr:colOff>
                    <xdr:row>30</xdr:row>
                    <xdr:rowOff>466725</xdr:rowOff>
                  </to>
                </anchor>
              </controlPr>
            </control>
          </mc:Choice>
        </mc:AlternateContent>
        <mc:AlternateContent xmlns:mc="http://schemas.openxmlformats.org/markup-compatibility/2006">
          <mc:Choice Requires="x14">
            <control shapeId="2109" r:id="rId16" name="Check Box 61">
              <controlPr locked="0" defaultSize="0" autoFill="0" autoLine="0" autoPict="0" altText="">
                <anchor moveWithCells="1">
                  <from>
                    <xdr:col>0</xdr:col>
                    <xdr:colOff>95250</xdr:colOff>
                    <xdr:row>22</xdr:row>
                    <xdr:rowOff>76200</xdr:rowOff>
                  </from>
                  <to>
                    <xdr:col>0</xdr:col>
                    <xdr:colOff>504825</xdr:colOff>
                    <xdr:row>22</xdr:row>
                    <xdr:rowOff>466725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7030A0"/>
  </sheetPr>
  <dimension ref="A1:O92"/>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G9" sqref="G9"/>
    </sheetView>
  </sheetViews>
  <sheetFormatPr baseColWidth="10" defaultRowHeight="15" x14ac:dyDescent="0.2"/>
  <cols>
    <col min="1" max="1" width="3.88671875" customWidth="1"/>
    <col min="2" max="2" width="14.44140625" customWidth="1"/>
    <col min="3" max="3" width="17.21875" customWidth="1"/>
    <col min="4" max="4" width="11.5546875" customWidth="1"/>
    <col min="5" max="6" width="8.109375" customWidth="1"/>
    <col min="7" max="12" width="6.5546875" style="96" customWidth="1"/>
    <col min="13" max="13" width="12" customWidth="1"/>
    <col min="14" max="14" width="16.5546875" customWidth="1"/>
    <col min="15" max="15" width="11.33203125" customWidth="1"/>
  </cols>
  <sheetData>
    <row r="1" spans="1:15" x14ac:dyDescent="0.2">
      <c r="A1" s="433" t="s">
        <v>145</v>
      </c>
      <c r="B1" s="433"/>
      <c r="C1" s="516" t="s">
        <v>152</v>
      </c>
      <c r="D1" s="516"/>
      <c r="E1" s="516"/>
      <c r="F1" s="516"/>
      <c r="G1" s="516"/>
      <c r="H1" s="516"/>
      <c r="I1" s="516"/>
      <c r="J1" s="516"/>
      <c r="K1" s="516"/>
      <c r="L1" s="516"/>
      <c r="M1" s="516"/>
      <c r="N1" s="510" t="s">
        <v>71</v>
      </c>
      <c r="O1" s="510"/>
    </row>
    <row r="2" spans="1:15" ht="21.75" customHeight="1" x14ac:dyDescent="0.2">
      <c r="A2" s="433"/>
      <c r="B2" s="433"/>
      <c r="C2" s="519"/>
      <c r="D2" s="519"/>
      <c r="E2" s="519"/>
      <c r="F2" s="519"/>
      <c r="G2" s="519"/>
      <c r="H2" s="519"/>
      <c r="I2" s="519"/>
      <c r="J2" s="519"/>
      <c r="K2" s="519"/>
      <c r="L2" s="519"/>
      <c r="M2" s="519"/>
      <c r="N2" s="510" t="s">
        <v>107</v>
      </c>
      <c r="O2" s="510"/>
    </row>
    <row r="3" spans="1:15" ht="23.25" customHeight="1" x14ac:dyDescent="0.2">
      <c r="A3" s="433"/>
      <c r="B3" s="433"/>
      <c r="C3" s="522"/>
      <c r="D3" s="522"/>
      <c r="E3" s="522"/>
      <c r="F3" s="522"/>
      <c r="G3" s="522"/>
      <c r="H3" s="522"/>
      <c r="I3" s="522"/>
      <c r="J3" s="522"/>
      <c r="K3" s="522"/>
      <c r="L3" s="522"/>
      <c r="M3" s="522"/>
      <c r="N3" s="510" t="s">
        <v>408</v>
      </c>
      <c r="O3" s="510"/>
    </row>
    <row r="4" spans="1:15" ht="3.75" customHeight="1" x14ac:dyDescent="0.2">
      <c r="A4" s="33"/>
      <c r="B4" s="34"/>
      <c r="C4" s="35"/>
      <c r="D4" s="35"/>
      <c r="E4" s="35"/>
      <c r="F4" s="35"/>
      <c r="G4" s="35"/>
      <c r="H4" s="35"/>
      <c r="I4" s="35"/>
      <c r="J4" s="35"/>
      <c r="K4" s="35"/>
      <c r="L4" s="38"/>
      <c r="M4" s="38"/>
      <c r="N4" s="49"/>
      <c r="O4" s="49"/>
    </row>
    <row r="5" spans="1:15" ht="15.75" x14ac:dyDescent="0.2">
      <c r="A5" s="435" t="s">
        <v>184</v>
      </c>
      <c r="B5" s="435"/>
      <c r="C5" s="435"/>
      <c r="D5" s="435"/>
      <c r="E5" s="435"/>
      <c r="F5" s="435"/>
      <c r="G5" s="435"/>
      <c r="H5" s="435"/>
      <c r="I5" s="435"/>
      <c r="J5" s="435"/>
      <c r="K5" s="435"/>
      <c r="L5" s="514"/>
      <c r="M5" s="514"/>
      <c r="N5" s="514"/>
      <c r="O5" s="514"/>
    </row>
    <row r="6" spans="1:15" ht="15.75" customHeight="1" x14ac:dyDescent="0.2">
      <c r="A6" s="489" t="str">
        <f>'CONTEXTO ESTRATEGICO'!A7</f>
        <v>INSTITUCIONAL</v>
      </c>
      <c r="B6" s="489"/>
      <c r="C6" s="490" t="str">
        <f>'SEGUIMIENTO Y MONITOREO'!C6</f>
        <v>Mapa de Riesgo Institucional</v>
      </c>
      <c r="D6" s="491"/>
      <c r="E6" s="491"/>
      <c r="F6" s="491"/>
      <c r="G6" s="491"/>
      <c r="H6" s="491"/>
      <c r="I6" s="491"/>
      <c r="J6" s="491"/>
      <c r="K6" s="491"/>
      <c r="L6" s="144"/>
      <c r="M6" s="603" t="str">
        <f>'SEGUIMIENTO Y MONITOREO'!E6</f>
        <v>Fecha de Actualización (AAAA/MM/DD)</v>
      </c>
      <c r="N6" s="604"/>
      <c r="O6" s="149">
        <f>'SEGUIMIENTO Y MONITOREO'!H6</f>
        <v>42443</v>
      </c>
    </row>
    <row r="7" spans="1:15" ht="25.5" customHeight="1" x14ac:dyDescent="0.2">
      <c r="A7" s="489" t="str">
        <f>'CONTEXTO ESTRATEGICO'!A8</f>
        <v>MISION</v>
      </c>
      <c r="B7" s="489"/>
      <c r="C7" s="490" t="str">
        <f>'SEGUIMIENTO Y MONITOREO'!C7</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2"/>
      <c r="G7" s="636" t="s">
        <v>366</v>
      </c>
      <c r="H7" s="637"/>
      <c r="I7" s="637"/>
      <c r="J7" s="637"/>
      <c r="K7" s="637"/>
      <c r="L7" s="637"/>
      <c r="M7" s="638"/>
      <c r="N7" s="129" t="s">
        <v>185</v>
      </c>
      <c r="O7" s="130">
        <f>'SEGUIMIENTO Y MONITOREO'!$AX$7</f>
        <v>42735</v>
      </c>
    </row>
    <row r="8" spans="1:15" ht="38.25" x14ac:dyDescent="0.2">
      <c r="A8" s="73" t="s">
        <v>22</v>
      </c>
      <c r="B8" s="73" t="s">
        <v>28</v>
      </c>
      <c r="C8" s="80" t="s">
        <v>153</v>
      </c>
      <c r="D8" s="75" t="s">
        <v>159</v>
      </c>
      <c r="E8" s="75" t="s">
        <v>155</v>
      </c>
      <c r="F8" s="75" t="s">
        <v>156</v>
      </c>
      <c r="G8" s="633" t="s">
        <v>195</v>
      </c>
      <c r="H8" s="633"/>
      <c r="I8" s="633" t="s">
        <v>196</v>
      </c>
      <c r="J8" s="633"/>
      <c r="K8" s="633" t="s">
        <v>197</v>
      </c>
      <c r="L8" s="633"/>
      <c r="M8" s="146" t="s">
        <v>369</v>
      </c>
      <c r="N8" s="634" t="s">
        <v>200</v>
      </c>
      <c r="O8" s="635"/>
    </row>
    <row r="9" spans="1:15" ht="28.5" customHeight="1" x14ac:dyDescent="0.2">
      <c r="A9" s="623" t="str">
        <f>'SEGUIMIENTO Y MONITOREO'!A9:A11</f>
        <v>1G</v>
      </c>
      <c r="B9" s="578" t="str">
        <f>'SEGUIMIENTO Y MONITOREO'!B9:B11</f>
        <v>Relaciones Interinstitucionales. Concentrar labores múltiples en poco personal</v>
      </c>
      <c r="C9" s="82" t="str">
        <f>'SEGUIMIENTO Y MONITOREO'!D9</f>
        <v>Trabajo conjunto con Rectoría para contratación de personal</v>
      </c>
      <c r="D9" s="82" t="str">
        <f>'SEGUIMIENTO Y MONITOREO'!E9</f>
        <v>Comunicación Interna/correo Electronico</v>
      </c>
      <c r="E9" s="128">
        <f>'SEGUIMIENTO Y MONITOREO'!G9</f>
        <v>42491</v>
      </c>
      <c r="F9" s="128">
        <f>'SEGUIMIENTO Y MONITOREO'!H9</f>
        <v>42735</v>
      </c>
      <c r="G9" s="145" t="str">
        <f>IF('SEGUIMIENTO Y MONITOREO'!J9="NA","NA",'SEGUIMIENTO Y MONITOREO'!N9)</f>
        <v>NA</v>
      </c>
      <c r="H9" s="624" t="str">
        <f>'SEGUIMIENTO Y MONITOREO'!AR9</f>
        <v>NA</v>
      </c>
      <c r="I9" s="314">
        <f>IF('SEGUIMIENTO Y MONITOREO'!T9="NA","NA",'SEGUIMIENTO Y MONITOREO'!X9)</f>
        <v>0</v>
      </c>
      <c r="J9" s="624">
        <f>'SEGUIMIENTO Y MONITOREO'!AS9</f>
        <v>0</v>
      </c>
      <c r="K9" s="314">
        <f>IF('SEGUIMIENTO Y MONITOREO'!AD9="NA","NA",'SEGUIMIENTO Y MONITOREO'!AH9)</f>
        <v>1</v>
      </c>
      <c r="L9" s="624">
        <f>'SEGUIMIENTO Y MONITOREO'!AU9</f>
        <v>1</v>
      </c>
      <c r="M9" s="624">
        <f>'SEGUIMIENTO Y MONITOREO'!AW9</f>
        <v>1</v>
      </c>
      <c r="N9" s="632" t="str">
        <f>IF(M9="","",CONCATENATE(IF('SEGUIMIENTO Y MONITOREO'!AX9=0,"",'SEGUIMIENTO Y MONITOREO'!AX9),Datos!$Y$4,IF('SEGUIMIENTO Y MONITOREO'!AX10=0,"",'SEGUIMIENTO Y MONITOREO'!AX10),Datos!$Y$4,IF('SEGUIMIENTO Y MONITOREO'!AX11=0,"",'SEGUIMIENTO Y MONITOREO'!AX11)))</f>
        <v xml:space="preserve">
</v>
      </c>
      <c r="O9" s="632"/>
    </row>
    <row r="10" spans="1:15" ht="15" customHeight="1" x14ac:dyDescent="0.2">
      <c r="A10" s="623"/>
      <c r="B10" s="578"/>
      <c r="C10" s="82" t="str">
        <f>'SEGUIMIENTO Y MONITOREO'!D10</f>
        <v/>
      </c>
      <c r="D10" s="82" t="str">
        <f>'SEGUIMIENTO Y MONITOREO'!E10</f>
        <v/>
      </c>
      <c r="E10" s="128" t="str">
        <f>'SEGUIMIENTO Y MONITOREO'!G10</f>
        <v/>
      </c>
      <c r="F10" s="128" t="str">
        <f>'SEGUIMIENTO Y MONITOREO'!H10</f>
        <v/>
      </c>
      <c r="G10" s="314" t="str">
        <f>IF('SEGUIMIENTO Y MONITOREO'!J10="NA","NA",'SEGUIMIENTO Y MONITOREO'!N10)</f>
        <v/>
      </c>
      <c r="H10" s="624"/>
      <c r="I10" s="314" t="str">
        <f>IF('SEGUIMIENTO Y MONITOREO'!T10="NA","NA",'SEGUIMIENTO Y MONITOREO'!X10)</f>
        <v/>
      </c>
      <c r="J10" s="624"/>
      <c r="K10" s="314" t="str">
        <f>IF('SEGUIMIENTO Y MONITOREO'!AD10="NA","NA",'SEGUIMIENTO Y MONITOREO'!AH10)</f>
        <v/>
      </c>
      <c r="L10" s="624"/>
      <c r="M10" s="624"/>
      <c r="N10" s="632"/>
      <c r="O10" s="632"/>
    </row>
    <row r="11" spans="1:15" ht="15" customHeight="1" x14ac:dyDescent="0.2">
      <c r="A11" s="623"/>
      <c r="B11" s="578"/>
      <c r="C11" s="82" t="str">
        <f>'SEGUIMIENTO Y MONITOREO'!D11</f>
        <v/>
      </c>
      <c r="D11" s="82" t="str">
        <f>'SEGUIMIENTO Y MONITOREO'!E11</f>
        <v/>
      </c>
      <c r="E11" s="128" t="str">
        <f>'SEGUIMIENTO Y MONITOREO'!G11</f>
        <v/>
      </c>
      <c r="F11" s="128" t="str">
        <f>'SEGUIMIENTO Y MONITOREO'!H11</f>
        <v/>
      </c>
      <c r="G11" s="314" t="str">
        <f>IF('SEGUIMIENTO Y MONITOREO'!J11="NA","NA",'SEGUIMIENTO Y MONITOREO'!N11)</f>
        <v/>
      </c>
      <c r="H11" s="624"/>
      <c r="I11" s="314" t="str">
        <f>IF('SEGUIMIENTO Y MONITOREO'!T11="NA","NA",'SEGUIMIENTO Y MONITOREO'!X11)</f>
        <v/>
      </c>
      <c r="J11" s="624"/>
      <c r="K11" s="314" t="str">
        <f>IF('SEGUIMIENTO Y MONITOREO'!AD11="NA","NA",'SEGUIMIENTO Y MONITOREO'!AH11)</f>
        <v/>
      </c>
      <c r="L11" s="624"/>
      <c r="M11" s="624"/>
      <c r="N11" s="632"/>
      <c r="O11" s="632"/>
    </row>
    <row r="12" spans="1:15" ht="25.5" customHeight="1" x14ac:dyDescent="0.2">
      <c r="A12" s="623" t="str">
        <f>'SEGUIMIENTO Y MONITOREO'!A12:A14</f>
        <v>2G</v>
      </c>
      <c r="B12" s="578" t="str">
        <f>'SEGUIMIENTO Y MONITOREO'!B12:B14</f>
        <v xml:space="preserve">Relaciones Interinstitucionales. Escaso registro y control de la movilidad internacional entrante y saliente. </v>
      </c>
      <c r="C12" s="82" t="str">
        <f>'SEGUIMIENTO Y MONITOREO'!D12</f>
        <v>Actualizacion constante. Difusion de la Guia.</v>
      </c>
      <c r="D12" s="82" t="str">
        <f>'SEGUIMIENTO Y MONITOREO'!E12</f>
        <v>Correos enviados</v>
      </c>
      <c r="E12" s="128">
        <f>'SEGUIMIENTO Y MONITOREO'!G12</f>
        <v>42401</v>
      </c>
      <c r="F12" s="128">
        <f>'SEGUIMIENTO Y MONITOREO'!H12</f>
        <v>42405</v>
      </c>
      <c r="G12" s="314">
        <f>IF('SEGUIMIENTO Y MONITOREO'!J12="NA","NA",'SEGUIMIENTO Y MONITOREO'!N12)</f>
        <v>1</v>
      </c>
      <c r="H12" s="624">
        <f>'SEGUIMIENTO Y MONITOREO'!AR12</f>
        <v>1</v>
      </c>
      <c r="I12" s="314">
        <f>IF('SEGUIMIENTO Y MONITOREO'!T12="NA","NA",'SEGUIMIENTO Y MONITOREO'!X12)</f>
        <v>1</v>
      </c>
      <c r="J12" s="624">
        <f>'SEGUIMIENTO Y MONITOREO'!AS12</f>
        <v>1</v>
      </c>
      <c r="K12" s="314">
        <f>IF('SEGUIMIENTO Y MONITOREO'!AD12="NA","NA",'SEGUIMIENTO Y MONITOREO'!AH12)</f>
        <v>1</v>
      </c>
      <c r="L12" s="624">
        <f>'SEGUIMIENTO Y MONITOREO'!AU12</f>
        <v>1</v>
      </c>
      <c r="M12" s="624">
        <f>'SEGUIMIENTO Y MONITOREO'!AW12</f>
        <v>1</v>
      </c>
      <c r="N12" s="632" t="str">
        <f>IF(M12="","",CONCATENATE(IF('SEGUIMIENTO Y MONITOREO'!AX12=0,"",'SEGUIMIENTO Y MONITOREO'!AX12),Datos!$Y$4,IF('SEGUIMIENTO Y MONITOREO'!AX13=0,"",'SEGUIMIENTO Y MONITOREO'!AX13),Datos!$Y$4,IF('SEGUIMIENTO Y MONITOREO'!AX14=0,"",'SEGUIMIENTO Y MONITOREO'!AX14)))</f>
        <v>Se cumplio con la actividad definida tal como se informo en primer seguimiento
Se cumplio con la actividad definida tal como se informo en primer seguimiento
Se cumplio con la actividad definida tal como se informo en primer seguimiento</v>
      </c>
      <c r="O12" s="632"/>
    </row>
    <row r="13" spans="1:15" ht="51" x14ac:dyDescent="0.2">
      <c r="A13" s="623"/>
      <c r="B13" s="578"/>
      <c r="C13" s="82" t="str">
        <f>'SEGUIMIENTO Y MONITOREO'!D13</f>
        <v>Seguimiento periodico a los controles existentes en el procedimiento. Difusión del procedimiento.</v>
      </c>
      <c r="D13" s="82" t="str">
        <f>'SEGUIMIENTO Y MONITOREO'!E13</f>
        <v>Correos enviados</v>
      </c>
      <c r="E13" s="128">
        <f>'SEGUIMIENTO Y MONITOREO'!G13</f>
        <v>42401</v>
      </c>
      <c r="F13" s="128">
        <f>'SEGUIMIENTO Y MONITOREO'!H13</f>
        <v>42405</v>
      </c>
      <c r="G13" s="314">
        <f>IF('SEGUIMIENTO Y MONITOREO'!J13="NA","NA",'SEGUIMIENTO Y MONITOREO'!N13)</f>
        <v>1</v>
      </c>
      <c r="H13" s="624"/>
      <c r="I13" s="314">
        <f>IF('SEGUIMIENTO Y MONITOREO'!T13="NA","NA",'SEGUIMIENTO Y MONITOREO'!X13)</f>
        <v>1</v>
      </c>
      <c r="J13" s="624"/>
      <c r="K13" s="314">
        <f>IF('SEGUIMIENTO Y MONITOREO'!AD13="NA","NA",'SEGUIMIENTO Y MONITOREO'!AH13)</f>
        <v>1</v>
      </c>
      <c r="L13" s="624"/>
      <c r="M13" s="624"/>
      <c r="N13" s="632"/>
      <c r="O13" s="632"/>
    </row>
    <row r="14" spans="1:15" ht="38.25" x14ac:dyDescent="0.2">
      <c r="A14" s="623"/>
      <c r="B14" s="578"/>
      <c r="C14" s="82" t="str">
        <f>'SEGUIMIENTO Y MONITOREO'!D14</f>
        <v>Difusion adecuada de los formatos. Recopilacion de los soportes requeridos.</v>
      </c>
      <c r="D14" s="82" t="str">
        <f>'SEGUIMIENTO Y MONITOREO'!E14</f>
        <v>Correos enviados</v>
      </c>
      <c r="E14" s="128">
        <f>'SEGUIMIENTO Y MONITOREO'!G14</f>
        <v>42401</v>
      </c>
      <c r="F14" s="128">
        <f>'SEGUIMIENTO Y MONITOREO'!H14</f>
        <v>42405</v>
      </c>
      <c r="G14" s="314">
        <f>IF('SEGUIMIENTO Y MONITOREO'!J14="NA","NA",'SEGUIMIENTO Y MONITOREO'!N14)</f>
        <v>1</v>
      </c>
      <c r="H14" s="624"/>
      <c r="I14" s="314">
        <f>IF('SEGUIMIENTO Y MONITOREO'!T14="NA","NA",'SEGUIMIENTO Y MONITOREO'!X14)</f>
        <v>1</v>
      </c>
      <c r="J14" s="624"/>
      <c r="K14" s="314">
        <f>IF('SEGUIMIENTO Y MONITOREO'!AD14="NA","NA",'SEGUIMIENTO Y MONITOREO'!AH14)</f>
        <v>1</v>
      </c>
      <c r="L14" s="624"/>
      <c r="M14" s="624"/>
      <c r="N14" s="632"/>
      <c r="O14" s="632"/>
    </row>
    <row r="15" spans="1:15" ht="25.5" customHeight="1" x14ac:dyDescent="0.2">
      <c r="A15" s="623" t="str">
        <f>'SEGUIMIENTO Y MONITOREO'!A15:A17</f>
        <v>3G</v>
      </c>
      <c r="B15" s="578" t="str">
        <f>'SEGUIMIENTO Y MONITOREO'!B15:B17</f>
        <v>Relaciones Interinstitucionales. Gestionar la movilidad internacional sin requisitos legales</v>
      </c>
      <c r="C15" s="82" t="str">
        <f>'SEGUIMIENTO Y MONITOREO'!D15</f>
        <v>Difusion adecuada de los formatos. Recopilacion de los soportes requeridos.</v>
      </c>
      <c r="D15" s="82" t="str">
        <f>'SEGUIMIENTO Y MONITOREO'!E15</f>
        <v xml:space="preserve">Correo Electronico y asistencia personalizada </v>
      </c>
      <c r="E15" s="128">
        <f>'SEGUIMIENTO Y MONITOREO'!G15</f>
        <v>42370</v>
      </c>
      <c r="F15" s="128">
        <f>'SEGUIMIENTO Y MONITOREO'!H15</f>
        <v>42490</v>
      </c>
      <c r="G15" s="314">
        <f>IF('SEGUIMIENTO Y MONITOREO'!J15="NA","NA",'SEGUIMIENTO Y MONITOREO'!N15)</f>
        <v>1</v>
      </c>
      <c r="H15" s="624">
        <f>'SEGUIMIENTO Y MONITOREO'!AR15</f>
        <v>1</v>
      </c>
      <c r="I15" s="314">
        <f>IF('SEGUIMIENTO Y MONITOREO'!T15="NA","NA",'SEGUIMIENTO Y MONITOREO'!X15)</f>
        <v>1</v>
      </c>
      <c r="J15" s="624">
        <f>'SEGUIMIENTO Y MONITOREO'!AS15</f>
        <v>1</v>
      </c>
      <c r="K15" s="314">
        <f>IF('SEGUIMIENTO Y MONITOREO'!AD15="NA","NA",'SEGUIMIENTO Y MONITOREO'!AH15)</f>
        <v>1</v>
      </c>
      <c r="L15" s="624">
        <f>'SEGUIMIENTO Y MONITOREO'!AU15</f>
        <v>1</v>
      </c>
      <c r="M15" s="624">
        <f>'SEGUIMIENTO Y MONITOREO'!AW15</f>
        <v>1</v>
      </c>
      <c r="N15" s="622" t="str">
        <f>IF(M15="","",CONCATENATE(IF('SEGUIMIENTO Y MONITOREO'!AX15=0,"",'SEGUIMIENTO Y MONITOREO'!AX15),Datos!$Y$4,IF('SEGUIMIENTO Y MONITOREO'!AX16=0,"",'SEGUIMIENTO Y MONITOREO'!AX16),Datos!$Y$4,IF('SEGUIMIENTO Y MONITOREO'!AX17=0,"",'SEGUIMIENTO Y MONITOREO'!AX17)))</f>
        <v xml:space="preserve">Se cumplio con la actividad definida tal como se informo en primer seguimiento
</v>
      </c>
      <c r="O15" s="622"/>
    </row>
    <row r="16" spans="1:15" x14ac:dyDescent="0.2">
      <c r="A16" s="623"/>
      <c r="B16" s="578"/>
      <c r="C16" s="82" t="str">
        <f>'SEGUIMIENTO Y MONITOREO'!D16</f>
        <v/>
      </c>
      <c r="D16" s="82" t="str">
        <f>'SEGUIMIENTO Y MONITOREO'!E16</f>
        <v/>
      </c>
      <c r="E16" s="128" t="str">
        <f>'SEGUIMIENTO Y MONITOREO'!G16</f>
        <v/>
      </c>
      <c r="F16" s="128" t="str">
        <f>'SEGUIMIENTO Y MONITOREO'!H16</f>
        <v/>
      </c>
      <c r="G16" s="314" t="str">
        <f>IF('SEGUIMIENTO Y MONITOREO'!J16="NA","NA",'SEGUIMIENTO Y MONITOREO'!N16)</f>
        <v/>
      </c>
      <c r="H16" s="624"/>
      <c r="I16" s="314" t="str">
        <f>IF('SEGUIMIENTO Y MONITOREO'!T16="NA","NA",'SEGUIMIENTO Y MONITOREO'!X16)</f>
        <v/>
      </c>
      <c r="J16" s="624"/>
      <c r="K16" s="314" t="str">
        <f>IF('SEGUIMIENTO Y MONITOREO'!AD16="NA","NA",'SEGUIMIENTO Y MONITOREO'!AH16)</f>
        <v/>
      </c>
      <c r="L16" s="624"/>
      <c r="M16" s="624"/>
      <c r="N16" s="622"/>
      <c r="O16" s="622"/>
    </row>
    <row r="17" spans="1:15" x14ac:dyDescent="0.2">
      <c r="A17" s="623"/>
      <c r="B17" s="578"/>
      <c r="C17" s="82" t="str">
        <f>'SEGUIMIENTO Y MONITOREO'!D17</f>
        <v/>
      </c>
      <c r="D17" s="82" t="str">
        <f>'SEGUIMIENTO Y MONITOREO'!E17</f>
        <v/>
      </c>
      <c r="E17" s="128" t="str">
        <f>'SEGUIMIENTO Y MONITOREO'!G17</f>
        <v/>
      </c>
      <c r="F17" s="128" t="str">
        <f>'SEGUIMIENTO Y MONITOREO'!H17</f>
        <v/>
      </c>
      <c r="G17" s="314" t="str">
        <f>IF('SEGUIMIENTO Y MONITOREO'!J17="NA","NA",'SEGUIMIENTO Y MONITOREO'!N17)</f>
        <v/>
      </c>
      <c r="H17" s="624"/>
      <c r="I17" s="314" t="str">
        <f>IF('SEGUIMIENTO Y MONITOREO'!T17="NA","NA",'SEGUIMIENTO Y MONITOREO'!X17)</f>
        <v/>
      </c>
      <c r="J17" s="624"/>
      <c r="K17" s="314" t="str">
        <f>IF('SEGUIMIENTO Y MONITOREO'!AD17="NA","NA",'SEGUIMIENTO Y MONITOREO'!AH17)</f>
        <v/>
      </c>
      <c r="L17" s="624"/>
      <c r="M17" s="624"/>
      <c r="N17" s="622"/>
      <c r="O17" s="622"/>
    </row>
    <row r="18" spans="1:15" ht="25.5" customHeight="1" x14ac:dyDescent="0.2">
      <c r="A18" s="623" t="str">
        <f>'SEGUIMIENTO Y MONITOREO'!A18:A20</f>
        <v>4G</v>
      </c>
      <c r="B18" s="578" t="str">
        <f>'SEGUIMIENTO Y MONITOREO'!B18:B20</f>
        <v>Acreditación. Insuficiente Implementación de la Política Institucional de Autoevaluación, Acreditación y Aseguramiento de la calidad</v>
      </c>
      <c r="C18" s="82" t="str">
        <f>'SEGUIMIENTO Y MONITOREO'!D18</f>
        <v>Cumplimiento de metas para  cualificación a la comunidad universitaria acordes con el plan de trabajo.</v>
      </c>
      <c r="D18" s="82" t="str">
        <f>'SEGUIMIENTO Y MONITOREO'!E18</f>
        <v>Comunicaciones</v>
      </c>
      <c r="E18" s="128">
        <f>'SEGUIMIENTO Y MONITOREO'!G18</f>
        <v>42383</v>
      </c>
      <c r="F18" s="128">
        <f>'SEGUIMIENTO Y MONITOREO'!H18</f>
        <v>42720</v>
      </c>
      <c r="G18" s="314">
        <f>IF('SEGUIMIENTO Y MONITOREO'!J18="NA","NA",'SEGUIMIENTO Y MONITOREO'!N18)</f>
        <v>0</v>
      </c>
      <c r="H18" s="624">
        <f>'SEGUIMIENTO Y MONITOREO'!AR18</f>
        <v>0</v>
      </c>
      <c r="I18" s="314">
        <f>IF('SEGUIMIENTO Y MONITOREO'!T18="NA","NA",'SEGUIMIENTO Y MONITOREO'!X18)</f>
        <v>0.5</v>
      </c>
      <c r="J18" s="624">
        <f>'SEGUIMIENTO Y MONITOREO'!AS18</f>
        <v>0.5</v>
      </c>
      <c r="K18" s="314">
        <f>IF('SEGUIMIENTO Y MONITOREO'!AD18="NA","NA",'SEGUIMIENTO Y MONITOREO'!AH18)</f>
        <v>0.5</v>
      </c>
      <c r="L18" s="624">
        <f>'SEGUIMIENTO Y MONITOREO'!AU18</f>
        <v>0.5</v>
      </c>
      <c r="M18" s="624">
        <f>'SEGUIMIENTO Y MONITOREO'!AW18</f>
        <v>0.5</v>
      </c>
      <c r="N18" s="622" t="str">
        <f>IF(M18="","",CONCATENATE(IF('SEGUIMIENTO Y MONITOREO'!AX18=0,"",'SEGUIMIENTO Y MONITOREO'!AX18),Datos!$Y$4,IF('SEGUIMIENTO Y MONITOREO'!AX19=0,"",'SEGUIMIENTO Y MONITOREO'!AX19),Datos!$Y$4,IF('SEGUIMIENTO Y MONITOREO'!AX20=0,"",'SEGUIMIENTO Y MONITOREO'!AX20)))</f>
        <v xml:space="preserve">Enviado por correo electronico la propuesta y se encuentra en revisión por el rector
</v>
      </c>
      <c r="O18" s="622"/>
    </row>
    <row r="19" spans="1:15" x14ac:dyDescent="0.2">
      <c r="A19" s="623"/>
      <c r="B19" s="578"/>
      <c r="C19" s="82" t="str">
        <f>'SEGUIMIENTO Y MONITOREO'!D19</f>
        <v/>
      </c>
      <c r="D19" s="82" t="str">
        <f>'SEGUIMIENTO Y MONITOREO'!E19</f>
        <v/>
      </c>
      <c r="E19" s="128" t="str">
        <f>'SEGUIMIENTO Y MONITOREO'!G19</f>
        <v/>
      </c>
      <c r="F19" s="128" t="str">
        <f>'SEGUIMIENTO Y MONITOREO'!H19</f>
        <v/>
      </c>
      <c r="G19" s="314" t="str">
        <f>IF('SEGUIMIENTO Y MONITOREO'!J19="NA","NA",'SEGUIMIENTO Y MONITOREO'!N19)</f>
        <v/>
      </c>
      <c r="H19" s="624"/>
      <c r="I19" s="314" t="str">
        <f>IF('SEGUIMIENTO Y MONITOREO'!T19="NA","NA",'SEGUIMIENTO Y MONITOREO'!X19)</f>
        <v/>
      </c>
      <c r="J19" s="624"/>
      <c r="K19" s="314" t="str">
        <f>IF('SEGUIMIENTO Y MONITOREO'!AD19="NA","NA",'SEGUIMIENTO Y MONITOREO'!AH19)</f>
        <v/>
      </c>
      <c r="L19" s="624"/>
      <c r="M19" s="624"/>
      <c r="N19" s="622"/>
      <c r="O19" s="622"/>
    </row>
    <row r="20" spans="1:15" x14ac:dyDescent="0.2">
      <c r="A20" s="623"/>
      <c r="B20" s="578"/>
      <c r="C20" s="82" t="str">
        <f>'SEGUIMIENTO Y MONITOREO'!D20</f>
        <v/>
      </c>
      <c r="D20" s="82" t="str">
        <f>'SEGUIMIENTO Y MONITOREO'!E20</f>
        <v/>
      </c>
      <c r="E20" s="128" t="str">
        <f>'SEGUIMIENTO Y MONITOREO'!G20</f>
        <v/>
      </c>
      <c r="F20" s="128" t="str">
        <f>'SEGUIMIENTO Y MONITOREO'!H20</f>
        <v/>
      </c>
      <c r="G20" s="314" t="str">
        <f>IF('SEGUIMIENTO Y MONITOREO'!J20="NA","NA",'SEGUIMIENTO Y MONITOREO'!N20)</f>
        <v/>
      </c>
      <c r="H20" s="624"/>
      <c r="I20" s="314" t="str">
        <f>IF('SEGUIMIENTO Y MONITOREO'!T20="NA","NA",'SEGUIMIENTO Y MONITOREO'!X20)</f>
        <v/>
      </c>
      <c r="J20" s="624"/>
      <c r="K20" s="314" t="str">
        <f>IF('SEGUIMIENTO Y MONITOREO'!AD20="NA","NA",'SEGUIMIENTO Y MONITOREO'!AH20)</f>
        <v/>
      </c>
      <c r="L20" s="624"/>
      <c r="M20" s="624"/>
      <c r="N20" s="622"/>
      <c r="O20" s="622"/>
    </row>
    <row r="21" spans="1:15" ht="25.5" customHeight="1" x14ac:dyDescent="0.2">
      <c r="A21" s="623" t="str">
        <f>'SEGUIMIENTO Y MONITOREO'!A21:A23</f>
        <v>5G</v>
      </c>
      <c r="B21" s="578" t="str">
        <f>'SEGUIMIENTO Y MONITOREO'!B21:B23</f>
        <v xml:space="preserve">Acreditación. Deficiencia en la calidad técnica de los informes </v>
      </c>
      <c r="C21" s="82" t="str">
        <f>'SEGUIMIENTO Y MONITOREO'!D21</f>
        <v>Cumplimiento de metas para  cualificación a la comunidad universitaria acordes con el plan de trabajo.</v>
      </c>
      <c r="D21" s="82" t="str">
        <f>'SEGUIMIENTO Y MONITOREO'!E21</f>
        <v>Actas o listas de asistencia</v>
      </c>
      <c r="E21" s="128">
        <f>'SEGUIMIENTO Y MONITOREO'!G21</f>
        <v>42383</v>
      </c>
      <c r="F21" s="128">
        <f>'SEGUIMIENTO Y MONITOREO'!H21</f>
        <v>42720</v>
      </c>
      <c r="G21" s="314">
        <f>IF('SEGUIMIENTO Y MONITOREO'!J21="NA","NA",'SEGUIMIENTO Y MONITOREO'!N21)</f>
        <v>1</v>
      </c>
      <c r="H21" s="624">
        <f>'SEGUIMIENTO Y MONITOREO'!AR21</f>
        <v>1</v>
      </c>
      <c r="I21" s="314">
        <f>IF('SEGUIMIENTO Y MONITOREO'!T21="NA","NA",'SEGUIMIENTO Y MONITOREO'!X21)</f>
        <v>1</v>
      </c>
      <c r="J21" s="624">
        <f>'SEGUIMIENTO Y MONITOREO'!AS21</f>
        <v>1</v>
      </c>
      <c r="K21" s="314">
        <f>IF('SEGUIMIENTO Y MONITOREO'!AD21="NA","NA",'SEGUIMIENTO Y MONITOREO'!AH21)</f>
        <v>1</v>
      </c>
      <c r="L21" s="624">
        <f>'SEGUIMIENTO Y MONITOREO'!AU21</f>
        <v>1</v>
      </c>
      <c r="M21" s="624">
        <f>'SEGUIMIENTO Y MONITOREO'!AW21</f>
        <v>1</v>
      </c>
      <c r="N21" s="622" t="str">
        <f>IF(M21="","",CONCATENATE(IF('SEGUIMIENTO Y MONITOREO'!AX21=0,"",'SEGUIMIENTO Y MONITOREO'!AX21),Datos!$Y$4,IF('SEGUIMIENTO Y MONITOREO'!AX22=0,"",'SEGUIMIENTO Y MONITOREO'!AX22),Datos!$Y$4,IF('SEGUIMIENTO Y MONITOREO'!AX23=0,"",'SEGUIMIENTO Y MONITOREO'!AX23)))</f>
        <v xml:space="preserve">Se cumplio con la actividad definida tal como se informo en primer seguimiento
</v>
      </c>
      <c r="O21" s="622"/>
    </row>
    <row r="22" spans="1:15" x14ac:dyDescent="0.2">
      <c r="A22" s="623"/>
      <c r="B22" s="578"/>
      <c r="C22" s="82" t="str">
        <f>'SEGUIMIENTO Y MONITOREO'!D22</f>
        <v/>
      </c>
      <c r="D22" s="82" t="str">
        <f>'SEGUIMIENTO Y MONITOREO'!E22</f>
        <v/>
      </c>
      <c r="E22" s="128" t="str">
        <f>'SEGUIMIENTO Y MONITOREO'!G22</f>
        <v/>
      </c>
      <c r="F22" s="128" t="str">
        <f>'SEGUIMIENTO Y MONITOREO'!H22</f>
        <v/>
      </c>
      <c r="G22" s="314" t="str">
        <f>IF('SEGUIMIENTO Y MONITOREO'!J22="NA","NA",'SEGUIMIENTO Y MONITOREO'!N22)</f>
        <v/>
      </c>
      <c r="H22" s="624"/>
      <c r="I22" s="314" t="str">
        <f>IF('SEGUIMIENTO Y MONITOREO'!T22="NA","NA",'SEGUIMIENTO Y MONITOREO'!X22)</f>
        <v/>
      </c>
      <c r="J22" s="624"/>
      <c r="K22" s="314" t="str">
        <f>IF('SEGUIMIENTO Y MONITOREO'!AD22="NA","NA",'SEGUIMIENTO Y MONITOREO'!AH22)</f>
        <v/>
      </c>
      <c r="L22" s="624"/>
      <c r="M22" s="624"/>
      <c r="N22" s="622"/>
      <c r="O22" s="622"/>
    </row>
    <row r="23" spans="1:15" x14ac:dyDescent="0.2">
      <c r="A23" s="623"/>
      <c r="B23" s="578"/>
      <c r="C23" s="82" t="str">
        <f>'SEGUIMIENTO Y MONITOREO'!D23</f>
        <v/>
      </c>
      <c r="D23" s="82" t="str">
        <f>'SEGUIMIENTO Y MONITOREO'!E23</f>
        <v/>
      </c>
      <c r="E23" s="128" t="str">
        <f>'SEGUIMIENTO Y MONITOREO'!G23</f>
        <v/>
      </c>
      <c r="F23" s="128" t="str">
        <f>'SEGUIMIENTO Y MONITOREO'!H23</f>
        <v/>
      </c>
      <c r="G23" s="314" t="str">
        <f>IF('SEGUIMIENTO Y MONITOREO'!J23="NA","NA",'SEGUIMIENTO Y MONITOREO'!N23)</f>
        <v/>
      </c>
      <c r="H23" s="624"/>
      <c r="I23" s="314" t="str">
        <f>IF('SEGUIMIENTO Y MONITOREO'!T23="NA","NA",'SEGUIMIENTO Y MONITOREO'!X23)</f>
        <v/>
      </c>
      <c r="J23" s="624"/>
      <c r="K23" s="314" t="str">
        <f>IF('SEGUIMIENTO Y MONITOREO'!AD23="NA","NA",'SEGUIMIENTO Y MONITOREO'!AH23)</f>
        <v/>
      </c>
      <c r="L23" s="624"/>
      <c r="M23" s="624"/>
      <c r="N23" s="622"/>
      <c r="O23" s="622"/>
    </row>
    <row r="24" spans="1:15" ht="25.5" customHeight="1" x14ac:dyDescent="0.2">
      <c r="A24" s="623" t="str">
        <f>'SEGUIMIENTO Y MONITOREO'!A24:A26</f>
        <v>6G</v>
      </c>
      <c r="B24" s="578" t="str">
        <f>'SEGUIMIENTO Y MONITOREO'!B24:B26</f>
        <v>Acreditación. Negación de la acreditación o de la renovación de registro calificado</v>
      </c>
      <c r="C24" s="82" t="str">
        <f>'SEGUIMIENTO Y MONITOREO'!D24</f>
        <v xml:space="preserve">Continuar con el seguimiento al cumplimiento de los controles existentes </v>
      </c>
      <c r="D24" s="82" t="str">
        <f>'SEGUIMIENTO Y MONITOREO'!E24</f>
        <v/>
      </c>
      <c r="E24" s="128" t="str">
        <f>'SEGUIMIENTO Y MONITOREO'!G24</f>
        <v/>
      </c>
      <c r="F24" s="128" t="str">
        <f>'SEGUIMIENTO Y MONITOREO'!H24</f>
        <v/>
      </c>
      <c r="G24" s="314" t="str">
        <f>IF('SEGUIMIENTO Y MONITOREO'!J24="NA","NA",'SEGUIMIENTO Y MONITOREO'!N24)</f>
        <v>NA</v>
      </c>
      <c r="H24" s="624" t="str">
        <f>'SEGUIMIENTO Y MONITOREO'!AR24</f>
        <v>NA</v>
      </c>
      <c r="I24" s="314" t="str">
        <f>IF('SEGUIMIENTO Y MONITOREO'!T24="NA","NA",'SEGUIMIENTO Y MONITOREO'!X24)</f>
        <v>NA</v>
      </c>
      <c r="J24" s="624" t="str">
        <f>'SEGUIMIENTO Y MONITOREO'!AS24</f>
        <v>NA</v>
      </c>
      <c r="K24" s="314" t="str">
        <f>IF('SEGUIMIENTO Y MONITOREO'!AD24="NA","NA",'SEGUIMIENTO Y MONITOREO'!AH24)</f>
        <v>NA</v>
      </c>
      <c r="L24" s="624" t="str">
        <f>'SEGUIMIENTO Y MONITOREO'!AU24</f>
        <v>NA</v>
      </c>
      <c r="M24" s="624" t="str">
        <f>'SEGUIMIENTO Y MONITOREO'!AW24</f>
        <v>NA</v>
      </c>
      <c r="N24" s="622" t="str">
        <f>IF(M24="","",CONCATENATE(IF('SEGUIMIENTO Y MONITOREO'!AX24=0,"",'SEGUIMIENTO Y MONITOREO'!AX24),Datos!$Y$4,IF('SEGUIMIENTO Y MONITOREO'!AX25=0,"",'SEGUIMIENTO Y MONITOREO'!AX25),Datos!$Y$4,IF('SEGUIMIENTO Y MONITOREO'!AX26=0,"",'SEGUIMIENTO Y MONITOREO'!AX26)))</f>
        <v xml:space="preserve">
</v>
      </c>
      <c r="O24" s="622"/>
    </row>
    <row r="25" spans="1:15" x14ac:dyDescent="0.2">
      <c r="A25" s="623"/>
      <c r="B25" s="578"/>
      <c r="C25" s="82" t="str">
        <f>'SEGUIMIENTO Y MONITOREO'!D25</f>
        <v/>
      </c>
      <c r="D25" s="82" t="str">
        <f>'SEGUIMIENTO Y MONITOREO'!E25</f>
        <v/>
      </c>
      <c r="E25" s="128" t="str">
        <f>'SEGUIMIENTO Y MONITOREO'!G25</f>
        <v/>
      </c>
      <c r="F25" s="128" t="str">
        <f>'SEGUIMIENTO Y MONITOREO'!H25</f>
        <v/>
      </c>
      <c r="G25" s="314" t="str">
        <f>IF('SEGUIMIENTO Y MONITOREO'!J25="NA","NA",'SEGUIMIENTO Y MONITOREO'!N25)</f>
        <v/>
      </c>
      <c r="H25" s="624"/>
      <c r="I25" s="314" t="str">
        <f>IF('SEGUIMIENTO Y MONITOREO'!T25="NA","NA",'SEGUIMIENTO Y MONITOREO'!X25)</f>
        <v/>
      </c>
      <c r="J25" s="624"/>
      <c r="K25" s="314" t="str">
        <f>IF('SEGUIMIENTO Y MONITOREO'!AD25="NA","NA",'SEGUIMIENTO Y MONITOREO'!AH25)</f>
        <v/>
      </c>
      <c r="L25" s="624"/>
      <c r="M25" s="624"/>
      <c r="N25" s="622"/>
      <c r="O25" s="622"/>
    </row>
    <row r="26" spans="1:15" x14ac:dyDescent="0.2">
      <c r="A26" s="623"/>
      <c r="B26" s="578"/>
      <c r="C26" s="82" t="str">
        <f>'SEGUIMIENTO Y MONITOREO'!D26</f>
        <v/>
      </c>
      <c r="D26" s="82" t="str">
        <f>'SEGUIMIENTO Y MONITOREO'!E26</f>
        <v/>
      </c>
      <c r="E26" s="128" t="str">
        <f>'SEGUIMIENTO Y MONITOREO'!G26</f>
        <v/>
      </c>
      <c r="F26" s="128" t="str">
        <f>'SEGUIMIENTO Y MONITOREO'!H26</f>
        <v/>
      </c>
      <c r="G26" s="314" t="str">
        <f>IF('SEGUIMIENTO Y MONITOREO'!J26="NA","NA",'SEGUIMIENTO Y MONITOREO'!N26)</f>
        <v/>
      </c>
      <c r="H26" s="624"/>
      <c r="I26" s="314" t="str">
        <f>IF('SEGUIMIENTO Y MONITOREO'!T26="NA","NA",'SEGUIMIENTO Y MONITOREO'!X26)</f>
        <v/>
      </c>
      <c r="J26" s="624"/>
      <c r="K26" s="314" t="str">
        <f>IF('SEGUIMIENTO Y MONITOREO'!AD26="NA","NA",'SEGUIMIENTO Y MONITOREO'!AH26)</f>
        <v/>
      </c>
      <c r="L26" s="624"/>
      <c r="M26" s="624"/>
      <c r="N26" s="622"/>
      <c r="O26" s="622"/>
    </row>
    <row r="27" spans="1:15" ht="25.5" customHeight="1" x14ac:dyDescent="0.2">
      <c r="A27" s="623" t="str">
        <f>'SEGUIMIENTO Y MONITOREO'!A27:A29</f>
        <v>7G</v>
      </c>
      <c r="B27" s="578" t="str">
        <f>'SEGUIMIENTO Y MONITOREO'!B27:B29</f>
        <v>Acreditación. Incumplimiento en algunas actividades establecidas en el plan de trabajo</v>
      </c>
      <c r="C27" s="82" t="str">
        <f>'SEGUIMIENTO Y MONITOREO'!D27</f>
        <v xml:space="preserve">Continuar con el seguimiento al cumplimiento de los controles existentes </v>
      </c>
      <c r="D27" s="82" t="str">
        <f>'SEGUIMIENTO Y MONITOREO'!E27</f>
        <v/>
      </c>
      <c r="E27" s="128" t="str">
        <f>'SEGUIMIENTO Y MONITOREO'!G27</f>
        <v/>
      </c>
      <c r="F27" s="128" t="str">
        <f>'SEGUIMIENTO Y MONITOREO'!H27</f>
        <v/>
      </c>
      <c r="G27" s="314" t="str">
        <f>IF('SEGUIMIENTO Y MONITOREO'!J27="NA","NA",'SEGUIMIENTO Y MONITOREO'!N27)</f>
        <v>NA</v>
      </c>
      <c r="H27" s="624" t="str">
        <f>'SEGUIMIENTO Y MONITOREO'!AR27</f>
        <v>NA</v>
      </c>
      <c r="I27" s="314" t="str">
        <f>IF('SEGUIMIENTO Y MONITOREO'!T27="NA","NA",'SEGUIMIENTO Y MONITOREO'!X27)</f>
        <v>NA</v>
      </c>
      <c r="J27" s="624" t="str">
        <f>'SEGUIMIENTO Y MONITOREO'!AS27</f>
        <v>NA</v>
      </c>
      <c r="K27" s="314" t="str">
        <f>IF('SEGUIMIENTO Y MONITOREO'!AD27="NA","NA",'SEGUIMIENTO Y MONITOREO'!AH27)</f>
        <v>NA</v>
      </c>
      <c r="L27" s="624" t="str">
        <f>'SEGUIMIENTO Y MONITOREO'!AU27</f>
        <v>NA</v>
      </c>
      <c r="M27" s="624" t="str">
        <f>'SEGUIMIENTO Y MONITOREO'!AW27</f>
        <v>NA</v>
      </c>
      <c r="N27" s="622" t="str">
        <f>IF(M27="","",CONCATENATE(IF('SEGUIMIENTO Y MONITOREO'!AX27=0,"",'SEGUIMIENTO Y MONITOREO'!AX27),Datos!$Y$4,IF('SEGUIMIENTO Y MONITOREO'!AX28=0,"",'SEGUIMIENTO Y MONITOREO'!AX28),Datos!$Y$4,IF('SEGUIMIENTO Y MONITOREO'!AX29=0,"",'SEGUIMIENTO Y MONITOREO'!AX29)))</f>
        <v xml:space="preserve">
</v>
      </c>
      <c r="O27" s="622"/>
    </row>
    <row r="28" spans="1:15" x14ac:dyDescent="0.2">
      <c r="A28" s="623"/>
      <c r="B28" s="578"/>
      <c r="C28" s="82" t="str">
        <f>'SEGUIMIENTO Y MONITOREO'!D28</f>
        <v/>
      </c>
      <c r="D28" s="82" t="str">
        <f>'SEGUIMIENTO Y MONITOREO'!E28</f>
        <v/>
      </c>
      <c r="E28" s="128" t="str">
        <f>'SEGUIMIENTO Y MONITOREO'!G28</f>
        <v/>
      </c>
      <c r="F28" s="128" t="str">
        <f>'SEGUIMIENTO Y MONITOREO'!H28</f>
        <v/>
      </c>
      <c r="G28" s="314" t="str">
        <f>IF('SEGUIMIENTO Y MONITOREO'!J28="NA","NA",'SEGUIMIENTO Y MONITOREO'!N28)</f>
        <v/>
      </c>
      <c r="H28" s="624"/>
      <c r="I28" s="314" t="str">
        <f>IF('SEGUIMIENTO Y MONITOREO'!T28="NA","NA",'SEGUIMIENTO Y MONITOREO'!X28)</f>
        <v/>
      </c>
      <c r="J28" s="624"/>
      <c r="K28" s="314" t="str">
        <f>IF('SEGUIMIENTO Y MONITOREO'!AD28="NA","NA",'SEGUIMIENTO Y MONITOREO'!AH28)</f>
        <v/>
      </c>
      <c r="L28" s="624"/>
      <c r="M28" s="624"/>
      <c r="N28" s="622"/>
      <c r="O28" s="622"/>
    </row>
    <row r="29" spans="1:15" x14ac:dyDescent="0.2">
      <c r="A29" s="623"/>
      <c r="B29" s="578"/>
      <c r="C29" s="82" t="str">
        <f>'SEGUIMIENTO Y MONITOREO'!D29</f>
        <v/>
      </c>
      <c r="D29" s="82" t="str">
        <f>'SEGUIMIENTO Y MONITOREO'!E29</f>
        <v/>
      </c>
      <c r="E29" s="128" t="str">
        <f>'SEGUIMIENTO Y MONITOREO'!G29</f>
        <v/>
      </c>
      <c r="F29" s="128" t="str">
        <f>'SEGUIMIENTO Y MONITOREO'!H29</f>
        <v/>
      </c>
      <c r="G29" s="314" t="str">
        <f>IF('SEGUIMIENTO Y MONITOREO'!J29="NA","NA",'SEGUIMIENTO Y MONITOREO'!N29)</f>
        <v/>
      </c>
      <c r="H29" s="624"/>
      <c r="I29" s="314" t="str">
        <f>IF('SEGUIMIENTO Y MONITOREO'!T29="NA","NA",'SEGUIMIENTO Y MONITOREO'!X29)</f>
        <v/>
      </c>
      <c r="J29" s="624"/>
      <c r="K29" s="314" t="str">
        <f>IF('SEGUIMIENTO Y MONITOREO'!AD29="NA","NA",'SEGUIMIENTO Y MONITOREO'!AH29)</f>
        <v/>
      </c>
      <c r="L29" s="624"/>
      <c r="M29" s="624"/>
      <c r="N29" s="622"/>
      <c r="O29" s="622"/>
    </row>
    <row r="30" spans="1:15" ht="25.5" customHeight="1" x14ac:dyDescent="0.2">
      <c r="A30" s="623" t="str">
        <f>'SEGUIMIENTO Y MONITOREO'!A30:A32</f>
        <v>8G</v>
      </c>
      <c r="B30" s="578" t="str">
        <f>'SEGUIMIENTO Y MONITOREO'!B30:B32</f>
        <v>Acreditación. Retraso en el otorgamiento o renovacion del registro calificado</v>
      </c>
      <c r="C30" s="82" t="str">
        <f>'SEGUIMIENTO Y MONITOREO'!D30</f>
        <v xml:space="preserve">Continuar con el seguimiento al cumplimiento de los controles existentes </v>
      </c>
      <c r="D30" s="82" t="str">
        <f>'SEGUIMIENTO Y MONITOREO'!E30</f>
        <v/>
      </c>
      <c r="E30" s="128" t="str">
        <f>'SEGUIMIENTO Y MONITOREO'!G30</f>
        <v/>
      </c>
      <c r="F30" s="128" t="str">
        <f>'SEGUIMIENTO Y MONITOREO'!H30</f>
        <v/>
      </c>
      <c r="G30" s="314" t="str">
        <f>IF('SEGUIMIENTO Y MONITOREO'!J30="NA","NA",'SEGUIMIENTO Y MONITOREO'!N30)</f>
        <v>NA</v>
      </c>
      <c r="H30" s="624" t="str">
        <f>'SEGUIMIENTO Y MONITOREO'!AR30</f>
        <v>NA</v>
      </c>
      <c r="I30" s="314" t="str">
        <f>IF('SEGUIMIENTO Y MONITOREO'!T30="NA","NA",'SEGUIMIENTO Y MONITOREO'!X30)</f>
        <v>NA</v>
      </c>
      <c r="J30" s="624" t="str">
        <f>'SEGUIMIENTO Y MONITOREO'!AS30</f>
        <v>NA</v>
      </c>
      <c r="K30" s="314" t="str">
        <f>IF('SEGUIMIENTO Y MONITOREO'!AD30="NA","NA",'SEGUIMIENTO Y MONITOREO'!AH30)</f>
        <v>NA</v>
      </c>
      <c r="L30" s="624" t="str">
        <f>'SEGUIMIENTO Y MONITOREO'!AU30</f>
        <v>NA</v>
      </c>
      <c r="M30" s="624" t="str">
        <f>'SEGUIMIENTO Y MONITOREO'!AW30</f>
        <v>NA</v>
      </c>
      <c r="N30" s="622" t="str">
        <f>IF(M30="","",CONCATENATE(IF('SEGUIMIENTO Y MONITOREO'!AX30=0,"",'SEGUIMIENTO Y MONITOREO'!AX30),Datos!$Y$4,IF('SEGUIMIENTO Y MONITOREO'!AX31=0,"",'SEGUIMIENTO Y MONITOREO'!AX31),Datos!$Y$4,IF('SEGUIMIENTO Y MONITOREO'!AX32=0,"",'SEGUIMIENTO Y MONITOREO'!AX32)))</f>
        <v xml:space="preserve">
</v>
      </c>
      <c r="O30" s="622"/>
    </row>
    <row r="31" spans="1:15" x14ac:dyDescent="0.2">
      <c r="A31" s="623"/>
      <c r="B31" s="578"/>
      <c r="C31" s="82" t="str">
        <f>'SEGUIMIENTO Y MONITOREO'!D31</f>
        <v/>
      </c>
      <c r="D31" s="82" t="str">
        <f>'SEGUIMIENTO Y MONITOREO'!E31</f>
        <v/>
      </c>
      <c r="E31" s="128" t="str">
        <f>'SEGUIMIENTO Y MONITOREO'!G31</f>
        <v/>
      </c>
      <c r="F31" s="128" t="str">
        <f>'SEGUIMIENTO Y MONITOREO'!H31</f>
        <v/>
      </c>
      <c r="G31" s="314" t="str">
        <f>IF('SEGUIMIENTO Y MONITOREO'!J31="NA","NA",'SEGUIMIENTO Y MONITOREO'!N31)</f>
        <v/>
      </c>
      <c r="H31" s="624"/>
      <c r="I31" s="314" t="str">
        <f>IF('SEGUIMIENTO Y MONITOREO'!T31="NA","NA",'SEGUIMIENTO Y MONITOREO'!X31)</f>
        <v/>
      </c>
      <c r="J31" s="624"/>
      <c r="K31" s="314" t="str">
        <f>IF('SEGUIMIENTO Y MONITOREO'!AD31="NA","NA",'SEGUIMIENTO Y MONITOREO'!AH31)</f>
        <v/>
      </c>
      <c r="L31" s="624"/>
      <c r="M31" s="624"/>
      <c r="N31" s="622"/>
      <c r="O31" s="622"/>
    </row>
    <row r="32" spans="1:15" x14ac:dyDescent="0.2">
      <c r="A32" s="623"/>
      <c r="B32" s="578"/>
      <c r="C32" s="82" t="str">
        <f>'SEGUIMIENTO Y MONITOREO'!D32</f>
        <v/>
      </c>
      <c r="D32" s="82" t="str">
        <f>'SEGUIMIENTO Y MONITOREO'!E32</f>
        <v/>
      </c>
      <c r="E32" s="128" t="str">
        <f>'SEGUIMIENTO Y MONITOREO'!G32</f>
        <v/>
      </c>
      <c r="F32" s="128" t="str">
        <f>'SEGUIMIENTO Y MONITOREO'!H32</f>
        <v/>
      </c>
      <c r="G32" s="314" t="str">
        <f>IF('SEGUIMIENTO Y MONITOREO'!J32="NA","NA",'SEGUIMIENTO Y MONITOREO'!N32)</f>
        <v/>
      </c>
      <c r="H32" s="624"/>
      <c r="I32" s="314" t="str">
        <f>IF('SEGUIMIENTO Y MONITOREO'!T32="NA","NA",'SEGUIMIENTO Y MONITOREO'!X32)</f>
        <v/>
      </c>
      <c r="J32" s="624"/>
      <c r="K32" s="314" t="str">
        <f>IF('SEGUIMIENTO Y MONITOREO'!AD32="NA","NA",'SEGUIMIENTO Y MONITOREO'!AH32)</f>
        <v/>
      </c>
      <c r="L32" s="624"/>
      <c r="M32" s="624"/>
      <c r="N32" s="622"/>
      <c r="O32" s="622"/>
    </row>
    <row r="33" spans="1:15" ht="25.5" customHeight="1" x14ac:dyDescent="0.2">
      <c r="A33" s="623" t="str">
        <f>'SEGUIMIENTO Y MONITOREO'!A33:A35</f>
        <v>9G</v>
      </c>
      <c r="B33" s="578" t="str">
        <f>'SEGUIMIENTO Y MONITOREO'!B33:B35</f>
        <v>Gestión de la Calidad. La alta dirección no asegura la disponibilidad de los recursos para el mantenimiento y mejora del sistema.</v>
      </c>
      <c r="C33" s="82" t="str">
        <f>'SEGUIMIENTO Y MONITOREO'!D33</f>
        <v>Realizar la revisión por la dirección y divulgar los resultados del informe de revisión por la alta dirección</v>
      </c>
      <c r="D33" s="82" t="str">
        <f>'SEGUIMIENTO Y MONITOREO'!E33</f>
        <v>Registro de asistencia revisión por la Dirección</v>
      </c>
      <c r="E33" s="128">
        <f>'SEGUIMIENTO Y MONITOREO'!G33</f>
        <v>42383</v>
      </c>
      <c r="F33" s="128">
        <f>'SEGUIMIENTO Y MONITOREO'!H33</f>
        <v>42459</v>
      </c>
      <c r="G33" s="314">
        <f>IF('SEGUIMIENTO Y MONITOREO'!J33="NA","NA",'SEGUIMIENTO Y MONITOREO'!N33)</f>
        <v>1</v>
      </c>
      <c r="H33" s="624">
        <f>'SEGUIMIENTO Y MONITOREO'!AR33</f>
        <v>1</v>
      </c>
      <c r="I33" s="314">
        <f>IF('SEGUIMIENTO Y MONITOREO'!T33="NA","NA",'SEGUIMIENTO Y MONITOREO'!X33)</f>
        <v>1</v>
      </c>
      <c r="J33" s="624">
        <f>'SEGUIMIENTO Y MONITOREO'!AS33</f>
        <v>1</v>
      </c>
      <c r="K33" s="314">
        <f>IF('SEGUIMIENTO Y MONITOREO'!AD33="NA","NA",'SEGUIMIENTO Y MONITOREO'!AH33)</f>
        <v>1</v>
      </c>
      <c r="L33" s="624">
        <f>'SEGUIMIENTO Y MONITOREO'!AU33</f>
        <v>1</v>
      </c>
      <c r="M33" s="624">
        <f>'SEGUIMIENTO Y MONITOREO'!AW33</f>
        <v>1</v>
      </c>
      <c r="N33" s="622" t="str">
        <f>IF(M33="","",CONCATENATE(IF('SEGUIMIENTO Y MONITOREO'!AX33=0,"",'SEGUIMIENTO Y MONITOREO'!AX33),Datos!$Y$4,IF('SEGUIMIENTO Y MONITOREO'!AX34=0,"",'SEGUIMIENTO Y MONITOREO'!AX34),Datos!$Y$4,IF('SEGUIMIENTO Y MONITOREO'!AX35=0,"",'SEGUIMIENTO Y MONITOREO'!AX35)))</f>
        <v xml:space="preserve">Se cumplio con la actividad definida tal como se informo en primer seguimiento
</v>
      </c>
      <c r="O33" s="622"/>
    </row>
    <row r="34" spans="1:15" x14ac:dyDescent="0.2">
      <c r="A34" s="623"/>
      <c r="B34" s="578"/>
      <c r="C34" s="82" t="str">
        <f>'SEGUIMIENTO Y MONITOREO'!D34</f>
        <v/>
      </c>
      <c r="D34" s="82" t="str">
        <f>'SEGUIMIENTO Y MONITOREO'!E34</f>
        <v/>
      </c>
      <c r="E34" s="128" t="str">
        <f>'SEGUIMIENTO Y MONITOREO'!G34</f>
        <v/>
      </c>
      <c r="F34" s="128" t="str">
        <f>'SEGUIMIENTO Y MONITOREO'!H34</f>
        <v/>
      </c>
      <c r="G34" s="314" t="str">
        <f>IF('SEGUIMIENTO Y MONITOREO'!J34="NA","NA",'SEGUIMIENTO Y MONITOREO'!N34)</f>
        <v/>
      </c>
      <c r="H34" s="624"/>
      <c r="I34" s="314" t="str">
        <f>IF('SEGUIMIENTO Y MONITOREO'!T34="NA","NA",'SEGUIMIENTO Y MONITOREO'!X34)</f>
        <v/>
      </c>
      <c r="J34" s="624"/>
      <c r="K34" s="314" t="str">
        <f>IF('SEGUIMIENTO Y MONITOREO'!AD34="NA","NA",'SEGUIMIENTO Y MONITOREO'!AH34)</f>
        <v/>
      </c>
      <c r="L34" s="624"/>
      <c r="M34" s="624"/>
      <c r="N34" s="622"/>
      <c r="O34" s="622"/>
    </row>
    <row r="35" spans="1:15" x14ac:dyDescent="0.2">
      <c r="A35" s="623"/>
      <c r="B35" s="578"/>
      <c r="C35" s="82" t="str">
        <f>'SEGUIMIENTO Y MONITOREO'!D35</f>
        <v/>
      </c>
      <c r="D35" s="82" t="str">
        <f>'SEGUIMIENTO Y MONITOREO'!E35</f>
        <v/>
      </c>
      <c r="E35" s="128" t="str">
        <f>'SEGUIMIENTO Y MONITOREO'!G35</f>
        <v/>
      </c>
      <c r="F35" s="128" t="str">
        <f>'SEGUIMIENTO Y MONITOREO'!H35</f>
        <v/>
      </c>
      <c r="G35" s="314" t="str">
        <f>IF('SEGUIMIENTO Y MONITOREO'!J35="NA","NA",'SEGUIMIENTO Y MONITOREO'!N35)</f>
        <v/>
      </c>
      <c r="H35" s="624"/>
      <c r="I35" s="314" t="str">
        <f>IF('SEGUIMIENTO Y MONITOREO'!T35="NA","NA",'SEGUIMIENTO Y MONITOREO'!X35)</f>
        <v/>
      </c>
      <c r="J35" s="624"/>
      <c r="K35" s="314" t="str">
        <f>IF('SEGUIMIENTO Y MONITOREO'!AD35="NA","NA",'SEGUIMIENTO Y MONITOREO'!AH35)</f>
        <v/>
      </c>
      <c r="L35" s="624"/>
      <c r="M35" s="624"/>
      <c r="N35" s="622"/>
      <c r="O35" s="622"/>
    </row>
    <row r="36" spans="1:15" ht="25.5" customHeight="1" x14ac:dyDescent="0.2">
      <c r="A36" s="623" t="str">
        <f>'SEGUIMIENTO Y MONITOREO'!A36:A38</f>
        <v>10G</v>
      </c>
      <c r="B36" s="578" t="str">
        <f>'SEGUIMIENTO Y MONITOREO'!B36:B38</f>
        <v>Comunicaciones. Inoportuna e ineficaz divulgación de los productos comunicativos y publicitarios ante los usuarios internos y externos.</v>
      </c>
      <c r="C36" s="82" t="str">
        <f>'SEGUIMIENTO Y MONITOREO'!D36</f>
        <v>Fomentar el autocontrol en los tiempos de entrega al equipo de comunicaciones</v>
      </c>
      <c r="D36" s="82" t="str">
        <f>'SEGUIMIENTO Y MONITOREO'!E36</f>
        <v xml:space="preserve">comunicaciones </v>
      </c>
      <c r="E36" s="128">
        <f>'SEGUIMIENTO Y MONITOREO'!G36</f>
        <v>42384</v>
      </c>
      <c r="F36" s="128">
        <f>'SEGUIMIENTO Y MONITOREO'!H36</f>
        <v>42734</v>
      </c>
      <c r="G36" s="314">
        <f>IF('SEGUIMIENTO Y MONITOREO'!J36="NA","NA",'SEGUIMIENTO Y MONITOREO'!N36)</f>
        <v>0</v>
      </c>
      <c r="H36" s="624">
        <f>'SEGUIMIENTO Y MONITOREO'!AR36</f>
        <v>0.125</v>
      </c>
      <c r="I36" s="314">
        <f>IF('SEGUIMIENTO Y MONITOREO'!T36="NA","NA",'SEGUIMIENTO Y MONITOREO'!X36)</f>
        <v>0.25</v>
      </c>
      <c r="J36" s="624">
        <f>'SEGUIMIENTO Y MONITOREO'!AS36</f>
        <v>0.25</v>
      </c>
      <c r="K36" s="314">
        <f>IF('SEGUIMIENTO Y MONITOREO'!AD36="NA","NA",'SEGUIMIENTO Y MONITOREO'!AH36)</f>
        <v>0.25</v>
      </c>
      <c r="L36" s="624">
        <f>'SEGUIMIENTO Y MONITOREO'!AU36</f>
        <v>0.25</v>
      </c>
      <c r="M36" s="624">
        <f>'SEGUIMIENTO Y MONITOREO'!AW36</f>
        <v>0.25</v>
      </c>
      <c r="N36" s="622" t="str">
        <f>IF(M36="","",CONCATENATE(IF('SEGUIMIENTO Y MONITOREO'!AX36=0,"",'SEGUIMIENTO Y MONITOREO'!AX36),Datos!$Y$4,IF('SEGUIMIENTO Y MONITOREO'!AX37=0,"",'SEGUIMIENTO Y MONITOREO'!AX37),Datos!$Y$4,IF('SEGUIMIENTO Y MONITOREO'!AX38=0,"",'SEGUIMIENTO Y MONITOREO'!AX38)))</f>
        <v xml:space="preserve">Correo enviado al equipo de trabajo sobre asignación de tareas
Correo enviado al equipo de trabajo
</v>
      </c>
      <c r="O36" s="622"/>
    </row>
    <row r="37" spans="1:15" ht="15" customHeight="1" x14ac:dyDescent="0.2">
      <c r="A37" s="623"/>
      <c r="B37" s="578"/>
      <c r="C37" s="82" t="str">
        <f>'SEGUIMIENTO Y MONITOREO'!D37</f>
        <v>Recordar la periocidad y la entrega  oportuna de cada producto comunicativo</v>
      </c>
      <c r="D37" s="82" t="str">
        <f>'SEGUIMIENTO Y MONITOREO'!E37</f>
        <v xml:space="preserve">comunicaciones </v>
      </c>
      <c r="E37" s="128">
        <f>'SEGUIMIENTO Y MONITOREO'!G37</f>
        <v>42384</v>
      </c>
      <c r="F37" s="128">
        <f>'SEGUIMIENTO Y MONITOREO'!H37</f>
        <v>42734</v>
      </c>
      <c r="G37" s="314">
        <f>IF('SEGUIMIENTO Y MONITOREO'!J37="NA","NA",'SEGUIMIENTO Y MONITOREO'!N37)</f>
        <v>0.25</v>
      </c>
      <c r="H37" s="624"/>
      <c r="I37" s="314">
        <f>IF('SEGUIMIENTO Y MONITOREO'!T37="NA","NA",'SEGUIMIENTO Y MONITOREO'!X37)</f>
        <v>0.25</v>
      </c>
      <c r="J37" s="624"/>
      <c r="K37" s="314">
        <f>IF('SEGUIMIENTO Y MONITOREO'!AD37="NA","NA",'SEGUIMIENTO Y MONITOREO'!AH37)</f>
        <v>0.25</v>
      </c>
      <c r="L37" s="624"/>
      <c r="M37" s="624"/>
      <c r="N37" s="622"/>
      <c r="O37" s="622"/>
    </row>
    <row r="38" spans="1:15" x14ac:dyDescent="0.2">
      <c r="A38" s="623"/>
      <c r="B38" s="578"/>
      <c r="C38" s="82" t="str">
        <f>'SEGUIMIENTO Y MONITOREO'!D38</f>
        <v/>
      </c>
      <c r="D38" s="82" t="str">
        <f>'SEGUIMIENTO Y MONITOREO'!E38</f>
        <v/>
      </c>
      <c r="E38" s="128" t="str">
        <f>'SEGUIMIENTO Y MONITOREO'!G38</f>
        <v/>
      </c>
      <c r="F38" s="128" t="str">
        <f>'SEGUIMIENTO Y MONITOREO'!H38</f>
        <v/>
      </c>
      <c r="G38" s="314" t="str">
        <f>IF('SEGUIMIENTO Y MONITOREO'!J38="NA","NA",'SEGUIMIENTO Y MONITOREO'!N38)</f>
        <v/>
      </c>
      <c r="H38" s="624"/>
      <c r="I38" s="314" t="str">
        <f>IF('SEGUIMIENTO Y MONITOREO'!T38="NA","NA",'SEGUIMIENTO Y MONITOREO'!X38)</f>
        <v/>
      </c>
      <c r="J38" s="624"/>
      <c r="K38" s="314" t="str">
        <f>IF('SEGUIMIENTO Y MONITOREO'!AD38="NA","NA",'SEGUIMIENTO Y MONITOREO'!AH38)</f>
        <v/>
      </c>
      <c r="L38" s="624"/>
      <c r="M38" s="624"/>
      <c r="N38" s="622"/>
      <c r="O38" s="622"/>
    </row>
    <row r="39" spans="1:15" ht="51" customHeight="1" x14ac:dyDescent="0.2">
      <c r="A39" s="623" t="str">
        <f>'SEGUIMIENTO Y MONITOREO'!A39:A41</f>
        <v>11G</v>
      </c>
      <c r="B39" s="578" t="str">
        <f>'SEGUIMIENTO Y MONITOREO'!B39:B41</f>
        <v>Gestión Academica. Pérdida de Registro Calificado de los Programas Académicos.</v>
      </c>
      <c r="C39" s="82" t="str">
        <f>'SEGUIMIENTO Y MONITOREO'!D39</f>
        <v xml:space="preserve">1. Mejorar las estrategias de seguimiento del proceso. </v>
      </c>
      <c r="D39" s="82" t="str">
        <f>'SEGUIMIENTO Y MONITOREO'!E39</f>
        <v>Documento con las estrategía</v>
      </c>
      <c r="E39" s="128">
        <f>'SEGUIMIENTO Y MONITOREO'!G39</f>
        <v>42576</v>
      </c>
      <c r="F39" s="128">
        <f>'SEGUIMIENTO Y MONITOREO'!H39</f>
        <v>42714</v>
      </c>
      <c r="G39" s="388" t="str">
        <f>IF('SEGUIMIENTO Y MONITOREO'!J39="NA","NA",'SEGUIMIENTO Y MONITOREO'!N39)</f>
        <v>NA</v>
      </c>
      <c r="H39" s="624" t="str">
        <f>'SEGUIMIENTO Y MONITOREO'!AR39</f>
        <v>NA</v>
      </c>
      <c r="I39" s="388">
        <f>IF('SEGUIMIENTO Y MONITOREO'!T39="NA","NA",'SEGUIMIENTO Y MONITOREO'!X39)</f>
        <v>0.05</v>
      </c>
      <c r="J39" s="624">
        <f>'SEGUIMIENTO Y MONITOREO'!AS39</f>
        <v>3.5000000000000003E-2</v>
      </c>
      <c r="K39" s="388">
        <f>IF('SEGUIMIENTO Y MONITOREO'!AD39="NA","NA",'SEGUIMIENTO Y MONITOREO'!AH39)</f>
        <v>0.05</v>
      </c>
      <c r="L39" s="624">
        <f>'SEGUIMIENTO Y MONITOREO'!AU39</f>
        <v>0.05</v>
      </c>
      <c r="M39" s="624">
        <f>'SEGUIMIENTO Y MONITOREO'!AW39</f>
        <v>0.05</v>
      </c>
      <c r="N39" s="622" t="str">
        <f>IF(M39="","",CONCATENATE(IF('SEGUIMIENTO Y MONITOREO'!AX39=0,"",'SEGUIMIENTO Y MONITOREO'!AX39),Datos!$Y$4,IF('SEGUIMIENTO Y MONITOREO'!AX40=0,"",'SEGUIMIENTO Y MONITOREO'!AX40),Datos!$Y$4,IF('SEGUIMIENTO Y MONITOREO'!AX41=0,"",'SEGUIMIENTO Y MONITOREO'!AX41)))</f>
        <v xml:space="preserve">Se perdio un registro calificado materializandose el riesgo, debido que no se  mejoró el seguimiento
Se perdio un registro calificado materializandose el riesgo, debido que no se  mejoró el seguimiento
</v>
      </c>
      <c r="O39" s="622"/>
    </row>
    <row r="40" spans="1:15" ht="51" customHeight="1" x14ac:dyDescent="0.2">
      <c r="A40" s="623"/>
      <c r="B40" s="578"/>
      <c r="C40" s="82" t="str">
        <f>'SEGUIMIENTO Y MONITOREO'!D40</f>
        <v>2. Automatizar tareas relacionadas con el proceso.</v>
      </c>
      <c r="D40" s="82" t="str">
        <f>'SEGUIMIENTO Y MONITOREO'!E40</f>
        <v>Herramienta de automatización</v>
      </c>
      <c r="E40" s="128">
        <f>'SEGUIMIENTO Y MONITOREO'!G40</f>
        <v>42576</v>
      </c>
      <c r="F40" s="128">
        <f>'SEGUIMIENTO Y MONITOREO'!H40</f>
        <v>42714</v>
      </c>
      <c r="G40" s="388" t="str">
        <f>IF('SEGUIMIENTO Y MONITOREO'!J40="NA","NA",'SEGUIMIENTO Y MONITOREO'!N40)</f>
        <v>NA</v>
      </c>
      <c r="H40" s="624"/>
      <c r="I40" s="388">
        <f>IF('SEGUIMIENTO Y MONITOREO'!T40="NA","NA",'SEGUIMIENTO Y MONITOREO'!X40)</f>
        <v>0.02</v>
      </c>
      <c r="J40" s="624"/>
      <c r="K40" s="388">
        <f>IF('SEGUIMIENTO Y MONITOREO'!AD40="NA","NA",'SEGUIMIENTO Y MONITOREO'!AH40)</f>
        <v>0.05</v>
      </c>
      <c r="L40" s="624"/>
      <c r="M40" s="624"/>
      <c r="N40" s="622"/>
      <c r="O40" s="622"/>
    </row>
    <row r="41" spans="1:15" x14ac:dyDescent="0.2">
      <c r="A41" s="623"/>
      <c r="B41" s="578"/>
      <c r="C41" s="82" t="str">
        <f>'SEGUIMIENTO Y MONITOREO'!D41</f>
        <v/>
      </c>
      <c r="D41" s="82" t="str">
        <f>'SEGUIMIENTO Y MONITOREO'!E41</f>
        <v/>
      </c>
      <c r="E41" s="128" t="str">
        <f>'SEGUIMIENTO Y MONITOREO'!G41</f>
        <v/>
      </c>
      <c r="F41" s="128" t="str">
        <f>'SEGUIMIENTO Y MONITOREO'!H41</f>
        <v/>
      </c>
      <c r="G41" s="388" t="str">
        <f>IF('SEGUIMIENTO Y MONITOREO'!J41="NA","NA",'SEGUIMIENTO Y MONITOREO'!N41)</f>
        <v/>
      </c>
      <c r="H41" s="624"/>
      <c r="I41" s="388" t="str">
        <f>IF('SEGUIMIENTO Y MONITOREO'!T41="NA","NA",'SEGUIMIENTO Y MONITOREO'!X41)</f>
        <v/>
      </c>
      <c r="J41" s="624"/>
      <c r="K41" s="388" t="str">
        <f>IF('SEGUIMIENTO Y MONITOREO'!AD41="NA","NA",'SEGUIMIENTO Y MONITOREO'!AH41)</f>
        <v/>
      </c>
      <c r="L41" s="624"/>
      <c r="M41" s="624"/>
      <c r="N41" s="622"/>
      <c r="O41" s="622"/>
    </row>
    <row r="42" spans="1:15" ht="51" customHeight="1" x14ac:dyDescent="0.2">
      <c r="A42" s="623" t="str">
        <f>'SEGUIMIENTO Y MONITOREO'!A42:A44</f>
        <v>12G</v>
      </c>
      <c r="B42" s="578" t="str">
        <f>'SEGUIMIENTO Y MONITOREO'!B42:B44</f>
        <v>Gestión Academica. Formulación inadecuada de políticas.</v>
      </c>
      <c r="C42" s="82" t="str">
        <f>'SEGUIMIENTO Y MONITOREO'!D42</f>
        <v>1. Desarrollar capacitaciones continuas y a todo el personal que ingrese, sobre la formulación de políticas</v>
      </c>
      <c r="D42" s="82" t="str">
        <f>'SEGUIMIENTO Y MONITOREO'!E42</f>
        <v>Actas de asistencia a capacitación</v>
      </c>
      <c r="E42" s="128">
        <f>'SEGUIMIENTO Y MONITOREO'!G42</f>
        <v>42506</v>
      </c>
      <c r="F42" s="128">
        <f>'SEGUIMIENTO Y MONITOREO'!H42</f>
        <v>42714</v>
      </c>
      <c r="G42" s="388" t="str">
        <f>IF('SEGUIMIENTO Y MONITOREO'!J42="NA","NA",'SEGUIMIENTO Y MONITOREO'!N42)</f>
        <v>NA</v>
      </c>
      <c r="H42" s="624" t="str">
        <f>'SEGUIMIENTO Y MONITOREO'!AR42</f>
        <v>NA</v>
      </c>
      <c r="I42" s="388">
        <f>IF('SEGUIMIENTO Y MONITOREO'!T42="NA","NA",'SEGUIMIENTO Y MONITOREO'!X42)</f>
        <v>0.05</v>
      </c>
      <c r="J42" s="624">
        <f>'SEGUIMIENTO Y MONITOREO'!AS42</f>
        <v>0.05</v>
      </c>
      <c r="K42" s="388">
        <f>IF('SEGUIMIENTO Y MONITOREO'!AD42="NA","NA",'SEGUIMIENTO Y MONITOREO'!AH42)</f>
        <v>0.4</v>
      </c>
      <c r="L42" s="624">
        <f>'SEGUIMIENTO Y MONITOREO'!AU42</f>
        <v>0.4</v>
      </c>
      <c r="M42" s="624">
        <f>'SEGUIMIENTO Y MONITOREO'!AW42</f>
        <v>0.4</v>
      </c>
      <c r="N42" s="622" t="str">
        <f>IF(M42="","",CONCATENATE(IF('SEGUIMIENTO Y MONITOREO'!AX42=0,"",'SEGUIMIENTO Y MONITOREO'!AX42),Datos!$Y$4,IF('SEGUIMIENTO Y MONITOREO'!AX43=0,"",'SEGUIMIENTO Y MONITOREO'!AX43),Datos!$Y$4,IF('SEGUIMIENTO Y MONITOREO'!AX44=0,"",'SEGUIMIENTO Y MONITOREO'!AX44)))</f>
        <v xml:space="preserve">Inducción a docentes nuevos, reuniones con decanos
</v>
      </c>
      <c r="O42" s="622"/>
    </row>
    <row r="43" spans="1:15" ht="51" customHeight="1" x14ac:dyDescent="0.2">
      <c r="A43" s="623"/>
      <c r="B43" s="578"/>
      <c r="C43" s="82" t="str">
        <f>'SEGUIMIENTO Y MONITOREO'!D43</f>
        <v/>
      </c>
      <c r="D43" s="82" t="str">
        <f>'SEGUIMIENTO Y MONITOREO'!E43</f>
        <v/>
      </c>
      <c r="E43" s="128" t="str">
        <f>'SEGUIMIENTO Y MONITOREO'!G43</f>
        <v/>
      </c>
      <c r="F43" s="128" t="str">
        <f>'SEGUIMIENTO Y MONITOREO'!H43</f>
        <v/>
      </c>
      <c r="G43" s="388" t="str">
        <f>IF('SEGUIMIENTO Y MONITOREO'!J43="NA","NA",'SEGUIMIENTO Y MONITOREO'!N43)</f>
        <v/>
      </c>
      <c r="H43" s="624"/>
      <c r="I43" s="388" t="str">
        <f>IF('SEGUIMIENTO Y MONITOREO'!T43="NA","NA",'SEGUIMIENTO Y MONITOREO'!X43)</f>
        <v/>
      </c>
      <c r="J43" s="624"/>
      <c r="K43" s="388" t="str">
        <f>IF('SEGUIMIENTO Y MONITOREO'!AD43="NA","NA",'SEGUIMIENTO Y MONITOREO'!AH43)</f>
        <v/>
      </c>
      <c r="L43" s="624"/>
      <c r="M43" s="624"/>
      <c r="N43" s="622"/>
      <c r="O43" s="622"/>
    </row>
    <row r="44" spans="1:15" x14ac:dyDescent="0.2">
      <c r="A44" s="623"/>
      <c r="B44" s="578"/>
      <c r="C44" s="82" t="str">
        <f>'SEGUIMIENTO Y MONITOREO'!D44</f>
        <v/>
      </c>
      <c r="D44" s="82" t="str">
        <f>'SEGUIMIENTO Y MONITOREO'!E44</f>
        <v/>
      </c>
      <c r="E44" s="128" t="str">
        <f>'SEGUIMIENTO Y MONITOREO'!G44</f>
        <v/>
      </c>
      <c r="F44" s="128" t="str">
        <f>'SEGUIMIENTO Y MONITOREO'!H44</f>
        <v/>
      </c>
      <c r="G44" s="388" t="str">
        <f>IF('SEGUIMIENTO Y MONITOREO'!J44="NA","NA",'SEGUIMIENTO Y MONITOREO'!N44)</f>
        <v/>
      </c>
      <c r="H44" s="624"/>
      <c r="I44" s="388" t="str">
        <f>IF('SEGUIMIENTO Y MONITOREO'!T44="NA","NA",'SEGUIMIENTO Y MONITOREO'!X44)</f>
        <v/>
      </c>
      <c r="J44" s="624"/>
      <c r="K44" s="388" t="str">
        <f>IF('SEGUIMIENTO Y MONITOREO'!AD44="NA","NA",'SEGUIMIENTO Y MONITOREO'!AH44)</f>
        <v/>
      </c>
      <c r="L44" s="624"/>
      <c r="M44" s="624"/>
      <c r="N44" s="622"/>
      <c r="O44" s="622"/>
    </row>
    <row r="45" spans="1:15" ht="51" customHeight="1" x14ac:dyDescent="0.2">
      <c r="A45" s="623" t="str">
        <f>'SEGUIMIENTO Y MONITOREO'!A45:A47</f>
        <v>13G</v>
      </c>
      <c r="B45" s="578" t="str">
        <f>'SEGUIMIENTO Y MONITOREO'!B45:B47</f>
        <v>Gestión Academica. Aplicación inadecuada de la normatividad en el desarrollo de los diferentes procesos academicos de los programas.</v>
      </c>
      <c r="C45" s="82" t="str">
        <f>'SEGUIMIENTO Y MONITOREO'!D45</f>
        <v>1. Desarrollar capacitaciones continuas y a todo el personal que ingrese, sobre la normativas internas y externas</v>
      </c>
      <c r="D45" s="82" t="str">
        <f>'SEGUIMIENTO Y MONITOREO'!E45</f>
        <v>Actas de asistencia a capacitación</v>
      </c>
      <c r="E45" s="128">
        <f>'SEGUIMIENTO Y MONITOREO'!G45</f>
        <v>42506</v>
      </c>
      <c r="F45" s="128">
        <f>'SEGUIMIENTO Y MONITOREO'!H45</f>
        <v>42714</v>
      </c>
      <c r="G45" s="388" t="str">
        <f>IF('SEGUIMIENTO Y MONITOREO'!J45="NA","NA",'SEGUIMIENTO Y MONITOREO'!N45)</f>
        <v>NA</v>
      </c>
      <c r="H45" s="624" t="str">
        <f>'SEGUIMIENTO Y MONITOREO'!AR45</f>
        <v>NA</v>
      </c>
      <c r="I45" s="388">
        <f>IF('SEGUIMIENTO Y MONITOREO'!T45="NA","NA",'SEGUIMIENTO Y MONITOREO'!X45)</f>
        <v>0.05</v>
      </c>
      <c r="J45" s="624">
        <f>'SEGUIMIENTO Y MONITOREO'!AS45</f>
        <v>0.05</v>
      </c>
      <c r="K45" s="388">
        <f>IF('SEGUIMIENTO Y MONITOREO'!AD45="NA","NA",'SEGUIMIENTO Y MONITOREO'!AH45)</f>
        <v>0.4</v>
      </c>
      <c r="L45" s="624">
        <f>'SEGUIMIENTO Y MONITOREO'!AU45</f>
        <v>0.4</v>
      </c>
      <c r="M45" s="624">
        <f>'SEGUIMIENTO Y MONITOREO'!AW45</f>
        <v>0.4</v>
      </c>
      <c r="N45" s="622" t="str">
        <f>IF(M45="","",CONCATENATE(IF('SEGUIMIENTO Y MONITOREO'!AX45=0,"",'SEGUIMIENTO Y MONITOREO'!AX45),Datos!$Y$4,IF('SEGUIMIENTO Y MONITOREO'!AX46=0,"",'SEGUIMIENTO Y MONITOREO'!AX46),Datos!$Y$4,IF('SEGUIMIENTO Y MONITOREO'!AX47=0,"",'SEGUIMIENTO Y MONITOREO'!AX47)))</f>
        <v xml:space="preserve">Inducción a docentes nuevos, reuniones con decanos
</v>
      </c>
      <c r="O45" s="622"/>
    </row>
    <row r="46" spans="1:15" ht="51" customHeight="1" x14ac:dyDescent="0.2">
      <c r="A46" s="623"/>
      <c r="B46" s="578"/>
      <c r="C46" s="82" t="str">
        <f>'SEGUIMIENTO Y MONITOREO'!D46</f>
        <v/>
      </c>
      <c r="D46" s="82" t="str">
        <f>'SEGUIMIENTO Y MONITOREO'!E46</f>
        <v/>
      </c>
      <c r="E46" s="128" t="str">
        <f>'SEGUIMIENTO Y MONITOREO'!G46</f>
        <v/>
      </c>
      <c r="F46" s="128" t="str">
        <f>'SEGUIMIENTO Y MONITOREO'!H46</f>
        <v/>
      </c>
      <c r="G46" s="388" t="str">
        <f>IF('SEGUIMIENTO Y MONITOREO'!J46="NA","NA",'SEGUIMIENTO Y MONITOREO'!N46)</f>
        <v/>
      </c>
      <c r="H46" s="624"/>
      <c r="I46" s="388" t="str">
        <f>IF('SEGUIMIENTO Y MONITOREO'!T46="NA","NA",'SEGUIMIENTO Y MONITOREO'!X46)</f>
        <v/>
      </c>
      <c r="J46" s="624"/>
      <c r="K46" s="388" t="str">
        <f>IF('SEGUIMIENTO Y MONITOREO'!AD46="NA","NA",'SEGUIMIENTO Y MONITOREO'!AH46)</f>
        <v/>
      </c>
      <c r="L46" s="624"/>
      <c r="M46" s="624"/>
      <c r="N46" s="622"/>
      <c r="O46" s="622"/>
    </row>
    <row r="47" spans="1:15" x14ac:dyDescent="0.2">
      <c r="A47" s="623"/>
      <c r="B47" s="578"/>
      <c r="C47" s="82" t="str">
        <f>'SEGUIMIENTO Y MONITOREO'!D47</f>
        <v/>
      </c>
      <c r="D47" s="82" t="str">
        <f>'SEGUIMIENTO Y MONITOREO'!E47</f>
        <v/>
      </c>
      <c r="E47" s="128" t="str">
        <f>'SEGUIMIENTO Y MONITOREO'!G47</f>
        <v/>
      </c>
      <c r="F47" s="128" t="str">
        <f>'SEGUIMIENTO Y MONITOREO'!H47</f>
        <v/>
      </c>
      <c r="G47" s="388" t="str">
        <f>IF('SEGUIMIENTO Y MONITOREO'!J47="NA","NA",'SEGUIMIENTO Y MONITOREO'!N47)</f>
        <v/>
      </c>
      <c r="H47" s="624"/>
      <c r="I47" s="388" t="str">
        <f>IF('SEGUIMIENTO Y MONITOREO'!T47="NA","NA",'SEGUIMIENTO Y MONITOREO'!X47)</f>
        <v/>
      </c>
      <c r="J47" s="624"/>
      <c r="K47" s="388" t="str">
        <f>IF('SEGUIMIENTO Y MONITOREO'!AD47="NA","NA",'SEGUIMIENTO Y MONITOREO'!AH47)</f>
        <v/>
      </c>
      <c r="L47" s="624"/>
      <c r="M47" s="624"/>
      <c r="N47" s="622"/>
      <c r="O47" s="622"/>
    </row>
    <row r="48" spans="1:15" ht="51" customHeight="1" x14ac:dyDescent="0.2">
      <c r="A48" s="623" t="str">
        <f>'SEGUIMIENTO Y MONITOREO'!A48:A50</f>
        <v>14G</v>
      </c>
      <c r="B48" s="578" t="str">
        <f>'SEGUIMIENTO Y MONITOREO'!B48:B50</f>
        <v>Gestión Academica. Deterioro en la calidad de los programas académicos por necesidades de recursos no cubiertas.</v>
      </c>
      <c r="C48" s="82" t="str">
        <f>'SEGUIMIENTO Y MONITOREO'!D48</f>
        <v>Implementar herramientas automatizadas para el seguimiento a los planes de mejoramiento de los programas academicos</v>
      </c>
      <c r="D48" s="82" t="str">
        <f>'SEGUIMIENTO Y MONITOREO'!E48</f>
        <v>Herramienta de automatización</v>
      </c>
      <c r="E48" s="128">
        <f>'SEGUIMIENTO Y MONITOREO'!G48</f>
        <v>42576</v>
      </c>
      <c r="F48" s="128">
        <f>'SEGUIMIENTO Y MONITOREO'!H48</f>
        <v>42941</v>
      </c>
      <c r="G48" s="388" t="str">
        <f>IF('SEGUIMIENTO Y MONITOREO'!J48="NA","NA",'SEGUIMIENTO Y MONITOREO'!N48)</f>
        <v>NA</v>
      </c>
      <c r="H48" s="624" t="str">
        <f>'SEGUIMIENTO Y MONITOREO'!AR48</f>
        <v>NA</v>
      </c>
      <c r="I48" s="388">
        <f>IF('SEGUIMIENTO Y MONITOREO'!T48="NA","NA",'SEGUIMIENTO Y MONITOREO'!X48)</f>
        <v>0.02</v>
      </c>
      <c r="J48" s="624">
        <f>'SEGUIMIENTO Y MONITOREO'!AS48</f>
        <v>0.02</v>
      </c>
      <c r="K48" s="388">
        <f>IF('SEGUIMIENTO Y MONITOREO'!AD48="NA","NA",'SEGUIMIENTO Y MONITOREO'!AH48)</f>
        <v>0.1</v>
      </c>
      <c r="L48" s="624">
        <f>'SEGUIMIENTO Y MONITOREO'!AU48</f>
        <v>0.10000000000000002</v>
      </c>
      <c r="M48" s="624">
        <f>'SEGUIMIENTO Y MONITOREO'!AW48</f>
        <v>0.10000000000000002</v>
      </c>
      <c r="N48" s="622" t="str">
        <f>IF(M48="","",CONCATENATE(IF('SEGUIMIENTO Y MONITOREO'!AX48=0,"",'SEGUIMIENTO Y MONITOREO'!AX48),Datos!$Y$4,IF('SEGUIMIENTO Y MONITOREO'!AX49=0,"",'SEGUIMIENTO Y MONITOREO'!AX49),Datos!$Y$4,IF('SEGUIMIENTO Y MONITOREO'!AX50=0,"",'SEGUIMIENTO Y MONITOREO'!AX50)))</f>
        <v xml:space="preserve">Analisis para revisar las necesidades de programas academicos
</v>
      </c>
      <c r="O48" s="622"/>
    </row>
    <row r="49" spans="1:15" ht="51" customHeight="1" x14ac:dyDescent="0.2">
      <c r="A49" s="623"/>
      <c r="B49" s="578"/>
      <c r="C49" s="82" t="str">
        <f>'SEGUIMIENTO Y MONITOREO'!D49</f>
        <v/>
      </c>
      <c r="D49" s="82" t="str">
        <f>'SEGUIMIENTO Y MONITOREO'!E49</f>
        <v/>
      </c>
      <c r="E49" s="128" t="str">
        <f>'SEGUIMIENTO Y MONITOREO'!G49</f>
        <v/>
      </c>
      <c r="F49" s="128" t="str">
        <f>'SEGUIMIENTO Y MONITOREO'!H49</f>
        <v/>
      </c>
      <c r="G49" s="388" t="str">
        <f>IF('SEGUIMIENTO Y MONITOREO'!J49="NA","NA",'SEGUIMIENTO Y MONITOREO'!N49)</f>
        <v/>
      </c>
      <c r="H49" s="624"/>
      <c r="I49" s="388" t="str">
        <f>IF('SEGUIMIENTO Y MONITOREO'!T49="NA","NA",'SEGUIMIENTO Y MONITOREO'!X49)</f>
        <v/>
      </c>
      <c r="J49" s="624"/>
      <c r="K49" s="388" t="str">
        <f>IF('SEGUIMIENTO Y MONITOREO'!AD49="NA","NA",'SEGUIMIENTO Y MONITOREO'!AH49)</f>
        <v/>
      </c>
      <c r="L49" s="624"/>
      <c r="M49" s="624"/>
      <c r="N49" s="622"/>
      <c r="O49" s="622"/>
    </row>
    <row r="50" spans="1:15" x14ac:dyDescent="0.2">
      <c r="A50" s="623"/>
      <c r="B50" s="578"/>
      <c r="C50" s="82" t="str">
        <f>'SEGUIMIENTO Y MONITOREO'!D50</f>
        <v/>
      </c>
      <c r="D50" s="82" t="str">
        <f>'SEGUIMIENTO Y MONITOREO'!E50</f>
        <v/>
      </c>
      <c r="E50" s="128" t="str">
        <f>'SEGUIMIENTO Y MONITOREO'!G50</f>
        <v/>
      </c>
      <c r="F50" s="128" t="str">
        <f>'SEGUIMIENTO Y MONITOREO'!H50</f>
        <v/>
      </c>
      <c r="G50" s="388" t="str">
        <f>IF('SEGUIMIENTO Y MONITOREO'!J50="NA","NA",'SEGUIMIENTO Y MONITOREO'!N50)</f>
        <v/>
      </c>
      <c r="H50" s="624"/>
      <c r="I50" s="388" t="str">
        <f>IF('SEGUIMIENTO Y MONITOREO'!T50="NA","NA",'SEGUIMIENTO Y MONITOREO'!X50)</f>
        <v/>
      </c>
      <c r="J50" s="624"/>
      <c r="K50" s="388" t="str">
        <f>IF('SEGUIMIENTO Y MONITOREO'!AD50="NA","NA",'SEGUIMIENTO Y MONITOREO'!AH50)</f>
        <v/>
      </c>
      <c r="L50" s="624"/>
      <c r="M50" s="624"/>
      <c r="N50" s="622"/>
      <c r="O50" s="622"/>
    </row>
    <row r="51" spans="1:15" ht="51" customHeight="1" x14ac:dyDescent="0.2">
      <c r="A51" s="623" t="str">
        <f>'SEGUIMIENTO Y MONITOREO'!A51:A53</f>
        <v>15G</v>
      </c>
      <c r="B51" s="578" t="str">
        <f>'SEGUIMIENTO Y MONITOREO'!B51:B53</f>
        <v xml:space="preserve">Gestión de Investigación. No fomentar la actividad investigativa en la Universidad.  </v>
      </c>
      <c r="C51" s="82" t="str">
        <f>'SEGUIMIENTO Y MONITOREO'!D51</f>
        <v>Monitorear las necesidades de los grupos de investigación</v>
      </c>
      <c r="D51" s="82" t="str">
        <f>'SEGUIMIENTO Y MONITOREO'!E51</f>
        <v>Grupos que reciben financiación para personal, insumos, infraestructura, mobiliario y equipos (SIVI)</v>
      </c>
      <c r="E51" s="128">
        <f>'SEGUIMIENTO Y MONITOREO'!G51</f>
        <v>42388</v>
      </c>
      <c r="F51" s="128">
        <f>'SEGUIMIENTO Y MONITOREO'!H51</f>
        <v>42723</v>
      </c>
      <c r="G51" s="388">
        <f>IF('SEGUIMIENTO Y MONITOREO'!J51="NA","NA",'SEGUIMIENTO Y MONITOREO'!N51)</f>
        <v>1</v>
      </c>
      <c r="H51" s="624">
        <f>'SEGUIMIENTO Y MONITOREO'!AR51</f>
        <v>0.58333333333333326</v>
      </c>
      <c r="I51" s="388">
        <f>IF('SEGUIMIENTO Y MONITOREO'!T51="NA","NA",'SEGUIMIENTO Y MONITOREO'!X51)</f>
        <v>1</v>
      </c>
      <c r="J51" s="624">
        <f>'SEGUIMIENTO Y MONITOREO'!AS51</f>
        <v>0.71666666666666667</v>
      </c>
      <c r="K51" s="388">
        <f>IF('SEGUIMIENTO Y MONITOREO'!AD51="NA","NA",'SEGUIMIENTO Y MONITOREO'!AH51)</f>
        <v>1</v>
      </c>
      <c r="L51" s="624">
        <f>'SEGUIMIENTO Y MONITOREO'!AU51</f>
        <v>0.98333333333333339</v>
      </c>
      <c r="M51" s="624">
        <f>'SEGUIMIENTO Y MONITOREO'!AW51</f>
        <v>0.98333333333333339</v>
      </c>
      <c r="N51" s="622" t="str">
        <f>IF(M51="","",CONCATENATE(IF('SEGUIMIENTO Y MONITOREO'!AX51=0,"",'SEGUIMIENTO Y MONITOREO'!AX51),Datos!$Y$4,IF('SEGUIMIENTO Y MONITOREO'!AX52=0,"",'SEGUIMIENTO Y MONITOREO'!AX52),Datos!$Y$4,IF('SEGUIMIENTO Y MONITOREO'!AX53=0,"",'SEGUIMIENTO Y MONITOREO'!AX53)))</f>
        <v xml:space="preserve">Contratación asistentes de apoyo, ayudantes y suscripción ELSEVIER
Desde el mes de Enero se inició el desarrollo de los proyectos y programas previstos en el Plan de Acción.
En el SIVI se han implementado las siguientes mejoras: 
Control de pagos de ordenes.
Alertas a las ordenes a punto de vencerse y vencidas.
Reprogramación del módulo de movilidad
</v>
      </c>
      <c r="O51" s="622"/>
    </row>
    <row r="52" spans="1:15" ht="51" customHeight="1" x14ac:dyDescent="0.2">
      <c r="A52" s="623"/>
      <c r="B52" s="578"/>
      <c r="C52" s="82" t="str">
        <f>'SEGUIMIENTO Y MONITOREO'!D52</f>
        <v>Realizar seguimiento a la ejecución de las actividades programadas para investigación</v>
      </c>
      <c r="D52" s="82" t="str">
        <f>'SEGUIMIENTO Y MONITOREO'!E52</f>
        <v xml:space="preserve">Actas de seguimiento a Proyectos del Plan de Acción (DE-F08) </v>
      </c>
      <c r="E52" s="128">
        <f>'SEGUIMIENTO Y MONITOREO'!G52</f>
        <v>42388</v>
      </c>
      <c r="F52" s="128">
        <f>'SEGUIMIENTO Y MONITOREO'!H52</f>
        <v>42723</v>
      </c>
      <c r="G52" s="388">
        <f>IF('SEGUIMIENTO Y MONITOREO'!J52="NA","NA",'SEGUIMIENTO Y MONITOREO'!N52)</f>
        <v>0.5</v>
      </c>
      <c r="H52" s="624"/>
      <c r="I52" s="388">
        <f>IF('SEGUIMIENTO Y MONITOREO'!T52="NA","NA",'SEGUIMIENTO Y MONITOREO'!X52)</f>
        <v>0.5</v>
      </c>
      <c r="J52" s="624"/>
      <c r="K52" s="388">
        <f>IF('SEGUIMIENTO Y MONITOREO'!AD52="NA","NA",'SEGUIMIENTO Y MONITOREO'!AH52)</f>
        <v>1</v>
      </c>
      <c r="L52" s="624"/>
      <c r="M52" s="624"/>
      <c r="N52" s="622"/>
      <c r="O52" s="622"/>
    </row>
    <row r="53" spans="1:15" ht="15" customHeight="1" x14ac:dyDescent="0.2">
      <c r="A53" s="623"/>
      <c r="B53" s="578"/>
      <c r="C53" s="82" t="str">
        <f>'SEGUIMIENTO Y MONITOREO'!D53</f>
        <v>Mejorar el sistema de información SIVI</v>
      </c>
      <c r="D53" s="82" t="str">
        <f>'SEGUIMIENTO Y MONITOREO'!E53</f>
        <v>Control de recursos e indicadores del Plan de acción en el SIVI</v>
      </c>
      <c r="E53" s="128">
        <f>'SEGUIMIENTO Y MONITOREO'!G53</f>
        <v>42388</v>
      </c>
      <c r="F53" s="128">
        <f>'SEGUIMIENTO Y MONITOREO'!H53</f>
        <v>42723</v>
      </c>
      <c r="G53" s="388">
        <f>IF('SEGUIMIENTO Y MONITOREO'!J53="NA","NA",'SEGUIMIENTO Y MONITOREO'!N53)</f>
        <v>0.25</v>
      </c>
      <c r="H53" s="624"/>
      <c r="I53" s="388">
        <f>IF('SEGUIMIENTO Y MONITOREO'!T53="NA","NA",'SEGUIMIENTO Y MONITOREO'!X53)</f>
        <v>0.65</v>
      </c>
      <c r="J53" s="624"/>
      <c r="K53" s="388">
        <f>IF('SEGUIMIENTO Y MONITOREO'!AD53="NA","NA",'SEGUIMIENTO Y MONITOREO'!AH53)</f>
        <v>0.95</v>
      </c>
      <c r="L53" s="624"/>
      <c r="M53" s="624"/>
      <c r="N53" s="622"/>
      <c r="O53" s="622"/>
    </row>
    <row r="54" spans="1:15" ht="51" customHeight="1" x14ac:dyDescent="0.2">
      <c r="A54" s="623" t="str">
        <f>'SEGUIMIENTO Y MONITOREO'!A54:A56</f>
        <v>16G</v>
      </c>
      <c r="B54" s="578" t="str">
        <f>'SEGUIMIENTO Y MONITOREO'!B54:B56</f>
        <v>Gestión de Investigación. Deficiente cumplimiento del plan de acción de la Vicerrectoría de Investigación</v>
      </c>
      <c r="C54" s="82" t="str">
        <f>'SEGUIMIENTO Y MONITOREO'!D54</f>
        <v>Realizar Seguimiento al plan de acción</v>
      </c>
      <c r="D54" s="82" t="str">
        <f>'SEGUIMIENTO Y MONITOREO'!E54</f>
        <v xml:space="preserve">Actas de seguimiento a Proyectos del Plan de Acción (DE-F08) </v>
      </c>
      <c r="E54" s="128">
        <f>'SEGUIMIENTO Y MONITOREO'!G54</f>
        <v>42388</v>
      </c>
      <c r="F54" s="128">
        <f>'SEGUIMIENTO Y MONITOREO'!H54</f>
        <v>42723</v>
      </c>
      <c r="G54" s="388">
        <f>IF('SEGUIMIENTO Y MONITOREO'!J54="NA","NA",'SEGUIMIENTO Y MONITOREO'!N54)</f>
        <v>0</v>
      </c>
      <c r="H54" s="624">
        <f>'SEGUIMIENTO Y MONITOREO'!AR54</f>
        <v>8.3333333333333343E-2</v>
      </c>
      <c r="I54" s="388">
        <f>IF('SEGUIMIENTO Y MONITOREO'!T54="NA","NA",'SEGUIMIENTO Y MONITOREO'!X54)</f>
        <v>0.5</v>
      </c>
      <c r="J54" s="624">
        <f>'SEGUIMIENTO Y MONITOREO'!AS54</f>
        <v>0.5</v>
      </c>
      <c r="K54" s="388">
        <f>IF('SEGUIMIENTO Y MONITOREO'!AD54="NA","NA",'SEGUIMIENTO Y MONITOREO'!AH54)</f>
        <v>1</v>
      </c>
      <c r="L54" s="624">
        <f>'SEGUIMIENTO Y MONITOREO'!AU54</f>
        <v>0.91666666666666663</v>
      </c>
      <c r="M54" s="624">
        <f>'SEGUIMIENTO Y MONITOREO'!AW54</f>
        <v>0.91666666666666663</v>
      </c>
      <c r="N54" s="622" t="str">
        <f>IF(M54="","",CONCATENATE(IF('SEGUIMIENTO Y MONITOREO'!AX54=0,"",'SEGUIMIENTO Y MONITOREO'!AX54),Datos!$Y$4,IF('SEGUIMIENTO Y MONITOREO'!AX55=0,"",'SEGUIMIENTO Y MONITOREO'!AX55),Datos!$Y$4,IF('SEGUIMIENTO Y MONITOREO'!AX56=0,"",'SEGUIMIENTO Y MONITOREO'!AX56)))</f>
        <v>Desde el mes de Enero se inició el desarrollo de los proyectos y programas previstos en el Plan de Acción.
En el sistema de INVERSIÓN de Planeación se está llevando el seguimiento al PAI.  
se realizaron 3 boletines.</v>
      </c>
      <c r="O54" s="622"/>
    </row>
    <row r="55" spans="1:15" ht="51" customHeight="1" x14ac:dyDescent="0.2">
      <c r="A55" s="623"/>
      <c r="B55" s="578"/>
      <c r="C55" s="82" t="str">
        <f>'SEGUIMIENTO Y MONITOREO'!D55</f>
        <v>hacer seguimiento a las tareas y compromisos adquiridos</v>
      </c>
      <c r="D55" s="82" t="str">
        <f>'SEGUIMIENTO Y MONITOREO'!E55</f>
        <v xml:space="preserve">Actas de seguimiento a Proyectos del Plan de Acción (DE-F08) </v>
      </c>
      <c r="E55" s="128">
        <f>'SEGUIMIENTO Y MONITOREO'!G55</f>
        <v>42388</v>
      </c>
      <c r="F55" s="128">
        <f>'SEGUIMIENTO Y MONITOREO'!H55</f>
        <v>42723</v>
      </c>
      <c r="G55" s="388">
        <f>IF('SEGUIMIENTO Y MONITOREO'!J55="NA","NA",'SEGUIMIENTO Y MONITOREO'!N55)</f>
        <v>0</v>
      </c>
      <c r="H55" s="624"/>
      <c r="I55" s="388">
        <f>IF('SEGUIMIENTO Y MONITOREO'!T55="NA","NA",'SEGUIMIENTO Y MONITOREO'!X55)</f>
        <v>0.5</v>
      </c>
      <c r="J55" s="624"/>
      <c r="K55" s="388">
        <f>IF('SEGUIMIENTO Y MONITOREO'!AD55="NA","NA",'SEGUIMIENTO Y MONITOREO'!AH55)</f>
        <v>1</v>
      </c>
      <c r="L55" s="624"/>
      <c r="M55" s="624"/>
      <c r="N55" s="622"/>
      <c r="O55" s="622"/>
    </row>
    <row r="56" spans="1:15" ht="15" customHeight="1" x14ac:dyDescent="0.2">
      <c r="A56" s="623"/>
      <c r="B56" s="578"/>
      <c r="C56" s="82" t="str">
        <f>'SEGUIMIENTO Y MONITOREO'!D56</f>
        <v>Realizar seguimiento a la publicaciones de boletines</v>
      </c>
      <c r="D56" s="82" t="str">
        <f>'SEGUIMIENTO Y MONITOREO'!E56</f>
        <v>Boletines de la VDI</v>
      </c>
      <c r="E56" s="128">
        <f>'SEGUIMIENTO Y MONITOREO'!G56</f>
        <v>42388</v>
      </c>
      <c r="F56" s="128">
        <f>'SEGUIMIENTO Y MONITOREO'!H56</f>
        <v>42723</v>
      </c>
      <c r="G56" s="388">
        <f>IF('SEGUIMIENTO Y MONITOREO'!J56="NA","NA",'SEGUIMIENTO Y MONITOREO'!N56)</f>
        <v>0.25</v>
      </c>
      <c r="H56" s="624"/>
      <c r="I56" s="388">
        <f>IF('SEGUIMIENTO Y MONITOREO'!T56="NA","NA",'SEGUIMIENTO Y MONITOREO'!X56)</f>
        <v>0.5</v>
      </c>
      <c r="J56" s="624"/>
      <c r="K56" s="388">
        <f>IF('SEGUIMIENTO Y MONITOREO'!AD56="NA","NA",'SEGUIMIENTO Y MONITOREO'!AH56)</f>
        <v>0.75</v>
      </c>
      <c r="L56" s="624"/>
      <c r="M56" s="624"/>
      <c r="N56" s="622"/>
      <c r="O56" s="622"/>
    </row>
    <row r="57" spans="1:15" ht="25.5" customHeight="1" x14ac:dyDescent="0.2">
      <c r="A57" s="623" t="str">
        <f>'SEGUIMIENTO Y MONITOREO'!A57:A59</f>
        <v>17G</v>
      </c>
      <c r="B57" s="578" t="str">
        <f>'SEGUIMIENTO Y MONITOREO'!B57:B59</f>
        <v>Gestión de Extensión y Proyección Social. Incumplimiento en los compromisos establecidos en la formalización de los proyectos.</v>
      </c>
      <c r="C57" s="82" t="str">
        <f>'SEGUIMIENTO Y MONITOREO'!D57</f>
        <v>Auto evaluación de los procesos.</v>
      </c>
      <c r="D57" s="82" t="str">
        <f>'SEGUIMIENTO Y MONITOREO'!E57</f>
        <v>Informes</v>
      </c>
      <c r="E57" s="128">
        <f>'SEGUIMIENTO Y MONITOREO'!G57</f>
        <v>42398</v>
      </c>
      <c r="F57" s="128">
        <f>'SEGUIMIENTO Y MONITOREO'!H57</f>
        <v>42704</v>
      </c>
      <c r="G57" s="388">
        <f>IF('SEGUIMIENTO Y MONITOREO'!J57="NA","NA",'SEGUIMIENTO Y MONITOREO'!N57)</f>
        <v>0</v>
      </c>
      <c r="H57" s="624">
        <f>'SEGUIMIENTO Y MONITOREO'!AR57</f>
        <v>0</v>
      </c>
      <c r="I57" s="388">
        <f>IF('SEGUIMIENTO Y MONITOREO'!T57="NA","NA",'SEGUIMIENTO Y MONITOREO'!X57)</f>
        <v>0.67</v>
      </c>
      <c r="J57" s="624">
        <f>'SEGUIMIENTO Y MONITOREO'!AS57</f>
        <v>0.67</v>
      </c>
      <c r="K57" s="388">
        <f>IF('SEGUIMIENTO Y MONITOREO'!AD57="NA","NA",'SEGUIMIENTO Y MONITOREO'!AH57)</f>
        <v>0.67</v>
      </c>
      <c r="L57" s="624">
        <f>'SEGUIMIENTO Y MONITOREO'!AU57</f>
        <v>0.67</v>
      </c>
      <c r="M57" s="624">
        <f>'SEGUIMIENTO Y MONITOREO'!AW57</f>
        <v>0.67</v>
      </c>
      <c r="N57" s="622" t="str">
        <f>IF(M57="","",CONCATENATE(IF('SEGUIMIENTO Y MONITOREO'!AX57=0,"",'SEGUIMIENTO Y MONITOREO'!AX57),Datos!$Y$4,IF('SEGUIMIENTO Y MONITOREO'!AX58=0,"",'SEGUIMIENTO Y MONITOREO'!AX58),Datos!$Y$4,IF('SEGUIMIENTO Y MONITOREO'!AX59=0,"",'SEGUIMIENTO Y MONITOREO'!AX59)))</f>
        <v xml:space="preserve">No se ejecuto esta accion al 100% pero se replntea para la actualizacion del mapa de riesgo 2017
</v>
      </c>
      <c r="O57" s="622"/>
    </row>
    <row r="58" spans="1:15" ht="51" customHeight="1" x14ac:dyDescent="0.2">
      <c r="A58" s="623"/>
      <c r="B58" s="578"/>
      <c r="C58" s="82" t="str">
        <f>'SEGUIMIENTO Y MONITOREO'!D58</f>
        <v/>
      </c>
      <c r="D58" s="82" t="str">
        <f>'SEGUIMIENTO Y MONITOREO'!E58</f>
        <v/>
      </c>
      <c r="E58" s="128" t="str">
        <f>'SEGUIMIENTO Y MONITOREO'!G58</f>
        <v/>
      </c>
      <c r="F58" s="128" t="str">
        <f>'SEGUIMIENTO Y MONITOREO'!H58</f>
        <v/>
      </c>
      <c r="G58" s="388" t="str">
        <f>IF('SEGUIMIENTO Y MONITOREO'!J58="NA","NA",'SEGUIMIENTO Y MONITOREO'!N58)</f>
        <v/>
      </c>
      <c r="H58" s="624"/>
      <c r="I58" s="388" t="str">
        <f>IF('SEGUIMIENTO Y MONITOREO'!T58="NA","NA",'SEGUIMIENTO Y MONITOREO'!X58)</f>
        <v/>
      </c>
      <c r="J58" s="624"/>
      <c r="K58" s="388" t="str">
        <f>IF('SEGUIMIENTO Y MONITOREO'!AD58="NA","NA",'SEGUIMIENTO Y MONITOREO'!AH58)</f>
        <v/>
      </c>
      <c r="L58" s="624"/>
      <c r="M58" s="624"/>
      <c r="N58" s="622"/>
      <c r="O58" s="622"/>
    </row>
    <row r="59" spans="1:15" x14ac:dyDescent="0.2">
      <c r="A59" s="623"/>
      <c r="B59" s="578"/>
      <c r="C59" s="82" t="str">
        <f>'SEGUIMIENTO Y MONITOREO'!D59</f>
        <v/>
      </c>
      <c r="D59" s="82" t="str">
        <f>'SEGUIMIENTO Y MONITOREO'!E59</f>
        <v/>
      </c>
      <c r="E59" s="128" t="str">
        <f>'SEGUIMIENTO Y MONITOREO'!G59</f>
        <v/>
      </c>
      <c r="F59" s="128" t="str">
        <f>'SEGUIMIENTO Y MONITOREO'!H59</f>
        <v/>
      </c>
      <c r="G59" s="388" t="str">
        <f>IF('SEGUIMIENTO Y MONITOREO'!J59="NA","NA",'SEGUIMIENTO Y MONITOREO'!N59)</f>
        <v/>
      </c>
      <c r="H59" s="624"/>
      <c r="I59" s="388" t="str">
        <f>IF('SEGUIMIENTO Y MONITOREO'!T59="NA","NA",'SEGUIMIENTO Y MONITOREO'!X59)</f>
        <v/>
      </c>
      <c r="J59" s="624"/>
      <c r="K59" s="388" t="str">
        <f>IF('SEGUIMIENTO Y MONITOREO'!AD59="NA","NA",'SEGUIMIENTO Y MONITOREO'!AH59)</f>
        <v/>
      </c>
      <c r="L59" s="624"/>
      <c r="M59" s="624"/>
      <c r="N59" s="622"/>
      <c r="O59" s="622"/>
    </row>
    <row r="60" spans="1:15" ht="51" customHeight="1" x14ac:dyDescent="0.2">
      <c r="A60" s="623" t="str">
        <f>'SEGUIMIENTO Y MONITOREO'!A60:A62</f>
        <v>18G</v>
      </c>
      <c r="B60" s="578" t="str">
        <f>'SEGUIMIENTO Y MONITOREO'!B60:B62</f>
        <v>Gestión de Extensión y Proyección Social. Limitada interacción e integración con las comunidades nacionales e internacionales en el fortalecimiento de la presencia de la Universidad en la vida social y cultural del país.</v>
      </c>
      <c r="C60" s="82" t="str">
        <f>'SEGUIMIENTO Y MONITOREO'!D60</f>
        <v>Seguir ejecutando y monitoreando los controles existentes.</v>
      </c>
      <c r="D60" s="82" t="str">
        <f>'SEGUIMIENTO Y MONITOREO'!E60</f>
        <v/>
      </c>
      <c r="E60" s="128" t="str">
        <f>'SEGUIMIENTO Y MONITOREO'!G60</f>
        <v/>
      </c>
      <c r="F60" s="128" t="str">
        <f>'SEGUIMIENTO Y MONITOREO'!H60</f>
        <v/>
      </c>
      <c r="G60" s="388" t="str">
        <f>IF('SEGUIMIENTO Y MONITOREO'!J60="NA","NA",'SEGUIMIENTO Y MONITOREO'!N60)</f>
        <v>NA</v>
      </c>
      <c r="H60" s="624" t="str">
        <f>'SEGUIMIENTO Y MONITOREO'!AR60</f>
        <v>NA</v>
      </c>
      <c r="I60" s="388" t="str">
        <f>IF('SEGUIMIENTO Y MONITOREO'!T60="NA","NA",'SEGUIMIENTO Y MONITOREO'!X60)</f>
        <v>NA</v>
      </c>
      <c r="J60" s="624" t="str">
        <f>'SEGUIMIENTO Y MONITOREO'!AS60</f>
        <v>NA</v>
      </c>
      <c r="K60" s="388" t="str">
        <f>IF('SEGUIMIENTO Y MONITOREO'!AD60="NA","NA",'SEGUIMIENTO Y MONITOREO'!AH60)</f>
        <v>NA</v>
      </c>
      <c r="L60" s="624" t="str">
        <f>'SEGUIMIENTO Y MONITOREO'!AU60</f>
        <v>NA</v>
      </c>
      <c r="M60" s="624" t="str">
        <f>'SEGUIMIENTO Y MONITOREO'!AW60</f>
        <v>NA</v>
      </c>
      <c r="N60" s="622" t="str">
        <f>IF(M60="","",CONCATENATE(IF('SEGUIMIENTO Y MONITOREO'!AX60=0,"",'SEGUIMIENTO Y MONITOREO'!AX60),Datos!$Y$4,IF('SEGUIMIENTO Y MONITOREO'!AX61=0,"",'SEGUIMIENTO Y MONITOREO'!AX61),Datos!$Y$4,IF('SEGUIMIENTO Y MONITOREO'!AX62=0,"",'SEGUIMIENTO Y MONITOREO'!AX62)))</f>
        <v xml:space="preserve">
</v>
      </c>
      <c r="O60" s="622"/>
    </row>
    <row r="61" spans="1:15" ht="51" customHeight="1" x14ac:dyDescent="0.2">
      <c r="A61" s="623"/>
      <c r="B61" s="578"/>
      <c r="C61" s="82" t="str">
        <f>'SEGUIMIENTO Y MONITOREO'!D61</f>
        <v/>
      </c>
      <c r="D61" s="82" t="str">
        <f>'SEGUIMIENTO Y MONITOREO'!E61</f>
        <v/>
      </c>
      <c r="E61" s="128" t="str">
        <f>'SEGUIMIENTO Y MONITOREO'!G61</f>
        <v/>
      </c>
      <c r="F61" s="128" t="str">
        <f>'SEGUIMIENTO Y MONITOREO'!H61</f>
        <v/>
      </c>
      <c r="G61" s="388" t="str">
        <f>IF('SEGUIMIENTO Y MONITOREO'!J61="NA","NA",'SEGUIMIENTO Y MONITOREO'!N61)</f>
        <v/>
      </c>
      <c r="H61" s="624"/>
      <c r="I61" s="388" t="str">
        <f>IF('SEGUIMIENTO Y MONITOREO'!T61="NA","NA",'SEGUIMIENTO Y MONITOREO'!X61)</f>
        <v/>
      </c>
      <c r="J61" s="624"/>
      <c r="K61" s="388" t="str">
        <f>IF('SEGUIMIENTO Y MONITOREO'!AD61="NA","NA",'SEGUIMIENTO Y MONITOREO'!AH61)</f>
        <v/>
      </c>
      <c r="L61" s="624"/>
      <c r="M61" s="624"/>
      <c r="N61" s="622"/>
      <c r="O61" s="622"/>
    </row>
    <row r="62" spans="1:15" x14ac:dyDescent="0.2">
      <c r="A62" s="623"/>
      <c r="B62" s="578"/>
      <c r="C62" s="82" t="str">
        <f>'SEGUIMIENTO Y MONITOREO'!D62</f>
        <v/>
      </c>
      <c r="D62" s="82" t="str">
        <f>'SEGUIMIENTO Y MONITOREO'!E62</f>
        <v/>
      </c>
      <c r="E62" s="128" t="str">
        <f>'SEGUIMIENTO Y MONITOREO'!G62</f>
        <v/>
      </c>
      <c r="F62" s="128" t="str">
        <f>'SEGUIMIENTO Y MONITOREO'!H62</f>
        <v/>
      </c>
      <c r="G62" s="388" t="str">
        <f>IF('SEGUIMIENTO Y MONITOREO'!J62="NA","NA",'SEGUIMIENTO Y MONITOREO'!N62)</f>
        <v/>
      </c>
      <c r="H62" s="624"/>
      <c r="I62" s="388" t="str">
        <f>IF('SEGUIMIENTO Y MONITOREO'!T62="NA","NA",'SEGUIMIENTO Y MONITOREO'!X62)</f>
        <v/>
      </c>
      <c r="J62" s="624"/>
      <c r="K62" s="388" t="str">
        <f>IF('SEGUIMIENTO Y MONITOREO'!AD62="NA","NA",'SEGUIMIENTO Y MONITOREO'!AH62)</f>
        <v/>
      </c>
      <c r="L62" s="624"/>
      <c r="M62" s="624"/>
      <c r="N62" s="622"/>
      <c r="O62" s="622"/>
    </row>
    <row r="63" spans="1:15" ht="51" customHeight="1" x14ac:dyDescent="0.2">
      <c r="A63" s="623" t="str">
        <f>'SEGUIMIENTO Y MONITOREO'!A63:A65</f>
        <v>19G</v>
      </c>
      <c r="B63" s="578" t="str">
        <f>'SEGUIMIENTO Y MONITOREO'!B63:B65</f>
        <v>Gestión de Extensión y Proyección Social. Interrupción en las actividades e incumplimiento de los proyectos de extensión y proyección social, en las zonas de influencia.</v>
      </c>
      <c r="C63" s="82" t="str">
        <f>'SEGUIMIENTO Y MONITOREO'!D63</f>
        <v>Seguir ejecutando y monitoreando los controles existentes.</v>
      </c>
      <c r="D63" s="82" t="str">
        <f>'SEGUIMIENTO Y MONITOREO'!E63</f>
        <v/>
      </c>
      <c r="E63" s="128" t="str">
        <f>'SEGUIMIENTO Y MONITOREO'!G63</f>
        <v/>
      </c>
      <c r="F63" s="128" t="str">
        <f>'SEGUIMIENTO Y MONITOREO'!H63</f>
        <v/>
      </c>
      <c r="G63" s="388" t="str">
        <f>IF('SEGUIMIENTO Y MONITOREO'!J63="NA","NA",'SEGUIMIENTO Y MONITOREO'!N63)</f>
        <v>NA</v>
      </c>
      <c r="H63" s="624" t="str">
        <f>'SEGUIMIENTO Y MONITOREO'!AR63</f>
        <v>NA</v>
      </c>
      <c r="I63" s="388" t="str">
        <f>IF('SEGUIMIENTO Y MONITOREO'!T63="NA","NA",'SEGUIMIENTO Y MONITOREO'!X63)</f>
        <v>NA</v>
      </c>
      <c r="J63" s="624" t="str">
        <f>'SEGUIMIENTO Y MONITOREO'!AS63</f>
        <v>NA</v>
      </c>
      <c r="K63" s="388" t="str">
        <f>IF('SEGUIMIENTO Y MONITOREO'!AD63="NA","NA",'SEGUIMIENTO Y MONITOREO'!AH63)</f>
        <v>NA</v>
      </c>
      <c r="L63" s="624" t="str">
        <f>'SEGUIMIENTO Y MONITOREO'!AU63</f>
        <v>NA</v>
      </c>
      <c r="M63" s="624" t="str">
        <f>'SEGUIMIENTO Y MONITOREO'!AW63</f>
        <v>NA</v>
      </c>
      <c r="N63" s="622" t="str">
        <f>IF(M63="","",CONCATENATE(IF('SEGUIMIENTO Y MONITOREO'!AX63=0,"",'SEGUIMIENTO Y MONITOREO'!AX63),Datos!$Y$4,IF('SEGUIMIENTO Y MONITOREO'!AX64=0,"",'SEGUIMIENTO Y MONITOREO'!AX64),Datos!$Y$4,IF('SEGUIMIENTO Y MONITOREO'!AX65=0,"",'SEGUIMIENTO Y MONITOREO'!AX65)))</f>
        <v xml:space="preserve">
</v>
      </c>
      <c r="O63" s="622"/>
    </row>
    <row r="64" spans="1:15" ht="51" customHeight="1" x14ac:dyDescent="0.2">
      <c r="A64" s="623"/>
      <c r="B64" s="578"/>
      <c r="C64" s="82" t="str">
        <f>'SEGUIMIENTO Y MONITOREO'!D64</f>
        <v/>
      </c>
      <c r="D64" s="82" t="str">
        <f>'SEGUIMIENTO Y MONITOREO'!E64</f>
        <v/>
      </c>
      <c r="E64" s="128" t="str">
        <f>'SEGUIMIENTO Y MONITOREO'!G64</f>
        <v/>
      </c>
      <c r="F64" s="128" t="str">
        <f>'SEGUIMIENTO Y MONITOREO'!H64</f>
        <v/>
      </c>
      <c r="G64" s="388" t="str">
        <f>IF('SEGUIMIENTO Y MONITOREO'!J64="NA","NA",'SEGUIMIENTO Y MONITOREO'!N64)</f>
        <v/>
      </c>
      <c r="H64" s="624"/>
      <c r="I64" s="388" t="str">
        <f>IF('SEGUIMIENTO Y MONITOREO'!T64="NA","NA",'SEGUIMIENTO Y MONITOREO'!X64)</f>
        <v/>
      </c>
      <c r="J64" s="624"/>
      <c r="K64" s="388" t="str">
        <f>IF('SEGUIMIENTO Y MONITOREO'!AD64="NA","NA",'SEGUIMIENTO Y MONITOREO'!AH64)</f>
        <v/>
      </c>
      <c r="L64" s="624"/>
      <c r="M64" s="624"/>
      <c r="N64" s="622"/>
      <c r="O64" s="622"/>
    </row>
    <row r="65" spans="1:15" x14ac:dyDescent="0.2">
      <c r="A65" s="623"/>
      <c r="B65" s="578"/>
      <c r="C65" s="82" t="str">
        <f>'SEGUIMIENTO Y MONITOREO'!D65</f>
        <v/>
      </c>
      <c r="D65" s="82" t="str">
        <f>'SEGUIMIENTO Y MONITOREO'!E65</f>
        <v/>
      </c>
      <c r="E65" s="128" t="str">
        <f>'SEGUIMIENTO Y MONITOREO'!G65</f>
        <v/>
      </c>
      <c r="F65" s="128" t="str">
        <f>'SEGUIMIENTO Y MONITOREO'!H65</f>
        <v/>
      </c>
      <c r="G65" s="388" t="str">
        <f>IF('SEGUIMIENTO Y MONITOREO'!J65="NA","NA",'SEGUIMIENTO Y MONITOREO'!N65)</f>
        <v/>
      </c>
      <c r="H65" s="624"/>
      <c r="I65" s="388" t="str">
        <f>IF('SEGUIMIENTO Y MONITOREO'!T65="NA","NA",'SEGUIMIENTO Y MONITOREO'!X65)</f>
        <v/>
      </c>
      <c r="J65" s="624"/>
      <c r="K65" s="388" t="str">
        <f>IF('SEGUIMIENTO Y MONITOREO'!AD65="NA","NA",'SEGUIMIENTO Y MONITOREO'!AH65)</f>
        <v/>
      </c>
      <c r="L65" s="624"/>
      <c r="M65" s="624"/>
      <c r="N65" s="622"/>
      <c r="O65" s="622"/>
    </row>
    <row r="66" spans="1:15" ht="51" customHeight="1" x14ac:dyDescent="0.2">
      <c r="A66" s="623" t="str">
        <f>'SEGUIMIENTO Y MONITOREO'!A66:A68</f>
        <v>20G</v>
      </c>
      <c r="B66" s="578" t="str">
        <f>'SEGUIMIENTO Y MONITOREO'!B66:B68</f>
        <v>Gestión de Contratación. Celebración de contratos sin el cumplimiento de los requisitos internos y externos de carácter contractual</v>
      </c>
      <c r="C66" s="82" t="str">
        <f>'SEGUIMIENTO Y MONITOREO'!D66</f>
        <v>Seguir ejecutando y monitoreando los controles existentes</v>
      </c>
      <c r="D66" s="82" t="str">
        <f>'SEGUIMIENTO Y MONITOREO'!E66</f>
        <v/>
      </c>
      <c r="E66" s="128" t="str">
        <f>'SEGUIMIENTO Y MONITOREO'!G66</f>
        <v/>
      </c>
      <c r="F66" s="128" t="str">
        <f>'SEGUIMIENTO Y MONITOREO'!H66</f>
        <v/>
      </c>
      <c r="G66" s="388" t="str">
        <f>IF('SEGUIMIENTO Y MONITOREO'!J66="NA","NA",'SEGUIMIENTO Y MONITOREO'!N66)</f>
        <v>NA</v>
      </c>
      <c r="H66" s="624" t="str">
        <f>'SEGUIMIENTO Y MONITOREO'!AR66</f>
        <v>NA</v>
      </c>
      <c r="I66" s="388" t="str">
        <f>IF('SEGUIMIENTO Y MONITOREO'!T66="NA","NA",'SEGUIMIENTO Y MONITOREO'!X66)</f>
        <v>NA</v>
      </c>
      <c r="J66" s="624" t="str">
        <f>'SEGUIMIENTO Y MONITOREO'!AS66</f>
        <v>NA</v>
      </c>
      <c r="K66" s="388" t="str">
        <f>IF('SEGUIMIENTO Y MONITOREO'!AD66="NA","NA",'SEGUIMIENTO Y MONITOREO'!AH66)</f>
        <v>NA</v>
      </c>
      <c r="L66" s="624" t="str">
        <f>'SEGUIMIENTO Y MONITOREO'!AU66</f>
        <v>NA</v>
      </c>
      <c r="M66" s="624" t="str">
        <f>'SEGUIMIENTO Y MONITOREO'!AW66</f>
        <v>NA</v>
      </c>
      <c r="N66" s="622" t="str">
        <f>IF(M66="","",CONCATENATE(IF('SEGUIMIENTO Y MONITOREO'!AX66=0,"",'SEGUIMIENTO Y MONITOREO'!AX66),Datos!$Y$4,IF('SEGUIMIENTO Y MONITOREO'!AX67=0,"",'SEGUIMIENTO Y MONITOREO'!AX67),Datos!$Y$4,IF('SEGUIMIENTO Y MONITOREO'!AX68=0,"",'SEGUIMIENTO Y MONITOREO'!AX68)))</f>
        <v xml:space="preserve">
</v>
      </c>
      <c r="O66" s="622"/>
    </row>
    <row r="67" spans="1:15" ht="51" customHeight="1" x14ac:dyDescent="0.2">
      <c r="A67" s="623"/>
      <c r="B67" s="578"/>
      <c r="C67" s="82" t="str">
        <f>'SEGUIMIENTO Y MONITOREO'!D67</f>
        <v/>
      </c>
      <c r="D67" s="82" t="str">
        <f>'SEGUIMIENTO Y MONITOREO'!E67</f>
        <v/>
      </c>
      <c r="E67" s="128" t="str">
        <f>'SEGUIMIENTO Y MONITOREO'!G67</f>
        <v/>
      </c>
      <c r="F67" s="128" t="str">
        <f>'SEGUIMIENTO Y MONITOREO'!H67</f>
        <v/>
      </c>
      <c r="G67" s="388" t="str">
        <f>IF('SEGUIMIENTO Y MONITOREO'!J67="NA","NA",'SEGUIMIENTO Y MONITOREO'!N67)</f>
        <v/>
      </c>
      <c r="H67" s="624"/>
      <c r="I67" s="388" t="str">
        <f>IF('SEGUIMIENTO Y MONITOREO'!T67="NA","NA",'SEGUIMIENTO Y MONITOREO'!X67)</f>
        <v/>
      </c>
      <c r="J67" s="624"/>
      <c r="K67" s="388" t="str">
        <f>IF('SEGUIMIENTO Y MONITOREO'!AD67="NA","NA",'SEGUIMIENTO Y MONITOREO'!AH67)</f>
        <v/>
      </c>
      <c r="L67" s="624"/>
      <c r="M67" s="624"/>
      <c r="N67" s="622"/>
      <c r="O67" s="622"/>
    </row>
    <row r="68" spans="1:15" x14ac:dyDescent="0.2">
      <c r="A68" s="623"/>
      <c r="B68" s="578"/>
      <c r="C68" s="82" t="str">
        <f>'SEGUIMIENTO Y MONITOREO'!D68</f>
        <v/>
      </c>
      <c r="D68" s="82" t="str">
        <f>'SEGUIMIENTO Y MONITOREO'!E68</f>
        <v/>
      </c>
      <c r="E68" s="128" t="str">
        <f>'SEGUIMIENTO Y MONITOREO'!G68</f>
        <v/>
      </c>
      <c r="F68" s="128" t="str">
        <f>'SEGUIMIENTO Y MONITOREO'!H68</f>
        <v/>
      </c>
      <c r="G68" s="388" t="str">
        <f>IF('SEGUIMIENTO Y MONITOREO'!J68="NA","NA",'SEGUIMIENTO Y MONITOREO'!N68)</f>
        <v/>
      </c>
      <c r="H68" s="624"/>
      <c r="I68" s="388" t="str">
        <f>IF('SEGUIMIENTO Y MONITOREO'!T68="NA","NA",'SEGUIMIENTO Y MONITOREO'!X68)</f>
        <v/>
      </c>
      <c r="J68" s="624"/>
      <c r="K68" s="388" t="str">
        <f>IF('SEGUIMIENTO Y MONITOREO'!AD68="NA","NA",'SEGUIMIENTO Y MONITOREO'!AH68)</f>
        <v/>
      </c>
      <c r="L68" s="624"/>
      <c r="M68" s="624"/>
      <c r="N68" s="622"/>
      <c r="O68" s="622"/>
    </row>
    <row r="69" spans="1:15" ht="51" customHeight="1" x14ac:dyDescent="0.2">
      <c r="A69" s="623" t="str">
        <f>'SEGUIMIENTO Y MONITOREO'!A69:A71</f>
        <v>21G</v>
      </c>
      <c r="B69" s="578" t="str">
        <f>'SEGUIMIENTO Y MONITOREO'!B69:B71</f>
        <v>Gestión de Contratación. Documentación incompleta en la carpeta contractual</v>
      </c>
      <c r="C69" s="82" t="str">
        <f>'SEGUIMIENTO Y MONITOREO'!D69</f>
        <v>Seguir ejecutando y monitoreando los controles existentes</v>
      </c>
      <c r="D69" s="82" t="str">
        <f>'SEGUIMIENTO Y MONITOREO'!E69</f>
        <v/>
      </c>
      <c r="E69" s="128" t="str">
        <f>'SEGUIMIENTO Y MONITOREO'!G69</f>
        <v/>
      </c>
      <c r="F69" s="128" t="str">
        <f>'SEGUIMIENTO Y MONITOREO'!H69</f>
        <v/>
      </c>
      <c r="G69" s="388" t="str">
        <f>IF('SEGUIMIENTO Y MONITOREO'!J69="NA","NA",'SEGUIMIENTO Y MONITOREO'!N69)</f>
        <v>NA</v>
      </c>
      <c r="H69" s="624" t="str">
        <f>'SEGUIMIENTO Y MONITOREO'!AR69</f>
        <v>NA</v>
      </c>
      <c r="I69" s="388" t="str">
        <f>IF('SEGUIMIENTO Y MONITOREO'!T69="NA","NA",'SEGUIMIENTO Y MONITOREO'!X69)</f>
        <v>NA</v>
      </c>
      <c r="J69" s="624" t="str">
        <f>'SEGUIMIENTO Y MONITOREO'!AS69</f>
        <v>NA</v>
      </c>
      <c r="K69" s="388" t="str">
        <f>IF('SEGUIMIENTO Y MONITOREO'!AD69="NA","NA",'SEGUIMIENTO Y MONITOREO'!AH69)</f>
        <v>NA</v>
      </c>
      <c r="L69" s="624" t="str">
        <f>'SEGUIMIENTO Y MONITOREO'!AU69</f>
        <v>NA</v>
      </c>
      <c r="M69" s="624" t="str">
        <f>'SEGUIMIENTO Y MONITOREO'!AW69</f>
        <v>NA</v>
      </c>
      <c r="N69" s="622" t="str">
        <f>IF(M69="","",CONCATENATE(IF('SEGUIMIENTO Y MONITOREO'!AX69=0,"",'SEGUIMIENTO Y MONITOREO'!AX69),Datos!$Y$4,IF('SEGUIMIENTO Y MONITOREO'!AX70=0,"",'SEGUIMIENTO Y MONITOREO'!AX70),Datos!$Y$4,IF('SEGUIMIENTO Y MONITOREO'!AX71=0,"",'SEGUIMIENTO Y MONITOREO'!AX71)))</f>
        <v xml:space="preserve">
</v>
      </c>
      <c r="O69" s="622"/>
    </row>
    <row r="70" spans="1:15" ht="51" customHeight="1" x14ac:dyDescent="0.2">
      <c r="A70" s="623"/>
      <c r="B70" s="578"/>
      <c r="C70" s="82" t="str">
        <f>'SEGUIMIENTO Y MONITOREO'!D70</f>
        <v/>
      </c>
      <c r="D70" s="82" t="str">
        <f>'SEGUIMIENTO Y MONITOREO'!E70</f>
        <v/>
      </c>
      <c r="E70" s="128" t="str">
        <f>'SEGUIMIENTO Y MONITOREO'!G70</f>
        <v/>
      </c>
      <c r="F70" s="128" t="str">
        <f>'SEGUIMIENTO Y MONITOREO'!H70</f>
        <v/>
      </c>
      <c r="G70" s="388" t="str">
        <f>IF('SEGUIMIENTO Y MONITOREO'!J70="NA","NA",'SEGUIMIENTO Y MONITOREO'!N70)</f>
        <v/>
      </c>
      <c r="H70" s="624"/>
      <c r="I70" s="388" t="str">
        <f>IF('SEGUIMIENTO Y MONITOREO'!T70="NA","NA",'SEGUIMIENTO Y MONITOREO'!X70)</f>
        <v/>
      </c>
      <c r="J70" s="624"/>
      <c r="K70" s="388" t="str">
        <f>IF('SEGUIMIENTO Y MONITOREO'!AD70="NA","NA",'SEGUIMIENTO Y MONITOREO'!AH70)</f>
        <v/>
      </c>
      <c r="L70" s="624"/>
      <c r="M70" s="624"/>
      <c r="N70" s="622"/>
      <c r="O70" s="622"/>
    </row>
    <row r="71" spans="1:15" x14ac:dyDescent="0.2">
      <c r="A71" s="623"/>
      <c r="B71" s="578"/>
      <c r="C71" s="82" t="str">
        <f>'SEGUIMIENTO Y MONITOREO'!D71</f>
        <v/>
      </c>
      <c r="D71" s="82" t="str">
        <f>'SEGUIMIENTO Y MONITOREO'!E71</f>
        <v/>
      </c>
      <c r="E71" s="128" t="str">
        <f>'SEGUIMIENTO Y MONITOREO'!G71</f>
        <v/>
      </c>
      <c r="F71" s="128" t="str">
        <f>'SEGUIMIENTO Y MONITOREO'!H71</f>
        <v/>
      </c>
      <c r="G71" s="388" t="str">
        <f>IF('SEGUIMIENTO Y MONITOREO'!J71="NA","NA",'SEGUIMIENTO Y MONITOREO'!N71)</f>
        <v/>
      </c>
      <c r="H71" s="624"/>
      <c r="I71" s="388" t="str">
        <f>IF('SEGUIMIENTO Y MONITOREO'!T71="NA","NA",'SEGUIMIENTO Y MONITOREO'!X71)</f>
        <v/>
      </c>
      <c r="J71" s="624"/>
      <c r="K71" s="388" t="str">
        <f>IF('SEGUIMIENTO Y MONITOREO'!AD71="NA","NA",'SEGUIMIENTO Y MONITOREO'!AH71)</f>
        <v/>
      </c>
      <c r="L71" s="624"/>
      <c r="M71" s="624"/>
      <c r="N71" s="622"/>
      <c r="O71" s="622"/>
    </row>
    <row r="72" spans="1:15" ht="51" customHeight="1" x14ac:dyDescent="0.2">
      <c r="A72" s="623" t="str">
        <f>'SEGUIMIENTO Y MONITOREO'!A72:A74</f>
        <v>22G</v>
      </c>
      <c r="B72" s="578" t="str">
        <f>'SEGUIMIENTO Y MONITOREO'!B72:B74</f>
        <v>Gestión Administrativa. Inseguridad en el campus</v>
      </c>
      <c r="C72" s="82" t="str">
        <f>'SEGUIMIENTO Y MONITOREO'!D72</f>
        <v>Documento analisis de estado de la seguridad y falencias existentes.</v>
      </c>
      <c r="D72" s="82" t="str">
        <f>'SEGUIMIENTO Y MONITOREO'!E72</f>
        <v>Documento analisis</v>
      </c>
      <c r="E72" s="128">
        <f>'SEGUIMIENTO Y MONITOREO'!G72</f>
        <v>42371</v>
      </c>
      <c r="F72" s="128">
        <f>'SEGUIMIENTO Y MONITOREO'!H72</f>
        <v>42735</v>
      </c>
      <c r="G72" s="388">
        <f>IF('SEGUIMIENTO Y MONITOREO'!J72="NA","NA",'SEGUIMIENTO Y MONITOREO'!N72)</f>
        <v>0</v>
      </c>
      <c r="H72" s="624">
        <f>'SEGUIMIENTO Y MONITOREO'!AR72</f>
        <v>0</v>
      </c>
      <c r="I72" s="388">
        <f>IF('SEGUIMIENTO Y MONITOREO'!T72="NA","NA",'SEGUIMIENTO Y MONITOREO'!X72)</f>
        <v>0.1</v>
      </c>
      <c r="J72" s="624">
        <f>'SEGUIMIENTO Y MONITOREO'!AS72</f>
        <v>0.21666666666666665</v>
      </c>
      <c r="K72" s="388">
        <f>IF('SEGUIMIENTO Y MONITOREO'!AD72="NA","NA",'SEGUIMIENTO Y MONITOREO'!AH72)</f>
        <v>0.1</v>
      </c>
      <c r="L72" s="624">
        <f>'SEGUIMIENTO Y MONITOREO'!AU72</f>
        <v>0.21666666666666665</v>
      </c>
      <c r="M72" s="624">
        <f>'SEGUIMIENTO Y MONITOREO'!AW72</f>
        <v>0.21666666666666665</v>
      </c>
      <c r="N72" s="622" t="str">
        <f>IF(M72="","",CONCATENATE(IF('SEGUIMIENTO Y MONITOREO'!AX72=0,"",'SEGUIMIENTO Y MONITOREO'!AX72),Datos!$Y$4,IF('SEGUIMIENTO Y MONITOREO'!AX73=0,"",'SEGUIMIENTO Y MONITOREO'!AX73),Datos!$Y$4,IF('SEGUIMIENTO Y MONITOREO'!AX74=0,"",'SEGUIMIENTO Y MONITOREO'!AX74)))</f>
        <v xml:space="preserve">Detección de falencias y puntos de mejora en el sistema de seguridad
Funcionamiento del sistema de control de acceso
</v>
      </c>
      <c r="O72" s="622"/>
    </row>
    <row r="73" spans="1:15" ht="51" customHeight="1" x14ac:dyDescent="0.2">
      <c r="A73" s="623"/>
      <c r="B73" s="578"/>
      <c r="C73" s="82" t="str">
        <f>'SEGUIMIENTO Y MONITOREO'!D73</f>
        <v>Gestionar compra de PDA, construccion de la sala de monitoreo y contratacion de responsable de monitoreo.</v>
      </c>
      <c r="D73" s="82" t="str">
        <f>'SEGUIMIENTO Y MONITOREO'!E73</f>
        <v>PDA, sala de monitoreo</v>
      </c>
      <c r="E73" s="128">
        <f>'SEGUIMIENTO Y MONITOREO'!G73</f>
        <v>42371</v>
      </c>
      <c r="F73" s="128">
        <f>'SEGUIMIENTO Y MONITOREO'!H73</f>
        <v>42735</v>
      </c>
      <c r="G73" s="388">
        <f>IF('SEGUIMIENTO Y MONITOREO'!J73="NA","NA",'SEGUIMIENTO Y MONITOREO'!N73)</f>
        <v>0</v>
      </c>
      <c r="H73" s="624"/>
      <c r="I73" s="388">
        <f>IF('SEGUIMIENTO Y MONITOREO'!T73="NA","NA",'SEGUIMIENTO Y MONITOREO'!X73)</f>
        <v>0.33333333333333331</v>
      </c>
      <c r="J73" s="624"/>
      <c r="K73" s="388">
        <f>IF('SEGUIMIENTO Y MONITOREO'!AD73="NA","NA",'SEGUIMIENTO Y MONITOREO'!AH73)</f>
        <v>0.33333333333333331</v>
      </c>
      <c r="L73" s="624"/>
      <c r="M73" s="624"/>
      <c r="N73" s="622"/>
      <c r="O73" s="622"/>
    </row>
    <row r="74" spans="1:15" x14ac:dyDescent="0.2">
      <c r="A74" s="623"/>
      <c r="B74" s="578"/>
      <c r="C74" s="82" t="str">
        <f>'SEGUIMIENTO Y MONITOREO'!D74</f>
        <v/>
      </c>
      <c r="D74" s="82" t="str">
        <f>'SEGUIMIENTO Y MONITOREO'!E74</f>
        <v/>
      </c>
      <c r="E74" s="128" t="str">
        <f>'SEGUIMIENTO Y MONITOREO'!G74</f>
        <v/>
      </c>
      <c r="F74" s="128" t="str">
        <f>'SEGUIMIENTO Y MONITOREO'!H74</f>
        <v/>
      </c>
      <c r="G74" s="388" t="str">
        <f>IF('SEGUIMIENTO Y MONITOREO'!J74="NA","NA",'SEGUIMIENTO Y MONITOREO'!N74)</f>
        <v/>
      </c>
      <c r="H74" s="624"/>
      <c r="I74" s="388" t="str">
        <f>IF('SEGUIMIENTO Y MONITOREO'!T74="NA","NA",'SEGUIMIENTO Y MONITOREO'!X74)</f>
        <v/>
      </c>
      <c r="J74" s="624"/>
      <c r="K74" s="388" t="str">
        <f>IF('SEGUIMIENTO Y MONITOREO'!AD74="NA","NA",'SEGUIMIENTO Y MONITOREO'!AH74)</f>
        <v/>
      </c>
      <c r="L74" s="624"/>
      <c r="M74" s="624"/>
      <c r="N74" s="622"/>
      <c r="O74" s="622"/>
    </row>
    <row r="75" spans="1:15" ht="51" customHeight="1" x14ac:dyDescent="0.2">
      <c r="A75" s="623" t="str">
        <f>'SEGUIMIENTO Y MONITOREO'!A75:A77</f>
        <v>23G</v>
      </c>
      <c r="B75" s="578" t="str">
        <f>'SEGUIMIENTO Y MONITOREO'!B75:B77</f>
        <v>Gestión Administrativa. Inadecuado gestión de los residuos</v>
      </c>
      <c r="C75" s="82" t="str">
        <f>'SEGUIMIENTO Y MONITOREO'!D75</f>
        <v>Seguimiento de PGIR</v>
      </c>
      <c r="D75" s="82" t="str">
        <f>'SEGUIMIENTO Y MONITOREO'!E75</f>
        <v>Informe de gestión</v>
      </c>
      <c r="E75" s="128">
        <f>'SEGUIMIENTO Y MONITOREO'!G75</f>
        <v>42371</v>
      </c>
      <c r="F75" s="128">
        <f>'SEGUIMIENTO Y MONITOREO'!H75</f>
        <v>42735</v>
      </c>
      <c r="G75" s="388">
        <f>IF('SEGUIMIENTO Y MONITOREO'!J75="NA","NA",'SEGUIMIENTO Y MONITOREO'!N75)</f>
        <v>0</v>
      </c>
      <c r="H75" s="624">
        <f>'SEGUIMIENTO Y MONITOREO'!AR75</f>
        <v>0</v>
      </c>
      <c r="I75" s="388">
        <f>IF('SEGUIMIENTO Y MONITOREO'!T75="NA","NA",'SEGUIMIENTO Y MONITOREO'!X75)</f>
        <v>0.5</v>
      </c>
      <c r="J75" s="624">
        <f>'SEGUIMIENTO Y MONITOREO'!AS75</f>
        <v>0.5</v>
      </c>
      <c r="K75" s="388">
        <f>IF('SEGUIMIENTO Y MONITOREO'!AD75="NA","NA",'SEGUIMIENTO Y MONITOREO'!AH75)</f>
        <v>0.5</v>
      </c>
      <c r="L75" s="624">
        <f>'SEGUIMIENTO Y MONITOREO'!AU75</f>
        <v>0.5</v>
      </c>
      <c r="M75" s="624">
        <f>'SEGUIMIENTO Y MONITOREO'!AW75</f>
        <v>0.5</v>
      </c>
      <c r="N75" s="622" t="str">
        <f>IF(M75="","",CONCATENATE(IF('SEGUIMIENTO Y MONITOREO'!AX75=0,"",'SEGUIMIENTO Y MONITOREO'!AX75),Datos!$Y$4,IF('SEGUIMIENTO Y MONITOREO'!AX76=0,"",'SEGUIMIENTO Y MONITOREO'!AX76),Datos!$Y$4,IF('SEGUIMIENTO Y MONITOREO'!AX77=0,"",'SEGUIMIENTO Y MONITOREO'!AX77)))</f>
        <v xml:space="preserve">Carros recolector segregación y movo interno y congelador de almacenamiento central de respeligrosos
</v>
      </c>
      <c r="O75" s="622"/>
    </row>
    <row r="76" spans="1:15" ht="51" customHeight="1" x14ac:dyDescent="0.2">
      <c r="A76" s="623"/>
      <c r="B76" s="578"/>
      <c r="C76" s="82" t="str">
        <f>'SEGUIMIENTO Y MONITOREO'!D76</f>
        <v/>
      </c>
      <c r="D76" s="82" t="str">
        <f>'SEGUIMIENTO Y MONITOREO'!E76</f>
        <v/>
      </c>
      <c r="E76" s="128" t="str">
        <f>'SEGUIMIENTO Y MONITOREO'!G76</f>
        <v/>
      </c>
      <c r="F76" s="128" t="str">
        <f>'SEGUIMIENTO Y MONITOREO'!H76</f>
        <v/>
      </c>
      <c r="G76" s="388" t="str">
        <f>IF('SEGUIMIENTO Y MONITOREO'!J76="NA","NA",'SEGUIMIENTO Y MONITOREO'!N76)</f>
        <v/>
      </c>
      <c r="H76" s="624"/>
      <c r="I76" s="388" t="str">
        <f>IF('SEGUIMIENTO Y MONITOREO'!T76="NA","NA",'SEGUIMIENTO Y MONITOREO'!X76)</f>
        <v/>
      </c>
      <c r="J76" s="624"/>
      <c r="K76" s="388" t="str">
        <f>IF('SEGUIMIENTO Y MONITOREO'!AD76="NA","NA",'SEGUIMIENTO Y MONITOREO'!AH76)</f>
        <v/>
      </c>
      <c r="L76" s="624"/>
      <c r="M76" s="624"/>
      <c r="N76" s="622"/>
      <c r="O76" s="622"/>
    </row>
    <row r="77" spans="1:15" x14ac:dyDescent="0.2">
      <c r="A77" s="623"/>
      <c r="B77" s="578"/>
      <c r="C77" s="82" t="str">
        <f>'SEGUIMIENTO Y MONITOREO'!D77</f>
        <v/>
      </c>
      <c r="D77" s="82" t="str">
        <f>'SEGUIMIENTO Y MONITOREO'!E77</f>
        <v/>
      </c>
      <c r="E77" s="128" t="str">
        <f>'SEGUIMIENTO Y MONITOREO'!G77</f>
        <v/>
      </c>
      <c r="F77" s="128" t="str">
        <f>'SEGUIMIENTO Y MONITOREO'!H77</f>
        <v/>
      </c>
      <c r="G77" s="388" t="str">
        <f>IF('SEGUIMIENTO Y MONITOREO'!J77="NA","NA",'SEGUIMIENTO Y MONITOREO'!N77)</f>
        <v/>
      </c>
      <c r="H77" s="624"/>
      <c r="I77" s="388" t="str">
        <f>IF('SEGUIMIENTO Y MONITOREO'!T77="NA","NA",'SEGUIMIENTO Y MONITOREO'!X77)</f>
        <v/>
      </c>
      <c r="J77" s="624"/>
      <c r="K77" s="388" t="str">
        <f>IF('SEGUIMIENTO Y MONITOREO'!AD77="NA","NA",'SEGUIMIENTO Y MONITOREO'!AH77)</f>
        <v/>
      </c>
      <c r="L77" s="624"/>
      <c r="M77" s="624"/>
      <c r="N77" s="622"/>
      <c r="O77" s="622"/>
    </row>
    <row r="78" spans="1:15" ht="51" customHeight="1" x14ac:dyDescent="0.2">
      <c r="A78" s="623" t="str">
        <f>'SEGUIMIENTO Y MONITOREO'!A78:A80</f>
        <v>24G</v>
      </c>
      <c r="B78" s="578" t="str">
        <f>'SEGUIMIENTO Y MONITOREO'!B78:B80</f>
        <v>Gestión del Talento Humano. Deficiente desempeño laboral de los funcionarios de la Universidad.</v>
      </c>
      <c r="C78" s="82" t="str">
        <f>'SEGUIMIENTO Y MONITOREO'!D78</f>
        <v>Adquirir y aplicar herramientas para evaluar las competencias laborales de los servidores públicos.</v>
      </c>
      <c r="D78" s="82" t="str">
        <f>'SEGUIMIENTO Y MONITOREO'!E78</f>
        <v xml:space="preserve">Adquisición y aplicación de herramientas de evaluación por competencias / Informe Resultados </v>
      </c>
      <c r="E78" s="128">
        <f>'SEGUIMIENTO Y MONITOREO'!G78</f>
        <v>42401</v>
      </c>
      <c r="F78" s="128">
        <f>'SEGUIMIENTO Y MONITOREO'!H78</f>
        <v>42735</v>
      </c>
      <c r="G78" s="388">
        <f>IF('SEGUIMIENTO Y MONITOREO'!J78="NA","NA",'SEGUIMIENTO Y MONITOREO'!N78)</f>
        <v>0</v>
      </c>
      <c r="H78" s="624">
        <f>'SEGUIMIENTO Y MONITOREO'!AR78</f>
        <v>0</v>
      </c>
      <c r="I78" s="388">
        <f>IF('SEGUIMIENTO Y MONITOREO'!T78="NA","NA",'SEGUIMIENTO Y MONITOREO'!X78)</f>
        <v>0.1</v>
      </c>
      <c r="J78" s="624">
        <f>'SEGUIMIENTO Y MONITOREO'!AS78</f>
        <v>0.45</v>
      </c>
      <c r="K78" s="388">
        <f>IF('SEGUIMIENTO Y MONITOREO'!AD78="NA","NA",'SEGUIMIENTO Y MONITOREO'!AH78)</f>
        <v>0.1</v>
      </c>
      <c r="L78" s="624">
        <f>'SEGUIMIENTO Y MONITOREO'!AU78</f>
        <v>0.45</v>
      </c>
      <c r="M78" s="624">
        <f>'SEGUIMIENTO Y MONITOREO'!AW78</f>
        <v>0.45</v>
      </c>
      <c r="N78" s="622" t="str">
        <f>IF(M78="","",CONCATENATE(IF('SEGUIMIENTO Y MONITOREO'!AX78=0,"",'SEGUIMIENTO Y MONITOREO'!AX78),Datos!$Y$4,IF('SEGUIMIENTO Y MONITOREO'!AX79=0,"",'SEGUIMIENTO Y MONITOREO'!AX79),Datos!$Y$4,IF('SEGUIMIENTO Y MONITOREO'!AX80=0,"",'SEGUIMIENTO Y MONITOREO'!AX80)))</f>
        <v xml:space="preserve">Actividades informadas
Actividades informadas
</v>
      </c>
      <c r="O78" s="622"/>
    </row>
    <row r="79" spans="1:15" ht="51" x14ac:dyDescent="0.2">
      <c r="A79" s="623"/>
      <c r="B79" s="578"/>
      <c r="C79" s="82" t="str">
        <f>'SEGUIMIENTO Y MONITOREO'!D79</f>
        <v>Elaboración y ejecución de un programa detallado de Inducción y/o 
Reinduccion.</v>
      </c>
      <c r="D79" s="82" t="str">
        <f>'SEGUIMIENTO Y MONITOREO'!E79</f>
        <v>Informes de Inducción y Reinducción de los empleados</v>
      </c>
      <c r="E79" s="128">
        <f>'SEGUIMIENTO Y MONITOREO'!G79</f>
        <v>42401</v>
      </c>
      <c r="F79" s="128">
        <f>'SEGUIMIENTO Y MONITOREO'!H79</f>
        <v>42735</v>
      </c>
      <c r="G79" s="388">
        <f>IF('SEGUIMIENTO Y MONITOREO'!J79="NA","NA",'SEGUIMIENTO Y MONITOREO'!N79)</f>
        <v>0</v>
      </c>
      <c r="H79" s="624"/>
      <c r="I79" s="388">
        <f>IF('SEGUIMIENTO Y MONITOREO'!T79="NA","NA",'SEGUIMIENTO Y MONITOREO'!X79)</f>
        <v>0.8</v>
      </c>
      <c r="J79" s="624"/>
      <c r="K79" s="388">
        <f>IF('SEGUIMIENTO Y MONITOREO'!AD79="NA","NA",'SEGUIMIENTO Y MONITOREO'!AH79)</f>
        <v>0.8</v>
      </c>
      <c r="L79" s="624"/>
      <c r="M79" s="624"/>
      <c r="N79" s="622"/>
      <c r="O79" s="622"/>
    </row>
    <row r="80" spans="1:15" x14ac:dyDescent="0.2">
      <c r="A80" s="623"/>
      <c r="B80" s="578"/>
      <c r="C80" s="82" t="str">
        <f>'SEGUIMIENTO Y MONITOREO'!D80</f>
        <v/>
      </c>
      <c r="D80" s="82" t="str">
        <f>'SEGUIMIENTO Y MONITOREO'!E80</f>
        <v/>
      </c>
      <c r="E80" s="128" t="str">
        <f>'SEGUIMIENTO Y MONITOREO'!G80</f>
        <v/>
      </c>
      <c r="F80" s="128" t="str">
        <f>'SEGUIMIENTO Y MONITOREO'!H80</f>
        <v/>
      </c>
      <c r="G80" s="388" t="str">
        <f>IF('SEGUIMIENTO Y MONITOREO'!J80="NA","NA",'SEGUIMIENTO Y MONITOREO'!N80)</f>
        <v/>
      </c>
      <c r="H80" s="624"/>
      <c r="I80" s="388" t="str">
        <f>IF('SEGUIMIENTO Y MONITOREO'!T80="NA","NA",'SEGUIMIENTO Y MONITOREO'!X80)</f>
        <v/>
      </c>
      <c r="J80" s="624"/>
      <c r="K80" s="388" t="str">
        <f>IF('SEGUIMIENTO Y MONITOREO'!AD80="NA","NA",'SEGUIMIENTO Y MONITOREO'!AH80)</f>
        <v/>
      </c>
      <c r="L80" s="624"/>
      <c r="M80" s="624"/>
      <c r="N80" s="622"/>
      <c r="O80" s="622"/>
    </row>
    <row r="81" spans="1:15" ht="51" customHeight="1" x14ac:dyDescent="0.2">
      <c r="A81" s="623" t="str">
        <f>'SEGUIMIENTO Y MONITOREO'!A81:A83</f>
        <v>25G</v>
      </c>
      <c r="B81" s="578" t="str">
        <f>'SEGUIMIENTO Y MONITOREO'!B81:B83</f>
        <v>Gestión del Talento Humano. Falta de plan de incentivos y/o estímulos.</v>
      </c>
      <c r="C81" s="82" t="str">
        <f>'SEGUIMIENTO Y MONITOREO'!D81</f>
        <v>Elaborar y presentar propuesta del programas de incentivos y bienestar laboral</v>
      </c>
      <c r="D81" s="82" t="str">
        <f>'SEGUIMIENTO Y MONITOREO'!E81</f>
        <v>Propuesta del Programa de Incentivos y Bienestar Laboral</v>
      </c>
      <c r="E81" s="128">
        <f>'SEGUIMIENTO Y MONITOREO'!G81</f>
        <v>42401</v>
      </c>
      <c r="F81" s="128">
        <f>'SEGUIMIENTO Y MONITOREO'!H81</f>
        <v>42612</v>
      </c>
      <c r="G81" s="388">
        <f>IF('SEGUIMIENTO Y MONITOREO'!J81="NA","NA",'SEGUIMIENTO Y MONITOREO'!N81)</f>
        <v>0</v>
      </c>
      <c r="H81" s="624">
        <f>'SEGUIMIENTO Y MONITOREO'!AR81</f>
        <v>0</v>
      </c>
      <c r="I81" s="388">
        <f>IF('SEGUIMIENTO Y MONITOREO'!T81="NA","NA",'SEGUIMIENTO Y MONITOREO'!X81)</f>
        <v>0</v>
      </c>
      <c r="J81" s="624">
        <f>'SEGUIMIENTO Y MONITOREO'!AS81</f>
        <v>0</v>
      </c>
      <c r="K81" s="388">
        <f>IF('SEGUIMIENTO Y MONITOREO'!AD81="NA","NA",'SEGUIMIENTO Y MONITOREO'!AH81)</f>
        <v>0.4</v>
      </c>
      <c r="L81" s="624">
        <f>'SEGUIMIENTO Y MONITOREO'!AU81</f>
        <v>0.4</v>
      </c>
      <c r="M81" s="624">
        <f>'SEGUIMIENTO Y MONITOREO'!AW81</f>
        <v>0.4</v>
      </c>
      <c r="N81" s="622" t="str">
        <f>IF(M81="","",CONCATENATE(IF('SEGUIMIENTO Y MONITOREO'!AX81=0,"",'SEGUIMIENTO Y MONITOREO'!AX81),Datos!$Y$4,IF('SEGUIMIENTO Y MONITOREO'!AX82=0,"",'SEGUIMIENTO Y MONITOREO'!AX82),Datos!$Y$4,IF('SEGUIMIENTO Y MONITOREO'!AX83=0,"",'SEGUIMIENTO Y MONITOREO'!AX83)))</f>
        <v xml:space="preserve">El documento se esta replanteando de acuerdo a los lineamientos de la nueva administración
</v>
      </c>
      <c r="O81" s="622"/>
    </row>
    <row r="82" spans="1:15" ht="51" customHeight="1" x14ac:dyDescent="0.2">
      <c r="A82" s="623"/>
      <c r="B82" s="578"/>
      <c r="C82" s="82" t="str">
        <f>'SEGUIMIENTO Y MONITOREO'!D82</f>
        <v/>
      </c>
      <c r="D82" s="82" t="str">
        <f>'SEGUIMIENTO Y MONITOREO'!E82</f>
        <v/>
      </c>
      <c r="E82" s="128" t="str">
        <f>'SEGUIMIENTO Y MONITOREO'!G82</f>
        <v/>
      </c>
      <c r="F82" s="128" t="str">
        <f>'SEGUIMIENTO Y MONITOREO'!H82</f>
        <v/>
      </c>
      <c r="G82" s="388" t="str">
        <f>IF('SEGUIMIENTO Y MONITOREO'!J82="NA","NA",'SEGUIMIENTO Y MONITOREO'!N82)</f>
        <v/>
      </c>
      <c r="H82" s="624"/>
      <c r="I82" s="388" t="str">
        <f>IF('SEGUIMIENTO Y MONITOREO'!T82="NA","NA",'SEGUIMIENTO Y MONITOREO'!X82)</f>
        <v/>
      </c>
      <c r="J82" s="624"/>
      <c r="K82" s="388" t="str">
        <f>IF('SEGUIMIENTO Y MONITOREO'!AD82="NA","NA",'SEGUIMIENTO Y MONITOREO'!AH82)</f>
        <v/>
      </c>
      <c r="L82" s="624"/>
      <c r="M82" s="624"/>
      <c r="N82" s="622"/>
      <c r="O82" s="622"/>
    </row>
    <row r="83" spans="1:15" x14ac:dyDescent="0.2">
      <c r="A83" s="623"/>
      <c r="B83" s="578"/>
      <c r="C83" s="82" t="str">
        <f>'SEGUIMIENTO Y MONITOREO'!D83</f>
        <v/>
      </c>
      <c r="D83" s="82" t="str">
        <f>'SEGUIMIENTO Y MONITOREO'!E83</f>
        <v/>
      </c>
      <c r="E83" s="128" t="str">
        <f>'SEGUIMIENTO Y MONITOREO'!G83</f>
        <v/>
      </c>
      <c r="F83" s="128" t="str">
        <f>'SEGUIMIENTO Y MONITOREO'!H83</f>
        <v/>
      </c>
      <c r="G83" s="388" t="str">
        <f>IF('SEGUIMIENTO Y MONITOREO'!J83="NA","NA",'SEGUIMIENTO Y MONITOREO'!N83)</f>
        <v/>
      </c>
      <c r="H83" s="624"/>
      <c r="I83" s="388" t="str">
        <f>IF('SEGUIMIENTO Y MONITOREO'!T83="NA","NA",'SEGUIMIENTO Y MONITOREO'!X83)</f>
        <v/>
      </c>
      <c r="J83" s="624"/>
      <c r="K83" s="388" t="str">
        <f>IF('SEGUIMIENTO Y MONITOREO'!AD83="NA","NA",'SEGUIMIENTO Y MONITOREO'!AH83)</f>
        <v/>
      </c>
      <c r="L83" s="624"/>
      <c r="M83" s="624"/>
      <c r="N83" s="622"/>
      <c r="O83" s="622"/>
    </row>
    <row r="84" spans="1:15" ht="51" customHeight="1" x14ac:dyDescent="0.2">
      <c r="A84" s="623" t="str">
        <f>'SEGUIMIENTO Y MONITOREO'!A84:A86</f>
        <v>26G</v>
      </c>
      <c r="B84" s="578" t="str">
        <f>'SEGUIMIENTO Y MONITOREO'!B84:B86</f>
        <v>Gestión del Talento Humano. Demoras en la afilicación de catedráticos y ocasionales al Sistema de Seguridad Social Integral, y de los contratistas y estudiantes de Práctica a la Administradora de Riesgos Laborales.</v>
      </c>
      <c r="C84" s="82" t="str">
        <f>'SEGUIMIENTO Y MONITOREO'!D84</f>
        <v>Elaboración y aprobación del procedimiento de Seguridad Social</v>
      </c>
      <c r="D84" s="82" t="str">
        <f>'SEGUIMIENTO Y MONITOREO'!E84</f>
        <v>Procedimiento de Seguridad Social aprobado y publicado en COGUI</v>
      </c>
      <c r="E84" s="128">
        <f>'SEGUIMIENTO Y MONITOREO'!G84</f>
        <v>42430</v>
      </c>
      <c r="F84" s="128">
        <f>'SEGUIMIENTO Y MONITOREO'!H84</f>
        <v>42735</v>
      </c>
      <c r="G84" s="388">
        <f>IF('SEGUIMIENTO Y MONITOREO'!J84="NA","NA",'SEGUIMIENTO Y MONITOREO'!N84)</f>
        <v>0</v>
      </c>
      <c r="H84" s="624">
        <f>'SEGUIMIENTO Y MONITOREO'!AR84</f>
        <v>0</v>
      </c>
      <c r="I84" s="388">
        <f>IF('SEGUIMIENTO Y MONITOREO'!T84="NA","NA",'SEGUIMIENTO Y MONITOREO'!X84)</f>
        <v>0</v>
      </c>
      <c r="J84" s="624">
        <f>'SEGUIMIENTO Y MONITOREO'!AS84</f>
        <v>0</v>
      </c>
      <c r="K84" s="388">
        <f>IF('SEGUIMIENTO Y MONITOREO'!AD84="NA","NA",'SEGUIMIENTO Y MONITOREO'!AH84)</f>
        <v>0.2</v>
      </c>
      <c r="L84" s="624">
        <f>'SEGUIMIENTO Y MONITOREO'!AU84</f>
        <v>0.19999999999999998</v>
      </c>
      <c r="M84" s="624">
        <f>'SEGUIMIENTO Y MONITOREO'!AW84</f>
        <v>0.19999999999999998</v>
      </c>
      <c r="N84" s="622" t="str">
        <f>IF(M84="","",CONCATENATE(IF('SEGUIMIENTO Y MONITOREO'!AX84=0,"",'SEGUIMIENTO Y MONITOREO'!AX84),Datos!$Y$4,IF('SEGUIMIENTO Y MONITOREO'!AX85=0,"",'SEGUIMIENTO Y MONITOREO'!AX85),Datos!$Y$4,IF('SEGUIMIENTO Y MONITOREO'!AX86=0,"",'SEGUIMIENTO Y MONITOREO'!AX86)))</f>
        <v xml:space="preserve">Actividades informadas
</v>
      </c>
      <c r="O84" s="622"/>
    </row>
    <row r="85" spans="1:15" ht="51" customHeight="1" x14ac:dyDescent="0.2">
      <c r="A85" s="623"/>
      <c r="B85" s="578"/>
      <c r="C85" s="82" t="str">
        <f>'SEGUIMIENTO Y MONITOREO'!D85</f>
        <v/>
      </c>
      <c r="D85" s="82" t="str">
        <f>'SEGUIMIENTO Y MONITOREO'!E85</f>
        <v/>
      </c>
      <c r="E85" s="128" t="str">
        <f>'SEGUIMIENTO Y MONITOREO'!G85</f>
        <v/>
      </c>
      <c r="F85" s="128" t="str">
        <f>'SEGUIMIENTO Y MONITOREO'!H85</f>
        <v/>
      </c>
      <c r="G85" s="388" t="str">
        <f>IF('SEGUIMIENTO Y MONITOREO'!J85="NA","NA",'SEGUIMIENTO Y MONITOREO'!N85)</f>
        <v/>
      </c>
      <c r="H85" s="624"/>
      <c r="I85" s="388" t="str">
        <f>IF('SEGUIMIENTO Y MONITOREO'!T85="NA","NA",'SEGUIMIENTO Y MONITOREO'!X85)</f>
        <v/>
      </c>
      <c r="J85" s="624"/>
      <c r="K85" s="388" t="str">
        <f>IF('SEGUIMIENTO Y MONITOREO'!AD85="NA","NA",'SEGUIMIENTO Y MONITOREO'!AH85)</f>
        <v/>
      </c>
      <c r="L85" s="624"/>
      <c r="M85" s="624"/>
      <c r="N85" s="622"/>
      <c r="O85" s="622"/>
    </row>
    <row r="86" spans="1:15" x14ac:dyDescent="0.2">
      <c r="A86" s="623"/>
      <c r="B86" s="578"/>
      <c r="C86" s="82" t="str">
        <f>'SEGUIMIENTO Y MONITOREO'!D86</f>
        <v/>
      </c>
      <c r="D86" s="82" t="str">
        <f>'SEGUIMIENTO Y MONITOREO'!E86</f>
        <v/>
      </c>
      <c r="E86" s="128" t="str">
        <f>'SEGUIMIENTO Y MONITOREO'!G86</f>
        <v/>
      </c>
      <c r="F86" s="128" t="str">
        <f>'SEGUIMIENTO Y MONITOREO'!H86</f>
        <v/>
      </c>
      <c r="G86" s="388" t="str">
        <f>IF('SEGUIMIENTO Y MONITOREO'!J86="NA","NA",'SEGUIMIENTO Y MONITOREO'!N86)</f>
        <v/>
      </c>
      <c r="H86" s="624"/>
      <c r="I86" s="388" t="str">
        <f>IF('SEGUIMIENTO Y MONITOREO'!T86="NA","NA",'SEGUIMIENTO Y MONITOREO'!X86)</f>
        <v/>
      </c>
      <c r="J86" s="624"/>
      <c r="K86" s="388" t="str">
        <f>IF('SEGUIMIENTO Y MONITOREO'!AD86="NA","NA",'SEGUIMIENTO Y MONITOREO'!AH86)</f>
        <v/>
      </c>
      <c r="L86" s="624"/>
      <c r="M86" s="624"/>
      <c r="N86" s="622"/>
      <c r="O86" s="622"/>
    </row>
    <row r="87" spans="1:15" ht="51" customHeight="1" x14ac:dyDescent="0.2">
      <c r="A87" s="623" t="str">
        <f>'SEGUIMIENTO Y MONITOREO'!A87:A89</f>
        <v>27G</v>
      </c>
      <c r="B87" s="578" t="str">
        <f>'SEGUIMIENTO Y MONITOREO'!B87:B89</f>
        <v>Evaluación Independiente. Deficiente evaluación y verificacion de la existencia, nivel de desarrollo y grado de efectividad del Sistema de Control Interno</v>
      </c>
      <c r="C87" s="82" t="str">
        <f>'SEGUIMIENTO Y MONITOREO'!D87</f>
        <v>Seguir ejecutando y monitoreando los controles existentes</v>
      </c>
      <c r="D87" s="82" t="str">
        <f>'SEGUIMIENTO Y MONITOREO'!E87</f>
        <v/>
      </c>
      <c r="E87" s="128" t="str">
        <f>'SEGUIMIENTO Y MONITOREO'!G87</f>
        <v/>
      </c>
      <c r="F87" s="128" t="str">
        <f>'SEGUIMIENTO Y MONITOREO'!H87</f>
        <v/>
      </c>
      <c r="G87" s="388" t="str">
        <f>IF('SEGUIMIENTO Y MONITOREO'!J87="NA","NA",'SEGUIMIENTO Y MONITOREO'!N87)</f>
        <v>NA</v>
      </c>
      <c r="H87" s="624" t="str">
        <f>'SEGUIMIENTO Y MONITOREO'!AR87</f>
        <v>NA</v>
      </c>
      <c r="I87" s="388" t="str">
        <f>IF('SEGUIMIENTO Y MONITOREO'!T87="NA","NA",'SEGUIMIENTO Y MONITOREO'!X87)</f>
        <v>NA</v>
      </c>
      <c r="J87" s="624" t="str">
        <f>'SEGUIMIENTO Y MONITOREO'!AS87</f>
        <v>NA</v>
      </c>
      <c r="K87" s="388" t="str">
        <f>IF('SEGUIMIENTO Y MONITOREO'!AD87="NA","NA",'SEGUIMIENTO Y MONITOREO'!AH87)</f>
        <v>NA</v>
      </c>
      <c r="L87" s="624" t="str">
        <f>'SEGUIMIENTO Y MONITOREO'!AU87</f>
        <v>NA</v>
      </c>
      <c r="M87" s="624" t="str">
        <f>'SEGUIMIENTO Y MONITOREO'!AW87</f>
        <v>NA</v>
      </c>
      <c r="N87" s="622" t="str">
        <f>IF(M87="","",CONCATENATE(IF('SEGUIMIENTO Y MONITOREO'!AX87=0,"",'SEGUIMIENTO Y MONITOREO'!AX87),Datos!$Y$4,IF('SEGUIMIENTO Y MONITOREO'!AX88=0,"",'SEGUIMIENTO Y MONITOREO'!AX88),Datos!$Y$4,IF('SEGUIMIENTO Y MONITOREO'!AX89=0,"",'SEGUIMIENTO Y MONITOREO'!AX89)))</f>
        <v xml:space="preserve">
</v>
      </c>
      <c r="O87" s="622"/>
    </row>
    <row r="88" spans="1:15" ht="51" customHeight="1" x14ac:dyDescent="0.2">
      <c r="A88" s="623"/>
      <c r="B88" s="578"/>
      <c r="C88" s="82" t="str">
        <f>'SEGUIMIENTO Y MONITOREO'!D88</f>
        <v/>
      </c>
      <c r="D88" s="82" t="str">
        <f>'SEGUIMIENTO Y MONITOREO'!E88</f>
        <v/>
      </c>
      <c r="E88" s="128" t="str">
        <f>'SEGUIMIENTO Y MONITOREO'!G88</f>
        <v/>
      </c>
      <c r="F88" s="128" t="str">
        <f>'SEGUIMIENTO Y MONITOREO'!H88</f>
        <v/>
      </c>
      <c r="G88" s="388" t="str">
        <f>IF('SEGUIMIENTO Y MONITOREO'!J88="NA","NA",'SEGUIMIENTO Y MONITOREO'!N88)</f>
        <v/>
      </c>
      <c r="H88" s="624"/>
      <c r="I88" s="388" t="str">
        <f>IF('SEGUIMIENTO Y MONITOREO'!T88="NA","NA",'SEGUIMIENTO Y MONITOREO'!X88)</f>
        <v/>
      </c>
      <c r="J88" s="624"/>
      <c r="K88" s="388" t="str">
        <f>IF('SEGUIMIENTO Y MONITOREO'!AD88="NA","NA",'SEGUIMIENTO Y MONITOREO'!AH88)</f>
        <v/>
      </c>
      <c r="L88" s="624"/>
      <c r="M88" s="624"/>
      <c r="N88" s="622"/>
      <c r="O88" s="622"/>
    </row>
    <row r="89" spans="1:15" x14ac:dyDescent="0.2">
      <c r="A89" s="623"/>
      <c r="B89" s="578"/>
      <c r="C89" s="82" t="str">
        <f>'SEGUIMIENTO Y MONITOREO'!D89</f>
        <v/>
      </c>
      <c r="D89" s="82" t="str">
        <f>'SEGUIMIENTO Y MONITOREO'!E89</f>
        <v/>
      </c>
      <c r="E89" s="128" t="str">
        <f>'SEGUIMIENTO Y MONITOREO'!G89</f>
        <v/>
      </c>
      <c r="F89" s="128" t="str">
        <f>'SEGUIMIENTO Y MONITOREO'!H89</f>
        <v/>
      </c>
      <c r="G89" s="388" t="str">
        <f>IF('SEGUIMIENTO Y MONITOREO'!J89="NA","NA",'SEGUIMIENTO Y MONITOREO'!N89)</f>
        <v/>
      </c>
      <c r="H89" s="624"/>
      <c r="I89" s="388" t="str">
        <f>IF('SEGUIMIENTO Y MONITOREO'!T89="NA","NA",'SEGUIMIENTO Y MONITOREO'!X89)</f>
        <v/>
      </c>
      <c r="J89" s="624"/>
      <c r="K89" s="388" t="str">
        <f>IF('SEGUIMIENTO Y MONITOREO'!AD89="NA","NA",'SEGUIMIENTO Y MONITOREO'!AH89)</f>
        <v/>
      </c>
      <c r="L89" s="624"/>
      <c r="M89" s="624"/>
      <c r="N89" s="622"/>
      <c r="O89" s="622"/>
    </row>
    <row r="90" spans="1:15" ht="15.75" x14ac:dyDescent="0.25">
      <c r="A90" s="627" t="str">
        <f>'SEGUIMIENTO Y MONITOREO'!B200</f>
        <v>Cumplimiento Riesgos de GESTIÓN (Respecto a los plazos establecidos)</v>
      </c>
      <c r="B90" s="628"/>
      <c r="C90" s="628"/>
      <c r="D90" s="628"/>
      <c r="E90" s="628"/>
      <c r="F90" s="629"/>
      <c r="G90" s="630">
        <f>'SEGUIMIENTO Y MONITOREO'!J200</f>
        <v>0.17424749163879599</v>
      </c>
      <c r="H90" s="631"/>
      <c r="I90" s="630">
        <f>'SEGUIMIENTO Y MONITOREO'!T200</f>
        <v>0.40058372352285398</v>
      </c>
      <c r="J90" s="631"/>
      <c r="K90" s="630">
        <f>'SEGUIMIENTO Y MONITOREO'!AD200</f>
        <v>0.4535255295429208</v>
      </c>
      <c r="L90" s="631"/>
      <c r="M90" s="164">
        <f>'SEGUIMIENTO Y MONITOREO'!AW200</f>
        <v>0.4535255295429208</v>
      </c>
      <c r="N90" s="27"/>
      <c r="O90" s="27"/>
    </row>
    <row r="91" spans="1:15" ht="16.5" thickBot="1" x14ac:dyDescent="0.3">
      <c r="A91" s="625" t="str">
        <f>'SEGUIMIENTO Y MONITOREO'!B201</f>
        <v xml:space="preserve">% Avance Riesgos de GESTIÓN </v>
      </c>
      <c r="B91" s="625"/>
      <c r="C91" s="625"/>
      <c r="D91" s="625"/>
      <c r="E91" s="625"/>
      <c r="F91" s="625"/>
      <c r="G91" s="626">
        <f>'SEGUIMIENTO Y MONITOREO'!J201</f>
        <v>0.17424749163879599</v>
      </c>
      <c r="H91" s="626"/>
      <c r="I91" s="626">
        <f>'SEGUIMIENTO Y MONITOREO'!T201</f>
        <v>0.40058372352285398</v>
      </c>
      <c r="J91" s="626"/>
      <c r="K91" s="626">
        <f>'SEGUIMIENTO Y MONITOREO'!AD201</f>
        <v>0.56848874024526197</v>
      </c>
      <c r="L91" s="626"/>
      <c r="M91" s="167">
        <f>'SEGUIMIENTO Y MONITOREO'!AW201</f>
        <v>0.56848874024526197</v>
      </c>
      <c r="N91" s="27"/>
      <c r="O91" s="27"/>
    </row>
    <row r="92" spans="1:15" ht="15.75" thickTop="1" x14ac:dyDescent="0.2"/>
  </sheetData>
  <sheetProtection formatCells="0" formatRows="0" selectLockedCells="1"/>
  <mergeCells count="213">
    <mergeCell ref="A5:O5"/>
    <mergeCell ref="G7:M7"/>
    <mergeCell ref="A1:B3"/>
    <mergeCell ref="C1:M3"/>
    <mergeCell ref="N1:O1"/>
    <mergeCell ref="N2:O2"/>
    <mergeCell ref="N3:O3"/>
    <mergeCell ref="A6:B6"/>
    <mergeCell ref="A7:B7"/>
    <mergeCell ref="C7:F7"/>
    <mergeCell ref="M6:N6"/>
    <mergeCell ref="C6:K6"/>
    <mergeCell ref="G8:H8"/>
    <mergeCell ref="I8:J8"/>
    <mergeCell ref="K8:L8"/>
    <mergeCell ref="N8:O8"/>
    <mergeCell ref="H9:H11"/>
    <mergeCell ref="N9:O11"/>
    <mergeCell ref="A9:A11"/>
    <mergeCell ref="B9:B11"/>
    <mergeCell ref="J9:J11"/>
    <mergeCell ref="L9:L11"/>
    <mergeCell ref="M9:M11"/>
    <mergeCell ref="M12:M14"/>
    <mergeCell ref="N12:O14"/>
    <mergeCell ref="A15:A17"/>
    <mergeCell ref="B15:B17"/>
    <mergeCell ref="H15:H17"/>
    <mergeCell ref="J15:J17"/>
    <mergeCell ref="L15:L17"/>
    <mergeCell ref="M15:M17"/>
    <mergeCell ref="N15:O17"/>
    <mergeCell ref="A12:A14"/>
    <mergeCell ref="B12:B14"/>
    <mergeCell ref="H12:H14"/>
    <mergeCell ref="J12:J14"/>
    <mergeCell ref="L12:L14"/>
    <mergeCell ref="M18:M20"/>
    <mergeCell ref="N18:O20"/>
    <mergeCell ref="A21:A23"/>
    <mergeCell ref="B21:B23"/>
    <mergeCell ref="H21:H23"/>
    <mergeCell ref="J21:J23"/>
    <mergeCell ref="L21:L23"/>
    <mergeCell ref="M21:M23"/>
    <mergeCell ref="N21:O23"/>
    <mergeCell ref="A18:A20"/>
    <mergeCell ref="B18:B20"/>
    <mergeCell ref="H18:H20"/>
    <mergeCell ref="J18:J20"/>
    <mergeCell ref="L18:L20"/>
    <mergeCell ref="M24:M26"/>
    <mergeCell ref="N24:O26"/>
    <mergeCell ref="A27:A29"/>
    <mergeCell ref="B27:B29"/>
    <mergeCell ref="H27:H29"/>
    <mergeCell ref="J27:J29"/>
    <mergeCell ref="L27:L29"/>
    <mergeCell ref="M27:M29"/>
    <mergeCell ref="N27:O29"/>
    <mergeCell ref="A24:A26"/>
    <mergeCell ref="B24:B26"/>
    <mergeCell ref="H24:H26"/>
    <mergeCell ref="J24:J26"/>
    <mergeCell ref="L24:L26"/>
    <mergeCell ref="N36:O38"/>
    <mergeCell ref="A36:A38"/>
    <mergeCell ref="B36:B38"/>
    <mergeCell ref="H36:H38"/>
    <mergeCell ref="J36:J38"/>
    <mergeCell ref="L36:L38"/>
    <mergeCell ref="M30:M32"/>
    <mergeCell ref="N30:O32"/>
    <mergeCell ref="A33:A35"/>
    <mergeCell ref="B33:B35"/>
    <mergeCell ref="H33:H35"/>
    <mergeCell ref="J33:J35"/>
    <mergeCell ref="L33:L35"/>
    <mergeCell ref="M33:M35"/>
    <mergeCell ref="N33:O35"/>
    <mergeCell ref="A30:A32"/>
    <mergeCell ref="B30:B32"/>
    <mergeCell ref="H30:H32"/>
    <mergeCell ref="J30:J32"/>
    <mergeCell ref="L30:L32"/>
    <mergeCell ref="A91:F91"/>
    <mergeCell ref="G91:H91"/>
    <mergeCell ref="I91:J91"/>
    <mergeCell ref="K91:L91"/>
    <mergeCell ref="A90:F90"/>
    <mergeCell ref="G90:H90"/>
    <mergeCell ref="I90:J90"/>
    <mergeCell ref="K90:L90"/>
    <mergeCell ref="M36:M38"/>
    <mergeCell ref="M39:M41"/>
    <mergeCell ref="M45:M47"/>
    <mergeCell ref="M51:M53"/>
    <mergeCell ref="M57:M59"/>
    <mergeCell ref="M63:M65"/>
    <mergeCell ref="M69:M71"/>
    <mergeCell ref="M75:M77"/>
    <mergeCell ref="M87:M89"/>
    <mergeCell ref="N39:O41"/>
    <mergeCell ref="A42:A44"/>
    <mergeCell ref="B42:B44"/>
    <mergeCell ref="H42:H44"/>
    <mergeCell ref="J42:J44"/>
    <mergeCell ref="L42:L44"/>
    <mergeCell ref="M42:M44"/>
    <mergeCell ref="N42:O44"/>
    <mergeCell ref="A39:A41"/>
    <mergeCell ref="B39:B41"/>
    <mergeCell ref="H39:H41"/>
    <mergeCell ref="J39:J41"/>
    <mergeCell ref="L39:L41"/>
    <mergeCell ref="N45:O47"/>
    <mergeCell ref="A48:A50"/>
    <mergeCell ref="B48:B50"/>
    <mergeCell ref="H48:H50"/>
    <mergeCell ref="J48:J50"/>
    <mergeCell ref="L48:L50"/>
    <mergeCell ref="M48:M50"/>
    <mergeCell ref="N48:O50"/>
    <mergeCell ref="A45:A47"/>
    <mergeCell ref="B45:B47"/>
    <mergeCell ref="H45:H47"/>
    <mergeCell ref="J45:J47"/>
    <mergeCell ref="L45:L47"/>
    <mergeCell ref="N51:O53"/>
    <mergeCell ref="A54:A56"/>
    <mergeCell ref="B54:B56"/>
    <mergeCell ref="H54:H56"/>
    <mergeCell ref="J54:J56"/>
    <mergeCell ref="L54:L56"/>
    <mergeCell ref="M54:M56"/>
    <mergeCell ref="N54:O56"/>
    <mergeCell ref="A51:A53"/>
    <mergeCell ref="B51:B53"/>
    <mergeCell ref="H51:H53"/>
    <mergeCell ref="J51:J53"/>
    <mergeCell ref="L51:L53"/>
    <mergeCell ref="N57:O59"/>
    <mergeCell ref="A60:A62"/>
    <mergeCell ref="B60:B62"/>
    <mergeCell ref="H60:H62"/>
    <mergeCell ref="J60:J62"/>
    <mergeCell ref="L60:L62"/>
    <mergeCell ref="M60:M62"/>
    <mergeCell ref="N60:O62"/>
    <mergeCell ref="A57:A59"/>
    <mergeCell ref="B57:B59"/>
    <mergeCell ref="H57:H59"/>
    <mergeCell ref="J57:J59"/>
    <mergeCell ref="L57:L59"/>
    <mergeCell ref="N63:O65"/>
    <mergeCell ref="A66:A68"/>
    <mergeCell ref="B66:B68"/>
    <mergeCell ref="H66:H68"/>
    <mergeCell ref="J66:J68"/>
    <mergeCell ref="L66:L68"/>
    <mergeCell ref="M66:M68"/>
    <mergeCell ref="N66:O68"/>
    <mergeCell ref="A63:A65"/>
    <mergeCell ref="B63:B65"/>
    <mergeCell ref="H63:H65"/>
    <mergeCell ref="J63:J65"/>
    <mergeCell ref="L63:L65"/>
    <mergeCell ref="N69:O71"/>
    <mergeCell ref="A72:A74"/>
    <mergeCell ref="B72:B74"/>
    <mergeCell ref="H72:H74"/>
    <mergeCell ref="J72:J74"/>
    <mergeCell ref="L72:L74"/>
    <mergeCell ref="M72:M74"/>
    <mergeCell ref="N72:O74"/>
    <mergeCell ref="A69:A71"/>
    <mergeCell ref="B69:B71"/>
    <mergeCell ref="H69:H71"/>
    <mergeCell ref="J69:J71"/>
    <mergeCell ref="L69:L71"/>
    <mergeCell ref="N75:O77"/>
    <mergeCell ref="A78:A80"/>
    <mergeCell ref="B78:B80"/>
    <mergeCell ref="H78:H80"/>
    <mergeCell ref="J78:J80"/>
    <mergeCell ref="L78:L80"/>
    <mergeCell ref="M78:M80"/>
    <mergeCell ref="N78:O80"/>
    <mergeCell ref="A75:A77"/>
    <mergeCell ref="B75:B77"/>
    <mergeCell ref="H75:H77"/>
    <mergeCell ref="J75:J77"/>
    <mergeCell ref="L75:L77"/>
    <mergeCell ref="N87:O89"/>
    <mergeCell ref="A87:A89"/>
    <mergeCell ref="B87:B89"/>
    <mergeCell ref="H87:H89"/>
    <mergeCell ref="J87:J89"/>
    <mergeCell ref="L87:L89"/>
    <mergeCell ref="M81:M83"/>
    <mergeCell ref="N81:O83"/>
    <mergeCell ref="A84:A86"/>
    <mergeCell ref="B84:B86"/>
    <mergeCell ref="H84:H86"/>
    <mergeCell ref="J84:J86"/>
    <mergeCell ref="L84:L86"/>
    <mergeCell ref="M84:M86"/>
    <mergeCell ref="N84:O86"/>
    <mergeCell ref="A81:A83"/>
    <mergeCell ref="B81:B83"/>
    <mergeCell ref="H81:H83"/>
    <mergeCell ref="J81:J83"/>
    <mergeCell ref="L81:L83"/>
  </mergeCells>
  <conditionalFormatting sqref="O7">
    <cfRule type="containsText" dxfId="229" priority="16" operator="containsText" text="Sin Seguimientos">
      <formula>NOT(ISERROR(SEARCH("Sin Seguimientos",O7)))</formula>
    </cfRule>
  </conditionalFormatting>
  <conditionalFormatting sqref="G9:G89">
    <cfRule type="containsText" dxfId="228" priority="7" operator="containsText" text="NA">
      <formula>NOT(ISERROR(SEARCH("NA",G9)))</formula>
    </cfRule>
  </conditionalFormatting>
  <conditionalFormatting sqref="I9:I89">
    <cfRule type="containsText" dxfId="227" priority="4" operator="containsText" text="NA">
      <formula>NOT(ISERROR(SEARCH("NA",I9)))</formula>
    </cfRule>
  </conditionalFormatting>
  <conditionalFormatting sqref="K9:K89">
    <cfRule type="containsText" dxfId="226" priority="1" operator="containsText" text="NA">
      <formula>NOT(ISERROR(SEARCH("NA",K9)))</formula>
    </cfRule>
  </conditionalFormatting>
  <dataValidations count="1">
    <dataValidation operator="equal" allowBlank="1" showInputMessage="1" showErrorMessage="1" sqref="G9:H9 G15:H15 G10:G11 G18:H18 G21:H21 G24:H24 G27:H27 G30:H30 G33:H33 G36:H36 G13:G14 G12:H12 G16:G17 G19:G20 G22:G23 G25:G26 G28:G29 G31:G32 G34:G35 G37:G38 G39:H39 G42:H42 G45:H45 G48:H48 G51:H51 G54:H54 G57:H57 G60:H60 G63:H63 G66:H66 G69:H69 G72:H72 G75:H75 G78:H78 G81:H81 G84:H84 G87:H87 G40:G41 G43:G44 G46:G47 G49:G50 G52:G53 G55:G56 G58:G59 G61:G62 G64:G65 G67:G68 G70:G71 G73:G74 G76:G77 G79:G80 G82:G83 G85:G86 G88:G89"/>
  </dataValidations>
  <pageMargins left="0.7" right="0.7" top="0.75" bottom="0.75" header="0.3" footer="0.3"/>
  <pageSetup scale="4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2" operator="notEqual" id="{B5F44CF5-A958-4B0F-B213-2256D66C2287}">
            <xm:f>VALORACIÓN!$D$10</xm:f>
            <x14:dxf>
              <font>
                <color auto="1"/>
              </font>
              <fill>
                <patternFill patternType="lightGrid">
                  <fgColor theme="0" tint="-4.9989318521683403E-2"/>
                  <bgColor theme="0"/>
                </patternFill>
              </fill>
            </x14:dxf>
          </x14:cfRule>
          <x14:cfRule type="cellIs" priority="33" operator="equal" id="{4B256607-C3B9-4CFD-BAE4-1D03ADBFD308}">
            <xm:f>VALORACIÓN!$D$10</xm:f>
            <x14:dxf>
              <fill>
                <patternFill patternType="lightGrid">
                  <fgColor theme="0" tint="-4.9989318521683403E-2"/>
                </patternFill>
              </fill>
            </x14:dxf>
          </x14:cfRule>
          <xm:sqref>G9:H9 H12 H15 H18 H21 H24 H27 H30 H33 H36 H39 H42 H45 H48 H51 H54 H57 H60 H63 H66 H69 H72 H75 H78 H81 H84 H87 G10:G89</xm:sqref>
        </x14:conditionalFormatting>
        <x14:conditionalFormatting xmlns:xm="http://schemas.microsoft.com/office/excel/2006/main">
          <x14:cfRule type="cellIs" priority="27" operator="notEqual" id="{BCA5FCAB-1720-41DE-A1FF-489DD0CD564A}">
            <xm:f>VALORACIÓN!$D$10</xm:f>
            <x14:dxf>
              <font>
                <color auto="1"/>
              </font>
              <fill>
                <patternFill patternType="lightGrid">
                  <fgColor theme="0" tint="-4.9989318521683403E-2"/>
                  <bgColor theme="0"/>
                </patternFill>
              </fill>
            </x14:dxf>
          </x14:cfRule>
          <x14:cfRule type="cellIs" priority="28" operator="equal" id="{F60E93D4-3644-4BEB-A0BD-46648AA78F3E}">
            <xm:f>VALORACIÓN!$D$10</xm:f>
            <x14:dxf>
              <fill>
                <patternFill patternType="lightGrid">
                  <fgColor theme="0" tint="-4.9989318521683403E-2"/>
                </patternFill>
              </fill>
            </x14:dxf>
          </x14:cfRule>
          <xm:sqref>J9 J12 J15 J18 J21 J24 J27 J30 J33 J36 L12 L9 L36 L33 L30 L27 L24 L21 L18 L15 J39 J42 J45 J48 J51 J54 J57 J60 J63 J66 J69 J72 J75 J78 J81 J84 J87 L39 L42 L45 L48 L51 L54 L57 L60 L63 L66 L69 L72 L75 L78 L81 L84 L87</xm:sqref>
        </x14:conditionalFormatting>
        <x14:conditionalFormatting xmlns:xm="http://schemas.microsoft.com/office/excel/2006/main">
          <x14:cfRule type="cellIs" priority="21" operator="notEqual" id="{04954CD5-8EE6-4580-B927-7B0E0727F1A3}">
            <xm:f>VALORACIÓN!$D$10</xm:f>
            <x14:dxf>
              <font>
                <color auto="1"/>
              </font>
              <fill>
                <patternFill patternType="lightGrid">
                  <fgColor theme="0" tint="-4.9989318521683403E-2"/>
                  <bgColor theme="0"/>
                </patternFill>
              </fill>
            </x14:dxf>
          </x14:cfRule>
          <x14:cfRule type="cellIs" priority="22" operator="equal" id="{63CBBFFF-ECDE-4FAD-B5BD-DB2E9B0F2275}">
            <xm:f>VALORACIÓN!$D$10</xm:f>
            <x14:dxf>
              <fill>
                <patternFill patternType="lightGrid">
                  <fgColor theme="0" tint="-4.9989318521683403E-2"/>
                </patternFill>
              </fill>
            </x14:dxf>
          </x14:cfRule>
          <xm:sqref>M9 M12 M15 M18 M21 M24 M27 M30 M33 M36 M39 M42 M45 M48 M51 M54 M57 M60 M63 M66 M69 M72 M75 M78 M81 M84 M87</xm:sqref>
        </x14:conditionalFormatting>
        <x14:conditionalFormatting xmlns:xm="http://schemas.microsoft.com/office/excel/2006/main">
          <x14:cfRule type="cellIs" priority="17" operator="notEqual" id="{71B10A35-B30C-4F76-BE7B-A3971416EDD5}">
            <xm:f>VALORACIÓN!$D$10</xm:f>
            <x14:dxf>
              <font>
                <color auto="1"/>
              </font>
              <fill>
                <patternFill patternType="lightGrid">
                  <fgColor theme="0" tint="-4.9989318521683403E-2"/>
                  <bgColor theme="0"/>
                </patternFill>
              </fill>
            </x14:dxf>
          </x14:cfRule>
          <x14:cfRule type="cellIs" priority="18" operator="equal" id="{5F65D902-F965-4DF7-A7D0-9545CD9A646A}">
            <xm:f>VALORACIÓN!$D$10</xm:f>
            <x14:dxf>
              <fill>
                <patternFill patternType="lightGrid">
                  <fgColor theme="0" tint="-4.9989318521683403E-2"/>
                </patternFill>
              </fill>
            </x14:dxf>
          </x14:cfRule>
          <xm:sqref>N12 N9 N15 N18 N21 N24 N27 N30 N33 N36 N39 N42 N45 N48 N51 N54 N57 N60 N63 N66 N69 N72 N75 N78 N81 N84 N87</xm:sqref>
        </x14:conditionalFormatting>
        <x14:conditionalFormatting xmlns:xm="http://schemas.microsoft.com/office/excel/2006/main">
          <x14:cfRule type="cellIs" priority="14" operator="notEqual" id="{566B9EA9-6CD7-4464-95C3-F7EAA2525693}">
            <xm:f>VALORACIÓN!$D$10</xm:f>
            <x14:dxf>
              <font>
                <color auto="1"/>
              </font>
              <fill>
                <patternFill patternType="lightGrid">
                  <fgColor theme="0" tint="-4.9989318521683403E-2"/>
                  <bgColor theme="0"/>
                </patternFill>
              </fill>
            </x14:dxf>
          </x14:cfRule>
          <x14:cfRule type="cellIs" priority="15" operator="equal" id="{3BDC622E-5DDD-4ED5-A6DB-B71BB62E6B8C}">
            <xm:f>VALORACIÓN!$D$10</xm:f>
            <x14:dxf>
              <fill>
                <patternFill patternType="lightGrid">
                  <fgColor theme="0" tint="-4.9989318521683403E-2"/>
                </patternFill>
              </fill>
            </x14:dxf>
          </x14:cfRule>
          <xm:sqref>M90:M91</xm:sqref>
        </x14:conditionalFormatting>
        <x14:conditionalFormatting xmlns:xm="http://schemas.microsoft.com/office/excel/2006/main">
          <x14:cfRule type="cellIs" priority="12" operator="notEqual" id="{0270A219-A1AE-4CF0-A66C-22D97F4BEC64}">
            <xm:f>VALORACIÓN!$D$10</xm:f>
            <x14:dxf>
              <font>
                <color auto="1"/>
              </font>
              <fill>
                <patternFill patternType="lightGrid">
                  <fgColor theme="0" tint="-4.9989318521683403E-2"/>
                  <bgColor theme="0"/>
                </patternFill>
              </fill>
            </x14:dxf>
          </x14:cfRule>
          <x14:cfRule type="cellIs" priority="13" operator="equal" id="{884C2194-962F-4A13-8E37-C7AD9A3CACAD}">
            <xm:f>VALORACIÓN!$D$10</xm:f>
            <x14:dxf>
              <fill>
                <patternFill patternType="lightGrid">
                  <fgColor theme="0" tint="-4.9989318521683403E-2"/>
                </patternFill>
              </fill>
            </x14:dxf>
          </x14:cfRule>
          <xm:sqref>G90:G91</xm:sqref>
        </x14:conditionalFormatting>
        <x14:conditionalFormatting xmlns:xm="http://schemas.microsoft.com/office/excel/2006/main">
          <x14:cfRule type="cellIs" priority="10" operator="notEqual" id="{422099BE-4E8C-4BB2-BC05-34A7880CFE79}">
            <xm:f>VALORACIÓN!$D$10</xm:f>
            <x14:dxf>
              <font>
                <color auto="1"/>
              </font>
              <fill>
                <patternFill patternType="lightGrid">
                  <fgColor theme="0" tint="-4.9989318521683403E-2"/>
                  <bgColor theme="0"/>
                </patternFill>
              </fill>
            </x14:dxf>
          </x14:cfRule>
          <x14:cfRule type="cellIs" priority="11" operator="equal" id="{D883A869-A669-46E3-8687-8ED3C1DD725E}">
            <xm:f>VALORACIÓN!$D$10</xm:f>
            <x14:dxf>
              <fill>
                <patternFill patternType="lightGrid">
                  <fgColor theme="0" tint="-4.9989318521683403E-2"/>
                </patternFill>
              </fill>
            </x14:dxf>
          </x14:cfRule>
          <xm:sqref>I90:I91</xm:sqref>
        </x14:conditionalFormatting>
        <x14:conditionalFormatting xmlns:xm="http://schemas.microsoft.com/office/excel/2006/main">
          <x14:cfRule type="cellIs" priority="8" operator="notEqual" id="{CBFC31B2-9513-4E02-A6D8-BF22EA4BFBF8}">
            <xm:f>VALORACIÓN!$D$10</xm:f>
            <x14:dxf>
              <font>
                <color auto="1"/>
              </font>
              <fill>
                <patternFill patternType="lightGrid">
                  <fgColor theme="0" tint="-4.9989318521683403E-2"/>
                  <bgColor theme="0"/>
                </patternFill>
              </fill>
            </x14:dxf>
          </x14:cfRule>
          <x14:cfRule type="cellIs" priority="9" operator="equal" id="{22CE3422-A909-4FC7-9708-F19C83165A2A}">
            <xm:f>VALORACIÓN!$D$10</xm:f>
            <x14:dxf>
              <fill>
                <patternFill patternType="lightGrid">
                  <fgColor theme="0" tint="-4.9989318521683403E-2"/>
                </patternFill>
              </fill>
            </x14:dxf>
          </x14:cfRule>
          <xm:sqref>K90:K91</xm:sqref>
        </x14:conditionalFormatting>
        <x14:conditionalFormatting xmlns:xm="http://schemas.microsoft.com/office/excel/2006/main">
          <x14:cfRule type="cellIs" priority="5" operator="notEqual" id="{89D0E586-8975-49E6-BDC0-5A5A1850215C}">
            <xm:f>VALORACIÓN!$D$10</xm:f>
            <x14:dxf>
              <font>
                <color auto="1"/>
              </font>
              <fill>
                <patternFill patternType="lightGrid">
                  <fgColor theme="0" tint="-4.9989318521683403E-2"/>
                  <bgColor theme="0"/>
                </patternFill>
              </fill>
            </x14:dxf>
          </x14:cfRule>
          <x14:cfRule type="cellIs" priority="6" operator="equal" id="{FB81DE55-D7F6-47B1-96B2-12CD474778E7}">
            <xm:f>VALORACIÓN!$D$10</xm:f>
            <x14:dxf>
              <fill>
                <patternFill patternType="lightGrid">
                  <fgColor theme="0" tint="-4.9989318521683403E-2"/>
                </patternFill>
              </fill>
            </x14:dxf>
          </x14:cfRule>
          <xm:sqref>I9:I89</xm:sqref>
        </x14:conditionalFormatting>
        <x14:conditionalFormatting xmlns:xm="http://schemas.microsoft.com/office/excel/2006/main">
          <x14:cfRule type="cellIs" priority="2" operator="notEqual" id="{E467AF44-4A7F-48F9-A72E-3FFFB8B55117}">
            <xm:f>VALORACIÓN!$D$10</xm:f>
            <x14:dxf>
              <font>
                <color auto="1"/>
              </font>
              <fill>
                <patternFill patternType="lightGrid">
                  <fgColor theme="0" tint="-4.9989318521683403E-2"/>
                  <bgColor theme="0"/>
                </patternFill>
              </fill>
            </x14:dxf>
          </x14:cfRule>
          <x14:cfRule type="cellIs" priority="3" operator="equal" id="{1EC14157-D701-471D-9CFE-A7BD98F8B27D}">
            <xm:f>VALORACIÓN!$D$10</xm:f>
            <x14:dxf>
              <fill>
                <patternFill patternType="lightGrid">
                  <fgColor theme="0" tint="-4.9989318521683403E-2"/>
                </patternFill>
              </fill>
            </x14:dxf>
          </x14:cfRule>
          <xm:sqref>K9:K89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O113"/>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M6" sqref="M6:N6"/>
    </sheetView>
  </sheetViews>
  <sheetFormatPr baseColWidth="10" defaultRowHeight="15" x14ac:dyDescent="0.2"/>
  <cols>
    <col min="1" max="1" width="3.88671875" customWidth="1"/>
    <col min="2" max="2" width="14.44140625" customWidth="1"/>
    <col min="3" max="3" width="17.21875" customWidth="1"/>
    <col min="4" max="4" width="11.5546875" customWidth="1"/>
    <col min="5" max="6" width="8.109375" customWidth="1"/>
    <col min="7" max="12" width="6.5546875" style="96" customWidth="1"/>
    <col min="13" max="13" width="12" customWidth="1"/>
    <col min="14" max="14" width="16.5546875" customWidth="1"/>
    <col min="15" max="15" width="11.33203125" customWidth="1"/>
  </cols>
  <sheetData>
    <row r="1" spans="1:15" x14ac:dyDescent="0.2">
      <c r="A1" s="433" t="s">
        <v>145</v>
      </c>
      <c r="B1" s="433"/>
      <c r="C1" s="516" t="s">
        <v>152</v>
      </c>
      <c r="D1" s="516"/>
      <c r="E1" s="516"/>
      <c r="F1" s="516"/>
      <c r="G1" s="516"/>
      <c r="H1" s="516"/>
      <c r="I1" s="516"/>
      <c r="J1" s="516"/>
      <c r="K1" s="516"/>
      <c r="L1" s="516"/>
      <c r="M1" s="516"/>
      <c r="N1" s="510" t="s">
        <v>71</v>
      </c>
      <c r="O1" s="510"/>
    </row>
    <row r="2" spans="1:15" ht="21.75" customHeight="1" x14ac:dyDescent="0.2">
      <c r="A2" s="433"/>
      <c r="B2" s="433"/>
      <c r="C2" s="519"/>
      <c r="D2" s="519"/>
      <c r="E2" s="519"/>
      <c r="F2" s="519"/>
      <c r="G2" s="519"/>
      <c r="H2" s="519"/>
      <c r="I2" s="519"/>
      <c r="J2" s="519"/>
      <c r="K2" s="519"/>
      <c r="L2" s="519"/>
      <c r="M2" s="519"/>
      <c r="N2" s="510" t="s">
        <v>107</v>
      </c>
      <c r="O2" s="510"/>
    </row>
    <row r="3" spans="1:15" ht="23.25" customHeight="1" x14ac:dyDescent="0.2">
      <c r="A3" s="433"/>
      <c r="B3" s="433"/>
      <c r="C3" s="522"/>
      <c r="D3" s="522"/>
      <c r="E3" s="522"/>
      <c r="F3" s="522"/>
      <c r="G3" s="522"/>
      <c r="H3" s="522"/>
      <c r="I3" s="522"/>
      <c r="J3" s="522"/>
      <c r="K3" s="522"/>
      <c r="L3" s="522"/>
      <c r="M3" s="522"/>
      <c r="N3" s="510" t="s">
        <v>408</v>
      </c>
      <c r="O3" s="510"/>
    </row>
    <row r="4" spans="1:15" ht="3.75" customHeight="1" x14ac:dyDescent="0.2">
      <c r="A4" s="33"/>
      <c r="B4" s="34"/>
      <c r="C4" s="269"/>
      <c r="D4" s="269"/>
      <c r="E4" s="269"/>
      <c r="F4" s="269"/>
      <c r="G4" s="269"/>
      <c r="H4" s="269"/>
      <c r="I4" s="269"/>
      <c r="J4" s="269"/>
      <c r="K4" s="269"/>
      <c r="L4" s="268"/>
      <c r="M4" s="268"/>
      <c r="N4" s="49"/>
      <c r="O4" s="49"/>
    </row>
    <row r="5" spans="1:15" ht="15.75" x14ac:dyDescent="0.2">
      <c r="A5" s="435" t="s">
        <v>184</v>
      </c>
      <c r="B5" s="435"/>
      <c r="C5" s="435"/>
      <c r="D5" s="435"/>
      <c r="E5" s="435"/>
      <c r="F5" s="435"/>
      <c r="G5" s="435"/>
      <c r="H5" s="435"/>
      <c r="I5" s="435"/>
      <c r="J5" s="435"/>
      <c r="K5" s="435"/>
      <c r="L5" s="514"/>
      <c r="M5" s="514"/>
      <c r="N5" s="514"/>
      <c r="O5" s="514"/>
    </row>
    <row r="6" spans="1:15" ht="15.75" customHeight="1" x14ac:dyDescent="0.2">
      <c r="A6" s="489" t="str">
        <f>'CONTEXTO ESTRATEGICO'!A7</f>
        <v>INSTITUCIONAL</v>
      </c>
      <c r="B6" s="489"/>
      <c r="C6" s="490" t="str">
        <f>'SEGUIMIENTO Y MONITOREO'!C6</f>
        <v>Mapa de Riesgo Institucional</v>
      </c>
      <c r="D6" s="491"/>
      <c r="E6" s="491"/>
      <c r="F6" s="491"/>
      <c r="G6" s="491"/>
      <c r="H6" s="491"/>
      <c r="I6" s="491"/>
      <c r="J6" s="491"/>
      <c r="K6" s="491"/>
      <c r="L6" s="144"/>
      <c r="M6" s="603" t="str">
        <f>'SEGUIMIENTO Y MONITOREO'!E6</f>
        <v>Fecha de Actualización (AAAA/MM/DD)</v>
      </c>
      <c r="N6" s="604"/>
      <c r="O6" s="149">
        <f>'SEGUIMIENTO Y MONITOREO'!H6</f>
        <v>42443</v>
      </c>
    </row>
    <row r="7" spans="1:15" ht="25.5" customHeight="1" x14ac:dyDescent="0.2">
      <c r="A7" s="489" t="str">
        <f>'CONTEXTO ESTRATEGICO'!A8</f>
        <v>MISION</v>
      </c>
      <c r="B7" s="489"/>
      <c r="C7" s="490" t="str">
        <f>'SEGUIMIENTO Y MONITOREO'!C7</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2"/>
      <c r="G7" s="636" t="s">
        <v>371</v>
      </c>
      <c r="H7" s="637"/>
      <c r="I7" s="637"/>
      <c r="J7" s="637"/>
      <c r="K7" s="637"/>
      <c r="L7" s="637"/>
      <c r="M7" s="638"/>
      <c r="N7" s="129" t="s">
        <v>185</v>
      </c>
      <c r="O7" s="130">
        <f>'SEGUIMIENTO Y MONITOREO'!$AX$7</f>
        <v>42735</v>
      </c>
    </row>
    <row r="8" spans="1:15" ht="39" thickBot="1" x14ac:dyDescent="0.25">
      <c r="A8" s="270" t="s">
        <v>22</v>
      </c>
      <c r="B8" s="270" t="s">
        <v>28</v>
      </c>
      <c r="C8" s="80" t="s">
        <v>153</v>
      </c>
      <c r="D8" s="75" t="s">
        <v>159</v>
      </c>
      <c r="E8" s="75" t="s">
        <v>155</v>
      </c>
      <c r="F8" s="75" t="s">
        <v>156</v>
      </c>
      <c r="G8" s="633" t="s">
        <v>195</v>
      </c>
      <c r="H8" s="633"/>
      <c r="I8" s="633" t="s">
        <v>196</v>
      </c>
      <c r="J8" s="633"/>
      <c r="K8" s="633" t="s">
        <v>197</v>
      </c>
      <c r="L8" s="633"/>
      <c r="M8" s="146" t="s">
        <v>369</v>
      </c>
      <c r="N8" s="634" t="s">
        <v>200</v>
      </c>
      <c r="O8" s="635"/>
    </row>
    <row r="9" spans="1:15" ht="25.5" customHeight="1" thickTop="1" x14ac:dyDescent="0.2">
      <c r="A9" s="575" t="str">
        <f>'SEGUIMIENTO Y MONITOREO'!A95</f>
        <v>1C</v>
      </c>
      <c r="B9" s="578" t="str">
        <f>'SEGUIMIENTO Y MONITOREO'!B95</f>
        <v>Relaciones Interinstitucionales. Tráfico de Influencias</v>
      </c>
      <c r="C9" s="82" t="str">
        <f>'SEGUIMIENTO Y MONITOREO'!D95</f>
        <v xml:space="preserve">Asistencia a capacitaciones (transparencia, buen gobierno, etc) organizadas por Rectoría, Talento Humano y/o contratación. </v>
      </c>
      <c r="D9" s="82" t="str">
        <f>'SEGUIMIENTO Y MONITOREO'!E95</f>
        <v xml:space="preserve">Asistencia </v>
      </c>
      <c r="E9" s="128">
        <f>'SEGUIMIENTO Y MONITOREO'!G95</f>
        <v>42370</v>
      </c>
      <c r="F9" s="128">
        <f>'SEGUIMIENTO Y MONITOREO'!H95</f>
        <v>42490</v>
      </c>
      <c r="G9" s="314">
        <f>IF('SEGUIMIENTO Y MONITOREO'!J95="NA","NA",'SEGUIMIENTO Y MONITOREO'!N95)</f>
        <v>1</v>
      </c>
      <c r="H9" s="624">
        <f>'SEGUIMIENTO Y MONITOREO'!AR95</f>
        <v>1</v>
      </c>
      <c r="I9" s="314">
        <f>IF('SEGUIMIENTO Y MONITOREO'!T95="NA","NA",'SEGUIMIENTO Y MONITOREO'!X95)</f>
        <v>1</v>
      </c>
      <c r="J9" s="624">
        <f>'SEGUIMIENTO Y MONITOREO'!AS95</f>
        <v>1</v>
      </c>
      <c r="K9" s="314">
        <f>IF('SEGUIMIENTO Y MONITOREO'!AD95="NA","NA",'SEGUIMIENTO Y MONITOREO'!AH95)</f>
        <v>1</v>
      </c>
      <c r="L9" s="624">
        <f>'SEGUIMIENTO Y MONITOREO'!AU95</f>
        <v>1</v>
      </c>
      <c r="M9" s="624">
        <f>'SEGUIMIENTO Y MONITOREO'!AW95</f>
        <v>1</v>
      </c>
      <c r="N9" s="632" t="str">
        <f>IF(M9="","",CONCATENATE(IF('SEGUIMIENTO Y MONITOREO'!AX95=0,"",'SEGUIMIENTO Y MONITOREO'!AX95),Datos!$Y$4,IF('SEGUIMIENTO Y MONITOREO'!AX96=0,"",'SEGUIMIENTO Y MONITOREO'!AX96),Datos!$Y$4,IF('SEGUIMIENTO Y MONITOREO'!AX97=0,"",'SEGUIMIENTO Y MONITOREO'!AX97)))</f>
        <v xml:space="preserve">Se cumplio con la actividad definida tal como se informo en primer seguimiento
</v>
      </c>
      <c r="O9" s="632"/>
    </row>
    <row r="10" spans="1:15" x14ac:dyDescent="0.2">
      <c r="A10" s="576"/>
      <c r="B10" s="578"/>
      <c r="C10" s="82" t="str">
        <f>'SEGUIMIENTO Y MONITOREO'!D96</f>
        <v/>
      </c>
      <c r="D10" s="82" t="str">
        <f>'SEGUIMIENTO Y MONITOREO'!E96</f>
        <v/>
      </c>
      <c r="E10" s="128" t="str">
        <f>'SEGUIMIENTO Y MONITOREO'!G96</f>
        <v/>
      </c>
      <c r="F10" s="128" t="str">
        <f>'SEGUIMIENTO Y MONITOREO'!H96</f>
        <v/>
      </c>
      <c r="G10" s="314" t="str">
        <f>IF('SEGUIMIENTO Y MONITOREO'!J96="NA","NA",'SEGUIMIENTO Y MONITOREO'!N96)</f>
        <v/>
      </c>
      <c r="H10" s="624"/>
      <c r="I10" s="314" t="str">
        <f>IF('SEGUIMIENTO Y MONITOREO'!T96="NA","NA",'SEGUIMIENTO Y MONITOREO'!X96)</f>
        <v/>
      </c>
      <c r="J10" s="624"/>
      <c r="K10" s="314" t="str">
        <f>IF('SEGUIMIENTO Y MONITOREO'!AD96="NA","NA",'SEGUIMIENTO Y MONITOREO'!AH96)</f>
        <v/>
      </c>
      <c r="L10" s="624"/>
      <c r="M10" s="624"/>
      <c r="N10" s="632"/>
      <c r="O10" s="632"/>
    </row>
    <row r="11" spans="1:15" ht="15.75" thickBot="1" x14ac:dyDescent="0.25">
      <c r="A11" s="577"/>
      <c r="B11" s="578"/>
      <c r="C11" s="82" t="str">
        <f>'SEGUIMIENTO Y MONITOREO'!D97</f>
        <v/>
      </c>
      <c r="D11" s="82" t="str">
        <f>'SEGUIMIENTO Y MONITOREO'!E97</f>
        <v/>
      </c>
      <c r="E11" s="128" t="str">
        <f>'SEGUIMIENTO Y MONITOREO'!G97</f>
        <v/>
      </c>
      <c r="F11" s="128" t="str">
        <f>'SEGUIMIENTO Y MONITOREO'!H97</f>
        <v/>
      </c>
      <c r="G11" s="314" t="str">
        <f>IF('SEGUIMIENTO Y MONITOREO'!J97="NA","NA",'SEGUIMIENTO Y MONITOREO'!N97)</f>
        <v/>
      </c>
      <c r="H11" s="624"/>
      <c r="I11" s="314" t="str">
        <f>IF('SEGUIMIENTO Y MONITOREO'!T97="NA","NA",'SEGUIMIENTO Y MONITOREO'!X97)</f>
        <v/>
      </c>
      <c r="J11" s="624"/>
      <c r="K11" s="314" t="str">
        <f>IF('SEGUIMIENTO Y MONITOREO'!AD97="NA","NA",'SEGUIMIENTO Y MONITOREO'!AH97)</f>
        <v/>
      </c>
      <c r="L11" s="624"/>
      <c r="M11" s="624"/>
      <c r="N11" s="632"/>
      <c r="O11" s="632"/>
    </row>
    <row r="12" spans="1:15" ht="25.5" customHeight="1" thickTop="1" x14ac:dyDescent="0.2">
      <c r="A12" s="575" t="str">
        <f>'SEGUIMIENTO Y MONITOREO'!A98</f>
        <v>2C</v>
      </c>
      <c r="B12" s="578" t="str">
        <f>'SEGUIMIENTO Y MONITOREO'!B98</f>
        <v>Dirección y Planeación. Ausencia o debilidad de procesos y procedimientos para la gestión administrativa y misional</v>
      </c>
      <c r="C12" s="82" t="str">
        <f>'SEGUIMIENTO Y MONITOREO'!D98</f>
        <v>Seguir ejecutando y monitoreando los controles existentes</v>
      </c>
      <c r="D12" s="82" t="str">
        <f>'SEGUIMIENTO Y MONITOREO'!E98</f>
        <v/>
      </c>
      <c r="E12" s="128" t="str">
        <f>'SEGUIMIENTO Y MONITOREO'!G98</f>
        <v/>
      </c>
      <c r="F12" s="128" t="str">
        <f>'SEGUIMIENTO Y MONITOREO'!H98</f>
        <v/>
      </c>
      <c r="G12" s="314" t="str">
        <f>IF('SEGUIMIENTO Y MONITOREO'!J98="NA","NA",'SEGUIMIENTO Y MONITOREO'!N98)</f>
        <v>NA</v>
      </c>
      <c r="H12" s="624" t="str">
        <f>'SEGUIMIENTO Y MONITOREO'!AR98</f>
        <v>NA</v>
      </c>
      <c r="I12" s="314" t="str">
        <f>IF('SEGUIMIENTO Y MONITOREO'!T98="NA","NA",'SEGUIMIENTO Y MONITOREO'!X98)</f>
        <v>NA</v>
      </c>
      <c r="J12" s="624" t="str">
        <f>'SEGUIMIENTO Y MONITOREO'!AS98</f>
        <v>NA</v>
      </c>
      <c r="K12" s="314" t="str">
        <f>IF('SEGUIMIENTO Y MONITOREO'!AD98="NA","NA",'SEGUIMIENTO Y MONITOREO'!AH98)</f>
        <v>NA</v>
      </c>
      <c r="L12" s="624" t="str">
        <f>'SEGUIMIENTO Y MONITOREO'!AU98</f>
        <v>NA</v>
      </c>
      <c r="M12" s="624" t="str">
        <f>'SEGUIMIENTO Y MONITOREO'!AW98</f>
        <v>NA</v>
      </c>
      <c r="N12" s="632" t="str">
        <f>IF(M12="","",CONCATENATE(IF('SEGUIMIENTO Y MONITOREO'!AX98=0,"",'SEGUIMIENTO Y MONITOREO'!AX98),Datos!$Y$4,IF('SEGUIMIENTO Y MONITOREO'!AX99=0,"",'SEGUIMIENTO Y MONITOREO'!AX99),Datos!$Y$4,IF('SEGUIMIENTO Y MONITOREO'!AX100=0,"",'SEGUIMIENTO Y MONITOREO'!AX100)))</f>
        <v xml:space="preserve">
</v>
      </c>
      <c r="O12" s="632"/>
    </row>
    <row r="13" spans="1:15" x14ac:dyDescent="0.2">
      <c r="A13" s="576"/>
      <c r="B13" s="578"/>
      <c r="C13" s="82" t="str">
        <f>'SEGUIMIENTO Y MONITOREO'!D99</f>
        <v/>
      </c>
      <c r="D13" s="82" t="str">
        <f>'SEGUIMIENTO Y MONITOREO'!E99</f>
        <v/>
      </c>
      <c r="E13" s="128" t="str">
        <f>'SEGUIMIENTO Y MONITOREO'!G99</f>
        <v/>
      </c>
      <c r="F13" s="128" t="str">
        <f>'SEGUIMIENTO Y MONITOREO'!H99</f>
        <v/>
      </c>
      <c r="G13" s="314" t="str">
        <f>IF('SEGUIMIENTO Y MONITOREO'!J99="NA","NA",'SEGUIMIENTO Y MONITOREO'!N99)</f>
        <v/>
      </c>
      <c r="H13" s="624"/>
      <c r="I13" s="314" t="str">
        <f>IF('SEGUIMIENTO Y MONITOREO'!T99="NA","NA",'SEGUIMIENTO Y MONITOREO'!X99)</f>
        <v/>
      </c>
      <c r="J13" s="624"/>
      <c r="K13" s="314" t="str">
        <f>IF('SEGUIMIENTO Y MONITOREO'!AD99="NA","NA",'SEGUIMIENTO Y MONITOREO'!AH99)</f>
        <v/>
      </c>
      <c r="L13" s="624"/>
      <c r="M13" s="624"/>
      <c r="N13" s="632"/>
      <c r="O13" s="632"/>
    </row>
    <row r="14" spans="1:15" ht="15.75" thickBot="1" x14ac:dyDescent="0.25">
      <c r="A14" s="577"/>
      <c r="B14" s="578"/>
      <c r="C14" s="82" t="str">
        <f>'SEGUIMIENTO Y MONITOREO'!D100</f>
        <v/>
      </c>
      <c r="D14" s="82" t="str">
        <f>'SEGUIMIENTO Y MONITOREO'!E100</f>
        <v/>
      </c>
      <c r="E14" s="128" t="str">
        <f>'SEGUIMIENTO Y MONITOREO'!G100</f>
        <v/>
      </c>
      <c r="F14" s="128" t="str">
        <f>'SEGUIMIENTO Y MONITOREO'!H100</f>
        <v/>
      </c>
      <c r="G14" s="314" t="str">
        <f>IF('SEGUIMIENTO Y MONITOREO'!J100="NA","NA",'SEGUIMIENTO Y MONITOREO'!N100)</f>
        <v/>
      </c>
      <c r="H14" s="624"/>
      <c r="I14" s="314" t="str">
        <f>IF('SEGUIMIENTO Y MONITOREO'!T100="NA","NA",'SEGUIMIENTO Y MONITOREO'!X100)</f>
        <v/>
      </c>
      <c r="J14" s="624"/>
      <c r="K14" s="314" t="str">
        <f>IF('SEGUIMIENTO Y MONITOREO'!AD100="NA","NA",'SEGUIMIENTO Y MONITOREO'!AH100)</f>
        <v/>
      </c>
      <c r="L14" s="624"/>
      <c r="M14" s="624"/>
      <c r="N14" s="632"/>
      <c r="O14" s="632"/>
    </row>
    <row r="15" spans="1:15" ht="25.5" customHeight="1" thickTop="1" x14ac:dyDescent="0.2">
      <c r="A15" s="575" t="str">
        <f>'SEGUIMIENTO Y MONITOREO'!A101</f>
        <v>3C</v>
      </c>
      <c r="B15" s="578" t="str">
        <f>'SEGUIMIENTO Y MONITOREO'!B101</f>
        <v>Dirección y Planeación. Prevaricato</v>
      </c>
      <c r="C15" s="82" t="str">
        <f>'SEGUIMIENTO Y MONITOREO'!D101</f>
        <v>Seguir ejecutando y monitoreando los controles existentes</v>
      </c>
      <c r="D15" s="82" t="str">
        <f>'SEGUIMIENTO Y MONITOREO'!E101</f>
        <v/>
      </c>
      <c r="E15" s="128" t="str">
        <f>'SEGUIMIENTO Y MONITOREO'!G101</f>
        <v/>
      </c>
      <c r="F15" s="128" t="str">
        <f>'SEGUIMIENTO Y MONITOREO'!H101</f>
        <v/>
      </c>
      <c r="G15" s="314" t="str">
        <f>IF('SEGUIMIENTO Y MONITOREO'!J101="NA","NA",'SEGUIMIENTO Y MONITOREO'!N101)</f>
        <v>NA</v>
      </c>
      <c r="H15" s="624" t="str">
        <f>'SEGUIMIENTO Y MONITOREO'!AR101</f>
        <v>NA</v>
      </c>
      <c r="I15" s="314" t="str">
        <f>IF('SEGUIMIENTO Y MONITOREO'!T101="NA","NA",'SEGUIMIENTO Y MONITOREO'!X101)</f>
        <v>NA</v>
      </c>
      <c r="J15" s="624" t="str">
        <f>'SEGUIMIENTO Y MONITOREO'!AS101</f>
        <v>NA</v>
      </c>
      <c r="K15" s="314" t="str">
        <f>IF('SEGUIMIENTO Y MONITOREO'!AD101="NA","NA",'SEGUIMIENTO Y MONITOREO'!AH101)</f>
        <v>NA</v>
      </c>
      <c r="L15" s="624" t="str">
        <f>'SEGUIMIENTO Y MONITOREO'!AU101</f>
        <v>NA</v>
      </c>
      <c r="M15" s="624" t="str">
        <f>'SEGUIMIENTO Y MONITOREO'!AW101</f>
        <v>NA</v>
      </c>
      <c r="N15" s="632" t="str">
        <f>IF(M15="","",CONCATENATE(IF('SEGUIMIENTO Y MONITOREO'!AX101=0,"",'SEGUIMIENTO Y MONITOREO'!AX101),Datos!$Y$4,IF('SEGUIMIENTO Y MONITOREO'!AX102=0,"",'SEGUIMIENTO Y MONITOREO'!AX102),Datos!$Y$4,IF('SEGUIMIENTO Y MONITOREO'!AX103=0,"",'SEGUIMIENTO Y MONITOREO'!AX103)))</f>
        <v xml:space="preserve">
</v>
      </c>
      <c r="O15" s="632"/>
    </row>
    <row r="16" spans="1:15" x14ac:dyDescent="0.2">
      <c r="A16" s="576"/>
      <c r="B16" s="578"/>
      <c r="C16" s="82" t="str">
        <f>'SEGUIMIENTO Y MONITOREO'!D102</f>
        <v/>
      </c>
      <c r="D16" s="82" t="str">
        <f>'SEGUIMIENTO Y MONITOREO'!E102</f>
        <v/>
      </c>
      <c r="E16" s="128" t="str">
        <f>'SEGUIMIENTO Y MONITOREO'!G102</f>
        <v/>
      </c>
      <c r="F16" s="128" t="str">
        <f>'SEGUIMIENTO Y MONITOREO'!H102</f>
        <v/>
      </c>
      <c r="G16" s="314" t="str">
        <f>IF('SEGUIMIENTO Y MONITOREO'!J102="NA","NA",'SEGUIMIENTO Y MONITOREO'!N102)</f>
        <v/>
      </c>
      <c r="H16" s="624"/>
      <c r="I16" s="314" t="str">
        <f>IF('SEGUIMIENTO Y MONITOREO'!T102="NA","NA",'SEGUIMIENTO Y MONITOREO'!X102)</f>
        <v/>
      </c>
      <c r="J16" s="624"/>
      <c r="K16" s="314" t="str">
        <f>IF('SEGUIMIENTO Y MONITOREO'!AD102="NA","NA",'SEGUIMIENTO Y MONITOREO'!AH102)</f>
        <v/>
      </c>
      <c r="L16" s="624"/>
      <c r="M16" s="624"/>
      <c r="N16" s="632"/>
      <c r="O16" s="632"/>
    </row>
    <row r="17" spans="1:15" ht="15.75" thickBot="1" x14ac:dyDescent="0.25">
      <c r="A17" s="577"/>
      <c r="B17" s="578"/>
      <c r="C17" s="82" t="str">
        <f>'SEGUIMIENTO Y MONITOREO'!D103</f>
        <v/>
      </c>
      <c r="D17" s="82" t="str">
        <f>'SEGUIMIENTO Y MONITOREO'!E103</f>
        <v/>
      </c>
      <c r="E17" s="128" t="str">
        <f>'SEGUIMIENTO Y MONITOREO'!G103</f>
        <v/>
      </c>
      <c r="F17" s="128" t="str">
        <f>'SEGUIMIENTO Y MONITOREO'!H103</f>
        <v/>
      </c>
      <c r="G17" s="314" t="str">
        <f>IF('SEGUIMIENTO Y MONITOREO'!J103="NA","NA",'SEGUIMIENTO Y MONITOREO'!N103)</f>
        <v/>
      </c>
      <c r="H17" s="624"/>
      <c r="I17" s="314" t="str">
        <f>IF('SEGUIMIENTO Y MONITOREO'!T103="NA","NA",'SEGUIMIENTO Y MONITOREO'!X103)</f>
        <v/>
      </c>
      <c r="J17" s="624"/>
      <c r="K17" s="314" t="str">
        <f>IF('SEGUIMIENTO Y MONITOREO'!AD103="NA","NA",'SEGUIMIENTO Y MONITOREO'!AH103)</f>
        <v/>
      </c>
      <c r="L17" s="624"/>
      <c r="M17" s="624"/>
      <c r="N17" s="632"/>
      <c r="O17" s="632"/>
    </row>
    <row r="18" spans="1:15" ht="25.5" customHeight="1" thickTop="1" x14ac:dyDescent="0.2">
      <c r="A18" s="575" t="str">
        <f>'SEGUIMIENTO Y MONITOREO'!A104</f>
        <v>4C</v>
      </c>
      <c r="B18" s="578" t="str">
        <f>'SEGUIMIENTO Y MONITOREO'!B104</f>
        <v>Dirección y Planeación. Malversación de Recursos</v>
      </c>
      <c r="C18" s="82" t="str">
        <f>'SEGUIMIENTO Y MONITOREO'!D104</f>
        <v>Seguir ejecutando y monitoreando los controles existentes</v>
      </c>
      <c r="D18" s="82" t="str">
        <f>'SEGUIMIENTO Y MONITOREO'!E104</f>
        <v/>
      </c>
      <c r="E18" s="128" t="str">
        <f>'SEGUIMIENTO Y MONITOREO'!G104</f>
        <v/>
      </c>
      <c r="F18" s="128" t="str">
        <f>'SEGUIMIENTO Y MONITOREO'!H104</f>
        <v/>
      </c>
      <c r="G18" s="314" t="str">
        <f>IF('SEGUIMIENTO Y MONITOREO'!J104="NA","NA",'SEGUIMIENTO Y MONITOREO'!N104)</f>
        <v>NA</v>
      </c>
      <c r="H18" s="624" t="str">
        <f>'SEGUIMIENTO Y MONITOREO'!AR104</f>
        <v>NA</v>
      </c>
      <c r="I18" s="314" t="str">
        <f>IF('SEGUIMIENTO Y MONITOREO'!T104="NA","NA",'SEGUIMIENTO Y MONITOREO'!X104)</f>
        <v>NA</v>
      </c>
      <c r="J18" s="624" t="str">
        <f>'SEGUIMIENTO Y MONITOREO'!AS104</f>
        <v>NA</v>
      </c>
      <c r="K18" s="314" t="str">
        <f>IF('SEGUIMIENTO Y MONITOREO'!AD104="NA","NA",'SEGUIMIENTO Y MONITOREO'!AH104)</f>
        <v>NA</v>
      </c>
      <c r="L18" s="624" t="str">
        <f>'SEGUIMIENTO Y MONITOREO'!AU104</f>
        <v>NA</v>
      </c>
      <c r="M18" s="624" t="str">
        <f>'SEGUIMIENTO Y MONITOREO'!AW104</f>
        <v>NA</v>
      </c>
      <c r="N18" s="632" t="str">
        <f>IF(M18="","",CONCATENATE(IF('SEGUIMIENTO Y MONITOREO'!AX104=0,"",'SEGUIMIENTO Y MONITOREO'!AX104),Datos!$Y$4,IF('SEGUIMIENTO Y MONITOREO'!AX105=0,"",'SEGUIMIENTO Y MONITOREO'!AX105),Datos!$Y$4,IF('SEGUIMIENTO Y MONITOREO'!AX106=0,"",'SEGUIMIENTO Y MONITOREO'!AX106)))</f>
        <v xml:space="preserve">
</v>
      </c>
      <c r="O18" s="632"/>
    </row>
    <row r="19" spans="1:15" x14ac:dyDescent="0.2">
      <c r="A19" s="576"/>
      <c r="B19" s="578"/>
      <c r="C19" s="82" t="str">
        <f>'SEGUIMIENTO Y MONITOREO'!D105</f>
        <v/>
      </c>
      <c r="D19" s="82" t="str">
        <f>'SEGUIMIENTO Y MONITOREO'!E105</f>
        <v/>
      </c>
      <c r="E19" s="128" t="str">
        <f>'SEGUIMIENTO Y MONITOREO'!G105</f>
        <v/>
      </c>
      <c r="F19" s="128" t="str">
        <f>'SEGUIMIENTO Y MONITOREO'!H105</f>
        <v/>
      </c>
      <c r="G19" s="314" t="str">
        <f>IF('SEGUIMIENTO Y MONITOREO'!J105="NA","NA",'SEGUIMIENTO Y MONITOREO'!N105)</f>
        <v/>
      </c>
      <c r="H19" s="624"/>
      <c r="I19" s="314" t="str">
        <f>IF('SEGUIMIENTO Y MONITOREO'!T105="NA","NA",'SEGUIMIENTO Y MONITOREO'!X105)</f>
        <v/>
      </c>
      <c r="J19" s="624"/>
      <c r="K19" s="314" t="str">
        <f>IF('SEGUIMIENTO Y MONITOREO'!AD105="NA","NA",'SEGUIMIENTO Y MONITOREO'!AH105)</f>
        <v/>
      </c>
      <c r="L19" s="624"/>
      <c r="M19" s="624"/>
      <c r="N19" s="632"/>
      <c r="O19" s="632"/>
    </row>
    <row r="20" spans="1:15" ht="15.75" thickBot="1" x14ac:dyDescent="0.25">
      <c r="A20" s="577"/>
      <c r="B20" s="578"/>
      <c r="C20" s="82" t="str">
        <f>'SEGUIMIENTO Y MONITOREO'!D106</f>
        <v/>
      </c>
      <c r="D20" s="82" t="str">
        <f>'SEGUIMIENTO Y MONITOREO'!E106</f>
        <v/>
      </c>
      <c r="E20" s="128" t="str">
        <f>'SEGUIMIENTO Y MONITOREO'!G106</f>
        <v/>
      </c>
      <c r="F20" s="128" t="str">
        <f>'SEGUIMIENTO Y MONITOREO'!H106</f>
        <v/>
      </c>
      <c r="G20" s="314" t="str">
        <f>IF('SEGUIMIENTO Y MONITOREO'!J106="NA","NA",'SEGUIMIENTO Y MONITOREO'!N106)</f>
        <v/>
      </c>
      <c r="H20" s="624"/>
      <c r="I20" s="314" t="str">
        <f>IF('SEGUIMIENTO Y MONITOREO'!T106="NA","NA",'SEGUIMIENTO Y MONITOREO'!X106)</f>
        <v/>
      </c>
      <c r="J20" s="624"/>
      <c r="K20" s="314" t="str">
        <f>IF('SEGUIMIENTO Y MONITOREO'!AD106="NA","NA",'SEGUIMIENTO Y MONITOREO'!AH106)</f>
        <v/>
      </c>
      <c r="L20" s="624"/>
      <c r="M20" s="624"/>
      <c r="N20" s="632"/>
      <c r="O20" s="632"/>
    </row>
    <row r="21" spans="1:15" ht="25.5" customHeight="1" thickTop="1" x14ac:dyDescent="0.2">
      <c r="A21" s="575" t="str">
        <f>'SEGUIMIENTO Y MONITOREO'!A107</f>
        <v>5C</v>
      </c>
      <c r="B21" s="578" t="str">
        <f>'SEGUIMIENTO Y MONITOREO'!B107</f>
        <v>Acreditación. Deficiencias en el manejo documental y de archivo</v>
      </c>
      <c r="C21" s="82" t="str">
        <f>'SEGUIMIENTO Y MONITOREO'!D107</f>
        <v>Cumplimiento de metas acordes con el plan de trabajo.</v>
      </c>
      <c r="D21" s="82" t="str">
        <f>'SEGUIMIENTO Y MONITOREO'!E107</f>
        <v>Comunicaciones</v>
      </c>
      <c r="E21" s="128">
        <f>'SEGUIMIENTO Y MONITOREO'!G107</f>
        <v>42383</v>
      </c>
      <c r="F21" s="128">
        <f>'SEGUIMIENTO Y MONITOREO'!H107</f>
        <v>42720</v>
      </c>
      <c r="G21" s="314">
        <f>IF('SEGUIMIENTO Y MONITOREO'!J107="NA","NA",'SEGUIMIENTO Y MONITOREO'!N107)</f>
        <v>1</v>
      </c>
      <c r="H21" s="624">
        <f>'SEGUIMIENTO Y MONITOREO'!AR107</f>
        <v>1</v>
      </c>
      <c r="I21" s="314">
        <f>IF('SEGUIMIENTO Y MONITOREO'!T107="NA","NA",'SEGUIMIENTO Y MONITOREO'!X107)</f>
        <v>1</v>
      </c>
      <c r="J21" s="624">
        <f>'SEGUIMIENTO Y MONITOREO'!AS107</f>
        <v>1</v>
      </c>
      <c r="K21" s="314">
        <f>IF('SEGUIMIENTO Y MONITOREO'!AD107="NA","NA",'SEGUIMIENTO Y MONITOREO'!AH107)</f>
        <v>1</v>
      </c>
      <c r="L21" s="624">
        <f>'SEGUIMIENTO Y MONITOREO'!AU107</f>
        <v>1</v>
      </c>
      <c r="M21" s="624">
        <f>'SEGUIMIENTO Y MONITOREO'!AW107</f>
        <v>1</v>
      </c>
      <c r="N21" s="632" t="str">
        <f>IF(M21="","",CONCATENATE(IF('SEGUIMIENTO Y MONITOREO'!AX107=0,"",'SEGUIMIENTO Y MONITOREO'!AX107),Datos!$Y$4,IF('SEGUIMIENTO Y MONITOREO'!AX108=0,"",'SEGUIMIENTO Y MONITOREO'!AX108),Datos!$Y$4,IF('SEGUIMIENTO Y MONITOREO'!AX109=0,"",'SEGUIMIENTO Y MONITOREO'!AX109)))</f>
        <v xml:space="preserve">El cumplimiento de la meta fue informado en primer seguimiento
</v>
      </c>
      <c r="O21" s="632"/>
    </row>
    <row r="22" spans="1:15" x14ac:dyDescent="0.2">
      <c r="A22" s="576"/>
      <c r="B22" s="578"/>
      <c r="C22" s="82" t="str">
        <f>'SEGUIMIENTO Y MONITOREO'!D108</f>
        <v/>
      </c>
      <c r="D22" s="82" t="str">
        <f>'SEGUIMIENTO Y MONITOREO'!E108</f>
        <v/>
      </c>
      <c r="E22" s="128" t="str">
        <f>'SEGUIMIENTO Y MONITOREO'!G108</f>
        <v/>
      </c>
      <c r="F22" s="128" t="str">
        <f>'SEGUIMIENTO Y MONITOREO'!H108</f>
        <v/>
      </c>
      <c r="G22" s="314" t="str">
        <f>IF('SEGUIMIENTO Y MONITOREO'!J108="NA","NA",'SEGUIMIENTO Y MONITOREO'!N108)</f>
        <v/>
      </c>
      <c r="H22" s="624"/>
      <c r="I22" s="314" t="str">
        <f>IF('SEGUIMIENTO Y MONITOREO'!T108="NA","NA",'SEGUIMIENTO Y MONITOREO'!X108)</f>
        <v/>
      </c>
      <c r="J22" s="624"/>
      <c r="K22" s="314" t="str">
        <f>IF('SEGUIMIENTO Y MONITOREO'!AD108="NA","NA",'SEGUIMIENTO Y MONITOREO'!AH108)</f>
        <v/>
      </c>
      <c r="L22" s="624"/>
      <c r="M22" s="624"/>
      <c r="N22" s="632"/>
      <c r="O22" s="632"/>
    </row>
    <row r="23" spans="1:15" ht="15.75" thickBot="1" x14ac:dyDescent="0.25">
      <c r="A23" s="577"/>
      <c r="B23" s="578"/>
      <c r="C23" s="82" t="str">
        <f>'SEGUIMIENTO Y MONITOREO'!D109</f>
        <v/>
      </c>
      <c r="D23" s="82" t="str">
        <f>'SEGUIMIENTO Y MONITOREO'!E109</f>
        <v/>
      </c>
      <c r="E23" s="128" t="str">
        <f>'SEGUIMIENTO Y MONITOREO'!G109</f>
        <v/>
      </c>
      <c r="F23" s="128" t="str">
        <f>'SEGUIMIENTO Y MONITOREO'!H109</f>
        <v/>
      </c>
      <c r="G23" s="314" t="str">
        <f>IF('SEGUIMIENTO Y MONITOREO'!J109="NA","NA",'SEGUIMIENTO Y MONITOREO'!N109)</f>
        <v/>
      </c>
      <c r="H23" s="624"/>
      <c r="I23" s="314" t="str">
        <f>IF('SEGUIMIENTO Y MONITOREO'!T109="NA","NA",'SEGUIMIENTO Y MONITOREO'!X109)</f>
        <v/>
      </c>
      <c r="J23" s="624"/>
      <c r="K23" s="314" t="str">
        <f>IF('SEGUIMIENTO Y MONITOREO'!AD109="NA","NA",'SEGUIMIENTO Y MONITOREO'!AH109)</f>
        <v/>
      </c>
      <c r="L23" s="624"/>
      <c r="M23" s="624"/>
      <c r="N23" s="632"/>
      <c r="O23" s="632"/>
    </row>
    <row r="24" spans="1:15" ht="39" customHeight="1" thickTop="1" x14ac:dyDescent="0.2">
      <c r="A24" s="575" t="str">
        <f>'SEGUIMIENTO Y MONITOREO'!A110</f>
        <v>6C</v>
      </c>
      <c r="B24" s="578" t="str">
        <f>'SEGUIMIENTO Y MONITOREO'!B110</f>
        <v>Acreditación. Concentración de información de determinadas actividades o procesos en una persona</v>
      </c>
      <c r="C24" s="82" t="str">
        <f>'SEGUIMIENTO Y MONITOREO'!D110</f>
        <v>Cumplimiento de metas acordes con el plan de trabajo.</v>
      </c>
      <c r="D24" s="82" t="str">
        <f>'SEGUIMIENTO Y MONITOREO'!E110</f>
        <v>Comunicaciones</v>
      </c>
      <c r="E24" s="128">
        <f>'SEGUIMIENTO Y MONITOREO'!G110</f>
        <v>42383</v>
      </c>
      <c r="F24" s="128">
        <f>'SEGUIMIENTO Y MONITOREO'!H110</f>
        <v>42720</v>
      </c>
      <c r="G24" s="391">
        <f>IF('SEGUIMIENTO Y MONITOREO'!J110="NA","NA",'SEGUIMIENTO Y MONITOREO'!N110)</f>
        <v>1</v>
      </c>
      <c r="H24" s="624">
        <f>'SEGUIMIENTO Y MONITOREO'!AR110</f>
        <v>1</v>
      </c>
      <c r="I24" s="391">
        <f>IF('SEGUIMIENTO Y MONITOREO'!T110="NA","NA",'SEGUIMIENTO Y MONITOREO'!X110)</f>
        <v>1</v>
      </c>
      <c r="J24" s="624">
        <f>'SEGUIMIENTO Y MONITOREO'!AS110</f>
        <v>1</v>
      </c>
      <c r="K24" s="391">
        <f>IF('SEGUIMIENTO Y MONITOREO'!AD110="NA","NA",'SEGUIMIENTO Y MONITOREO'!AH110)</f>
        <v>1</v>
      </c>
      <c r="L24" s="624">
        <f>'SEGUIMIENTO Y MONITOREO'!AU110</f>
        <v>1</v>
      </c>
      <c r="M24" s="624">
        <f>'SEGUIMIENTO Y MONITOREO'!AW110</f>
        <v>1</v>
      </c>
      <c r="N24" s="632" t="str">
        <f>IF(M24="","",CONCATENATE(IF('SEGUIMIENTO Y MONITOREO'!AX110=0,"",'SEGUIMIENTO Y MONITOREO'!AX110),Datos!$Y$4,IF('SEGUIMIENTO Y MONITOREO'!AX111=0,"",'SEGUIMIENTO Y MONITOREO'!AX111),Datos!$Y$4,IF('SEGUIMIENTO Y MONITOREO'!AX112=0,"",'SEGUIMIENTO Y MONITOREO'!AX112)))</f>
        <v xml:space="preserve">El cumplimiento de la meta fue informado en primer seguimiento
</v>
      </c>
      <c r="O24" s="632"/>
    </row>
    <row r="25" spans="1:15" x14ac:dyDescent="0.2">
      <c r="A25" s="576"/>
      <c r="B25" s="578"/>
      <c r="C25" s="82" t="str">
        <f>'SEGUIMIENTO Y MONITOREO'!D111</f>
        <v/>
      </c>
      <c r="D25" s="82" t="str">
        <f>'SEGUIMIENTO Y MONITOREO'!E111</f>
        <v/>
      </c>
      <c r="E25" s="128" t="str">
        <f>'SEGUIMIENTO Y MONITOREO'!G111</f>
        <v/>
      </c>
      <c r="F25" s="128" t="str">
        <f>'SEGUIMIENTO Y MONITOREO'!H111</f>
        <v/>
      </c>
      <c r="G25" s="391" t="str">
        <f>IF('SEGUIMIENTO Y MONITOREO'!J111="NA","NA",'SEGUIMIENTO Y MONITOREO'!N111)</f>
        <v/>
      </c>
      <c r="H25" s="624"/>
      <c r="I25" s="391" t="str">
        <f>IF('SEGUIMIENTO Y MONITOREO'!T111="NA","NA",'SEGUIMIENTO Y MONITOREO'!X111)</f>
        <v/>
      </c>
      <c r="J25" s="624"/>
      <c r="K25" s="391" t="str">
        <f>IF('SEGUIMIENTO Y MONITOREO'!AD111="NA","NA",'SEGUIMIENTO Y MONITOREO'!AH111)</f>
        <v/>
      </c>
      <c r="L25" s="624"/>
      <c r="M25" s="624"/>
      <c r="N25" s="632"/>
      <c r="O25" s="632"/>
    </row>
    <row r="26" spans="1:15" ht="15.75" thickBot="1" x14ac:dyDescent="0.25">
      <c r="A26" s="577"/>
      <c r="B26" s="578"/>
      <c r="C26" s="82" t="str">
        <f>'SEGUIMIENTO Y MONITOREO'!D112</f>
        <v/>
      </c>
      <c r="D26" s="82" t="str">
        <f>'SEGUIMIENTO Y MONITOREO'!E112</f>
        <v/>
      </c>
      <c r="E26" s="128" t="str">
        <f>'SEGUIMIENTO Y MONITOREO'!G112</f>
        <v/>
      </c>
      <c r="F26" s="128" t="str">
        <f>'SEGUIMIENTO Y MONITOREO'!H112</f>
        <v/>
      </c>
      <c r="G26" s="391" t="str">
        <f>IF('SEGUIMIENTO Y MONITOREO'!J112="NA","NA",'SEGUIMIENTO Y MONITOREO'!N112)</f>
        <v/>
      </c>
      <c r="H26" s="624"/>
      <c r="I26" s="391" t="str">
        <f>IF('SEGUIMIENTO Y MONITOREO'!T112="NA","NA",'SEGUIMIENTO Y MONITOREO'!X112)</f>
        <v/>
      </c>
      <c r="J26" s="624"/>
      <c r="K26" s="391" t="str">
        <f>IF('SEGUIMIENTO Y MONITOREO'!AD112="NA","NA",'SEGUIMIENTO Y MONITOREO'!AH112)</f>
        <v/>
      </c>
      <c r="L26" s="624"/>
      <c r="M26" s="624"/>
      <c r="N26" s="632"/>
      <c r="O26" s="632"/>
    </row>
    <row r="27" spans="1:15" ht="39" thickTop="1" x14ac:dyDescent="0.2">
      <c r="A27" s="575" t="str">
        <f>'SEGUIMIENTO Y MONITOREO'!A113</f>
        <v>7C</v>
      </c>
      <c r="B27" s="578" t="str">
        <f>'SEGUIMIENTO Y MONITOREO'!B113</f>
        <v>Gestión de la Calidad. Concentración de información de determinadas actividades o procesos en una persona</v>
      </c>
      <c r="C27" s="82" t="str">
        <f>'SEGUIMIENTO Y MONITOREO'!D113</f>
        <v>Seguir ejecutando y monitoreando los controles existentes</v>
      </c>
      <c r="D27" s="82" t="str">
        <f>'SEGUIMIENTO Y MONITOREO'!E113</f>
        <v/>
      </c>
      <c r="E27" s="128" t="str">
        <f>'SEGUIMIENTO Y MONITOREO'!G113</f>
        <v/>
      </c>
      <c r="F27" s="128" t="str">
        <f>'SEGUIMIENTO Y MONITOREO'!H113</f>
        <v/>
      </c>
      <c r="G27" s="391" t="str">
        <f>IF('SEGUIMIENTO Y MONITOREO'!J113="NA","NA",'SEGUIMIENTO Y MONITOREO'!N113)</f>
        <v>NA</v>
      </c>
      <c r="H27" s="624" t="str">
        <f>'SEGUIMIENTO Y MONITOREO'!AR113</f>
        <v>NA</v>
      </c>
      <c r="I27" s="391" t="str">
        <f>IF('SEGUIMIENTO Y MONITOREO'!T113="NA","NA",'SEGUIMIENTO Y MONITOREO'!X113)</f>
        <v>NA</v>
      </c>
      <c r="J27" s="624" t="str">
        <f>'SEGUIMIENTO Y MONITOREO'!AS113</f>
        <v>NA</v>
      </c>
      <c r="K27" s="391" t="str">
        <f>IF('SEGUIMIENTO Y MONITOREO'!AD113="NA","NA",'SEGUIMIENTO Y MONITOREO'!AH113)</f>
        <v>NA</v>
      </c>
      <c r="L27" s="624" t="str">
        <f>'SEGUIMIENTO Y MONITOREO'!AU113</f>
        <v>NA</v>
      </c>
      <c r="M27" s="624" t="str">
        <f>'SEGUIMIENTO Y MONITOREO'!AW113</f>
        <v>NA</v>
      </c>
      <c r="N27" s="632" t="str">
        <f>IF(M27="","",CONCATENATE(IF('SEGUIMIENTO Y MONITOREO'!AX113=0,"",'SEGUIMIENTO Y MONITOREO'!AX113),Datos!$Y$4,IF('SEGUIMIENTO Y MONITOREO'!AX114=0,"",'SEGUIMIENTO Y MONITOREO'!AX114),Datos!$Y$4,IF('SEGUIMIENTO Y MONITOREO'!AX115=0,"",'SEGUIMIENTO Y MONITOREO'!AX115)))</f>
        <v xml:space="preserve">
</v>
      </c>
      <c r="O27" s="632"/>
    </row>
    <row r="28" spans="1:15" x14ac:dyDescent="0.2">
      <c r="A28" s="576"/>
      <c r="B28" s="578"/>
      <c r="C28" s="82" t="str">
        <f>'SEGUIMIENTO Y MONITOREO'!D114</f>
        <v/>
      </c>
      <c r="D28" s="82" t="str">
        <f>'SEGUIMIENTO Y MONITOREO'!E114</f>
        <v/>
      </c>
      <c r="E28" s="128" t="str">
        <f>'SEGUIMIENTO Y MONITOREO'!G114</f>
        <v/>
      </c>
      <c r="F28" s="128" t="str">
        <f>'SEGUIMIENTO Y MONITOREO'!H114</f>
        <v/>
      </c>
      <c r="G28" s="391" t="str">
        <f>IF('SEGUIMIENTO Y MONITOREO'!J114="NA","NA",'SEGUIMIENTO Y MONITOREO'!N114)</f>
        <v/>
      </c>
      <c r="H28" s="624"/>
      <c r="I28" s="391" t="str">
        <f>IF('SEGUIMIENTO Y MONITOREO'!T114="NA","NA",'SEGUIMIENTO Y MONITOREO'!X114)</f>
        <v/>
      </c>
      <c r="J28" s="624"/>
      <c r="K28" s="391" t="str">
        <f>IF('SEGUIMIENTO Y MONITOREO'!AD114="NA","NA",'SEGUIMIENTO Y MONITOREO'!AH114)</f>
        <v/>
      </c>
      <c r="L28" s="624"/>
      <c r="M28" s="624"/>
      <c r="N28" s="632"/>
      <c r="O28" s="632"/>
    </row>
    <row r="29" spans="1:15" ht="15.75" thickBot="1" x14ac:dyDescent="0.25">
      <c r="A29" s="577"/>
      <c r="B29" s="578"/>
      <c r="C29" s="82" t="str">
        <f>'SEGUIMIENTO Y MONITOREO'!D115</f>
        <v/>
      </c>
      <c r="D29" s="82" t="str">
        <f>'SEGUIMIENTO Y MONITOREO'!E115</f>
        <v/>
      </c>
      <c r="E29" s="128" t="str">
        <f>'SEGUIMIENTO Y MONITOREO'!G115</f>
        <v/>
      </c>
      <c r="F29" s="128" t="str">
        <f>'SEGUIMIENTO Y MONITOREO'!H115</f>
        <v/>
      </c>
      <c r="G29" s="391" t="str">
        <f>IF('SEGUIMIENTO Y MONITOREO'!J115="NA","NA",'SEGUIMIENTO Y MONITOREO'!N115)</f>
        <v/>
      </c>
      <c r="H29" s="624"/>
      <c r="I29" s="391" t="str">
        <f>IF('SEGUIMIENTO Y MONITOREO'!T115="NA","NA",'SEGUIMIENTO Y MONITOREO'!X115)</f>
        <v/>
      </c>
      <c r="J29" s="624"/>
      <c r="K29" s="391" t="str">
        <f>IF('SEGUIMIENTO Y MONITOREO'!AD115="NA","NA",'SEGUIMIENTO Y MONITOREO'!AH115)</f>
        <v/>
      </c>
      <c r="L29" s="624"/>
      <c r="M29" s="624"/>
      <c r="N29" s="632"/>
      <c r="O29" s="632"/>
    </row>
    <row r="30" spans="1:15" ht="39" thickTop="1" x14ac:dyDescent="0.2">
      <c r="A30" s="575" t="str">
        <f>'SEGUIMIENTO Y MONITOREO'!A116</f>
        <v>8C</v>
      </c>
      <c r="B30" s="578" t="str">
        <f>'SEGUIMIENTO Y MONITOREO'!B116</f>
        <v>Gestión de la Calidad. Deficiencias en el  manejo documental y de archivo</v>
      </c>
      <c r="C30" s="82" t="str">
        <f>'SEGUIMIENTO Y MONITOREO'!D116</f>
        <v>Seguir ejecutando y monitoreando los controles existentes</v>
      </c>
      <c r="D30" s="82" t="str">
        <f>'SEGUIMIENTO Y MONITOREO'!E116</f>
        <v/>
      </c>
      <c r="E30" s="128" t="str">
        <f>'SEGUIMIENTO Y MONITOREO'!G116</f>
        <v/>
      </c>
      <c r="F30" s="128" t="str">
        <f>'SEGUIMIENTO Y MONITOREO'!H116</f>
        <v/>
      </c>
      <c r="G30" s="391" t="str">
        <f>IF('SEGUIMIENTO Y MONITOREO'!J116="NA","NA",'SEGUIMIENTO Y MONITOREO'!N116)</f>
        <v>NA</v>
      </c>
      <c r="H30" s="624" t="str">
        <f>'SEGUIMIENTO Y MONITOREO'!AR116</f>
        <v>NA</v>
      </c>
      <c r="I30" s="391" t="str">
        <f>IF('SEGUIMIENTO Y MONITOREO'!T116="NA","NA",'SEGUIMIENTO Y MONITOREO'!X116)</f>
        <v>NA</v>
      </c>
      <c r="J30" s="624" t="str">
        <f>'SEGUIMIENTO Y MONITOREO'!AS116</f>
        <v>NA</v>
      </c>
      <c r="K30" s="391" t="str">
        <f>IF('SEGUIMIENTO Y MONITOREO'!AD116="NA","NA",'SEGUIMIENTO Y MONITOREO'!AH116)</f>
        <v>NA</v>
      </c>
      <c r="L30" s="624" t="str">
        <f>'SEGUIMIENTO Y MONITOREO'!AU116</f>
        <v>NA</v>
      </c>
      <c r="M30" s="624" t="str">
        <f>'SEGUIMIENTO Y MONITOREO'!AW116</f>
        <v>NA</v>
      </c>
      <c r="N30" s="632" t="str">
        <f>IF(M30="","",CONCATENATE(IF('SEGUIMIENTO Y MONITOREO'!AX116=0,"",'SEGUIMIENTO Y MONITOREO'!AX116),Datos!$Y$4,IF('SEGUIMIENTO Y MONITOREO'!AX117=0,"",'SEGUIMIENTO Y MONITOREO'!AX117),Datos!$Y$4,IF('SEGUIMIENTO Y MONITOREO'!AX118=0,"",'SEGUIMIENTO Y MONITOREO'!AX118)))</f>
        <v xml:space="preserve">
</v>
      </c>
      <c r="O30" s="632"/>
    </row>
    <row r="31" spans="1:15" x14ac:dyDescent="0.2">
      <c r="A31" s="576"/>
      <c r="B31" s="578"/>
      <c r="C31" s="82" t="str">
        <f>'SEGUIMIENTO Y MONITOREO'!D117</f>
        <v/>
      </c>
      <c r="D31" s="82" t="str">
        <f>'SEGUIMIENTO Y MONITOREO'!E117</f>
        <v/>
      </c>
      <c r="E31" s="128" t="str">
        <f>'SEGUIMIENTO Y MONITOREO'!G117</f>
        <v/>
      </c>
      <c r="F31" s="128" t="str">
        <f>'SEGUIMIENTO Y MONITOREO'!H117</f>
        <v/>
      </c>
      <c r="G31" s="391" t="str">
        <f>IF('SEGUIMIENTO Y MONITOREO'!J117="NA","NA",'SEGUIMIENTO Y MONITOREO'!N117)</f>
        <v/>
      </c>
      <c r="H31" s="624"/>
      <c r="I31" s="391" t="str">
        <f>IF('SEGUIMIENTO Y MONITOREO'!T117="NA","NA",'SEGUIMIENTO Y MONITOREO'!X117)</f>
        <v/>
      </c>
      <c r="J31" s="624"/>
      <c r="K31" s="391" t="str">
        <f>IF('SEGUIMIENTO Y MONITOREO'!AD117="NA","NA",'SEGUIMIENTO Y MONITOREO'!AH117)</f>
        <v/>
      </c>
      <c r="L31" s="624"/>
      <c r="M31" s="624"/>
      <c r="N31" s="632"/>
      <c r="O31" s="632"/>
    </row>
    <row r="32" spans="1:15" ht="15.75" thickBot="1" x14ac:dyDescent="0.25">
      <c r="A32" s="577"/>
      <c r="B32" s="578"/>
      <c r="C32" s="82" t="str">
        <f>'SEGUIMIENTO Y MONITOREO'!D118</f>
        <v/>
      </c>
      <c r="D32" s="82" t="str">
        <f>'SEGUIMIENTO Y MONITOREO'!E118</f>
        <v/>
      </c>
      <c r="E32" s="128" t="str">
        <f>'SEGUIMIENTO Y MONITOREO'!G118</f>
        <v/>
      </c>
      <c r="F32" s="128" t="str">
        <f>'SEGUIMIENTO Y MONITOREO'!H118</f>
        <v/>
      </c>
      <c r="G32" s="391" t="str">
        <f>IF('SEGUIMIENTO Y MONITOREO'!J118="NA","NA",'SEGUIMIENTO Y MONITOREO'!N118)</f>
        <v/>
      </c>
      <c r="H32" s="624"/>
      <c r="I32" s="391" t="str">
        <f>IF('SEGUIMIENTO Y MONITOREO'!T118="NA","NA",'SEGUIMIENTO Y MONITOREO'!X118)</f>
        <v/>
      </c>
      <c r="J32" s="624"/>
      <c r="K32" s="391" t="str">
        <f>IF('SEGUIMIENTO Y MONITOREO'!AD118="NA","NA",'SEGUIMIENTO Y MONITOREO'!AH118)</f>
        <v/>
      </c>
      <c r="L32" s="624"/>
      <c r="M32" s="624"/>
      <c r="N32" s="632"/>
      <c r="O32" s="632"/>
    </row>
    <row r="33" spans="1:15" ht="39" thickTop="1" x14ac:dyDescent="0.2">
      <c r="A33" s="575" t="str">
        <f>'SEGUIMIENTO Y MONITOREO'!A119</f>
        <v>9C</v>
      </c>
      <c r="B33" s="578" t="str">
        <f>'SEGUIMIENTO Y MONITOREO'!B119</f>
        <v>Comunicaciones Concentración de información de determinadas actividades o procesos en una persona</v>
      </c>
      <c r="C33" s="82" t="str">
        <f>'SEGUIMIENTO Y MONITOREO'!D119</f>
        <v>Seguir ejecutando y monitoreando los controles existentes</v>
      </c>
      <c r="D33" s="82" t="str">
        <f>'SEGUIMIENTO Y MONITOREO'!E119</f>
        <v/>
      </c>
      <c r="E33" s="128" t="str">
        <f>'SEGUIMIENTO Y MONITOREO'!G119</f>
        <v/>
      </c>
      <c r="F33" s="128" t="str">
        <f>'SEGUIMIENTO Y MONITOREO'!H119</f>
        <v/>
      </c>
      <c r="G33" s="391" t="str">
        <f>IF('SEGUIMIENTO Y MONITOREO'!J119="NA","NA",'SEGUIMIENTO Y MONITOREO'!N119)</f>
        <v>NA</v>
      </c>
      <c r="H33" s="624" t="str">
        <f>'SEGUIMIENTO Y MONITOREO'!AR119</f>
        <v>NA</v>
      </c>
      <c r="I33" s="391" t="str">
        <f>IF('SEGUIMIENTO Y MONITOREO'!T119="NA","NA",'SEGUIMIENTO Y MONITOREO'!X119)</f>
        <v>NA</v>
      </c>
      <c r="J33" s="624" t="str">
        <f>'SEGUIMIENTO Y MONITOREO'!AS119</f>
        <v>NA</v>
      </c>
      <c r="K33" s="391" t="str">
        <f>IF('SEGUIMIENTO Y MONITOREO'!AD119="NA","NA",'SEGUIMIENTO Y MONITOREO'!AH119)</f>
        <v>NA</v>
      </c>
      <c r="L33" s="624" t="str">
        <f>'SEGUIMIENTO Y MONITOREO'!AU119</f>
        <v>NA</v>
      </c>
      <c r="M33" s="624" t="str">
        <f>'SEGUIMIENTO Y MONITOREO'!AW119</f>
        <v>NA</v>
      </c>
      <c r="N33" s="632" t="str">
        <f>IF(M33="","",CONCATENATE(IF('SEGUIMIENTO Y MONITOREO'!AX119=0,"",'SEGUIMIENTO Y MONITOREO'!AX119),Datos!$Y$4,IF('SEGUIMIENTO Y MONITOREO'!AX120=0,"",'SEGUIMIENTO Y MONITOREO'!AX120),Datos!$Y$4,IF('SEGUIMIENTO Y MONITOREO'!AX121=0,"",'SEGUIMIENTO Y MONITOREO'!AX121)))</f>
        <v xml:space="preserve">
</v>
      </c>
      <c r="O33" s="632"/>
    </row>
    <row r="34" spans="1:15" x14ac:dyDescent="0.2">
      <c r="A34" s="576"/>
      <c r="B34" s="578"/>
      <c r="C34" s="82" t="str">
        <f>'SEGUIMIENTO Y MONITOREO'!D120</f>
        <v/>
      </c>
      <c r="D34" s="82" t="str">
        <f>'SEGUIMIENTO Y MONITOREO'!E120</f>
        <v/>
      </c>
      <c r="E34" s="128" t="str">
        <f>'SEGUIMIENTO Y MONITOREO'!G120</f>
        <v/>
      </c>
      <c r="F34" s="128" t="str">
        <f>'SEGUIMIENTO Y MONITOREO'!H120</f>
        <v/>
      </c>
      <c r="G34" s="391" t="str">
        <f>IF('SEGUIMIENTO Y MONITOREO'!J120="NA","NA",'SEGUIMIENTO Y MONITOREO'!N120)</f>
        <v/>
      </c>
      <c r="H34" s="624"/>
      <c r="I34" s="391" t="str">
        <f>IF('SEGUIMIENTO Y MONITOREO'!T120="NA","NA",'SEGUIMIENTO Y MONITOREO'!X120)</f>
        <v/>
      </c>
      <c r="J34" s="624"/>
      <c r="K34" s="391" t="str">
        <f>IF('SEGUIMIENTO Y MONITOREO'!AD120="NA","NA",'SEGUIMIENTO Y MONITOREO'!AH120)</f>
        <v/>
      </c>
      <c r="L34" s="624"/>
      <c r="M34" s="624"/>
      <c r="N34" s="632"/>
      <c r="O34" s="632"/>
    </row>
    <row r="35" spans="1:15" ht="15.75" thickBot="1" x14ac:dyDescent="0.25">
      <c r="A35" s="577"/>
      <c r="B35" s="578"/>
      <c r="C35" s="82" t="str">
        <f>'SEGUIMIENTO Y MONITOREO'!D121</f>
        <v/>
      </c>
      <c r="D35" s="82" t="str">
        <f>'SEGUIMIENTO Y MONITOREO'!E121</f>
        <v/>
      </c>
      <c r="E35" s="128" t="str">
        <f>'SEGUIMIENTO Y MONITOREO'!G121</f>
        <v/>
      </c>
      <c r="F35" s="128" t="str">
        <f>'SEGUIMIENTO Y MONITOREO'!H121</f>
        <v/>
      </c>
      <c r="G35" s="391" t="str">
        <f>IF('SEGUIMIENTO Y MONITOREO'!J121="NA","NA",'SEGUIMIENTO Y MONITOREO'!N121)</f>
        <v/>
      </c>
      <c r="H35" s="624"/>
      <c r="I35" s="391" t="str">
        <f>IF('SEGUIMIENTO Y MONITOREO'!T121="NA","NA",'SEGUIMIENTO Y MONITOREO'!X121)</f>
        <v/>
      </c>
      <c r="J35" s="624"/>
      <c r="K35" s="391" t="str">
        <f>IF('SEGUIMIENTO Y MONITOREO'!AD121="NA","NA",'SEGUIMIENTO Y MONITOREO'!AH121)</f>
        <v/>
      </c>
      <c r="L35" s="624"/>
      <c r="M35" s="624"/>
      <c r="N35" s="632"/>
      <c r="O35" s="632"/>
    </row>
    <row r="36" spans="1:15" ht="39" customHeight="1" thickTop="1" x14ac:dyDescent="0.2">
      <c r="A36" s="575" t="str">
        <f>'SEGUIMIENTO Y MONITOREO'!A122</f>
        <v>10C</v>
      </c>
      <c r="B36" s="578" t="str">
        <f>'SEGUIMIENTO Y MONITOREO'!B122</f>
        <v xml:space="preserve">Gestión Academica. Ausencia de canales de comunicación
</v>
      </c>
      <c r="C36" s="82" t="str">
        <f>'SEGUIMIENTO Y MONITOREO'!D122</f>
        <v>Mejorar la selección del personal para que su permanencia sea mayor en el desarrollo de su cargo.</v>
      </c>
      <c r="D36" s="82" t="str">
        <f>'SEGUIMIENTO Y MONITOREO'!E122</f>
        <v>Revisión de procesos de selección de personal</v>
      </c>
      <c r="E36" s="128">
        <f>'SEGUIMIENTO Y MONITOREO'!G122</f>
        <v>42576</v>
      </c>
      <c r="F36" s="128">
        <f>'SEGUIMIENTO Y MONITOREO'!H122</f>
        <v>42941</v>
      </c>
      <c r="G36" s="391" t="str">
        <f>IF('SEGUIMIENTO Y MONITOREO'!J122="NA","NA",'SEGUIMIENTO Y MONITOREO'!N122)</f>
        <v>NA</v>
      </c>
      <c r="H36" s="624" t="str">
        <f>'SEGUIMIENTO Y MONITOREO'!AR122</f>
        <v>NA</v>
      </c>
      <c r="I36" s="391">
        <f>IF('SEGUIMIENTO Y MONITOREO'!T122="NA","NA",'SEGUIMIENTO Y MONITOREO'!X122)</f>
        <v>0.02</v>
      </c>
      <c r="J36" s="624">
        <f>'SEGUIMIENTO Y MONITOREO'!AS122</f>
        <v>0.02</v>
      </c>
      <c r="K36" s="391">
        <f>IF('SEGUIMIENTO Y MONITOREO'!AD122="NA","NA",'SEGUIMIENTO Y MONITOREO'!AH122)</f>
        <v>0.02</v>
      </c>
      <c r="L36" s="624">
        <f>'SEGUIMIENTO Y MONITOREO'!AU122</f>
        <v>0.02</v>
      </c>
      <c r="M36" s="624">
        <f>'SEGUIMIENTO Y MONITOREO'!AW122</f>
        <v>0.02</v>
      </c>
      <c r="N36" s="632" t="str">
        <f>IF(M36="","",CONCATENATE(IF('SEGUIMIENTO Y MONITOREO'!AX122=0,"",'SEGUIMIENTO Y MONITOREO'!AX122),Datos!$Y$4,IF('SEGUIMIENTO Y MONITOREO'!AX123=0,"",'SEGUIMIENTO Y MONITOREO'!AX123),Datos!$Y$4,IF('SEGUIMIENTO Y MONITOREO'!AX124=0,"",'SEGUIMIENTO Y MONITOREO'!AX124)))</f>
        <v xml:space="preserve">No se logro mayor avance
</v>
      </c>
      <c r="O36" s="632"/>
    </row>
    <row r="37" spans="1:15" x14ac:dyDescent="0.2">
      <c r="A37" s="576"/>
      <c r="B37" s="578"/>
      <c r="C37" s="82" t="str">
        <f>'SEGUIMIENTO Y MONITOREO'!D123</f>
        <v/>
      </c>
      <c r="D37" s="82" t="str">
        <f>'SEGUIMIENTO Y MONITOREO'!E123</f>
        <v/>
      </c>
      <c r="E37" s="128" t="str">
        <f>'SEGUIMIENTO Y MONITOREO'!G123</f>
        <v/>
      </c>
      <c r="F37" s="128" t="str">
        <f>'SEGUIMIENTO Y MONITOREO'!H123</f>
        <v/>
      </c>
      <c r="G37" s="391" t="str">
        <f>IF('SEGUIMIENTO Y MONITOREO'!J123="NA","NA",'SEGUIMIENTO Y MONITOREO'!N123)</f>
        <v/>
      </c>
      <c r="H37" s="624"/>
      <c r="I37" s="391" t="str">
        <f>IF('SEGUIMIENTO Y MONITOREO'!T123="NA","NA",'SEGUIMIENTO Y MONITOREO'!X123)</f>
        <v/>
      </c>
      <c r="J37" s="624"/>
      <c r="K37" s="391" t="str">
        <f>IF('SEGUIMIENTO Y MONITOREO'!AD123="NA","NA",'SEGUIMIENTO Y MONITOREO'!AH123)</f>
        <v/>
      </c>
      <c r="L37" s="624"/>
      <c r="M37" s="624"/>
      <c r="N37" s="632"/>
      <c r="O37" s="632"/>
    </row>
    <row r="38" spans="1:15" ht="15.75" thickBot="1" x14ac:dyDescent="0.25">
      <c r="A38" s="577"/>
      <c r="B38" s="578"/>
      <c r="C38" s="82" t="str">
        <f>'SEGUIMIENTO Y MONITOREO'!D124</f>
        <v/>
      </c>
      <c r="D38" s="82" t="str">
        <f>'SEGUIMIENTO Y MONITOREO'!E124</f>
        <v/>
      </c>
      <c r="E38" s="128" t="str">
        <f>'SEGUIMIENTO Y MONITOREO'!G124</f>
        <v/>
      </c>
      <c r="F38" s="128" t="str">
        <f>'SEGUIMIENTO Y MONITOREO'!H124</f>
        <v/>
      </c>
      <c r="G38" s="391" t="str">
        <f>IF('SEGUIMIENTO Y MONITOREO'!J124="NA","NA",'SEGUIMIENTO Y MONITOREO'!N124)</f>
        <v/>
      </c>
      <c r="H38" s="624"/>
      <c r="I38" s="391" t="str">
        <f>IF('SEGUIMIENTO Y MONITOREO'!T124="NA","NA",'SEGUIMIENTO Y MONITOREO'!X124)</f>
        <v/>
      </c>
      <c r="J38" s="624"/>
      <c r="K38" s="391" t="str">
        <f>IF('SEGUIMIENTO Y MONITOREO'!AD124="NA","NA",'SEGUIMIENTO Y MONITOREO'!AH124)</f>
        <v/>
      </c>
      <c r="L38" s="624"/>
      <c r="M38" s="624"/>
      <c r="N38" s="632"/>
      <c r="O38" s="632"/>
    </row>
    <row r="39" spans="1:15" ht="39" thickTop="1" x14ac:dyDescent="0.2">
      <c r="A39" s="575" t="str">
        <f>'SEGUIMIENTO Y MONITOREO'!A125</f>
        <v>11C</v>
      </c>
      <c r="B39" s="578" t="str">
        <f>'SEGUIMIENTO Y MONITOREO'!B125</f>
        <v>Gestión Academica. Concentración de información de determinadas actividades o procesos en una persona</v>
      </c>
      <c r="C39" s="82" t="str">
        <f>'SEGUIMIENTO Y MONITOREO'!D125</f>
        <v>Desarrollar talleres de trabajo en equipo y gestión del conocimiento</v>
      </c>
      <c r="D39" s="82" t="str">
        <f>'SEGUIMIENTO Y MONITOREO'!E125</f>
        <v>Acta de realización de talleres</v>
      </c>
      <c r="E39" s="128">
        <f>'SEGUIMIENTO Y MONITOREO'!G125</f>
        <v>42576</v>
      </c>
      <c r="F39" s="128">
        <f>'SEGUIMIENTO Y MONITOREO'!H125</f>
        <v>42941</v>
      </c>
      <c r="G39" s="391" t="str">
        <f>IF('SEGUIMIENTO Y MONITOREO'!J125="NA","NA",'SEGUIMIENTO Y MONITOREO'!N125)</f>
        <v>NA</v>
      </c>
      <c r="H39" s="624" t="str">
        <f>'SEGUIMIENTO Y MONITOREO'!AR125</f>
        <v>NA</v>
      </c>
      <c r="I39" s="391">
        <f>IF('SEGUIMIENTO Y MONITOREO'!T125="NA","NA",'SEGUIMIENTO Y MONITOREO'!X125)</f>
        <v>1.6666666666666666E-2</v>
      </c>
      <c r="J39" s="624">
        <f>'SEGUIMIENTO Y MONITOREO'!AS125</f>
        <v>1.6666666666666666E-2</v>
      </c>
      <c r="K39" s="391">
        <f>IF('SEGUIMIENTO Y MONITOREO'!AD125="NA","NA",'SEGUIMIENTO Y MONITOREO'!AH125)</f>
        <v>1.6666666666666666E-2</v>
      </c>
      <c r="L39" s="624">
        <f>'SEGUIMIENTO Y MONITOREO'!AU125</f>
        <v>1.6666666666666666E-2</v>
      </c>
      <c r="M39" s="624">
        <f>'SEGUIMIENTO Y MONITOREO'!AW125</f>
        <v>1.6666666666666666E-2</v>
      </c>
      <c r="N39" s="632" t="str">
        <f>IF(M39="","",CONCATENATE(IF('SEGUIMIENTO Y MONITOREO'!AX125=0,"",'SEGUIMIENTO Y MONITOREO'!AX125),Datos!$Y$4,IF('SEGUIMIENTO Y MONITOREO'!AX126=0,"",'SEGUIMIENTO Y MONITOREO'!AX126),Datos!$Y$4,IF('SEGUIMIENTO Y MONITOREO'!AX127=0,"",'SEGUIMIENTO Y MONITOREO'!AX127)))</f>
        <v xml:space="preserve">No se logro mayor avance
</v>
      </c>
      <c r="O39" s="632"/>
    </row>
    <row r="40" spans="1:15" x14ac:dyDescent="0.2">
      <c r="A40" s="576"/>
      <c r="B40" s="578"/>
      <c r="C40" s="82" t="str">
        <f>'SEGUIMIENTO Y MONITOREO'!D126</f>
        <v/>
      </c>
      <c r="D40" s="82" t="str">
        <f>'SEGUIMIENTO Y MONITOREO'!E126</f>
        <v/>
      </c>
      <c r="E40" s="128" t="str">
        <f>'SEGUIMIENTO Y MONITOREO'!G126</f>
        <v/>
      </c>
      <c r="F40" s="128" t="str">
        <f>'SEGUIMIENTO Y MONITOREO'!H126</f>
        <v/>
      </c>
      <c r="G40" s="391" t="str">
        <f>IF('SEGUIMIENTO Y MONITOREO'!J126="NA","NA",'SEGUIMIENTO Y MONITOREO'!N126)</f>
        <v/>
      </c>
      <c r="H40" s="624"/>
      <c r="I40" s="391" t="str">
        <f>IF('SEGUIMIENTO Y MONITOREO'!T126="NA","NA",'SEGUIMIENTO Y MONITOREO'!X126)</f>
        <v/>
      </c>
      <c r="J40" s="624"/>
      <c r="K40" s="391" t="str">
        <f>IF('SEGUIMIENTO Y MONITOREO'!AD126="NA","NA",'SEGUIMIENTO Y MONITOREO'!AH126)</f>
        <v/>
      </c>
      <c r="L40" s="624"/>
      <c r="M40" s="624"/>
      <c r="N40" s="632"/>
      <c r="O40" s="632"/>
    </row>
    <row r="41" spans="1:15" ht="15.75" thickBot="1" x14ac:dyDescent="0.25">
      <c r="A41" s="577"/>
      <c r="B41" s="578"/>
      <c r="C41" s="82" t="str">
        <f>'SEGUIMIENTO Y MONITOREO'!D127</f>
        <v/>
      </c>
      <c r="D41" s="82" t="str">
        <f>'SEGUIMIENTO Y MONITOREO'!E127</f>
        <v/>
      </c>
      <c r="E41" s="128" t="str">
        <f>'SEGUIMIENTO Y MONITOREO'!G127</f>
        <v/>
      </c>
      <c r="F41" s="128" t="str">
        <f>'SEGUIMIENTO Y MONITOREO'!H127</f>
        <v/>
      </c>
      <c r="G41" s="391" t="str">
        <f>IF('SEGUIMIENTO Y MONITOREO'!J127="NA","NA",'SEGUIMIENTO Y MONITOREO'!N127)</f>
        <v/>
      </c>
      <c r="H41" s="624"/>
      <c r="I41" s="391" t="str">
        <f>IF('SEGUIMIENTO Y MONITOREO'!T127="NA","NA",'SEGUIMIENTO Y MONITOREO'!X127)</f>
        <v/>
      </c>
      <c r="J41" s="624"/>
      <c r="K41" s="391" t="str">
        <f>IF('SEGUIMIENTO Y MONITOREO'!AD127="NA","NA",'SEGUIMIENTO Y MONITOREO'!AH127)</f>
        <v/>
      </c>
      <c r="L41" s="624"/>
      <c r="M41" s="624"/>
      <c r="N41" s="632"/>
      <c r="O41" s="632"/>
    </row>
    <row r="42" spans="1:15" ht="39" thickTop="1" x14ac:dyDescent="0.2">
      <c r="A42" s="575" t="str">
        <f>'SEGUIMIENTO Y MONITOREO'!A128</f>
        <v>12C</v>
      </c>
      <c r="B42" s="578" t="str">
        <f>'SEGUIMIENTO Y MONITOREO'!B128</f>
        <v>Gestión Academica. Deficiencias en el manejo documental y de archivo</v>
      </c>
      <c r="C42" s="82" t="str">
        <f>'SEGUIMIENTO Y MONITOREO'!D128</f>
        <v>Desarrollar talleres gestión documental</v>
      </c>
      <c r="D42" s="82" t="str">
        <f>'SEGUIMIENTO Y MONITOREO'!E128</f>
        <v>Acta de realización de talleres</v>
      </c>
      <c r="E42" s="128">
        <f>'SEGUIMIENTO Y MONITOREO'!G128</f>
        <v>42576</v>
      </c>
      <c r="F42" s="128">
        <f>'SEGUIMIENTO Y MONITOREO'!H128</f>
        <v>42941</v>
      </c>
      <c r="G42" s="391" t="str">
        <f>IF('SEGUIMIENTO Y MONITOREO'!J128="NA","NA",'SEGUIMIENTO Y MONITOREO'!N128)</f>
        <v>NA</v>
      </c>
      <c r="H42" s="624" t="str">
        <f>'SEGUIMIENTO Y MONITOREO'!AR128</f>
        <v>NA</v>
      </c>
      <c r="I42" s="391">
        <f>IF('SEGUIMIENTO Y MONITOREO'!T128="NA","NA",'SEGUIMIENTO Y MONITOREO'!X128)</f>
        <v>0.02</v>
      </c>
      <c r="J42" s="624">
        <f>'SEGUIMIENTO Y MONITOREO'!AS128</f>
        <v>0.02</v>
      </c>
      <c r="K42" s="391">
        <f>IF('SEGUIMIENTO Y MONITOREO'!AD128="NA","NA",'SEGUIMIENTO Y MONITOREO'!AH128)</f>
        <v>0.02</v>
      </c>
      <c r="L42" s="624">
        <f>'SEGUIMIENTO Y MONITOREO'!AU128</f>
        <v>0.02</v>
      </c>
      <c r="M42" s="624">
        <f>'SEGUIMIENTO Y MONITOREO'!AW128</f>
        <v>0.02</v>
      </c>
      <c r="N42" s="632" t="str">
        <f>IF(M42="","",CONCATENATE(IF('SEGUIMIENTO Y MONITOREO'!AX128=0,"",'SEGUIMIENTO Y MONITOREO'!AX128),Datos!$Y$4,IF('SEGUIMIENTO Y MONITOREO'!AX129=0,"",'SEGUIMIENTO Y MONITOREO'!AX129),Datos!$Y$4,IF('SEGUIMIENTO Y MONITOREO'!AX130=0,"",'SEGUIMIENTO Y MONITOREO'!AX130)))</f>
        <v xml:space="preserve">No se logro mayor avance
</v>
      </c>
      <c r="O42" s="632"/>
    </row>
    <row r="43" spans="1:15" x14ac:dyDescent="0.2">
      <c r="A43" s="576"/>
      <c r="B43" s="578"/>
      <c r="C43" s="82" t="str">
        <f>'SEGUIMIENTO Y MONITOREO'!D129</f>
        <v/>
      </c>
      <c r="D43" s="82" t="str">
        <f>'SEGUIMIENTO Y MONITOREO'!E129</f>
        <v/>
      </c>
      <c r="E43" s="128" t="str">
        <f>'SEGUIMIENTO Y MONITOREO'!G129</f>
        <v/>
      </c>
      <c r="F43" s="128" t="str">
        <f>'SEGUIMIENTO Y MONITOREO'!H129</f>
        <v/>
      </c>
      <c r="G43" s="391" t="str">
        <f>IF('SEGUIMIENTO Y MONITOREO'!J129="NA","NA",'SEGUIMIENTO Y MONITOREO'!N129)</f>
        <v/>
      </c>
      <c r="H43" s="624"/>
      <c r="I43" s="391" t="str">
        <f>IF('SEGUIMIENTO Y MONITOREO'!T129="NA","NA",'SEGUIMIENTO Y MONITOREO'!X129)</f>
        <v/>
      </c>
      <c r="J43" s="624"/>
      <c r="K43" s="391" t="str">
        <f>IF('SEGUIMIENTO Y MONITOREO'!AD129="NA","NA",'SEGUIMIENTO Y MONITOREO'!AH129)</f>
        <v/>
      </c>
      <c r="L43" s="624"/>
      <c r="M43" s="624"/>
      <c r="N43" s="632"/>
      <c r="O43" s="632"/>
    </row>
    <row r="44" spans="1:15" ht="15.75" thickBot="1" x14ac:dyDescent="0.25">
      <c r="A44" s="577"/>
      <c r="B44" s="578"/>
      <c r="C44" s="82" t="str">
        <f>'SEGUIMIENTO Y MONITOREO'!D130</f>
        <v/>
      </c>
      <c r="D44" s="82" t="str">
        <f>'SEGUIMIENTO Y MONITOREO'!E130</f>
        <v/>
      </c>
      <c r="E44" s="128" t="str">
        <f>'SEGUIMIENTO Y MONITOREO'!G130</f>
        <v/>
      </c>
      <c r="F44" s="128" t="str">
        <f>'SEGUIMIENTO Y MONITOREO'!H130</f>
        <v/>
      </c>
      <c r="G44" s="391" t="str">
        <f>IF('SEGUIMIENTO Y MONITOREO'!J130="NA","NA",'SEGUIMIENTO Y MONITOREO'!N130)</f>
        <v/>
      </c>
      <c r="H44" s="624"/>
      <c r="I44" s="391" t="str">
        <f>IF('SEGUIMIENTO Y MONITOREO'!T130="NA","NA",'SEGUIMIENTO Y MONITOREO'!X130)</f>
        <v/>
      </c>
      <c r="J44" s="624"/>
      <c r="K44" s="391" t="str">
        <f>IF('SEGUIMIENTO Y MONITOREO'!AD130="NA","NA",'SEGUIMIENTO Y MONITOREO'!AH130)</f>
        <v/>
      </c>
      <c r="L44" s="624"/>
      <c r="M44" s="624"/>
      <c r="N44" s="632"/>
      <c r="O44" s="632"/>
    </row>
    <row r="45" spans="1:15" ht="39" customHeight="1" thickTop="1" x14ac:dyDescent="0.2">
      <c r="A45" s="575" t="str">
        <f>'SEGUIMIENTO Y MONITOREO'!A131</f>
        <v>13C</v>
      </c>
      <c r="B45" s="578" t="str">
        <f>'SEGUIMIENTO Y MONITOREO'!B131</f>
        <v>Gestión de Investigación. Vulnerabilidad en el manejo de la información de la actividad investigativa</v>
      </c>
      <c r="C45" s="82" t="str">
        <f>'SEGUIMIENTO Y MONITOREO'!D131</f>
        <v>Desarrollo e Implementación del Sistema de Información de la Vicerrectoría de investigación</v>
      </c>
      <c r="D45" s="82" t="str">
        <f>'SEGUIMIENTO Y MONITOREO'!E131</f>
        <v>Actas de entrega de claves a usuarios</v>
      </c>
      <c r="E45" s="128">
        <f>'SEGUIMIENTO Y MONITOREO'!G131</f>
        <v>42388</v>
      </c>
      <c r="F45" s="128">
        <f>'SEGUIMIENTO Y MONITOREO'!H131</f>
        <v>42723</v>
      </c>
      <c r="G45" s="391">
        <f>IF('SEGUIMIENTO Y MONITOREO'!J131="NA","NA",'SEGUIMIENTO Y MONITOREO'!N131)</f>
        <v>0.2</v>
      </c>
      <c r="H45" s="624">
        <f>'SEGUIMIENTO Y MONITOREO'!AR131</f>
        <v>0.2</v>
      </c>
      <c r="I45" s="391">
        <f>IF('SEGUIMIENTO Y MONITOREO'!T131="NA","NA",'SEGUIMIENTO Y MONITOREO'!X131)</f>
        <v>0.25</v>
      </c>
      <c r="J45" s="624">
        <f>'SEGUIMIENTO Y MONITOREO'!AS131</f>
        <v>0.25</v>
      </c>
      <c r="K45" s="391">
        <f>IF('SEGUIMIENTO Y MONITOREO'!AD131="NA","NA",'SEGUIMIENTO Y MONITOREO'!AH131)</f>
        <v>1</v>
      </c>
      <c r="L45" s="624">
        <f>'SEGUIMIENTO Y MONITOREO'!AU131</f>
        <v>1</v>
      </c>
      <c r="M45" s="624">
        <f>'SEGUIMIENTO Y MONITOREO'!AW131</f>
        <v>1</v>
      </c>
      <c r="N45" s="632" t="str">
        <f>IF(M45="","",CONCATENATE(IF('SEGUIMIENTO Y MONITOREO'!AX131=0,"",'SEGUIMIENTO Y MONITOREO'!AX131),Datos!$Y$4,IF('SEGUIMIENTO Y MONITOREO'!AX132=0,"",'SEGUIMIENTO Y MONITOREO'!AX132),Datos!$Y$4,IF('SEGUIMIENTO Y MONITOREO'!AX133=0,"",'SEGUIMIENTO Y MONITOREO'!AX133)))</f>
        <v xml:space="preserve">Actividades informadas
</v>
      </c>
      <c r="O45" s="632"/>
    </row>
    <row r="46" spans="1:15" x14ac:dyDescent="0.2">
      <c r="A46" s="576"/>
      <c r="B46" s="578"/>
      <c r="C46" s="82" t="str">
        <f>'SEGUIMIENTO Y MONITOREO'!D132</f>
        <v/>
      </c>
      <c r="D46" s="82" t="str">
        <f>'SEGUIMIENTO Y MONITOREO'!E132</f>
        <v/>
      </c>
      <c r="E46" s="128" t="str">
        <f>'SEGUIMIENTO Y MONITOREO'!G132</f>
        <v/>
      </c>
      <c r="F46" s="128" t="str">
        <f>'SEGUIMIENTO Y MONITOREO'!H132</f>
        <v/>
      </c>
      <c r="G46" s="391" t="str">
        <f>IF('SEGUIMIENTO Y MONITOREO'!J132="NA","NA",'SEGUIMIENTO Y MONITOREO'!N132)</f>
        <v/>
      </c>
      <c r="H46" s="624"/>
      <c r="I46" s="391" t="str">
        <f>IF('SEGUIMIENTO Y MONITOREO'!T132="NA","NA",'SEGUIMIENTO Y MONITOREO'!X132)</f>
        <v/>
      </c>
      <c r="J46" s="624"/>
      <c r="K46" s="391" t="str">
        <f>IF('SEGUIMIENTO Y MONITOREO'!AD132="NA","NA",'SEGUIMIENTO Y MONITOREO'!AH132)</f>
        <v/>
      </c>
      <c r="L46" s="624"/>
      <c r="M46" s="624"/>
      <c r="N46" s="632"/>
      <c r="O46" s="632"/>
    </row>
    <row r="47" spans="1:15" ht="15.75" thickBot="1" x14ac:dyDescent="0.25">
      <c r="A47" s="577"/>
      <c r="B47" s="578"/>
      <c r="C47" s="82" t="str">
        <f>'SEGUIMIENTO Y MONITOREO'!D133</f>
        <v/>
      </c>
      <c r="D47" s="82" t="str">
        <f>'SEGUIMIENTO Y MONITOREO'!E133</f>
        <v/>
      </c>
      <c r="E47" s="128" t="str">
        <f>'SEGUIMIENTO Y MONITOREO'!G133</f>
        <v/>
      </c>
      <c r="F47" s="128" t="str">
        <f>'SEGUIMIENTO Y MONITOREO'!H133</f>
        <v/>
      </c>
      <c r="G47" s="391" t="str">
        <f>IF('SEGUIMIENTO Y MONITOREO'!J133="NA","NA",'SEGUIMIENTO Y MONITOREO'!N133)</f>
        <v/>
      </c>
      <c r="H47" s="624"/>
      <c r="I47" s="391" t="str">
        <f>IF('SEGUIMIENTO Y MONITOREO'!T133="NA","NA",'SEGUIMIENTO Y MONITOREO'!X133)</f>
        <v/>
      </c>
      <c r="J47" s="624"/>
      <c r="K47" s="391" t="str">
        <f>IF('SEGUIMIENTO Y MONITOREO'!AD133="NA","NA",'SEGUIMIENTO Y MONITOREO'!AH133)</f>
        <v/>
      </c>
      <c r="L47" s="624"/>
      <c r="M47" s="624"/>
      <c r="N47" s="632"/>
      <c r="O47" s="632"/>
    </row>
    <row r="48" spans="1:15" ht="39" customHeight="1" thickTop="1" x14ac:dyDescent="0.2">
      <c r="A48" s="575" t="str">
        <f>'SEGUIMIENTO Y MONITOREO'!A134</f>
        <v>14C</v>
      </c>
      <c r="B48" s="578" t="str">
        <f>'SEGUIMIENTO Y MONITOREO'!B134</f>
        <v>Gestión de Investigación. Violación de la propiedad Intelectual.</v>
      </c>
      <c r="C48" s="82" t="str">
        <f>'SEGUIMIENTO Y MONITOREO'!D134</f>
        <v>Programa de capacitación en Propiedad Intelectual</v>
      </c>
      <c r="D48" s="82" t="str">
        <f>'SEGUIMIENTO Y MONITOREO'!E134</f>
        <v>Capacitaciones realizadas en Prop. Intelectual</v>
      </c>
      <c r="E48" s="128">
        <f>'SEGUIMIENTO Y MONITOREO'!G134</f>
        <v>42388</v>
      </c>
      <c r="F48" s="128">
        <f>'SEGUIMIENTO Y MONITOREO'!H134</f>
        <v>42723</v>
      </c>
      <c r="G48" s="391">
        <f>IF('SEGUIMIENTO Y MONITOREO'!J134="NA","NA",'SEGUIMIENTO Y MONITOREO'!N134)</f>
        <v>0.5</v>
      </c>
      <c r="H48" s="624">
        <f>'SEGUIMIENTO Y MONITOREO'!AR134</f>
        <v>0.75</v>
      </c>
      <c r="I48" s="391">
        <f>IF('SEGUIMIENTO Y MONITOREO'!T134="NA","NA",'SEGUIMIENTO Y MONITOREO'!X134)</f>
        <v>0.5</v>
      </c>
      <c r="J48" s="624">
        <f>'SEGUIMIENTO Y MONITOREO'!AS134</f>
        <v>0.75</v>
      </c>
      <c r="K48" s="391">
        <f>IF('SEGUIMIENTO Y MONITOREO'!AD134="NA","NA",'SEGUIMIENTO Y MONITOREO'!AH134)</f>
        <v>1.25</v>
      </c>
      <c r="L48" s="624">
        <f>'SEGUIMIENTO Y MONITOREO'!AU134</f>
        <v>1.125</v>
      </c>
      <c r="M48" s="624">
        <f>'SEGUIMIENTO Y MONITOREO'!AW134</f>
        <v>1.125</v>
      </c>
      <c r="N48" s="632" t="str">
        <f>IF(M48="","",CONCATENATE(IF('SEGUIMIENTO Y MONITOREO'!AX134=0,"",'SEGUIMIENTO Y MONITOREO'!AX134),Datos!$Y$4,IF('SEGUIMIENTO Y MONITOREO'!AX135=0,"",'SEGUIMIENTO Y MONITOREO'!AX135),Datos!$Y$4,IF('SEGUIMIENTO Y MONITOREO'!AX136=0,"",'SEGUIMIENTO Y MONITOREO'!AX136)))</f>
        <v xml:space="preserve">Actividades informadas
Actividades informadas
</v>
      </c>
      <c r="O48" s="632"/>
    </row>
    <row r="49" spans="1:15" ht="15" customHeight="1" x14ac:dyDescent="0.2">
      <c r="A49" s="576"/>
      <c r="B49" s="578"/>
      <c r="C49" s="82" t="str">
        <f>'SEGUIMIENTO Y MONITOREO'!D135</f>
        <v>Aprobación del Reglamento de PI</v>
      </c>
      <c r="D49" s="82" t="str">
        <f>'SEGUIMIENTO Y MONITOREO'!E135</f>
        <v>Reglamento de PI enviado a Jurídica para revisión</v>
      </c>
      <c r="E49" s="128">
        <f>'SEGUIMIENTO Y MONITOREO'!G135</f>
        <v>42388</v>
      </c>
      <c r="F49" s="128">
        <f>'SEGUIMIENTO Y MONITOREO'!H135</f>
        <v>42723</v>
      </c>
      <c r="G49" s="391">
        <f>IF('SEGUIMIENTO Y MONITOREO'!J135="NA","NA",'SEGUIMIENTO Y MONITOREO'!N135)</f>
        <v>1</v>
      </c>
      <c r="H49" s="624"/>
      <c r="I49" s="391">
        <f>IF('SEGUIMIENTO Y MONITOREO'!T135="NA","NA",'SEGUIMIENTO Y MONITOREO'!X135)</f>
        <v>1</v>
      </c>
      <c r="J49" s="624"/>
      <c r="K49" s="391">
        <f>IF('SEGUIMIENTO Y MONITOREO'!AD135="NA","NA",'SEGUIMIENTO Y MONITOREO'!AH135)</f>
        <v>1</v>
      </c>
      <c r="L49" s="624"/>
      <c r="M49" s="624"/>
      <c r="N49" s="632"/>
      <c r="O49" s="632"/>
    </row>
    <row r="50" spans="1:15" ht="15.75" thickBot="1" x14ac:dyDescent="0.25">
      <c r="A50" s="577"/>
      <c r="B50" s="578"/>
      <c r="C50" s="82" t="str">
        <f>'SEGUIMIENTO Y MONITOREO'!D136</f>
        <v/>
      </c>
      <c r="D50" s="82" t="str">
        <f>'SEGUIMIENTO Y MONITOREO'!E136</f>
        <v/>
      </c>
      <c r="E50" s="128" t="str">
        <f>'SEGUIMIENTO Y MONITOREO'!G136</f>
        <v/>
      </c>
      <c r="F50" s="128" t="str">
        <f>'SEGUIMIENTO Y MONITOREO'!H136</f>
        <v/>
      </c>
      <c r="G50" s="391" t="str">
        <f>IF('SEGUIMIENTO Y MONITOREO'!J136="NA","NA",'SEGUIMIENTO Y MONITOREO'!N136)</f>
        <v/>
      </c>
      <c r="H50" s="624"/>
      <c r="I50" s="391" t="str">
        <f>IF('SEGUIMIENTO Y MONITOREO'!T136="NA","NA",'SEGUIMIENTO Y MONITOREO'!X136)</f>
        <v/>
      </c>
      <c r="J50" s="624"/>
      <c r="K50" s="391" t="str">
        <f>IF('SEGUIMIENTO Y MONITOREO'!AD136="NA","NA",'SEGUIMIENTO Y MONITOREO'!AH136)</f>
        <v/>
      </c>
      <c r="L50" s="624"/>
      <c r="M50" s="624"/>
      <c r="N50" s="632"/>
      <c r="O50" s="632"/>
    </row>
    <row r="51" spans="1:15" ht="39" customHeight="1" thickTop="1" x14ac:dyDescent="0.2">
      <c r="A51" s="575" t="str">
        <f>'SEGUIMIENTO Y MONITOREO'!A137</f>
        <v>15C</v>
      </c>
      <c r="B51" s="578" t="str">
        <f>'SEGUIMIENTO Y MONITOREO'!B137</f>
        <v>Gestión de Extensión y Proyección Social. Desviación o uso indebido de recursos, que impidan la ejecución de los proyectos y actividades misionales de la vicerrectoria de extensión y proyección social</v>
      </c>
      <c r="C51" s="82" t="str">
        <f>'SEGUIMIENTO Y MONITOREO'!D137</f>
        <v>Implementación de sistema de información</v>
      </c>
      <c r="D51" s="82" t="str">
        <f>'SEGUIMIENTO Y MONITOREO'!E137</f>
        <v>Informes</v>
      </c>
      <c r="E51" s="128">
        <f>'SEGUIMIENTO Y MONITOREO'!G137</f>
        <v>42430</v>
      </c>
      <c r="F51" s="128">
        <f>'SEGUIMIENTO Y MONITOREO'!H137</f>
        <v>42531</v>
      </c>
      <c r="G51" s="391">
        <f>IF('SEGUIMIENTO Y MONITOREO'!J137="NA","NA",'SEGUIMIENTO Y MONITOREO'!N137)</f>
        <v>0</v>
      </c>
      <c r="H51" s="624">
        <f>'SEGUIMIENTO Y MONITOREO'!AR137</f>
        <v>0</v>
      </c>
      <c r="I51" s="391">
        <f>IF('SEGUIMIENTO Y MONITOREO'!T137="NA","NA",'SEGUIMIENTO Y MONITOREO'!X137)</f>
        <v>0.6</v>
      </c>
      <c r="J51" s="624">
        <f>'SEGUIMIENTO Y MONITOREO'!AS137</f>
        <v>0.6</v>
      </c>
      <c r="K51" s="391">
        <f>IF('SEGUIMIENTO Y MONITOREO'!AD137="NA","NA",'SEGUIMIENTO Y MONITOREO'!AH137)</f>
        <v>0.6</v>
      </c>
      <c r="L51" s="624">
        <f>'SEGUIMIENTO Y MONITOREO'!AU137</f>
        <v>0.6</v>
      </c>
      <c r="M51" s="624">
        <f>'SEGUIMIENTO Y MONITOREO'!AW137</f>
        <v>0.6</v>
      </c>
      <c r="N51" s="632" t="str">
        <f>IF(M51="","",CONCATENATE(IF('SEGUIMIENTO Y MONITOREO'!AX137=0,"",'SEGUIMIENTO Y MONITOREO'!AX137),Datos!$Y$4,IF('SEGUIMIENTO Y MONITOREO'!AX138=0,"",'SEGUIMIENTO Y MONITOREO'!AX138),Datos!$Y$4,IF('SEGUIMIENTO Y MONITOREO'!AX139=0,"",'SEGUIMIENTO Y MONITOREO'!AX139)))</f>
        <v xml:space="preserve">No se logro mayor avance pero se plantea para 2017
</v>
      </c>
      <c r="O51" s="632"/>
    </row>
    <row r="52" spans="1:15" x14ac:dyDescent="0.2">
      <c r="A52" s="576"/>
      <c r="B52" s="578"/>
      <c r="C52" s="82" t="str">
        <f>'SEGUIMIENTO Y MONITOREO'!D138</f>
        <v/>
      </c>
      <c r="D52" s="82" t="str">
        <f>'SEGUIMIENTO Y MONITOREO'!E138</f>
        <v/>
      </c>
      <c r="E52" s="128" t="str">
        <f>'SEGUIMIENTO Y MONITOREO'!G138</f>
        <v/>
      </c>
      <c r="F52" s="128" t="str">
        <f>'SEGUIMIENTO Y MONITOREO'!H138</f>
        <v/>
      </c>
      <c r="G52" s="391" t="str">
        <f>IF('SEGUIMIENTO Y MONITOREO'!J138="NA","NA",'SEGUIMIENTO Y MONITOREO'!N138)</f>
        <v/>
      </c>
      <c r="H52" s="624"/>
      <c r="I52" s="391" t="str">
        <f>IF('SEGUIMIENTO Y MONITOREO'!T138="NA","NA",'SEGUIMIENTO Y MONITOREO'!X138)</f>
        <v/>
      </c>
      <c r="J52" s="624"/>
      <c r="K52" s="391" t="str">
        <f>IF('SEGUIMIENTO Y MONITOREO'!AD138="NA","NA",'SEGUIMIENTO Y MONITOREO'!AH138)</f>
        <v/>
      </c>
      <c r="L52" s="624"/>
      <c r="M52" s="624"/>
      <c r="N52" s="632"/>
      <c r="O52" s="632"/>
    </row>
    <row r="53" spans="1:15" ht="15.75" thickBot="1" x14ac:dyDescent="0.25">
      <c r="A53" s="577"/>
      <c r="B53" s="578"/>
      <c r="C53" s="82" t="str">
        <f>'SEGUIMIENTO Y MONITOREO'!D139</f>
        <v/>
      </c>
      <c r="D53" s="82" t="str">
        <f>'SEGUIMIENTO Y MONITOREO'!E139</f>
        <v/>
      </c>
      <c r="E53" s="128" t="str">
        <f>'SEGUIMIENTO Y MONITOREO'!G139</f>
        <v/>
      </c>
      <c r="F53" s="128" t="str">
        <f>'SEGUIMIENTO Y MONITOREO'!H139</f>
        <v/>
      </c>
      <c r="G53" s="391" t="str">
        <f>IF('SEGUIMIENTO Y MONITOREO'!J139="NA","NA",'SEGUIMIENTO Y MONITOREO'!N139)</f>
        <v/>
      </c>
      <c r="H53" s="624"/>
      <c r="I53" s="391" t="str">
        <f>IF('SEGUIMIENTO Y MONITOREO'!T139="NA","NA",'SEGUIMIENTO Y MONITOREO'!X139)</f>
        <v/>
      </c>
      <c r="J53" s="624"/>
      <c r="K53" s="391" t="str">
        <f>IF('SEGUIMIENTO Y MONITOREO'!AD139="NA","NA",'SEGUIMIENTO Y MONITOREO'!AH139)</f>
        <v/>
      </c>
      <c r="L53" s="624"/>
      <c r="M53" s="624"/>
      <c r="N53" s="632"/>
      <c r="O53" s="632"/>
    </row>
    <row r="54" spans="1:15" ht="39" customHeight="1" thickTop="1" x14ac:dyDescent="0.2">
      <c r="A54" s="575" t="str">
        <f>'SEGUIMIENTO Y MONITOREO'!A140</f>
        <v>16C</v>
      </c>
      <c r="B54" s="578" t="str">
        <f>'SEGUIMIENTO Y MONITOREO'!B140</f>
        <v xml:space="preserve">Gestión de Extensión y Proyección Social. Concentración de la información en una persona. </v>
      </c>
      <c r="C54" s="82" t="str">
        <f>'SEGUIMIENTO Y MONITOREO'!D140</f>
        <v>Socialización de los resultados de las actividades realizadas y por realizar.</v>
      </c>
      <c r="D54" s="82" t="str">
        <f>'SEGUIMIENTO Y MONITOREO'!E140</f>
        <v>Comunicados y registros</v>
      </c>
      <c r="E54" s="128">
        <f>'SEGUIMIENTO Y MONITOREO'!G140</f>
        <v>42398</v>
      </c>
      <c r="F54" s="128">
        <f>'SEGUIMIENTO Y MONITOREO'!H140</f>
        <v>42704</v>
      </c>
      <c r="G54" s="391">
        <f>IF('SEGUIMIENTO Y MONITOREO'!J140="NA","NA",'SEGUIMIENTO Y MONITOREO'!N140)</f>
        <v>0</v>
      </c>
      <c r="H54" s="624">
        <f>'SEGUIMIENTO Y MONITOREO'!AR140</f>
        <v>0</v>
      </c>
      <c r="I54" s="391">
        <f>IF('SEGUIMIENTO Y MONITOREO'!T140="NA","NA",'SEGUIMIENTO Y MONITOREO'!X140)</f>
        <v>0.6</v>
      </c>
      <c r="J54" s="624">
        <f>'SEGUIMIENTO Y MONITOREO'!AS140</f>
        <v>0.6</v>
      </c>
      <c r="K54" s="391">
        <f>IF('SEGUIMIENTO Y MONITOREO'!AD140="NA","NA",'SEGUIMIENTO Y MONITOREO'!AH140)</f>
        <v>0.9</v>
      </c>
      <c r="L54" s="624">
        <f>'SEGUIMIENTO Y MONITOREO'!AU140</f>
        <v>0.89999999999999991</v>
      </c>
      <c r="M54" s="624">
        <f>'SEGUIMIENTO Y MONITOREO'!AW140</f>
        <v>0.89999999999999991</v>
      </c>
      <c r="N54" s="632" t="str">
        <f>IF(M54="","",CONCATENATE(IF('SEGUIMIENTO Y MONITOREO'!AX140=0,"",'SEGUIMIENTO Y MONITOREO'!AX140),Datos!$Y$4,IF('SEGUIMIENTO Y MONITOREO'!AX141=0,"",'SEGUIMIENTO Y MONITOREO'!AX141),Datos!$Y$4,IF('SEGUIMIENTO Y MONITOREO'!AX142=0,"",'SEGUIMIENTO Y MONITOREO'!AX142)))</f>
        <v xml:space="preserve">se han hecho seguimiento y monitoreo permanente
</v>
      </c>
      <c r="O54" s="632"/>
    </row>
    <row r="55" spans="1:15" x14ac:dyDescent="0.2">
      <c r="A55" s="576"/>
      <c r="B55" s="578"/>
      <c r="C55" s="82" t="str">
        <f>'SEGUIMIENTO Y MONITOREO'!D141</f>
        <v/>
      </c>
      <c r="D55" s="82" t="str">
        <f>'SEGUIMIENTO Y MONITOREO'!E141</f>
        <v/>
      </c>
      <c r="E55" s="128" t="str">
        <f>'SEGUIMIENTO Y MONITOREO'!G141</f>
        <v/>
      </c>
      <c r="F55" s="128" t="str">
        <f>'SEGUIMIENTO Y MONITOREO'!H141</f>
        <v/>
      </c>
      <c r="G55" s="391" t="str">
        <f>IF('SEGUIMIENTO Y MONITOREO'!J141="NA","NA",'SEGUIMIENTO Y MONITOREO'!N141)</f>
        <v/>
      </c>
      <c r="H55" s="624"/>
      <c r="I55" s="391" t="str">
        <f>IF('SEGUIMIENTO Y MONITOREO'!T141="NA","NA",'SEGUIMIENTO Y MONITOREO'!X141)</f>
        <v/>
      </c>
      <c r="J55" s="624"/>
      <c r="K55" s="391" t="str">
        <f>IF('SEGUIMIENTO Y MONITOREO'!AD141="NA","NA",'SEGUIMIENTO Y MONITOREO'!AH141)</f>
        <v/>
      </c>
      <c r="L55" s="624"/>
      <c r="M55" s="624"/>
      <c r="N55" s="632"/>
      <c r="O55" s="632"/>
    </row>
    <row r="56" spans="1:15" ht="15.75" thickBot="1" x14ac:dyDescent="0.25">
      <c r="A56" s="577"/>
      <c r="B56" s="578"/>
      <c r="C56" s="82" t="str">
        <f>'SEGUIMIENTO Y MONITOREO'!D142</f>
        <v/>
      </c>
      <c r="D56" s="82" t="str">
        <f>'SEGUIMIENTO Y MONITOREO'!E142</f>
        <v/>
      </c>
      <c r="E56" s="128" t="str">
        <f>'SEGUIMIENTO Y MONITOREO'!G142</f>
        <v/>
      </c>
      <c r="F56" s="128" t="str">
        <f>'SEGUIMIENTO Y MONITOREO'!H142</f>
        <v/>
      </c>
      <c r="G56" s="391" t="str">
        <f>IF('SEGUIMIENTO Y MONITOREO'!J142="NA","NA",'SEGUIMIENTO Y MONITOREO'!N142)</f>
        <v/>
      </c>
      <c r="H56" s="624"/>
      <c r="I56" s="391" t="str">
        <f>IF('SEGUIMIENTO Y MONITOREO'!T142="NA","NA",'SEGUIMIENTO Y MONITOREO'!X142)</f>
        <v/>
      </c>
      <c r="J56" s="624"/>
      <c r="K56" s="391" t="str">
        <f>IF('SEGUIMIENTO Y MONITOREO'!AD142="NA","NA",'SEGUIMIENTO Y MONITOREO'!AH142)</f>
        <v/>
      </c>
      <c r="L56" s="624"/>
      <c r="M56" s="624"/>
      <c r="N56" s="632"/>
      <c r="O56" s="632"/>
    </row>
    <row r="57" spans="1:15" ht="39" customHeight="1" thickTop="1" x14ac:dyDescent="0.2">
      <c r="A57" s="575" t="str">
        <f>'SEGUIMIENTO Y MONITOREO'!A143</f>
        <v>17C</v>
      </c>
      <c r="B57" s="578" t="str">
        <f>'SEGUIMIENTO Y MONITOREO'!B143</f>
        <v xml:space="preserve">Gestión de Extensión y Proyección Social. Inadecuada ejecución de los recursos asignados </v>
      </c>
      <c r="C57" s="82" t="str">
        <f>'SEGUIMIENTO Y MONITOREO'!D143</f>
        <v>Divulgación de los resultados de los proyectos</v>
      </c>
      <c r="D57" s="82" t="str">
        <f>'SEGUIMIENTO Y MONITOREO'!E143</f>
        <v>Informes
Encuestas de satisfacción del usuario</v>
      </c>
      <c r="E57" s="128">
        <f>'SEGUIMIENTO Y MONITOREO'!G143</f>
        <v>42398</v>
      </c>
      <c r="F57" s="128">
        <f>'SEGUIMIENTO Y MONITOREO'!H143</f>
        <v>42704</v>
      </c>
      <c r="G57" s="391">
        <f>IF('SEGUIMIENTO Y MONITOREO'!J143="NA","NA",'SEGUIMIENTO Y MONITOREO'!N143)</f>
        <v>0</v>
      </c>
      <c r="H57" s="624">
        <f>'SEGUIMIENTO Y MONITOREO'!AR143</f>
        <v>0</v>
      </c>
      <c r="I57" s="391">
        <f>IF('SEGUIMIENTO Y MONITOREO'!T143="NA","NA",'SEGUIMIENTO Y MONITOREO'!X143)</f>
        <v>0.6</v>
      </c>
      <c r="J57" s="624">
        <f>'SEGUIMIENTO Y MONITOREO'!AS143</f>
        <v>0.6</v>
      </c>
      <c r="K57" s="391">
        <f>IF('SEGUIMIENTO Y MONITOREO'!AD143="NA","NA",'SEGUIMIENTO Y MONITOREO'!AH143)</f>
        <v>0.9</v>
      </c>
      <c r="L57" s="624">
        <f>'SEGUIMIENTO Y MONITOREO'!AU143</f>
        <v>0.89999999999999991</v>
      </c>
      <c r="M57" s="624">
        <f>'SEGUIMIENTO Y MONITOREO'!AW143</f>
        <v>0.89999999999999991</v>
      </c>
      <c r="N57" s="632" t="str">
        <f>IF(M57="","",CONCATENATE(IF('SEGUIMIENTO Y MONITOREO'!AX143=0,"",'SEGUIMIENTO Y MONITOREO'!AX143),Datos!$Y$4,IF('SEGUIMIENTO Y MONITOREO'!AX144=0,"",'SEGUIMIENTO Y MONITOREO'!AX144),Datos!$Y$4,IF('SEGUIMIENTO Y MONITOREO'!AX145=0,"",'SEGUIMIENTO Y MONITOREO'!AX145)))</f>
        <v xml:space="preserve">se han hecho las divulgaciones y se han aplicado los instrumentos de evaluacion pertinentes
</v>
      </c>
      <c r="O57" s="632"/>
    </row>
    <row r="58" spans="1:15" x14ac:dyDescent="0.2">
      <c r="A58" s="576"/>
      <c r="B58" s="578"/>
      <c r="C58" s="82" t="str">
        <f>'SEGUIMIENTO Y MONITOREO'!D144</f>
        <v/>
      </c>
      <c r="D58" s="82" t="str">
        <f>'SEGUIMIENTO Y MONITOREO'!E144</f>
        <v/>
      </c>
      <c r="E58" s="128" t="str">
        <f>'SEGUIMIENTO Y MONITOREO'!G144</f>
        <v/>
      </c>
      <c r="F58" s="128" t="str">
        <f>'SEGUIMIENTO Y MONITOREO'!H144</f>
        <v/>
      </c>
      <c r="G58" s="391" t="str">
        <f>IF('SEGUIMIENTO Y MONITOREO'!J144="NA","NA",'SEGUIMIENTO Y MONITOREO'!N144)</f>
        <v/>
      </c>
      <c r="H58" s="624"/>
      <c r="I58" s="391" t="str">
        <f>IF('SEGUIMIENTO Y MONITOREO'!T144="NA","NA",'SEGUIMIENTO Y MONITOREO'!X144)</f>
        <v/>
      </c>
      <c r="J58" s="624"/>
      <c r="K58" s="391" t="str">
        <f>IF('SEGUIMIENTO Y MONITOREO'!AD144="NA","NA",'SEGUIMIENTO Y MONITOREO'!AH144)</f>
        <v/>
      </c>
      <c r="L58" s="624"/>
      <c r="M58" s="624"/>
      <c r="N58" s="632"/>
      <c r="O58" s="632"/>
    </row>
    <row r="59" spans="1:15" ht="15.75" thickBot="1" x14ac:dyDescent="0.25">
      <c r="A59" s="577"/>
      <c r="B59" s="578"/>
      <c r="C59" s="82" t="str">
        <f>'SEGUIMIENTO Y MONITOREO'!D145</f>
        <v/>
      </c>
      <c r="D59" s="82" t="str">
        <f>'SEGUIMIENTO Y MONITOREO'!E145</f>
        <v/>
      </c>
      <c r="E59" s="128" t="str">
        <f>'SEGUIMIENTO Y MONITOREO'!G145</f>
        <v/>
      </c>
      <c r="F59" s="128" t="str">
        <f>'SEGUIMIENTO Y MONITOREO'!H145</f>
        <v/>
      </c>
      <c r="G59" s="391" t="str">
        <f>IF('SEGUIMIENTO Y MONITOREO'!J145="NA","NA",'SEGUIMIENTO Y MONITOREO'!N145)</f>
        <v/>
      </c>
      <c r="H59" s="624"/>
      <c r="I59" s="391" t="str">
        <f>IF('SEGUIMIENTO Y MONITOREO'!T145="NA","NA",'SEGUIMIENTO Y MONITOREO'!X145)</f>
        <v/>
      </c>
      <c r="J59" s="624"/>
      <c r="K59" s="391" t="str">
        <f>IF('SEGUIMIENTO Y MONITOREO'!AD145="NA","NA",'SEGUIMIENTO Y MONITOREO'!AH145)</f>
        <v/>
      </c>
      <c r="L59" s="624"/>
      <c r="M59" s="624"/>
      <c r="N59" s="632"/>
      <c r="O59" s="632"/>
    </row>
    <row r="60" spans="1:15" ht="39" customHeight="1" thickTop="1" x14ac:dyDescent="0.2">
      <c r="A60" s="575" t="str">
        <f>'SEGUIMIENTO Y MONITOREO'!A146</f>
        <v>18C</v>
      </c>
      <c r="B60" s="578" t="str">
        <f>'SEGUIMIENTO Y MONITOREO'!B146</f>
        <v>Gestión de Extensión y Proyección Social. Extralimitación de funciones.</v>
      </c>
      <c r="C60" s="82" t="str">
        <f>'SEGUIMIENTO Y MONITOREO'!D146</f>
        <v>Establecer mecanismos eficientes de control.</v>
      </c>
      <c r="D60" s="82" t="str">
        <f>'SEGUIMIENTO Y MONITOREO'!E146</f>
        <v>Informes</v>
      </c>
      <c r="E60" s="128">
        <f>'SEGUIMIENTO Y MONITOREO'!G146</f>
        <v>42398</v>
      </c>
      <c r="F60" s="128">
        <f>'SEGUIMIENTO Y MONITOREO'!H146</f>
        <v>42704</v>
      </c>
      <c r="G60" s="391">
        <f>IF('SEGUIMIENTO Y MONITOREO'!J146="NA","NA",'SEGUIMIENTO Y MONITOREO'!N146)</f>
        <v>0</v>
      </c>
      <c r="H60" s="624">
        <f>'SEGUIMIENTO Y MONITOREO'!AR146</f>
        <v>0</v>
      </c>
      <c r="I60" s="391">
        <f>IF('SEGUIMIENTO Y MONITOREO'!T146="NA","NA",'SEGUIMIENTO Y MONITOREO'!X146)</f>
        <v>0.6</v>
      </c>
      <c r="J60" s="624">
        <f>'SEGUIMIENTO Y MONITOREO'!AS146</f>
        <v>0.6</v>
      </c>
      <c r="K60" s="391">
        <f>IF('SEGUIMIENTO Y MONITOREO'!AD146="NA","NA",'SEGUIMIENTO Y MONITOREO'!AH146)</f>
        <v>0.9</v>
      </c>
      <c r="L60" s="624">
        <f>'SEGUIMIENTO Y MONITOREO'!AU146</f>
        <v>0.89999999999999991</v>
      </c>
      <c r="M60" s="624">
        <f>'SEGUIMIENTO Y MONITOREO'!AW146</f>
        <v>0.89999999999999991</v>
      </c>
      <c r="N60" s="632" t="str">
        <f>IF(M60="","",CONCATENATE(IF('SEGUIMIENTO Y MONITOREO'!AX146=0,"",'SEGUIMIENTO Y MONITOREO'!AX146),Datos!$Y$4,IF('SEGUIMIENTO Y MONITOREO'!AX147=0,"",'SEGUIMIENTO Y MONITOREO'!AX147),Datos!$Y$4,IF('SEGUIMIENTO Y MONITOREO'!AX148=0,"",'SEGUIMIENTO Y MONITOREO'!AX148)))</f>
        <v xml:space="preserve">se han socializacion de roles y responsabilidades 
</v>
      </c>
      <c r="O60" s="632"/>
    </row>
    <row r="61" spans="1:15" x14ac:dyDescent="0.2">
      <c r="A61" s="576"/>
      <c r="B61" s="578"/>
      <c r="C61" s="82" t="str">
        <f>'SEGUIMIENTO Y MONITOREO'!D147</f>
        <v/>
      </c>
      <c r="D61" s="82" t="str">
        <f>'SEGUIMIENTO Y MONITOREO'!E147</f>
        <v/>
      </c>
      <c r="E61" s="128" t="str">
        <f>'SEGUIMIENTO Y MONITOREO'!G147</f>
        <v/>
      </c>
      <c r="F61" s="128" t="str">
        <f>'SEGUIMIENTO Y MONITOREO'!H147</f>
        <v/>
      </c>
      <c r="G61" s="391" t="str">
        <f>IF('SEGUIMIENTO Y MONITOREO'!J147="NA","NA",'SEGUIMIENTO Y MONITOREO'!N147)</f>
        <v/>
      </c>
      <c r="H61" s="624"/>
      <c r="I61" s="391" t="str">
        <f>IF('SEGUIMIENTO Y MONITOREO'!T147="NA","NA",'SEGUIMIENTO Y MONITOREO'!X147)</f>
        <v/>
      </c>
      <c r="J61" s="624"/>
      <c r="K61" s="391" t="str">
        <f>IF('SEGUIMIENTO Y MONITOREO'!AD147="NA","NA",'SEGUIMIENTO Y MONITOREO'!AH147)</f>
        <v/>
      </c>
      <c r="L61" s="624"/>
      <c r="M61" s="624"/>
      <c r="N61" s="632"/>
      <c r="O61" s="632"/>
    </row>
    <row r="62" spans="1:15" ht="15.75" thickBot="1" x14ac:dyDescent="0.25">
      <c r="A62" s="577"/>
      <c r="B62" s="578"/>
      <c r="C62" s="82" t="str">
        <f>'SEGUIMIENTO Y MONITOREO'!D148</f>
        <v/>
      </c>
      <c r="D62" s="82" t="str">
        <f>'SEGUIMIENTO Y MONITOREO'!E148</f>
        <v/>
      </c>
      <c r="E62" s="128" t="str">
        <f>'SEGUIMIENTO Y MONITOREO'!G148</f>
        <v/>
      </c>
      <c r="F62" s="128" t="str">
        <f>'SEGUIMIENTO Y MONITOREO'!H148</f>
        <v/>
      </c>
      <c r="G62" s="391" t="str">
        <f>IF('SEGUIMIENTO Y MONITOREO'!J148="NA","NA",'SEGUIMIENTO Y MONITOREO'!N148)</f>
        <v/>
      </c>
      <c r="H62" s="624"/>
      <c r="I62" s="391" t="str">
        <f>IF('SEGUIMIENTO Y MONITOREO'!T148="NA","NA",'SEGUIMIENTO Y MONITOREO'!X148)</f>
        <v/>
      </c>
      <c r="J62" s="624"/>
      <c r="K62" s="391" t="str">
        <f>IF('SEGUIMIENTO Y MONITOREO'!AD148="NA","NA",'SEGUIMIENTO Y MONITOREO'!AH148)</f>
        <v/>
      </c>
      <c r="L62" s="624"/>
      <c r="M62" s="624"/>
      <c r="N62" s="632"/>
      <c r="O62" s="632"/>
    </row>
    <row r="63" spans="1:15" ht="39" customHeight="1" thickTop="1" x14ac:dyDescent="0.2">
      <c r="A63" s="575" t="str">
        <f>'SEGUIMIENTO Y MONITOREO'!A149</f>
        <v>19C</v>
      </c>
      <c r="B63" s="578" t="str">
        <f>'SEGUIMIENTO Y MONITOREO'!B149</f>
        <v>Gestión de Extensión y Proyección Social. Omisión de la ley para beneficio propio.</v>
      </c>
      <c r="C63" s="82" t="str">
        <f>'SEGUIMIENTO Y MONITOREO'!D149</f>
        <v>Solicitud de asesoría legal suficiente.</v>
      </c>
      <c r="D63" s="82" t="str">
        <f>'SEGUIMIENTO Y MONITOREO'!E149</f>
        <v>Comunicados y registros</v>
      </c>
      <c r="E63" s="128">
        <f>'SEGUIMIENTO Y MONITOREO'!G149</f>
        <v>42398</v>
      </c>
      <c r="F63" s="128">
        <f>'SEGUIMIENTO Y MONITOREO'!H149</f>
        <v>42704</v>
      </c>
      <c r="G63" s="391">
        <f>IF('SEGUIMIENTO Y MONITOREO'!J149="NA","NA",'SEGUIMIENTO Y MONITOREO'!N149)</f>
        <v>0</v>
      </c>
      <c r="H63" s="624">
        <f>'SEGUIMIENTO Y MONITOREO'!AR149</f>
        <v>0</v>
      </c>
      <c r="I63" s="391">
        <f>IF('SEGUIMIENTO Y MONITOREO'!T149="NA","NA",'SEGUIMIENTO Y MONITOREO'!X149)</f>
        <v>0.6</v>
      </c>
      <c r="J63" s="624">
        <f>'SEGUIMIENTO Y MONITOREO'!AS149</f>
        <v>0.6</v>
      </c>
      <c r="K63" s="391">
        <f>IF('SEGUIMIENTO Y MONITOREO'!AD149="NA","NA",'SEGUIMIENTO Y MONITOREO'!AH149)</f>
        <v>0.8</v>
      </c>
      <c r="L63" s="624">
        <f>'SEGUIMIENTO Y MONITOREO'!AU149</f>
        <v>0.8</v>
      </c>
      <c r="M63" s="624">
        <f>'SEGUIMIENTO Y MONITOREO'!AW149</f>
        <v>0.8</v>
      </c>
      <c r="N63" s="632" t="str">
        <f>IF(M63="","",CONCATENATE(IF('SEGUIMIENTO Y MONITOREO'!AX149=0,"",'SEGUIMIENTO Y MONITOREO'!AX149),Datos!$Y$4,IF('SEGUIMIENTO Y MONITOREO'!AX150=0,"",'SEGUIMIENTO Y MONITOREO'!AX150),Datos!$Y$4,IF('SEGUIMIENTO Y MONITOREO'!AX151=0,"",'SEGUIMIENTO Y MONITOREO'!AX151)))</f>
        <v xml:space="preserve">se  han establecidos acompañamiento a traves de personal del area juridica (Abogados)
</v>
      </c>
      <c r="O63" s="632"/>
    </row>
    <row r="64" spans="1:15" x14ac:dyDescent="0.2">
      <c r="A64" s="576"/>
      <c r="B64" s="578"/>
      <c r="C64" s="82" t="str">
        <f>'SEGUIMIENTO Y MONITOREO'!D150</f>
        <v/>
      </c>
      <c r="D64" s="82" t="str">
        <f>'SEGUIMIENTO Y MONITOREO'!E150</f>
        <v/>
      </c>
      <c r="E64" s="128" t="str">
        <f>'SEGUIMIENTO Y MONITOREO'!G150</f>
        <v/>
      </c>
      <c r="F64" s="128" t="str">
        <f>'SEGUIMIENTO Y MONITOREO'!H150</f>
        <v/>
      </c>
      <c r="G64" s="391" t="str">
        <f>IF('SEGUIMIENTO Y MONITOREO'!J150="NA","NA",'SEGUIMIENTO Y MONITOREO'!N150)</f>
        <v/>
      </c>
      <c r="H64" s="624"/>
      <c r="I64" s="391" t="str">
        <f>IF('SEGUIMIENTO Y MONITOREO'!T150="NA","NA",'SEGUIMIENTO Y MONITOREO'!X150)</f>
        <v/>
      </c>
      <c r="J64" s="624"/>
      <c r="K64" s="391" t="str">
        <f>IF('SEGUIMIENTO Y MONITOREO'!AD150="NA","NA",'SEGUIMIENTO Y MONITOREO'!AH150)</f>
        <v/>
      </c>
      <c r="L64" s="624"/>
      <c r="M64" s="624"/>
      <c r="N64" s="632"/>
      <c r="O64" s="632"/>
    </row>
    <row r="65" spans="1:15" ht="15.75" thickBot="1" x14ac:dyDescent="0.25">
      <c r="A65" s="577"/>
      <c r="B65" s="578"/>
      <c r="C65" s="82" t="str">
        <f>'SEGUIMIENTO Y MONITOREO'!D151</f>
        <v/>
      </c>
      <c r="D65" s="82" t="str">
        <f>'SEGUIMIENTO Y MONITOREO'!E151</f>
        <v/>
      </c>
      <c r="E65" s="128" t="str">
        <f>'SEGUIMIENTO Y MONITOREO'!G151</f>
        <v/>
      </c>
      <c r="F65" s="128" t="str">
        <f>'SEGUIMIENTO Y MONITOREO'!H151</f>
        <v/>
      </c>
      <c r="G65" s="391" t="str">
        <f>IF('SEGUIMIENTO Y MONITOREO'!J151="NA","NA",'SEGUIMIENTO Y MONITOREO'!N151)</f>
        <v/>
      </c>
      <c r="H65" s="624"/>
      <c r="I65" s="391" t="str">
        <f>IF('SEGUIMIENTO Y MONITOREO'!T151="NA","NA",'SEGUIMIENTO Y MONITOREO'!X151)</f>
        <v/>
      </c>
      <c r="J65" s="624"/>
      <c r="K65" s="391" t="str">
        <f>IF('SEGUIMIENTO Y MONITOREO'!AD151="NA","NA",'SEGUIMIENTO Y MONITOREO'!AH151)</f>
        <v/>
      </c>
      <c r="L65" s="624"/>
      <c r="M65" s="624"/>
      <c r="N65" s="632"/>
      <c r="O65" s="632"/>
    </row>
    <row r="66" spans="1:15" ht="39" thickTop="1" x14ac:dyDescent="0.2">
      <c r="A66" s="575" t="str">
        <f>'SEGUIMIENTO Y MONITOREO'!A152</f>
        <v>20C</v>
      </c>
      <c r="B66" s="578" t="str">
        <f>'SEGUIMIENTO Y MONITOREO'!B152</f>
        <v>Gestión de Contratación. Pliegos de condiciones hechos a la medida de una firma en particular.</v>
      </c>
      <c r="C66" s="82" t="str">
        <f>'SEGUIMIENTO Y MONITOREO'!D152</f>
        <v>Seguir ejecutando y monitoreando los controles existentes</v>
      </c>
      <c r="D66" s="82" t="str">
        <f>'SEGUIMIENTO Y MONITOREO'!E152</f>
        <v/>
      </c>
      <c r="E66" s="128" t="str">
        <f>'SEGUIMIENTO Y MONITOREO'!G152</f>
        <v/>
      </c>
      <c r="F66" s="128" t="str">
        <f>'SEGUIMIENTO Y MONITOREO'!H152</f>
        <v/>
      </c>
      <c r="G66" s="391" t="str">
        <f>IF('SEGUIMIENTO Y MONITOREO'!J152="NA","NA",'SEGUIMIENTO Y MONITOREO'!N152)</f>
        <v>NA</v>
      </c>
      <c r="H66" s="624" t="str">
        <f>'SEGUIMIENTO Y MONITOREO'!AR152</f>
        <v>NA</v>
      </c>
      <c r="I66" s="391" t="str">
        <f>IF('SEGUIMIENTO Y MONITOREO'!T152="NA","NA",'SEGUIMIENTO Y MONITOREO'!X152)</f>
        <v>NA</v>
      </c>
      <c r="J66" s="624" t="str">
        <f>'SEGUIMIENTO Y MONITOREO'!AS152</f>
        <v>NA</v>
      </c>
      <c r="K66" s="391" t="str">
        <f>IF('SEGUIMIENTO Y MONITOREO'!AD152="NA","NA",'SEGUIMIENTO Y MONITOREO'!AH152)</f>
        <v>NA</v>
      </c>
      <c r="L66" s="624" t="str">
        <f>'SEGUIMIENTO Y MONITOREO'!AU152</f>
        <v>NA</v>
      </c>
      <c r="M66" s="624" t="str">
        <f>'SEGUIMIENTO Y MONITOREO'!AW152</f>
        <v>NA</v>
      </c>
      <c r="N66" s="632" t="str">
        <f>IF(M66="","",CONCATENATE(IF('SEGUIMIENTO Y MONITOREO'!AX152=0,"",'SEGUIMIENTO Y MONITOREO'!AX152),Datos!$Y$4,IF('SEGUIMIENTO Y MONITOREO'!AX153=0,"",'SEGUIMIENTO Y MONITOREO'!AX153),Datos!$Y$4,IF('SEGUIMIENTO Y MONITOREO'!AX154=0,"",'SEGUIMIENTO Y MONITOREO'!AX154)))</f>
        <v xml:space="preserve">
</v>
      </c>
      <c r="O66" s="632"/>
    </row>
    <row r="67" spans="1:15" x14ac:dyDescent="0.2">
      <c r="A67" s="576"/>
      <c r="B67" s="578"/>
      <c r="C67" s="82" t="str">
        <f>'SEGUIMIENTO Y MONITOREO'!D153</f>
        <v/>
      </c>
      <c r="D67" s="82" t="str">
        <f>'SEGUIMIENTO Y MONITOREO'!E153</f>
        <v/>
      </c>
      <c r="E67" s="128" t="str">
        <f>'SEGUIMIENTO Y MONITOREO'!G153</f>
        <v/>
      </c>
      <c r="F67" s="128" t="str">
        <f>'SEGUIMIENTO Y MONITOREO'!H153</f>
        <v/>
      </c>
      <c r="G67" s="391" t="str">
        <f>IF('SEGUIMIENTO Y MONITOREO'!J153="NA","NA",'SEGUIMIENTO Y MONITOREO'!N153)</f>
        <v/>
      </c>
      <c r="H67" s="624"/>
      <c r="I67" s="391" t="str">
        <f>IF('SEGUIMIENTO Y MONITOREO'!T153="NA","NA",'SEGUIMIENTO Y MONITOREO'!X153)</f>
        <v/>
      </c>
      <c r="J67" s="624"/>
      <c r="K67" s="391" t="str">
        <f>IF('SEGUIMIENTO Y MONITOREO'!AD153="NA","NA",'SEGUIMIENTO Y MONITOREO'!AH153)</f>
        <v/>
      </c>
      <c r="L67" s="624"/>
      <c r="M67" s="624"/>
      <c r="N67" s="632"/>
      <c r="O67" s="632"/>
    </row>
    <row r="68" spans="1:15" ht="15.75" thickBot="1" x14ac:dyDescent="0.25">
      <c r="A68" s="577"/>
      <c r="B68" s="578"/>
      <c r="C68" s="82" t="str">
        <f>'SEGUIMIENTO Y MONITOREO'!D154</f>
        <v/>
      </c>
      <c r="D68" s="82" t="str">
        <f>'SEGUIMIENTO Y MONITOREO'!E154</f>
        <v/>
      </c>
      <c r="E68" s="128" t="str">
        <f>'SEGUIMIENTO Y MONITOREO'!G154</f>
        <v/>
      </c>
      <c r="F68" s="128" t="str">
        <f>'SEGUIMIENTO Y MONITOREO'!H154</f>
        <v/>
      </c>
      <c r="G68" s="391" t="str">
        <f>IF('SEGUIMIENTO Y MONITOREO'!J154="NA","NA",'SEGUIMIENTO Y MONITOREO'!N154)</f>
        <v/>
      </c>
      <c r="H68" s="624"/>
      <c r="I68" s="391" t="str">
        <f>IF('SEGUIMIENTO Y MONITOREO'!T154="NA","NA",'SEGUIMIENTO Y MONITOREO'!X154)</f>
        <v/>
      </c>
      <c r="J68" s="624"/>
      <c r="K68" s="391" t="str">
        <f>IF('SEGUIMIENTO Y MONITOREO'!AD154="NA","NA",'SEGUIMIENTO Y MONITOREO'!AH154)</f>
        <v/>
      </c>
      <c r="L68" s="624"/>
      <c r="M68" s="624"/>
      <c r="N68" s="632"/>
      <c r="O68" s="632"/>
    </row>
    <row r="69" spans="1:15" ht="39" customHeight="1" thickTop="1" x14ac:dyDescent="0.2">
      <c r="A69" s="575" t="str">
        <f>'SEGUIMIENTO Y MONITOREO'!A155</f>
        <v>21C</v>
      </c>
      <c r="B69" s="578" t="str">
        <f>'SEGUIMIENTO Y MONITOREO'!B155</f>
        <v xml:space="preserve">Gestión Financiera. Pago de obligaciones sin el lleno de requisitos. </v>
      </c>
      <c r="C69" s="82" t="str">
        <f>'SEGUIMIENTO Y MONITOREO'!D155</f>
        <v>Verificación de los requisitos legales, contables, tributarios y administrativos</v>
      </c>
      <c r="D69" s="82" t="str">
        <f>'SEGUIMIENTO Y MONITOREO'!E155</f>
        <v>Ordenes de Pago con los respectivos soportes</v>
      </c>
      <c r="E69" s="128">
        <f>'SEGUIMIENTO Y MONITOREO'!G155</f>
        <v>42373</v>
      </c>
      <c r="F69" s="128">
        <f>'SEGUIMIENTO Y MONITOREO'!H155</f>
        <v>42735</v>
      </c>
      <c r="G69" s="391">
        <f>IF('SEGUIMIENTO Y MONITOREO'!J155="NA","NA",'SEGUIMIENTO Y MONITOREO'!N155)</f>
        <v>0.25</v>
      </c>
      <c r="H69" s="624">
        <f>'SEGUIMIENTO Y MONITOREO'!AR155</f>
        <v>0.25</v>
      </c>
      <c r="I69" s="391">
        <f>IF('SEGUIMIENTO Y MONITOREO'!T155="NA","NA",'SEGUIMIENTO Y MONITOREO'!X155)</f>
        <v>0.6</v>
      </c>
      <c r="J69" s="624">
        <f>'SEGUIMIENTO Y MONITOREO'!AS155</f>
        <v>0.6</v>
      </c>
      <c r="K69" s="391">
        <f>IF('SEGUIMIENTO Y MONITOREO'!AD155="NA","NA",'SEGUIMIENTO Y MONITOREO'!AH155)</f>
        <v>1</v>
      </c>
      <c r="L69" s="624">
        <f>'SEGUIMIENTO Y MONITOREO'!AU155</f>
        <v>1</v>
      </c>
      <c r="M69" s="624">
        <f>'SEGUIMIENTO Y MONITOREO'!AW155</f>
        <v>1</v>
      </c>
      <c r="N69" s="632" t="str">
        <f>IF(M69="","",CONCATENATE(IF('SEGUIMIENTO Y MONITOREO'!AX155=0,"",'SEGUIMIENTO Y MONITOREO'!AX155),Datos!$Y$4,IF('SEGUIMIENTO Y MONITOREO'!AX156=0,"",'SEGUIMIENTO Y MONITOREO'!AX156),Datos!$Y$4,IF('SEGUIMIENTO Y MONITOREO'!AX157=0,"",'SEGUIMIENTO Y MONITOREO'!AX157)))</f>
        <v xml:space="preserve">Actividades informadas
</v>
      </c>
      <c r="O69" s="632"/>
    </row>
    <row r="70" spans="1:15" x14ac:dyDescent="0.2">
      <c r="A70" s="576"/>
      <c r="B70" s="578"/>
      <c r="C70" s="82" t="str">
        <f>'SEGUIMIENTO Y MONITOREO'!D156</f>
        <v/>
      </c>
      <c r="D70" s="82" t="str">
        <f>'SEGUIMIENTO Y MONITOREO'!E156</f>
        <v/>
      </c>
      <c r="E70" s="128" t="str">
        <f>'SEGUIMIENTO Y MONITOREO'!G156</f>
        <v/>
      </c>
      <c r="F70" s="128" t="str">
        <f>'SEGUIMIENTO Y MONITOREO'!H156</f>
        <v/>
      </c>
      <c r="G70" s="391" t="str">
        <f>IF('SEGUIMIENTO Y MONITOREO'!J156="NA","NA",'SEGUIMIENTO Y MONITOREO'!N156)</f>
        <v/>
      </c>
      <c r="H70" s="624"/>
      <c r="I70" s="391" t="str">
        <f>IF('SEGUIMIENTO Y MONITOREO'!T156="NA","NA",'SEGUIMIENTO Y MONITOREO'!X156)</f>
        <v/>
      </c>
      <c r="J70" s="624"/>
      <c r="K70" s="391" t="str">
        <f>IF('SEGUIMIENTO Y MONITOREO'!AD156="NA","NA",'SEGUIMIENTO Y MONITOREO'!AH156)</f>
        <v/>
      </c>
      <c r="L70" s="624"/>
      <c r="M70" s="624"/>
      <c r="N70" s="632"/>
      <c r="O70" s="632"/>
    </row>
    <row r="71" spans="1:15" ht="15.75" thickBot="1" x14ac:dyDescent="0.25">
      <c r="A71" s="577"/>
      <c r="B71" s="578"/>
      <c r="C71" s="82" t="str">
        <f>'SEGUIMIENTO Y MONITOREO'!D157</f>
        <v/>
      </c>
      <c r="D71" s="82" t="str">
        <f>'SEGUIMIENTO Y MONITOREO'!E157</f>
        <v/>
      </c>
      <c r="E71" s="128" t="str">
        <f>'SEGUIMIENTO Y MONITOREO'!G157</f>
        <v/>
      </c>
      <c r="F71" s="128" t="str">
        <f>'SEGUIMIENTO Y MONITOREO'!H157</f>
        <v/>
      </c>
      <c r="G71" s="391" t="str">
        <f>IF('SEGUIMIENTO Y MONITOREO'!J157="NA","NA",'SEGUIMIENTO Y MONITOREO'!N157)</f>
        <v/>
      </c>
      <c r="H71" s="624"/>
      <c r="I71" s="391" t="str">
        <f>IF('SEGUIMIENTO Y MONITOREO'!T157="NA","NA",'SEGUIMIENTO Y MONITOREO'!X157)</f>
        <v/>
      </c>
      <c r="J71" s="624"/>
      <c r="K71" s="391" t="str">
        <f>IF('SEGUIMIENTO Y MONITOREO'!AD157="NA","NA",'SEGUIMIENTO Y MONITOREO'!AH157)</f>
        <v/>
      </c>
      <c r="L71" s="624"/>
      <c r="M71" s="624"/>
      <c r="N71" s="632"/>
      <c r="O71" s="632"/>
    </row>
    <row r="72" spans="1:15" ht="39" customHeight="1" thickTop="1" x14ac:dyDescent="0.2">
      <c r="A72" s="575" t="str">
        <f>'SEGUIMIENTO Y MONITOREO'!A158</f>
        <v>22C</v>
      </c>
      <c r="B72" s="578" t="str">
        <f>'SEGUIMIENTO Y MONITOREO'!B158</f>
        <v>Gestión Financiera. Perdida de titulos valores</v>
      </c>
      <c r="C72" s="82" t="str">
        <f>'SEGUIMIENTO Y MONITOREO'!D158</f>
        <v>Verificar los títulos valores custodiados.</v>
      </c>
      <c r="D72" s="82" t="str">
        <f>'SEGUIMIENTO Y MONITOREO'!E158</f>
        <v>Arqueo Titulos valores de la caja fuerte</v>
      </c>
      <c r="E72" s="128">
        <f>'SEGUIMIENTO Y MONITOREO'!G158</f>
        <v>42373</v>
      </c>
      <c r="F72" s="128">
        <f>'SEGUIMIENTO Y MONITOREO'!H158</f>
        <v>42735</v>
      </c>
      <c r="G72" s="391">
        <f>IF('SEGUIMIENTO Y MONITOREO'!J158="NA","NA",'SEGUIMIENTO Y MONITOREO'!N158)</f>
        <v>0.25</v>
      </c>
      <c r="H72" s="624">
        <f>'SEGUIMIENTO Y MONITOREO'!AR158</f>
        <v>0.25</v>
      </c>
      <c r="I72" s="391">
        <f>IF('SEGUIMIENTO Y MONITOREO'!T158="NA","NA",'SEGUIMIENTO Y MONITOREO'!X158)</f>
        <v>0.6</v>
      </c>
      <c r="J72" s="624">
        <f>'SEGUIMIENTO Y MONITOREO'!AS158</f>
        <v>0.6</v>
      </c>
      <c r="K72" s="391">
        <f>IF('SEGUIMIENTO Y MONITOREO'!AD158="NA","NA",'SEGUIMIENTO Y MONITOREO'!AH158)</f>
        <v>1</v>
      </c>
      <c r="L72" s="624">
        <f>'SEGUIMIENTO Y MONITOREO'!AU158</f>
        <v>1</v>
      </c>
      <c r="M72" s="624">
        <f>'SEGUIMIENTO Y MONITOREO'!AW158</f>
        <v>1</v>
      </c>
      <c r="N72" s="632" t="str">
        <f>IF(M72="","",CONCATENATE(IF('SEGUIMIENTO Y MONITOREO'!AX158=0,"",'SEGUIMIENTO Y MONITOREO'!AX158),Datos!$Y$4,IF('SEGUIMIENTO Y MONITOREO'!AX159=0,"",'SEGUIMIENTO Y MONITOREO'!AX159),Datos!$Y$4,IF('SEGUIMIENTO Y MONITOREO'!AX160=0,"",'SEGUIMIENTO Y MONITOREO'!AX160)))</f>
        <v xml:space="preserve">Actividades informadas
</v>
      </c>
      <c r="O72" s="632"/>
    </row>
    <row r="73" spans="1:15" x14ac:dyDescent="0.2">
      <c r="A73" s="576"/>
      <c r="B73" s="578"/>
      <c r="C73" s="82" t="str">
        <f>'SEGUIMIENTO Y MONITOREO'!D159</f>
        <v/>
      </c>
      <c r="D73" s="82" t="str">
        <f>'SEGUIMIENTO Y MONITOREO'!E159</f>
        <v/>
      </c>
      <c r="E73" s="128" t="str">
        <f>'SEGUIMIENTO Y MONITOREO'!G159</f>
        <v/>
      </c>
      <c r="F73" s="128" t="str">
        <f>'SEGUIMIENTO Y MONITOREO'!H159</f>
        <v/>
      </c>
      <c r="G73" s="391" t="str">
        <f>IF('SEGUIMIENTO Y MONITOREO'!J159="NA","NA",'SEGUIMIENTO Y MONITOREO'!N159)</f>
        <v/>
      </c>
      <c r="H73" s="624"/>
      <c r="I73" s="391" t="str">
        <f>IF('SEGUIMIENTO Y MONITOREO'!T159="NA","NA",'SEGUIMIENTO Y MONITOREO'!X159)</f>
        <v/>
      </c>
      <c r="J73" s="624"/>
      <c r="K73" s="391" t="str">
        <f>IF('SEGUIMIENTO Y MONITOREO'!AD159="NA","NA",'SEGUIMIENTO Y MONITOREO'!AH159)</f>
        <v/>
      </c>
      <c r="L73" s="624"/>
      <c r="M73" s="624"/>
      <c r="N73" s="632"/>
      <c r="O73" s="632"/>
    </row>
    <row r="74" spans="1:15" ht="15.75" thickBot="1" x14ac:dyDescent="0.25">
      <c r="A74" s="577"/>
      <c r="B74" s="578"/>
      <c r="C74" s="82" t="str">
        <f>'SEGUIMIENTO Y MONITOREO'!D160</f>
        <v/>
      </c>
      <c r="D74" s="82" t="str">
        <f>'SEGUIMIENTO Y MONITOREO'!E160</f>
        <v/>
      </c>
      <c r="E74" s="128" t="str">
        <f>'SEGUIMIENTO Y MONITOREO'!G160</f>
        <v/>
      </c>
      <c r="F74" s="128" t="str">
        <f>'SEGUIMIENTO Y MONITOREO'!H160</f>
        <v/>
      </c>
      <c r="G74" s="391" t="str">
        <f>IF('SEGUIMIENTO Y MONITOREO'!J160="NA","NA",'SEGUIMIENTO Y MONITOREO'!N160)</f>
        <v/>
      </c>
      <c r="H74" s="624"/>
      <c r="I74" s="391" t="str">
        <f>IF('SEGUIMIENTO Y MONITOREO'!T160="NA","NA",'SEGUIMIENTO Y MONITOREO'!X160)</f>
        <v/>
      </c>
      <c r="J74" s="624"/>
      <c r="K74" s="391" t="str">
        <f>IF('SEGUIMIENTO Y MONITOREO'!AD160="NA","NA",'SEGUIMIENTO Y MONITOREO'!AH160)</f>
        <v/>
      </c>
      <c r="L74" s="624"/>
      <c r="M74" s="624"/>
      <c r="N74" s="632"/>
      <c r="O74" s="632"/>
    </row>
    <row r="75" spans="1:15" ht="39" customHeight="1" thickTop="1" x14ac:dyDescent="0.2">
      <c r="A75" s="575" t="str">
        <f>'SEGUIMIENTO Y MONITOREO'!A161</f>
        <v>23C</v>
      </c>
      <c r="B75" s="578" t="str">
        <f>'SEGUIMIENTO Y MONITOREO'!B161</f>
        <v>Gestión Financiera. Omisión en la aplicación  de la normatividad vigente en los procesos de la Gestión Financiera</v>
      </c>
      <c r="C75" s="82" t="str">
        <f>'SEGUIMIENTO Y MONITOREO'!D161</f>
        <v>Realizar reuniones con equipo financiero para unificación de criterios</v>
      </c>
      <c r="D75" s="82" t="str">
        <f>'SEGUIMIENTO Y MONITOREO'!E161</f>
        <v>Actas de reunion trimestral</v>
      </c>
      <c r="E75" s="128">
        <f>'SEGUIMIENTO Y MONITOREO'!G161</f>
        <v>42373</v>
      </c>
      <c r="F75" s="128">
        <f>'SEGUIMIENTO Y MONITOREO'!H161</f>
        <v>42735</v>
      </c>
      <c r="G75" s="391">
        <f>IF('SEGUIMIENTO Y MONITOREO'!J161="NA","NA",'SEGUIMIENTO Y MONITOREO'!N161)</f>
        <v>0.25</v>
      </c>
      <c r="H75" s="624">
        <f>'SEGUIMIENTO Y MONITOREO'!AR161</f>
        <v>0.25</v>
      </c>
      <c r="I75" s="391">
        <f>IF('SEGUIMIENTO Y MONITOREO'!T161="NA","NA",'SEGUIMIENTO Y MONITOREO'!X161)</f>
        <v>0.6</v>
      </c>
      <c r="J75" s="624">
        <f>'SEGUIMIENTO Y MONITOREO'!AS161</f>
        <v>0.6</v>
      </c>
      <c r="K75" s="391">
        <f>IF('SEGUIMIENTO Y MONITOREO'!AD161="NA","NA",'SEGUIMIENTO Y MONITOREO'!AH161)</f>
        <v>0.95</v>
      </c>
      <c r="L75" s="624">
        <f>'SEGUIMIENTO Y MONITOREO'!AU161</f>
        <v>0.95</v>
      </c>
      <c r="M75" s="624">
        <f>'SEGUIMIENTO Y MONITOREO'!AW161</f>
        <v>0.95</v>
      </c>
      <c r="N75" s="632" t="str">
        <f>IF(M75="","",CONCATENATE(IF('SEGUIMIENTO Y MONITOREO'!AX161=0,"",'SEGUIMIENTO Y MONITOREO'!AX161),Datos!$Y$4,IF('SEGUIMIENTO Y MONITOREO'!AX162=0,"",'SEGUIMIENTO Y MONITOREO'!AX162),Datos!$Y$4,IF('SEGUIMIENTO Y MONITOREO'!AX163=0,"",'SEGUIMIENTO Y MONITOREO'!AX163)))</f>
        <v xml:space="preserve">Actividades informadas
</v>
      </c>
      <c r="O75" s="632"/>
    </row>
    <row r="76" spans="1:15" x14ac:dyDescent="0.2">
      <c r="A76" s="576"/>
      <c r="B76" s="578"/>
      <c r="C76" s="82" t="str">
        <f>'SEGUIMIENTO Y MONITOREO'!D162</f>
        <v/>
      </c>
      <c r="D76" s="82" t="str">
        <f>'SEGUIMIENTO Y MONITOREO'!E162</f>
        <v/>
      </c>
      <c r="E76" s="128" t="str">
        <f>'SEGUIMIENTO Y MONITOREO'!G162</f>
        <v/>
      </c>
      <c r="F76" s="128" t="str">
        <f>'SEGUIMIENTO Y MONITOREO'!H162</f>
        <v/>
      </c>
      <c r="G76" s="391" t="str">
        <f>IF('SEGUIMIENTO Y MONITOREO'!J162="NA","NA",'SEGUIMIENTO Y MONITOREO'!N162)</f>
        <v/>
      </c>
      <c r="H76" s="624"/>
      <c r="I76" s="391" t="str">
        <f>IF('SEGUIMIENTO Y MONITOREO'!T162="NA","NA",'SEGUIMIENTO Y MONITOREO'!X162)</f>
        <v/>
      </c>
      <c r="J76" s="624"/>
      <c r="K76" s="391" t="str">
        <f>IF('SEGUIMIENTO Y MONITOREO'!AD162="NA","NA",'SEGUIMIENTO Y MONITOREO'!AH162)</f>
        <v/>
      </c>
      <c r="L76" s="624"/>
      <c r="M76" s="624"/>
      <c r="N76" s="632"/>
      <c r="O76" s="632"/>
    </row>
    <row r="77" spans="1:15" ht="15.75" thickBot="1" x14ac:dyDescent="0.25">
      <c r="A77" s="577"/>
      <c r="B77" s="578"/>
      <c r="C77" s="82" t="str">
        <f>'SEGUIMIENTO Y MONITOREO'!D163</f>
        <v/>
      </c>
      <c r="D77" s="82" t="str">
        <f>'SEGUIMIENTO Y MONITOREO'!E163</f>
        <v/>
      </c>
      <c r="E77" s="128" t="str">
        <f>'SEGUIMIENTO Y MONITOREO'!G163</f>
        <v/>
      </c>
      <c r="F77" s="128" t="str">
        <f>'SEGUIMIENTO Y MONITOREO'!H163</f>
        <v/>
      </c>
      <c r="G77" s="391" t="str">
        <f>IF('SEGUIMIENTO Y MONITOREO'!J163="NA","NA",'SEGUIMIENTO Y MONITOREO'!N163)</f>
        <v/>
      </c>
      <c r="H77" s="624"/>
      <c r="I77" s="391" t="str">
        <f>IF('SEGUIMIENTO Y MONITOREO'!T163="NA","NA",'SEGUIMIENTO Y MONITOREO'!X163)</f>
        <v/>
      </c>
      <c r="J77" s="624"/>
      <c r="K77" s="391" t="str">
        <f>IF('SEGUIMIENTO Y MONITOREO'!AD163="NA","NA",'SEGUIMIENTO Y MONITOREO'!AH163)</f>
        <v/>
      </c>
      <c r="L77" s="624"/>
      <c r="M77" s="624"/>
      <c r="N77" s="632"/>
      <c r="O77" s="632"/>
    </row>
    <row r="78" spans="1:15" ht="39" thickTop="1" x14ac:dyDescent="0.2">
      <c r="A78" s="575" t="str">
        <f>'SEGUIMIENTO Y MONITOREO'!A164</f>
        <v>24C</v>
      </c>
      <c r="B78" s="578" t="str">
        <f>'SEGUIMIENTO Y MONITOREO'!B164</f>
        <v xml:space="preserve">Apoyo Tecnológico TIC. Vulnerabilidad de la Información </v>
      </c>
      <c r="C78" s="82" t="str">
        <f>'SEGUIMIENTO Y MONITOREO'!D164</f>
        <v>Contratar la seguridad gestionada a través de firewall perimetral</v>
      </c>
      <c r="D78" s="82" t="str">
        <f>'SEGUIMIENTO Y MONITOREO'!E164</f>
        <v>Contrato</v>
      </c>
      <c r="E78" s="128">
        <f>'SEGUIMIENTO Y MONITOREO'!G164</f>
        <v>42495</v>
      </c>
      <c r="F78" s="128">
        <f>'SEGUIMIENTO Y MONITOREO'!H164</f>
        <v>42735</v>
      </c>
      <c r="G78" s="391" t="str">
        <f>IF('SEGUIMIENTO Y MONITOREO'!J164="NA","NA",'SEGUIMIENTO Y MONITOREO'!N164)</f>
        <v>NA</v>
      </c>
      <c r="H78" s="624" t="str">
        <f>'SEGUIMIENTO Y MONITOREO'!AR164</f>
        <v>NA</v>
      </c>
      <c r="I78" s="391">
        <f>IF('SEGUIMIENTO Y MONITOREO'!T164="NA","NA",'SEGUIMIENTO Y MONITOREO'!X164)</f>
        <v>0</v>
      </c>
      <c r="J78" s="624">
        <f>'SEGUIMIENTO Y MONITOREO'!AS164</f>
        <v>0.33333333333333331</v>
      </c>
      <c r="K78" s="391">
        <f>IF('SEGUIMIENTO Y MONITOREO'!AD164="NA","NA",'SEGUIMIENTO Y MONITOREO'!AH164)</f>
        <v>0</v>
      </c>
      <c r="L78" s="624">
        <f>'SEGUIMIENTO Y MONITOREO'!AU164</f>
        <v>0.33333333333333331</v>
      </c>
      <c r="M78" s="624">
        <f>'SEGUIMIENTO Y MONITOREO'!AW164</f>
        <v>0.33333333333333331</v>
      </c>
      <c r="N78" s="632" t="str">
        <f>IF(M78="","",CONCATENATE(IF('SEGUIMIENTO Y MONITOREO'!AX164=0,"",'SEGUIMIENTO Y MONITOREO'!AX164),Datos!$Y$4,IF('SEGUIMIENTO Y MONITOREO'!AX165=0,"",'SEGUIMIENTO Y MONITOREO'!AX165),Datos!$Y$4,IF('SEGUIMIENTO Y MONITOREO'!AX166=0,"",'SEGUIMIENTO Y MONITOREO'!AX166)))</f>
        <v>No se presento avance
No se presento avance
Guía disponible en el Sistema  formato TI-G04 y procedimiento  TI- P08</v>
      </c>
      <c r="O78" s="632"/>
    </row>
    <row r="79" spans="1:15" ht="15" customHeight="1" x14ac:dyDescent="0.2">
      <c r="A79" s="576"/>
      <c r="B79" s="578"/>
      <c r="C79" s="82" t="str">
        <f>'SEGUIMIENTO Y MONITOREO'!D165</f>
        <v>Documentar los controles existentes</v>
      </c>
      <c r="D79" s="82" t="str">
        <f>'SEGUIMIENTO Y MONITOREO'!E165</f>
        <v>Controles documentados</v>
      </c>
      <c r="E79" s="128">
        <f>'SEGUIMIENTO Y MONITOREO'!G165</f>
        <v>42495</v>
      </c>
      <c r="F79" s="128">
        <f>'SEGUIMIENTO Y MONITOREO'!H165</f>
        <v>42735</v>
      </c>
      <c r="G79" s="391" t="str">
        <f>IF('SEGUIMIENTO Y MONITOREO'!J165="NA","NA",'SEGUIMIENTO Y MONITOREO'!N165)</f>
        <v>NA</v>
      </c>
      <c r="H79" s="624"/>
      <c r="I79" s="391">
        <f>IF('SEGUIMIENTO Y MONITOREO'!T165="NA","NA",'SEGUIMIENTO Y MONITOREO'!X165)</f>
        <v>0</v>
      </c>
      <c r="J79" s="624"/>
      <c r="K79" s="391">
        <f>IF('SEGUIMIENTO Y MONITOREO'!AD165="NA","NA",'SEGUIMIENTO Y MONITOREO'!AH165)</f>
        <v>0</v>
      </c>
      <c r="L79" s="624"/>
      <c r="M79" s="624"/>
      <c r="N79" s="632"/>
      <c r="O79" s="632"/>
    </row>
    <row r="80" spans="1:15" ht="15.75" customHeight="1" thickBot="1" x14ac:dyDescent="0.25">
      <c r="A80" s="577"/>
      <c r="B80" s="578"/>
      <c r="C80" s="82" t="str">
        <f>'SEGUIMIENTO Y MONITOREO'!D166</f>
        <v>Realización de un Plan de Manejo y uso de la Información Institucional</v>
      </c>
      <c r="D80" s="82" t="str">
        <f>'SEGUIMIENTO Y MONITOREO'!E166</f>
        <v>Plan</v>
      </c>
      <c r="E80" s="128">
        <f>'SEGUIMIENTO Y MONITOREO'!G166</f>
        <v>42495</v>
      </c>
      <c r="F80" s="128">
        <f>'SEGUIMIENTO Y MONITOREO'!H166</f>
        <v>42735</v>
      </c>
      <c r="G80" s="391" t="str">
        <f>IF('SEGUIMIENTO Y MONITOREO'!J166="NA","NA",'SEGUIMIENTO Y MONITOREO'!N166)</f>
        <v>NA</v>
      </c>
      <c r="H80" s="624"/>
      <c r="I80" s="391">
        <f>IF('SEGUIMIENTO Y MONITOREO'!T166="NA","NA",'SEGUIMIENTO Y MONITOREO'!X166)</f>
        <v>1</v>
      </c>
      <c r="J80" s="624"/>
      <c r="K80" s="391">
        <f>IF('SEGUIMIENTO Y MONITOREO'!AD166="NA","NA",'SEGUIMIENTO Y MONITOREO'!AH166)</f>
        <v>1</v>
      </c>
      <c r="L80" s="624"/>
      <c r="M80" s="624"/>
      <c r="N80" s="632"/>
      <c r="O80" s="632"/>
    </row>
    <row r="81" spans="1:15" ht="39" thickTop="1" x14ac:dyDescent="0.2">
      <c r="A81" s="575" t="str">
        <f>'SEGUIMIENTO Y MONITOREO'!A167</f>
        <v>25C</v>
      </c>
      <c r="B81" s="578" t="str">
        <f>'SEGUIMIENTO Y MONITOREO'!B167</f>
        <v xml:space="preserve">Gestión Documental. Entregar un título o certificado sin los requisitos para ello </v>
      </c>
      <c r="C81" s="82" t="str">
        <f>'SEGUIMIENTO Y MONITOREO'!D167</f>
        <v xml:space="preserve">Seguir ejecutando y monitoreando los controles existentes </v>
      </c>
      <c r="D81" s="82" t="str">
        <f>'SEGUIMIENTO Y MONITOREO'!E167</f>
        <v/>
      </c>
      <c r="E81" s="128" t="str">
        <f>'SEGUIMIENTO Y MONITOREO'!G167</f>
        <v/>
      </c>
      <c r="F81" s="128" t="str">
        <f>'SEGUIMIENTO Y MONITOREO'!H167</f>
        <v/>
      </c>
      <c r="G81" s="391" t="str">
        <f>IF('SEGUIMIENTO Y MONITOREO'!J167="NA","NA",'SEGUIMIENTO Y MONITOREO'!N167)</f>
        <v>NA</v>
      </c>
      <c r="H81" s="624" t="str">
        <f>'SEGUIMIENTO Y MONITOREO'!AR167</f>
        <v>NA</v>
      </c>
      <c r="I81" s="391" t="str">
        <f>IF('SEGUIMIENTO Y MONITOREO'!T167="NA","NA",'SEGUIMIENTO Y MONITOREO'!X167)</f>
        <v>NA</v>
      </c>
      <c r="J81" s="624" t="str">
        <f>'SEGUIMIENTO Y MONITOREO'!AS167</f>
        <v>NA</v>
      </c>
      <c r="K81" s="391" t="str">
        <f>IF('SEGUIMIENTO Y MONITOREO'!AD167="NA","NA",'SEGUIMIENTO Y MONITOREO'!AH167)</f>
        <v>NA</v>
      </c>
      <c r="L81" s="624" t="str">
        <f>'SEGUIMIENTO Y MONITOREO'!AU167</f>
        <v>NA</v>
      </c>
      <c r="M81" s="624" t="str">
        <f>'SEGUIMIENTO Y MONITOREO'!AW167</f>
        <v>NA</v>
      </c>
      <c r="N81" s="632" t="str">
        <f>IF(M81="","",CONCATENATE(IF('SEGUIMIENTO Y MONITOREO'!AX167=0,"",'SEGUIMIENTO Y MONITOREO'!AX167),Datos!$Y$4,IF('SEGUIMIENTO Y MONITOREO'!AX168=0,"",'SEGUIMIENTO Y MONITOREO'!AX168),Datos!$Y$4,IF('SEGUIMIENTO Y MONITOREO'!AX169=0,"",'SEGUIMIENTO Y MONITOREO'!AX169)))</f>
        <v xml:space="preserve">
</v>
      </c>
      <c r="O81" s="632"/>
    </row>
    <row r="82" spans="1:15" x14ac:dyDescent="0.2">
      <c r="A82" s="576"/>
      <c r="B82" s="578"/>
      <c r="C82" s="82" t="str">
        <f>'SEGUIMIENTO Y MONITOREO'!D168</f>
        <v/>
      </c>
      <c r="D82" s="82" t="str">
        <f>'SEGUIMIENTO Y MONITOREO'!E168</f>
        <v/>
      </c>
      <c r="E82" s="128" t="str">
        <f>'SEGUIMIENTO Y MONITOREO'!G168</f>
        <v/>
      </c>
      <c r="F82" s="128" t="str">
        <f>'SEGUIMIENTO Y MONITOREO'!H168</f>
        <v/>
      </c>
      <c r="G82" s="391" t="str">
        <f>IF('SEGUIMIENTO Y MONITOREO'!J168="NA","NA",'SEGUIMIENTO Y MONITOREO'!N168)</f>
        <v/>
      </c>
      <c r="H82" s="624"/>
      <c r="I82" s="391" t="str">
        <f>IF('SEGUIMIENTO Y MONITOREO'!T168="NA","NA",'SEGUIMIENTO Y MONITOREO'!X168)</f>
        <v/>
      </c>
      <c r="J82" s="624"/>
      <c r="K82" s="391" t="str">
        <f>IF('SEGUIMIENTO Y MONITOREO'!AD168="NA","NA",'SEGUIMIENTO Y MONITOREO'!AH168)</f>
        <v/>
      </c>
      <c r="L82" s="624"/>
      <c r="M82" s="624"/>
      <c r="N82" s="632"/>
      <c r="O82" s="632"/>
    </row>
    <row r="83" spans="1:15" ht="15.75" thickBot="1" x14ac:dyDescent="0.25">
      <c r="A83" s="577"/>
      <c r="B83" s="578"/>
      <c r="C83" s="82" t="str">
        <f>'SEGUIMIENTO Y MONITOREO'!D169</f>
        <v/>
      </c>
      <c r="D83" s="82" t="str">
        <f>'SEGUIMIENTO Y MONITOREO'!E169</f>
        <v/>
      </c>
      <c r="E83" s="128" t="str">
        <f>'SEGUIMIENTO Y MONITOREO'!G169</f>
        <v/>
      </c>
      <c r="F83" s="128" t="str">
        <f>'SEGUIMIENTO Y MONITOREO'!H169</f>
        <v/>
      </c>
      <c r="G83" s="391" t="str">
        <f>IF('SEGUIMIENTO Y MONITOREO'!J169="NA","NA",'SEGUIMIENTO Y MONITOREO'!N169)</f>
        <v/>
      </c>
      <c r="H83" s="624"/>
      <c r="I83" s="391" t="str">
        <f>IF('SEGUIMIENTO Y MONITOREO'!T169="NA","NA",'SEGUIMIENTO Y MONITOREO'!X169)</f>
        <v/>
      </c>
      <c r="J83" s="624"/>
      <c r="K83" s="391" t="str">
        <f>IF('SEGUIMIENTO Y MONITOREO'!AD169="NA","NA",'SEGUIMIENTO Y MONITOREO'!AH169)</f>
        <v/>
      </c>
      <c r="L83" s="624"/>
      <c r="M83" s="624"/>
      <c r="N83" s="632"/>
      <c r="O83" s="632"/>
    </row>
    <row r="84" spans="1:15" ht="39" thickTop="1" x14ac:dyDescent="0.2">
      <c r="A84" s="575" t="str">
        <f>'SEGUIMIENTO Y MONITOREO'!A170</f>
        <v>26C</v>
      </c>
      <c r="B84" s="578" t="str">
        <f>'SEGUIMIENTO Y MONITOREO'!B170</f>
        <v>Gestión Documental. Expedición de un certificado de título falso</v>
      </c>
      <c r="C84" s="82" t="str">
        <f>'SEGUIMIENTO Y MONITOREO'!D170</f>
        <v xml:space="preserve">Seguir ejecutando y monitoreando los controles existentes </v>
      </c>
      <c r="D84" s="82" t="str">
        <f>'SEGUIMIENTO Y MONITOREO'!E170</f>
        <v/>
      </c>
      <c r="E84" s="128" t="str">
        <f>'SEGUIMIENTO Y MONITOREO'!G170</f>
        <v/>
      </c>
      <c r="F84" s="128" t="str">
        <f>'SEGUIMIENTO Y MONITOREO'!H170</f>
        <v/>
      </c>
      <c r="G84" s="391" t="str">
        <f>IF('SEGUIMIENTO Y MONITOREO'!J170="NA","NA",'SEGUIMIENTO Y MONITOREO'!N170)</f>
        <v>NA</v>
      </c>
      <c r="H84" s="624" t="str">
        <f>'SEGUIMIENTO Y MONITOREO'!AR170</f>
        <v>NA</v>
      </c>
      <c r="I84" s="391" t="str">
        <f>IF('SEGUIMIENTO Y MONITOREO'!T170="NA","NA",'SEGUIMIENTO Y MONITOREO'!X170)</f>
        <v>NA</v>
      </c>
      <c r="J84" s="624" t="str">
        <f>'SEGUIMIENTO Y MONITOREO'!AS170</f>
        <v>NA</v>
      </c>
      <c r="K84" s="391" t="str">
        <f>IF('SEGUIMIENTO Y MONITOREO'!AD170="NA","NA",'SEGUIMIENTO Y MONITOREO'!AH170)</f>
        <v>NA</v>
      </c>
      <c r="L84" s="624" t="str">
        <f>'SEGUIMIENTO Y MONITOREO'!AU170</f>
        <v>NA</v>
      </c>
      <c r="M84" s="624" t="str">
        <f>'SEGUIMIENTO Y MONITOREO'!AW170</f>
        <v>NA</v>
      </c>
      <c r="N84" s="632" t="str">
        <f>IF(M84="","",CONCATENATE(IF('SEGUIMIENTO Y MONITOREO'!AX170=0,"",'SEGUIMIENTO Y MONITOREO'!AX170),Datos!$Y$4,IF('SEGUIMIENTO Y MONITOREO'!AX171=0,"",'SEGUIMIENTO Y MONITOREO'!AX171),Datos!$Y$4,IF('SEGUIMIENTO Y MONITOREO'!AX172=0,"",'SEGUIMIENTO Y MONITOREO'!AX172)))</f>
        <v xml:space="preserve">
</v>
      </c>
      <c r="O84" s="632"/>
    </row>
    <row r="85" spans="1:15" x14ac:dyDescent="0.2">
      <c r="A85" s="576"/>
      <c r="B85" s="578"/>
      <c r="C85" s="82" t="str">
        <f>'SEGUIMIENTO Y MONITOREO'!D171</f>
        <v/>
      </c>
      <c r="D85" s="82" t="str">
        <f>'SEGUIMIENTO Y MONITOREO'!E171</f>
        <v/>
      </c>
      <c r="E85" s="128" t="str">
        <f>'SEGUIMIENTO Y MONITOREO'!G171</f>
        <v/>
      </c>
      <c r="F85" s="128" t="str">
        <f>'SEGUIMIENTO Y MONITOREO'!H171</f>
        <v/>
      </c>
      <c r="G85" s="391" t="str">
        <f>IF('SEGUIMIENTO Y MONITOREO'!J171="NA","NA",'SEGUIMIENTO Y MONITOREO'!N171)</f>
        <v/>
      </c>
      <c r="H85" s="624"/>
      <c r="I85" s="391" t="str">
        <f>IF('SEGUIMIENTO Y MONITOREO'!T171="NA","NA",'SEGUIMIENTO Y MONITOREO'!X171)</f>
        <v/>
      </c>
      <c r="J85" s="624"/>
      <c r="K85" s="391" t="str">
        <f>IF('SEGUIMIENTO Y MONITOREO'!AD171="NA","NA",'SEGUIMIENTO Y MONITOREO'!AH171)</f>
        <v/>
      </c>
      <c r="L85" s="624"/>
      <c r="M85" s="624"/>
      <c r="N85" s="632"/>
      <c r="O85" s="632"/>
    </row>
    <row r="86" spans="1:15" ht="15.75" thickBot="1" x14ac:dyDescent="0.25">
      <c r="A86" s="577"/>
      <c r="B86" s="578"/>
      <c r="C86" s="82" t="str">
        <f>'SEGUIMIENTO Y MONITOREO'!D172</f>
        <v/>
      </c>
      <c r="D86" s="82" t="str">
        <f>'SEGUIMIENTO Y MONITOREO'!E172</f>
        <v/>
      </c>
      <c r="E86" s="128" t="str">
        <f>'SEGUIMIENTO Y MONITOREO'!G172</f>
        <v/>
      </c>
      <c r="F86" s="128" t="str">
        <f>'SEGUIMIENTO Y MONITOREO'!H172</f>
        <v/>
      </c>
      <c r="G86" s="391" t="str">
        <f>IF('SEGUIMIENTO Y MONITOREO'!J172="NA","NA",'SEGUIMIENTO Y MONITOREO'!N172)</f>
        <v/>
      </c>
      <c r="H86" s="624"/>
      <c r="I86" s="391" t="str">
        <f>IF('SEGUIMIENTO Y MONITOREO'!T172="NA","NA",'SEGUIMIENTO Y MONITOREO'!X172)</f>
        <v/>
      </c>
      <c r="J86" s="624"/>
      <c r="K86" s="391" t="str">
        <f>IF('SEGUIMIENTO Y MONITOREO'!AD172="NA","NA",'SEGUIMIENTO Y MONITOREO'!AH172)</f>
        <v/>
      </c>
      <c r="L86" s="624"/>
      <c r="M86" s="624"/>
      <c r="N86" s="632"/>
      <c r="O86" s="632"/>
    </row>
    <row r="87" spans="1:15" ht="39" customHeight="1" thickTop="1" x14ac:dyDescent="0.2">
      <c r="A87" s="575" t="str">
        <f>'SEGUIMIENTO Y MONITOREO'!A173</f>
        <v>27C</v>
      </c>
      <c r="B87" s="578" t="str">
        <f>'SEGUIMIENTO Y MONITOREO'!B173</f>
        <v>Gestión del Talento Humano. Concentración de información de determinadas actividades o procesos en una persona.</v>
      </c>
      <c r="C87" s="82" t="str">
        <f>'SEGUIMIENTO Y MONITOREO'!D173</f>
        <v>Revisión y actualización de los procedimientos de la Gestión del Talento Humano</v>
      </c>
      <c r="D87" s="82" t="str">
        <f>'SEGUIMIENTO Y MONITOREO'!E173</f>
        <v>Procedimientos actualizados</v>
      </c>
      <c r="E87" s="128">
        <f>'SEGUIMIENTO Y MONITOREO'!G173</f>
        <v>42430</v>
      </c>
      <c r="F87" s="128">
        <f>'SEGUIMIENTO Y MONITOREO'!H173</f>
        <v>42735</v>
      </c>
      <c r="G87" s="391">
        <f>IF('SEGUIMIENTO Y MONITOREO'!J173="NA","NA",'SEGUIMIENTO Y MONITOREO'!N173)</f>
        <v>0.05</v>
      </c>
      <c r="H87" s="624">
        <f>'SEGUIMIENTO Y MONITOREO'!AR173</f>
        <v>4.9999999999999996E-2</v>
      </c>
      <c r="I87" s="391">
        <f>IF('SEGUIMIENTO Y MONITOREO'!T173="NA","NA",'SEGUIMIENTO Y MONITOREO'!X173)</f>
        <v>0.05</v>
      </c>
      <c r="J87" s="624">
        <f>'SEGUIMIENTO Y MONITOREO'!AS173</f>
        <v>4.9999999999999996E-2</v>
      </c>
      <c r="K87" s="391">
        <f>IF('SEGUIMIENTO Y MONITOREO'!AD173="NA","NA",'SEGUIMIENTO Y MONITOREO'!AH173)</f>
        <v>0.2</v>
      </c>
      <c r="L87" s="624">
        <f>'SEGUIMIENTO Y MONITOREO'!AU173</f>
        <v>0.19999999999999998</v>
      </c>
      <c r="M87" s="624">
        <f>'SEGUIMIENTO Y MONITOREO'!AW173</f>
        <v>0.19999999999999998</v>
      </c>
      <c r="N87" s="632" t="str">
        <f>IF(M87="","",CONCATENATE(IF('SEGUIMIENTO Y MONITOREO'!AX173=0,"",'SEGUIMIENTO Y MONITOREO'!AX173),Datos!$Y$4,IF('SEGUIMIENTO Y MONITOREO'!AX174=0,"",'SEGUIMIENTO Y MONITOREO'!AX174),Datos!$Y$4,IF('SEGUIMIENTO Y MONITOREO'!AX175=0,"",'SEGUIMIENTO Y MONITOREO'!AX175)))</f>
        <v xml:space="preserve">Actividades informadas
</v>
      </c>
      <c r="O87" s="632"/>
    </row>
    <row r="88" spans="1:15" x14ac:dyDescent="0.2">
      <c r="A88" s="576"/>
      <c r="B88" s="578"/>
      <c r="C88" s="82" t="str">
        <f>'SEGUIMIENTO Y MONITOREO'!D174</f>
        <v/>
      </c>
      <c r="D88" s="82" t="str">
        <f>'SEGUIMIENTO Y MONITOREO'!E174</f>
        <v/>
      </c>
      <c r="E88" s="128" t="str">
        <f>'SEGUIMIENTO Y MONITOREO'!G174</f>
        <v/>
      </c>
      <c r="F88" s="128" t="str">
        <f>'SEGUIMIENTO Y MONITOREO'!H174</f>
        <v/>
      </c>
      <c r="G88" s="391" t="str">
        <f>IF('SEGUIMIENTO Y MONITOREO'!J174="NA","NA",'SEGUIMIENTO Y MONITOREO'!N174)</f>
        <v/>
      </c>
      <c r="H88" s="624"/>
      <c r="I88" s="391" t="str">
        <f>IF('SEGUIMIENTO Y MONITOREO'!T174="NA","NA",'SEGUIMIENTO Y MONITOREO'!X174)</f>
        <v/>
      </c>
      <c r="J88" s="624"/>
      <c r="K88" s="391" t="str">
        <f>IF('SEGUIMIENTO Y MONITOREO'!AD174="NA","NA",'SEGUIMIENTO Y MONITOREO'!AH174)</f>
        <v/>
      </c>
      <c r="L88" s="624"/>
      <c r="M88" s="624"/>
      <c r="N88" s="632"/>
      <c r="O88" s="632"/>
    </row>
    <row r="89" spans="1:15" ht="15.75" thickBot="1" x14ac:dyDescent="0.25">
      <c r="A89" s="577"/>
      <c r="B89" s="578"/>
      <c r="C89" s="82" t="str">
        <f>'SEGUIMIENTO Y MONITOREO'!D175</f>
        <v/>
      </c>
      <c r="D89" s="82" t="str">
        <f>'SEGUIMIENTO Y MONITOREO'!E175</f>
        <v/>
      </c>
      <c r="E89" s="128" t="str">
        <f>'SEGUIMIENTO Y MONITOREO'!G175</f>
        <v/>
      </c>
      <c r="F89" s="128" t="str">
        <f>'SEGUIMIENTO Y MONITOREO'!H175</f>
        <v/>
      </c>
      <c r="G89" s="391" t="str">
        <f>IF('SEGUIMIENTO Y MONITOREO'!J175="NA","NA",'SEGUIMIENTO Y MONITOREO'!N175)</f>
        <v/>
      </c>
      <c r="H89" s="624"/>
      <c r="I89" s="391" t="str">
        <f>IF('SEGUIMIENTO Y MONITOREO'!T175="NA","NA",'SEGUIMIENTO Y MONITOREO'!X175)</f>
        <v/>
      </c>
      <c r="J89" s="624"/>
      <c r="K89" s="391" t="str">
        <f>IF('SEGUIMIENTO Y MONITOREO'!AD175="NA","NA",'SEGUIMIENTO Y MONITOREO'!AH175)</f>
        <v/>
      </c>
      <c r="L89" s="624"/>
      <c r="M89" s="624"/>
      <c r="N89" s="632"/>
      <c r="O89" s="632"/>
    </row>
    <row r="90" spans="1:15" ht="39" customHeight="1" thickTop="1" x14ac:dyDescent="0.2">
      <c r="A90" s="575" t="str">
        <f>'SEGUIMIENTO Y MONITOREO'!A176</f>
        <v>28C</v>
      </c>
      <c r="B90" s="578" t="str">
        <f>'SEGUIMIENTO Y MONITOREO'!B176</f>
        <v>Gestión del Talento Humano. Decisiones no ajustadas a la normatividad legal.</v>
      </c>
      <c r="C90" s="82" t="str">
        <f>'SEGUIMIENTO Y MONITOREO'!D176</f>
        <v>Revisión y actualización el Normograma y los procedimientos de la Gestión del Talento Humano</v>
      </c>
      <c r="D90" s="82" t="str">
        <f>'SEGUIMIENTO Y MONITOREO'!E176</f>
        <v>Normograma actualizado</v>
      </c>
      <c r="E90" s="128">
        <f>'SEGUIMIENTO Y MONITOREO'!G176</f>
        <v>42430</v>
      </c>
      <c r="F90" s="128">
        <f>'SEGUIMIENTO Y MONITOREO'!H176</f>
        <v>42735</v>
      </c>
      <c r="G90" s="391">
        <f>IF('SEGUIMIENTO Y MONITOREO'!J176="NA","NA",'SEGUIMIENTO Y MONITOREO'!N176)</f>
        <v>0.85</v>
      </c>
      <c r="H90" s="624">
        <f>'SEGUIMIENTO Y MONITOREO'!AR176</f>
        <v>0.85</v>
      </c>
      <c r="I90" s="391">
        <f>IF('SEGUIMIENTO Y MONITOREO'!T176="NA","NA",'SEGUIMIENTO Y MONITOREO'!X176)</f>
        <v>0.85</v>
      </c>
      <c r="J90" s="624">
        <f>'SEGUIMIENTO Y MONITOREO'!AS176</f>
        <v>0.85</v>
      </c>
      <c r="K90" s="391">
        <f>IF('SEGUIMIENTO Y MONITOREO'!AD176="NA","NA",'SEGUIMIENTO Y MONITOREO'!AH176)</f>
        <v>0.85</v>
      </c>
      <c r="L90" s="624">
        <f>'SEGUIMIENTO Y MONITOREO'!AU176</f>
        <v>0.85</v>
      </c>
      <c r="M90" s="624">
        <f>'SEGUIMIENTO Y MONITOREO'!AW176</f>
        <v>0.85</v>
      </c>
      <c r="N90" s="632" t="str">
        <f>IF(M90="","",CONCATENATE(IF('SEGUIMIENTO Y MONITOREO'!AX176=0,"",'SEGUIMIENTO Y MONITOREO'!AX176),Datos!$Y$4,IF('SEGUIMIENTO Y MONITOREO'!AX177=0,"",'SEGUIMIENTO Y MONITOREO'!AX177),Datos!$Y$4,IF('SEGUIMIENTO Y MONITOREO'!AX178=0,"",'SEGUIMIENTO Y MONITOREO'!AX178)))</f>
        <v xml:space="preserve">Se solicitó una actualización con corte a 30/03/2016.
</v>
      </c>
      <c r="O90" s="632"/>
    </row>
    <row r="91" spans="1:15" x14ac:dyDescent="0.2">
      <c r="A91" s="576"/>
      <c r="B91" s="578"/>
      <c r="C91" s="82" t="str">
        <f>'SEGUIMIENTO Y MONITOREO'!D177</f>
        <v/>
      </c>
      <c r="D91" s="82" t="str">
        <f>'SEGUIMIENTO Y MONITOREO'!E177</f>
        <v/>
      </c>
      <c r="E91" s="128" t="str">
        <f>'SEGUIMIENTO Y MONITOREO'!G177</f>
        <v/>
      </c>
      <c r="F91" s="128" t="str">
        <f>'SEGUIMIENTO Y MONITOREO'!H177</f>
        <v/>
      </c>
      <c r="G91" s="391" t="str">
        <f>IF('SEGUIMIENTO Y MONITOREO'!J177="NA","NA",'SEGUIMIENTO Y MONITOREO'!N177)</f>
        <v/>
      </c>
      <c r="H91" s="624"/>
      <c r="I91" s="391" t="str">
        <f>IF('SEGUIMIENTO Y MONITOREO'!T177="NA","NA",'SEGUIMIENTO Y MONITOREO'!X177)</f>
        <v/>
      </c>
      <c r="J91" s="624"/>
      <c r="K91" s="391" t="str">
        <f>IF('SEGUIMIENTO Y MONITOREO'!AD177="NA","NA",'SEGUIMIENTO Y MONITOREO'!AH177)</f>
        <v/>
      </c>
      <c r="L91" s="624"/>
      <c r="M91" s="624"/>
      <c r="N91" s="632"/>
      <c r="O91" s="632"/>
    </row>
    <row r="92" spans="1:15" ht="15.75" thickBot="1" x14ac:dyDescent="0.25">
      <c r="A92" s="577"/>
      <c r="B92" s="578"/>
      <c r="C92" s="82" t="str">
        <f>'SEGUIMIENTO Y MONITOREO'!D178</f>
        <v/>
      </c>
      <c r="D92" s="82" t="str">
        <f>'SEGUIMIENTO Y MONITOREO'!E178</f>
        <v/>
      </c>
      <c r="E92" s="128" t="str">
        <f>'SEGUIMIENTO Y MONITOREO'!G178</f>
        <v/>
      </c>
      <c r="F92" s="128" t="str">
        <f>'SEGUIMIENTO Y MONITOREO'!H178</f>
        <v/>
      </c>
      <c r="G92" s="391" t="str">
        <f>IF('SEGUIMIENTO Y MONITOREO'!J178="NA","NA",'SEGUIMIENTO Y MONITOREO'!N178)</f>
        <v/>
      </c>
      <c r="H92" s="624"/>
      <c r="I92" s="391" t="str">
        <f>IF('SEGUIMIENTO Y MONITOREO'!T178="NA","NA",'SEGUIMIENTO Y MONITOREO'!X178)</f>
        <v/>
      </c>
      <c r="J92" s="624"/>
      <c r="K92" s="391" t="str">
        <f>IF('SEGUIMIENTO Y MONITOREO'!AD178="NA","NA",'SEGUIMIENTO Y MONITOREO'!AH178)</f>
        <v/>
      </c>
      <c r="L92" s="624"/>
      <c r="M92" s="624"/>
      <c r="N92" s="632"/>
      <c r="O92" s="632"/>
    </row>
    <row r="93" spans="1:15" ht="39" thickTop="1" x14ac:dyDescent="0.2">
      <c r="A93" s="575" t="str">
        <f>'SEGUIMIENTO Y MONITOREO'!A179</f>
        <v>29C</v>
      </c>
      <c r="B93" s="578" t="str">
        <f>'SEGUIMIENTO Y MONITOREO'!B179</f>
        <v>Gestión de Admisiones y Registro. Manipulación de resultados del examen  de admisión.</v>
      </c>
      <c r="C93" s="82" t="str">
        <f>'SEGUIMIENTO Y MONITOREO'!D179</f>
        <v>Seguir ejecutando y monitoreando los controles existentes.</v>
      </c>
      <c r="D93" s="82" t="str">
        <f>'SEGUIMIENTO Y MONITOREO'!E179</f>
        <v/>
      </c>
      <c r="E93" s="128" t="str">
        <f>'SEGUIMIENTO Y MONITOREO'!G179</f>
        <v/>
      </c>
      <c r="F93" s="128" t="str">
        <f>'SEGUIMIENTO Y MONITOREO'!H179</f>
        <v/>
      </c>
      <c r="G93" s="391" t="str">
        <f>IF('SEGUIMIENTO Y MONITOREO'!J179="NA","NA",'SEGUIMIENTO Y MONITOREO'!N179)</f>
        <v>NA</v>
      </c>
      <c r="H93" s="624" t="str">
        <f>'SEGUIMIENTO Y MONITOREO'!AR179</f>
        <v>NA</v>
      </c>
      <c r="I93" s="391" t="str">
        <f>IF('SEGUIMIENTO Y MONITOREO'!T179="NA","NA",'SEGUIMIENTO Y MONITOREO'!X179)</f>
        <v>NA</v>
      </c>
      <c r="J93" s="624" t="str">
        <f>'SEGUIMIENTO Y MONITOREO'!AS179</f>
        <v>NA</v>
      </c>
      <c r="K93" s="391" t="str">
        <f>IF('SEGUIMIENTO Y MONITOREO'!AD179="NA","NA",'SEGUIMIENTO Y MONITOREO'!AH179)</f>
        <v>NA</v>
      </c>
      <c r="L93" s="624" t="str">
        <f>'SEGUIMIENTO Y MONITOREO'!AU179</f>
        <v>NA</v>
      </c>
      <c r="M93" s="624" t="str">
        <f>'SEGUIMIENTO Y MONITOREO'!AW179</f>
        <v>NA</v>
      </c>
      <c r="N93" s="632" t="str">
        <f>IF(M93="","",CONCATENATE(IF('SEGUIMIENTO Y MONITOREO'!AX179=0,"",'SEGUIMIENTO Y MONITOREO'!AX179),Datos!$Y$4,IF('SEGUIMIENTO Y MONITOREO'!AX180=0,"",'SEGUIMIENTO Y MONITOREO'!AX180),Datos!$Y$4,IF('SEGUIMIENTO Y MONITOREO'!AX181=0,"",'SEGUIMIENTO Y MONITOREO'!AX181)))</f>
        <v xml:space="preserve">
</v>
      </c>
      <c r="O93" s="632"/>
    </row>
    <row r="94" spans="1:15" x14ac:dyDescent="0.2">
      <c r="A94" s="576"/>
      <c r="B94" s="578"/>
      <c r="C94" s="82" t="str">
        <f>'SEGUIMIENTO Y MONITOREO'!D180</f>
        <v/>
      </c>
      <c r="D94" s="82" t="str">
        <f>'SEGUIMIENTO Y MONITOREO'!E180</f>
        <v/>
      </c>
      <c r="E94" s="128" t="str">
        <f>'SEGUIMIENTO Y MONITOREO'!G180</f>
        <v/>
      </c>
      <c r="F94" s="128" t="str">
        <f>'SEGUIMIENTO Y MONITOREO'!H180</f>
        <v/>
      </c>
      <c r="G94" s="391" t="str">
        <f>IF('SEGUIMIENTO Y MONITOREO'!J180="NA","NA",'SEGUIMIENTO Y MONITOREO'!N180)</f>
        <v/>
      </c>
      <c r="H94" s="624"/>
      <c r="I94" s="391" t="str">
        <f>IF('SEGUIMIENTO Y MONITOREO'!T180="NA","NA",'SEGUIMIENTO Y MONITOREO'!X180)</f>
        <v/>
      </c>
      <c r="J94" s="624"/>
      <c r="K94" s="391" t="str">
        <f>IF('SEGUIMIENTO Y MONITOREO'!AD180="NA","NA",'SEGUIMIENTO Y MONITOREO'!AH180)</f>
        <v/>
      </c>
      <c r="L94" s="624"/>
      <c r="M94" s="624"/>
      <c r="N94" s="632"/>
      <c r="O94" s="632"/>
    </row>
    <row r="95" spans="1:15" ht="15.75" thickBot="1" x14ac:dyDescent="0.25">
      <c r="A95" s="577"/>
      <c r="B95" s="578"/>
      <c r="C95" s="82" t="str">
        <f>'SEGUIMIENTO Y MONITOREO'!D181</f>
        <v/>
      </c>
      <c r="D95" s="82" t="str">
        <f>'SEGUIMIENTO Y MONITOREO'!E181</f>
        <v/>
      </c>
      <c r="E95" s="128" t="str">
        <f>'SEGUIMIENTO Y MONITOREO'!G181</f>
        <v/>
      </c>
      <c r="F95" s="128" t="str">
        <f>'SEGUIMIENTO Y MONITOREO'!H181</f>
        <v/>
      </c>
      <c r="G95" s="391" t="str">
        <f>IF('SEGUIMIENTO Y MONITOREO'!J181="NA","NA",'SEGUIMIENTO Y MONITOREO'!N181)</f>
        <v/>
      </c>
      <c r="H95" s="624"/>
      <c r="I95" s="391" t="str">
        <f>IF('SEGUIMIENTO Y MONITOREO'!T181="NA","NA",'SEGUIMIENTO Y MONITOREO'!X181)</f>
        <v/>
      </c>
      <c r="J95" s="624"/>
      <c r="K95" s="391" t="str">
        <f>IF('SEGUIMIENTO Y MONITOREO'!AD181="NA","NA",'SEGUIMIENTO Y MONITOREO'!AH181)</f>
        <v/>
      </c>
      <c r="L95" s="624"/>
      <c r="M95" s="624"/>
      <c r="N95" s="632"/>
      <c r="O95" s="632"/>
    </row>
    <row r="96" spans="1:15" ht="39" thickTop="1" x14ac:dyDescent="0.2">
      <c r="A96" s="575" t="str">
        <f>'SEGUIMIENTO Y MONITOREO'!A182</f>
        <v>30C</v>
      </c>
      <c r="B96" s="578" t="str">
        <f>'SEGUIMIENTO Y MONITOREO'!B182</f>
        <v>Gestión de Admisiones y Registro. Alteración de notas de estudiantes.</v>
      </c>
      <c r="C96" s="82" t="str">
        <f>'SEGUIMIENTO Y MONITOREO'!D182</f>
        <v>Seguir ejecutando y monitoreando los controles existentes.</v>
      </c>
      <c r="D96" s="82" t="str">
        <f>'SEGUIMIENTO Y MONITOREO'!E182</f>
        <v/>
      </c>
      <c r="E96" s="128" t="str">
        <f>'SEGUIMIENTO Y MONITOREO'!G182</f>
        <v/>
      </c>
      <c r="F96" s="128" t="str">
        <f>'SEGUIMIENTO Y MONITOREO'!H182</f>
        <v/>
      </c>
      <c r="G96" s="391" t="str">
        <f>IF('SEGUIMIENTO Y MONITOREO'!J182="NA","NA",'SEGUIMIENTO Y MONITOREO'!N182)</f>
        <v>NA</v>
      </c>
      <c r="H96" s="624" t="str">
        <f>'SEGUIMIENTO Y MONITOREO'!AR182</f>
        <v>NA</v>
      </c>
      <c r="I96" s="391" t="str">
        <f>IF('SEGUIMIENTO Y MONITOREO'!T182="NA","NA",'SEGUIMIENTO Y MONITOREO'!X182)</f>
        <v>NA</v>
      </c>
      <c r="J96" s="624" t="str">
        <f>'SEGUIMIENTO Y MONITOREO'!AS182</f>
        <v>NA</v>
      </c>
      <c r="K96" s="391" t="str">
        <f>IF('SEGUIMIENTO Y MONITOREO'!AD182="NA","NA",'SEGUIMIENTO Y MONITOREO'!AH182)</f>
        <v>NA</v>
      </c>
      <c r="L96" s="624" t="str">
        <f>'SEGUIMIENTO Y MONITOREO'!AU182</f>
        <v>NA</v>
      </c>
      <c r="M96" s="624" t="str">
        <f>'SEGUIMIENTO Y MONITOREO'!AW182</f>
        <v>NA</v>
      </c>
      <c r="N96" s="632" t="str">
        <f>IF(M96="","",CONCATENATE(IF('SEGUIMIENTO Y MONITOREO'!AX182=0,"",'SEGUIMIENTO Y MONITOREO'!AX182),Datos!$Y$4,IF('SEGUIMIENTO Y MONITOREO'!AX183=0,"",'SEGUIMIENTO Y MONITOREO'!AX183),Datos!$Y$4,IF('SEGUIMIENTO Y MONITOREO'!AX184=0,"",'SEGUIMIENTO Y MONITOREO'!AX184)))</f>
        <v xml:space="preserve">
</v>
      </c>
      <c r="O96" s="632"/>
    </row>
    <row r="97" spans="1:15" x14ac:dyDescent="0.2">
      <c r="A97" s="576"/>
      <c r="B97" s="578"/>
      <c r="C97" s="82" t="str">
        <f>'SEGUIMIENTO Y MONITOREO'!D183</f>
        <v/>
      </c>
      <c r="D97" s="82" t="str">
        <f>'SEGUIMIENTO Y MONITOREO'!E183</f>
        <v/>
      </c>
      <c r="E97" s="128" t="str">
        <f>'SEGUIMIENTO Y MONITOREO'!G183</f>
        <v/>
      </c>
      <c r="F97" s="128" t="str">
        <f>'SEGUIMIENTO Y MONITOREO'!H183</f>
        <v/>
      </c>
      <c r="G97" s="391" t="str">
        <f>IF('SEGUIMIENTO Y MONITOREO'!J183="NA","NA",'SEGUIMIENTO Y MONITOREO'!N183)</f>
        <v/>
      </c>
      <c r="H97" s="624"/>
      <c r="I97" s="391" t="str">
        <f>IF('SEGUIMIENTO Y MONITOREO'!T183="NA","NA",'SEGUIMIENTO Y MONITOREO'!X183)</f>
        <v/>
      </c>
      <c r="J97" s="624"/>
      <c r="K97" s="391" t="str">
        <f>IF('SEGUIMIENTO Y MONITOREO'!AD183="NA","NA",'SEGUIMIENTO Y MONITOREO'!AH183)</f>
        <v/>
      </c>
      <c r="L97" s="624"/>
      <c r="M97" s="624"/>
      <c r="N97" s="632"/>
      <c r="O97" s="632"/>
    </row>
    <row r="98" spans="1:15" ht="15.75" thickBot="1" x14ac:dyDescent="0.25">
      <c r="A98" s="577"/>
      <c r="B98" s="578"/>
      <c r="C98" s="82" t="str">
        <f>'SEGUIMIENTO Y MONITOREO'!D184</f>
        <v/>
      </c>
      <c r="D98" s="82" t="str">
        <f>'SEGUIMIENTO Y MONITOREO'!E184</f>
        <v/>
      </c>
      <c r="E98" s="128" t="str">
        <f>'SEGUIMIENTO Y MONITOREO'!G184</f>
        <v/>
      </c>
      <c r="F98" s="128" t="str">
        <f>'SEGUIMIENTO Y MONITOREO'!H184</f>
        <v/>
      </c>
      <c r="G98" s="391" t="str">
        <f>IF('SEGUIMIENTO Y MONITOREO'!J184="NA","NA",'SEGUIMIENTO Y MONITOREO'!N184)</f>
        <v/>
      </c>
      <c r="H98" s="624"/>
      <c r="I98" s="391" t="str">
        <f>IF('SEGUIMIENTO Y MONITOREO'!T184="NA","NA",'SEGUIMIENTO Y MONITOREO'!X184)</f>
        <v/>
      </c>
      <c r="J98" s="624"/>
      <c r="K98" s="391" t="str">
        <f>IF('SEGUIMIENTO Y MONITOREO'!AD184="NA","NA",'SEGUIMIENTO Y MONITOREO'!AH184)</f>
        <v/>
      </c>
      <c r="L98" s="624"/>
      <c r="M98" s="624"/>
      <c r="N98" s="632"/>
      <c r="O98" s="632"/>
    </row>
    <row r="99" spans="1:15" ht="39" customHeight="1" thickTop="1" x14ac:dyDescent="0.2">
      <c r="A99" s="575" t="str">
        <f>'SEGUIMIENTO Y MONITOREO'!A185</f>
        <v>31C</v>
      </c>
      <c r="B99" s="578" t="str">
        <f>'SEGUIMIENTO Y MONITOREO'!B185</f>
        <v>Gestión y Rendición de Cuentas. Rendición de cuentas a la ciudadanía inadecuada, incompleta e inoportuna</v>
      </c>
      <c r="C99" s="82" t="str">
        <f>'SEGUIMIENTO Y MONITOREO'!D185</f>
        <v>Capacitación del personal en temas relacionados con la rendición de cuentas</v>
      </c>
      <c r="D99" s="82" t="str">
        <f>'SEGUIMIENTO Y MONITOREO'!E185</f>
        <v>Capacitación en rendición de cuentas</v>
      </c>
      <c r="E99" s="128">
        <f>'SEGUIMIENTO Y MONITOREO'!G185</f>
        <v>42552</v>
      </c>
      <c r="F99" s="128">
        <f>'SEGUIMIENTO Y MONITOREO'!H185</f>
        <v>42734</v>
      </c>
      <c r="G99" s="391" t="str">
        <f>IF('SEGUIMIENTO Y MONITOREO'!J185="NA","NA",'SEGUIMIENTO Y MONITOREO'!N185)</f>
        <v>NA</v>
      </c>
      <c r="H99" s="624">
        <f>'SEGUIMIENTO Y MONITOREO'!AR185</f>
        <v>7.7034358047016263E-2</v>
      </c>
      <c r="I99" s="391">
        <f>IF('SEGUIMIENTO Y MONITOREO'!T185="NA","NA",'SEGUIMIENTO Y MONITOREO'!X185)</f>
        <v>0</v>
      </c>
      <c r="J99" s="624">
        <f>'SEGUIMIENTO Y MONITOREO'!AS185</f>
        <v>0.23110307414104878</v>
      </c>
      <c r="K99" s="391">
        <f>IF('SEGUIMIENTO Y MONITOREO'!AD185="NA","NA",'SEGUIMIENTO Y MONITOREO'!AH185)</f>
        <v>0</v>
      </c>
      <c r="L99" s="624">
        <f>'SEGUIMIENTO Y MONITOREO'!AU185</f>
        <v>0.38517179023508136</v>
      </c>
      <c r="M99" s="624">
        <f>'SEGUIMIENTO Y MONITOREO'!AW185</f>
        <v>0.38517179023508136</v>
      </c>
      <c r="N99" s="632" t="str">
        <f>IF(M99="","",CONCATENATE(IF('SEGUIMIENTO Y MONITOREO'!AX185=0,"",'SEGUIMIENTO Y MONITOREO'!AX185),Datos!$Y$4,IF('SEGUIMIENTO Y MONITOREO'!AX186=0,"",'SEGUIMIENTO Y MONITOREO'!AX186),Datos!$Y$4,IF('SEGUIMIENTO Y MONITOREO'!AX187=0,"",'SEGUIMIENTO Y MONITOREO'!AX187)))</f>
        <v xml:space="preserve">La actividad quedó aplazada para la vigencia 2017
Actividades informadas
</v>
      </c>
      <c r="O99" s="632"/>
    </row>
    <row r="100" spans="1:15" ht="15" customHeight="1" x14ac:dyDescent="0.2">
      <c r="A100" s="576"/>
      <c r="B100" s="578"/>
      <c r="C100" s="82" t="str">
        <f>'SEGUIMIENTO Y MONITOREO'!D186</f>
        <v>Planeación, ejecución y evaluación de audiencias públicas de rendición de cuentas</v>
      </c>
      <c r="D100" s="82" t="str">
        <f>'SEGUIMIENTO Y MONITOREO'!E186</f>
        <v>Calendario Audiencia Pública de Rendición de Cuentas 2016 (Rector y Facultades)</v>
      </c>
      <c r="E100" s="128">
        <f>'SEGUIMIENTO Y MONITOREO'!G186</f>
        <v>42461</v>
      </c>
      <c r="F100" s="128">
        <f>'SEGUIMIENTO Y MONITOREO'!H186</f>
        <v>42674</v>
      </c>
      <c r="G100" s="391">
        <f>IF('SEGUIMIENTO Y MONITOREO'!J186="NA","NA",'SEGUIMIENTO Y MONITOREO'!N186)</f>
        <v>0.14285714285714285</v>
      </c>
      <c r="H100" s="624"/>
      <c r="I100" s="391">
        <f>IF('SEGUIMIENTO Y MONITOREO'!T186="NA","NA",'SEGUIMIENTO Y MONITOREO'!X186)</f>
        <v>0.42857142857142855</v>
      </c>
      <c r="J100" s="624"/>
      <c r="K100" s="391">
        <f>IF('SEGUIMIENTO Y MONITOREO'!AD186="NA","NA",'SEGUIMIENTO Y MONITOREO'!AH186)</f>
        <v>0.7142857142857143</v>
      </c>
      <c r="L100" s="624"/>
      <c r="M100" s="624"/>
      <c r="N100" s="632"/>
      <c r="O100" s="632"/>
    </row>
    <row r="101" spans="1:15" ht="15.75" thickBot="1" x14ac:dyDescent="0.25">
      <c r="A101" s="577"/>
      <c r="B101" s="578"/>
      <c r="C101" s="82" t="str">
        <f>'SEGUIMIENTO Y MONITOREO'!D187</f>
        <v/>
      </c>
      <c r="D101" s="82" t="str">
        <f>'SEGUIMIENTO Y MONITOREO'!E187</f>
        <v/>
      </c>
      <c r="E101" s="128" t="str">
        <f>'SEGUIMIENTO Y MONITOREO'!G187</f>
        <v/>
      </c>
      <c r="F101" s="128" t="str">
        <f>'SEGUIMIENTO Y MONITOREO'!H187</f>
        <v/>
      </c>
      <c r="G101" s="391" t="str">
        <f>IF('SEGUIMIENTO Y MONITOREO'!J187="NA","NA",'SEGUIMIENTO Y MONITOREO'!N187)</f>
        <v/>
      </c>
      <c r="H101" s="624"/>
      <c r="I101" s="391" t="str">
        <f>IF('SEGUIMIENTO Y MONITOREO'!T187="NA","NA",'SEGUIMIENTO Y MONITOREO'!X187)</f>
        <v/>
      </c>
      <c r="J101" s="624"/>
      <c r="K101" s="391" t="str">
        <f>IF('SEGUIMIENTO Y MONITOREO'!AD187="NA","NA",'SEGUIMIENTO Y MONITOREO'!AH187)</f>
        <v/>
      </c>
      <c r="L101" s="624"/>
      <c r="M101" s="624"/>
      <c r="N101" s="632"/>
      <c r="O101" s="632"/>
    </row>
    <row r="102" spans="1:15" ht="39" thickTop="1" x14ac:dyDescent="0.2">
      <c r="A102" s="575" t="str">
        <f>'SEGUIMIENTO Y MONITOREO'!A188</f>
        <v>32C</v>
      </c>
      <c r="B102" s="578" t="str">
        <f>'SEGUIMIENTO Y MONITOREO'!B188</f>
        <v>Gestión y Rendición de Cuentas. Alteración de la información</v>
      </c>
      <c r="C102" s="82" t="str">
        <f>'SEGUIMIENTO Y MONITOREO'!D188</f>
        <v>Implementación de auditorías internas de información</v>
      </c>
      <c r="D102" s="82" t="str">
        <f>'SEGUIMIENTO Y MONITOREO'!E188</f>
        <v>Informe de auditoría</v>
      </c>
      <c r="E102" s="128">
        <f>'SEGUIMIENTO Y MONITOREO'!G188</f>
        <v>42569</v>
      </c>
      <c r="F102" s="128">
        <f>'SEGUIMIENTO Y MONITOREO'!H188</f>
        <v>42613</v>
      </c>
      <c r="G102" s="391" t="str">
        <f>IF('SEGUIMIENTO Y MONITOREO'!J188="NA","NA",'SEGUIMIENTO Y MONITOREO'!N188)</f>
        <v>NA</v>
      </c>
      <c r="H102" s="624" t="str">
        <f>'SEGUIMIENTO Y MONITOREO'!AR188</f>
        <v>NA</v>
      </c>
      <c r="I102" s="391">
        <f>IF('SEGUIMIENTO Y MONITOREO'!T188="NA","NA",'SEGUIMIENTO Y MONITOREO'!X188)</f>
        <v>0</v>
      </c>
      <c r="J102" s="624">
        <f>'SEGUIMIENTO Y MONITOREO'!AS188</f>
        <v>0</v>
      </c>
      <c r="K102" s="391">
        <f>IF('SEGUIMIENTO Y MONITOREO'!AD188="NA","NA",'SEGUIMIENTO Y MONITOREO'!AH188)</f>
        <v>0</v>
      </c>
      <c r="L102" s="624">
        <f>'SEGUIMIENTO Y MONITOREO'!AU188</f>
        <v>0</v>
      </c>
      <c r="M102" s="624">
        <f>'SEGUIMIENTO Y MONITOREO'!AW188</f>
        <v>0</v>
      </c>
      <c r="N102" s="632" t="str">
        <f>IF(M102="","",CONCATENATE(IF('SEGUIMIENTO Y MONITOREO'!AX188=0,"",'SEGUIMIENTO Y MONITOREO'!AX188),Datos!$Y$4,IF('SEGUIMIENTO Y MONITOREO'!AX189=0,"",'SEGUIMIENTO Y MONITOREO'!AX189),Datos!$Y$4,IF('SEGUIMIENTO Y MONITOREO'!AX190=0,"",'SEGUIMIENTO Y MONITOREO'!AX190)))</f>
        <v>Esta actividad se elimina por nuevas directrices institucionales
Actividades informadas
La actividad quedó aplazada para la vigencia 2017</v>
      </c>
      <c r="O102" s="632"/>
    </row>
    <row r="103" spans="1:15" ht="15" customHeight="1" x14ac:dyDescent="0.2">
      <c r="A103" s="576"/>
      <c r="B103" s="578"/>
      <c r="C103" s="82" t="str">
        <f>'SEGUIMIENTO Y MONITOREO'!D189</f>
        <v>Diseño e implementación de un sistema de información para la gestión de Indicadores</v>
      </c>
      <c r="D103" s="82" t="str">
        <f>'SEGUIMIENTO Y MONITOREO'!E189</f>
        <v>Sistema de Información de indicadores para la toma de decisiones</v>
      </c>
      <c r="E103" s="128">
        <f>'SEGUIMIENTO Y MONITOREO'!G189</f>
        <v>42583</v>
      </c>
      <c r="F103" s="128">
        <f>'SEGUIMIENTO Y MONITOREO'!H189</f>
        <v>43313</v>
      </c>
      <c r="G103" s="391" t="str">
        <f>IF('SEGUIMIENTO Y MONITOREO'!J189="NA","NA",'SEGUIMIENTO Y MONITOREO'!N189)</f>
        <v>NA</v>
      </c>
      <c r="H103" s="624"/>
      <c r="I103" s="391">
        <f>IF('SEGUIMIENTO Y MONITOREO'!T189="NA","NA",'SEGUIMIENTO Y MONITOREO'!X189)</f>
        <v>0</v>
      </c>
      <c r="J103" s="624"/>
      <c r="K103" s="391">
        <f>IF('SEGUIMIENTO Y MONITOREO'!AD189="NA","NA",'SEGUIMIENTO Y MONITOREO'!AH189)</f>
        <v>0</v>
      </c>
      <c r="L103" s="624"/>
      <c r="M103" s="624"/>
      <c r="N103" s="632"/>
      <c r="O103" s="632"/>
    </row>
    <row r="104" spans="1:15" ht="15.75" customHeight="1" thickBot="1" x14ac:dyDescent="0.25">
      <c r="A104" s="577"/>
      <c r="B104" s="578"/>
      <c r="C104" s="82" t="str">
        <f>'SEGUIMIENTO Y MONITOREO'!D190</f>
        <v>Estrategia para masificar el uso y conocimiento del sitio Web de Transparencia y Acceso a Ia Información Pública</v>
      </c>
      <c r="D104" s="82" t="str">
        <f>'SEGUIMIENTO Y MONITOREO'!E190</f>
        <v>Diseño e implementación de estrategia publicitaria del sitio Web</v>
      </c>
      <c r="E104" s="128">
        <f>'SEGUIMIENTO Y MONITOREO'!G190</f>
        <v>42552</v>
      </c>
      <c r="F104" s="128">
        <f>'SEGUIMIENTO Y MONITOREO'!H190</f>
        <v>42734</v>
      </c>
      <c r="G104" s="391" t="str">
        <f>IF('SEGUIMIENTO Y MONITOREO'!J190="NA","NA",'SEGUIMIENTO Y MONITOREO'!N190)</f>
        <v>NA</v>
      </c>
      <c r="H104" s="624"/>
      <c r="I104" s="391">
        <f>IF('SEGUIMIENTO Y MONITOREO'!T190="NA","NA",'SEGUIMIENTO Y MONITOREO'!X190)</f>
        <v>0</v>
      </c>
      <c r="J104" s="624"/>
      <c r="K104" s="391">
        <f>IF('SEGUIMIENTO Y MONITOREO'!AD190="NA","NA",'SEGUIMIENTO Y MONITOREO'!AH190)</f>
        <v>0</v>
      </c>
      <c r="L104" s="624"/>
      <c r="M104" s="624"/>
      <c r="N104" s="632"/>
      <c r="O104" s="632"/>
    </row>
    <row r="105" spans="1:15" ht="39" thickTop="1" x14ac:dyDescent="0.2">
      <c r="A105" s="575" t="str">
        <f>'SEGUIMIENTO Y MONITOREO'!A191</f>
        <v>33C</v>
      </c>
      <c r="B105" s="578" t="str">
        <f>'SEGUIMIENTO Y MONITOREO'!B191</f>
        <v>Evaluación Independiente. Falta de Objetividad e Independencia en el proceso auditor, de evaluación y seguimiento</v>
      </c>
      <c r="C105" s="82" t="str">
        <f>'SEGUIMIENTO Y MONITOREO'!D191</f>
        <v>Seguir ejecutando y monitoreando los controles existentes</v>
      </c>
      <c r="D105" s="82" t="str">
        <f>'SEGUIMIENTO Y MONITOREO'!E191</f>
        <v/>
      </c>
      <c r="E105" s="128" t="str">
        <f>'SEGUIMIENTO Y MONITOREO'!G191</f>
        <v/>
      </c>
      <c r="F105" s="128" t="str">
        <f>'SEGUIMIENTO Y MONITOREO'!H191</f>
        <v/>
      </c>
      <c r="G105" s="391" t="str">
        <f>IF('SEGUIMIENTO Y MONITOREO'!J191="NA","NA",'SEGUIMIENTO Y MONITOREO'!N191)</f>
        <v>NA</v>
      </c>
      <c r="H105" s="624" t="str">
        <f>'SEGUIMIENTO Y MONITOREO'!AR191</f>
        <v>NA</v>
      </c>
      <c r="I105" s="391" t="str">
        <f>IF('SEGUIMIENTO Y MONITOREO'!T191="NA","NA",'SEGUIMIENTO Y MONITOREO'!X191)</f>
        <v>NA</v>
      </c>
      <c r="J105" s="624" t="str">
        <f>'SEGUIMIENTO Y MONITOREO'!AS191</f>
        <v>NA</v>
      </c>
      <c r="K105" s="391" t="str">
        <f>IF('SEGUIMIENTO Y MONITOREO'!AD191="NA","NA",'SEGUIMIENTO Y MONITOREO'!AH191)</f>
        <v>NA</v>
      </c>
      <c r="L105" s="624" t="str">
        <f>'SEGUIMIENTO Y MONITOREO'!AU191</f>
        <v>NA</v>
      </c>
      <c r="M105" s="624" t="str">
        <f>'SEGUIMIENTO Y MONITOREO'!AW191</f>
        <v>NA</v>
      </c>
      <c r="N105" s="632" t="str">
        <f>IF(M105="","",CONCATENATE(IF('SEGUIMIENTO Y MONITOREO'!AX191=0,"",'SEGUIMIENTO Y MONITOREO'!AX191),Datos!$Y$4,IF('SEGUIMIENTO Y MONITOREO'!AX192=0,"",'SEGUIMIENTO Y MONITOREO'!AX192),Datos!$Y$4,IF('SEGUIMIENTO Y MONITOREO'!AX193=0,"",'SEGUIMIENTO Y MONITOREO'!AX193)))</f>
        <v xml:space="preserve">
</v>
      </c>
      <c r="O105" s="632"/>
    </row>
    <row r="106" spans="1:15" x14ac:dyDescent="0.2">
      <c r="A106" s="576"/>
      <c r="B106" s="578"/>
      <c r="C106" s="82" t="str">
        <f>'SEGUIMIENTO Y MONITOREO'!D192</f>
        <v/>
      </c>
      <c r="D106" s="82" t="str">
        <f>'SEGUIMIENTO Y MONITOREO'!E192</f>
        <v/>
      </c>
      <c r="E106" s="128" t="str">
        <f>'SEGUIMIENTO Y MONITOREO'!G192</f>
        <v/>
      </c>
      <c r="F106" s="128" t="str">
        <f>'SEGUIMIENTO Y MONITOREO'!H192</f>
        <v/>
      </c>
      <c r="G106" s="391" t="str">
        <f>IF('SEGUIMIENTO Y MONITOREO'!J192="NA","NA",'SEGUIMIENTO Y MONITOREO'!N192)</f>
        <v/>
      </c>
      <c r="H106" s="624"/>
      <c r="I106" s="391" t="str">
        <f>IF('SEGUIMIENTO Y MONITOREO'!T192="NA","NA",'SEGUIMIENTO Y MONITOREO'!X192)</f>
        <v/>
      </c>
      <c r="J106" s="624"/>
      <c r="K106" s="391" t="str">
        <f>IF('SEGUIMIENTO Y MONITOREO'!AD192="NA","NA",'SEGUIMIENTO Y MONITOREO'!AH192)</f>
        <v/>
      </c>
      <c r="L106" s="624"/>
      <c r="M106" s="624"/>
      <c r="N106" s="632"/>
      <c r="O106" s="632"/>
    </row>
    <row r="107" spans="1:15" ht="15.75" thickBot="1" x14ac:dyDescent="0.25">
      <c r="A107" s="577"/>
      <c r="B107" s="578"/>
      <c r="C107" s="82" t="str">
        <f>'SEGUIMIENTO Y MONITOREO'!D193</f>
        <v/>
      </c>
      <c r="D107" s="82" t="str">
        <f>'SEGUIMIENTO Y MONITOREO'!E193</f>
        <v/>
      </c>
      <c r="E107" s="128" t="str">
        <f>'SEGUIMIENTO Y MONITOREO'!G193</f>
        <v/>
      </c>
      <c r="F107" s="128" t="str">
        <f>'SEGUIMIENTO Y MONITOREO'!H193</f>
        <v/>
      </c>
      <c r="G107" s="391" t="str">
        <f>IF('SEGUIMIENTO Y MONITOREO'!J193="NA","NA",'SEGUIMIENTO Y MONITOREO'!N193)</f>
        <v/>
      </c>
      <c r="H107" s="624"/>
      <c r="I107" s="391" t="str">
        <f>IF('SEGUIMIENTO Y MONITOREO'!T193="NA","NA",'SEGUIMIENTO Y MONITOREO'!X193)</f>
        <v/>
      </c>
      <c r="J107" s="624"/>
      <c r="K107" s="391" t="str">
        <f>IF('SEGUIMIENTO Y MONITOREO'!AD193="NA","NA",'SEGUIMIENTO Y MONITOREO'!AH193)</f>
        <v/>
      </c>
      <c r="L107" s="624"/>
      <c r="M107" s="624"/>
      <c r="N107" s="632"/>
      <c r="O107" s="632"/>
    </row>
    <row r="108" spans="1:15" ht="39" thickTop="1" x14ac:dyDescent="0.2">
      <c r="A108" s="575" t="str">
        <f>'SEGUIMIENTO Y MONITOREO'!A194</f>
        <v>34C</v>
      </c>
      <c r="B108" s="578" t="str">
        <f>'SEGUIMIENTO Y MONITOREO'!B194</f>
        <v>Evaluación Independiente. No reportar posibles actos de corrupción e irregularidades</v>
      </c>
      <c r="C108" s="82" t="str">
        <f>'SEGUIMIENTO Y MONITOREO'!D194</f>
        <v>Seguir ejecutando y monitoreando los controles existentes</v>
      </c>
      <c r="D108" s="82" t="str">
        <f>'SEGUIMIENTO Y MONITOREO'!E194</f>
        <v/>
      </c>
      <c r="E108" s="128" t="str">
        <f>'SEGUIMIENTO Y MONITOREO'!G194</f>
        <v/>
      </c>
      <c r="F108" s="128" t="str">
        <f>'SEGUIMIENTO Y MONITOREO'!H194</f>
        <v/>
      </c>
      <c r="G108" s="391" t="str">
        <f>IF('SEGUIMIENTO Y MONITOREO'!J194="NA","NA",'SEGUIMIENTO Y MONITOREO'!N194)</f>
        <v>NA</v>
      </c>
      <c r="H108" s="624" t="str">
        <f>'SEGUIMIENTO Y MONITOREO'!AR194</f>
        <v>NA</v>
      </c>
      <c r="I108" s="391" t="str">
        <f>IF('SEGUIMIENTO Y MONITOREO'!T194="NA","NA",'SEGUIMIENTO Y MONITOREO'!X194)</f>
        <v>NA</v>
      </c>
      <c r="J108" s="624" t="str">
        <f>'SEGUIMIENTO Y MONITOREO'!AS194</f>
        <v>NA</v>
      </c>
      <c r="K108" s="391" t="str">
        <f>IF('SEGUIMIENTO Y MONITOREO'!AD194="NA","NA",'SEGUIMIENTO Y MONITOREO'!AH194)</f>
        <v>NA</v>
      </c>
      <c r="L108" s="624" t="str">
        <f>'SEGUIMIENTO Y MONITOREO'!AU194</f>
        <v>NA</v>
      </c>
      <c r="M108" s="624" t="str">
        <f>'SEGUIMIENTO Y MONITOREO'!AW194</f>
        <v>NA</v>
      </c>
      <c r="N108" s="632" t="str">
        <f>IF(M108="","",CONCATENATE(IF('SEGUIMIENTO Y MONITOREO'!AX194=0,"",'SEGUIMIENTO Y MONITOREO'!AX194),Datos!$Y$4,IF('SEGUIMIENTO Y MONITOREO'!AX195=0,"",'SEGUIMIENTO Y MONITOREO'!AX195),Datos!$Y$4,IF('SEGUIMIENTO Y MONITOREO'!AX196=0,"",'SEGUIMIENTO Y MONITOREO'!AX196)))</f>
        <v xml:space="preserve">
</v>
      </c>
      <c r="O108" s="632"/>
    </row>
    <row r="109" spans="1:15" x14ac:dyDescent="0.2">
      <c r="A109" s="576"/>
      <c r="B109" s="578"/>
      <c r="C109" s="82" t="str">
        <f>'SEGUIMIENTO Y MONITOREO'!D195</f>
        <v/>
      </c>
      <c r="D109" s="82" t="str">
        <f>'SEGUIMIENTO Y MONITOREO'!E195</f>
        <v/>
      </c>
      <c r="E109" s="128" t="str">
        <f>'SEGUIMIENTO Y MONITOREO'!G195</f>
        <v/>
      </c>
      <c r="F109" s="128" t="str">
        <f>'SEGUIMIENTO Y MONITOREO'!H195</f>
        <v/>
      </c>
      <c r="G109" s="391" t="str">
        <f>IF('SEGUIMIENTO Y MONITOREO'!J195="NA","NA",'SEGUIMIENTO Y MONITOREO'!N195)</f>
        <v/>
      </c>
      <c r="H109" s="624"/>
      <c r="I109" s="391" t="str">
        <f>IF('SEGUIMIENTO Y MONITOREO'!T195="NA","NA",'SEGUIMIENTO Y MONITOREO'!X195)</f>
        <v/>
      </c>
      <c r="J109" s="624"/>
      <c r="K109" s="391" t="str">
        <f>IF('SEGUIMIENTO Y MONITOREO'!AD195="NA","NA",'SEGUIMIENTO Y MONITOREO'!AH195)</f>
        <v/>
      </c>
      <c r="L109" s="624"/>
      <c r="M109" s="624"/>
      <c r="N109" s="632"/>
      <c r="O109" s="632"/>
    </row>
    <row r="110" spans="1:15" ht="15.75" thickBot="1" x14ac:dyDescent="0.25">
      <c r="A110" s="577"/>
      <c r="B110" s="578"/>
      <c r="C110" s="82" t="str">
        <f>'SEGUIMIENTO Y MONITOREO'!D196</f>
        <v/>
      </c>
      <c r="D110" s="82" t="str">
        <f>'SEGUIMIENTO Y MONITOREO'!E196</f>
        <v/>
      </c>
      <c r="E110" s="128" t="str">
        <f>'SEGUIMIENTO Y MONITOREO'!G196</f>
        <v/>
      </c>
      <c r="F110" s="128" t="str">
        <f>'SEGUIMIENTO Y MONITOREO'!H196</f>
        <v/>
      </c>
      <c r="G110" s="391" t="str">
        <f>IF('SEGUIMIENTO Y MONITOREO'!J196="NA","NA",'SEGUIMIENTO Y MONITOREO'!N196)</f>
        <v/>
      </c>
      <c r="H110" s="624"/>
      <c r="I110" s="391" t="str">
        <f>IF('SEGUIMIENTO Y MONITOREO'!T196="NA","NA",'SEGUIMIENTO Y MONITOREO'!X196)</f>
        <v/>
      </c>
      <c r="J110" s="624"/>
      <c r="K110" s="391" t="str">
        <f>IF('SEGUIMIENTO Y MONITOREO'!AD196="NA","NA",'SEGUIMIENTO Y MONITOREO'!AH196)</f>
        <v/>
      </c>
      <c r="L110" s="624"/>
      <c r="M110" s="624"/>
      <c r="N110" s="632"/>
      <c r="O110" s="632"/>
    </row>
    <row r="111" spans="1:15" ht="16.5" thickTop="1" x14ac:dyDescent="0.25">
      <c r="A111" s="627" t="str">
        <f>'SEGUIMIENTO Y MONITOREO'!B202</f>
        <v>Cumplimiento Riesgos de CORRUPCIÓN (Respecto a los plazos establecidos)</v>
      </c>
      <c r="B111" s="628"/>
      <c r="C111" s="628"/>
      <c r="D111" s="628"/>
      <c r="E111" s="628"/>
      <c r="F111" s="629"/>
      <c r="G111" s="630">
        <f>'SEGUIMIENTO Y MONITOREO'!J202</f>
        <v>0.24291617473435656</v>
      </c>
      <c r="H111" s="643"/>
      <c r="I111" s="630">
        <f>'SEGUIMIENTO Y MONITOREO'!T202</f>
        <v>0.42483333929614925</v>
      </c>
      <c r="J111" s="643"/>
      <c r="K111" s="630">
        <f>'SEGUIMIENTO Y MONITOREO'!AD202</f>
        <v>0.4422218048251107</v>
      </c>
      <c r="L111" s="643"/>
      <c r="M111" s="164">
        <f>'SEGUIMIENTO Y MONITOREO'!AW202</f>
        <v>0.4422218048251107</v>
      </c>
      <c r="N111" s="27"/>
      <c r="O111" s="27"/>
    </row>
    <row r="112" spans="1:15" ht="16.5" thickBot="1" x14ac:dyDescent="0.3">
      <c r="A112" s="639" t="str">
        <f>'SEGUIMIENTO Y MONITOREO'!B203</f>
        <v xml:space="preserve">% Avance Riesgo de CORRUPCIÓN </v>
      </c>
      <c r="B112" s="639"/>
      <c r="C112" s="639"/>
      <c r="D112" s="639"/>
      <c r="E112" s="639"/>
      <c r="F112" s="640"/>
      <c r="G112" s="641">
        <f>'SEGUIMIENTO Y MONITOREO'!J203</f>
        <v>0.24291617473435656</v>
      </c>
      <c r="H112" s="642"/>
      <c r="I112" s="641">
        <f>'SEGUIMIENTO Y MONITOREO'!T203</f>
        <v>0.43242161878525515</v>
      </c>
      <c r="J112" s="642"/>
      <c r="K112" s="641">
        <f>'SEGUIMIENTO Y MONITOREO'!AD203</f>
        <v>0.60297097301229541</v>
      </c>
      <c r="L112" s="642"/>
      <c r="M112" s="273">
        <f>'SEGUIMIENTO Y MONITOREO'!AW203</f>
        <v>0.60297097301229541</v>
      </c>
      <c r="N112" s="27"/>
      <c r="O112" s="27"/>
    </row>
    <row r="113" ht="15.75" thickTop="1" x14ac:dyDescent="0.2"/>
  </sheetData>
  <sheetProtection formatCells="0" formatRows="0" selectLockedCells="1"/>
  <mergeCells count="262">
    <mergeCell ref="M108:M110"/>
    <mergeCell ref="N108:O110"/>
    <mergeCell ref="A108:A110"/>
    <mergeCell ref="B108:B110"/>
    <mergeCell ref="H108:H110"/>
    <mergeCell ref="J108:J110"/>
    <mergeCell ref="L108:L110"/>
    <mergeCell ref="M102:M104"/>
    <mergeCell ref="N102:O104"/>
    <mergeCell ref="A105:A107"/>
    <mergeCell ref="B105:B107"/>
    <mergeCell ref="H105:H107"/>
    <mergeCell ref="J105:J107"/>
    <mergeCell ref="L105:L107"/>
    <mergeCell ref="M105:M107"/>
    <mergeCell ref="N105:O107"/>
    <mergeCell ref="A102:A104"/>
    <mergeCell ref="B102:B104"/>
    <mergeCell ref="H102:H104"/>
    <mergeCell ref="J102:J104"/>
    <mergeCell ref="L102:L104"/>
    <mergeCell ref="M96:M98"/>
    <mergeCell ref="N96:O98"/>
    <mergeCell ref="A99:A101"/>
    <mergeCell ref="B99:B101"/>
    <mergeCell ref="H99:H101"/>
    <mergeCell ref="J99:J101"/>
    <mergeCell ref="L99:L101"/>
    <mergeCell ref="M99:M101"/>
    <mergeCell ref="N99:O101"/>
    <mergeCell ref="A96:A98"/>
    <mergeCell ref="B96:B98"/>
    <mergeCell ref="H96:H98"/>
    <mergeCell ref="J96:J98"/>
    <mergeCell ref="L96:L98"/>
    <mergeCell ref="M90:M92"/>
    <mergeCell ref="N90:O92"/>
    <mergeCell ref="A93:A95"/>
    <mergeCell ref="B93:B95"/>
    <mergeCell ref="H93:H95"/>
    <mergeCell ref="J93:J95"/>
    <mergeCell ref="L93:L95"/>
    <mergeCell ref="M93:M95"/>
    <mergeCell ref="N93:O95"/>
    <mergeCell ref="A90:A92"/>
    <mergeCell ref="B90:B92"/>
    <mergeCell ref="H90:H92"/>
    <mergeCell ref="J90:J92"/>
    <mergeCell ref="L90:L92"/>
    <mergeCell ref="M84:M86"/>
    <mergeCell ref="N84:O86"/>
    <mergeCell ref="A87:A89"/>
    <mergeCell ref="B87:B89"/>
    <mergeCell ref="H87:H89"/>
    <mergeCell ref="J87:J89"/>
    <mergeCell ref="L87:L89"/>
    <mergeCell ref="M87:M89"/>
    <mergeCell ref="N87:O89"/>
    <mergeCell ref="A84:A86"/>
    <mergeCell ref="B84:B86"/>
    <mergeCell ref="H84:H86"/>
    <mergeCell ref="J84:J86"/>
    <mergeCell ref="L84:L86"/>
    <mergeCell ref="M78:M80"/>
    <mergeCell ref="N78:O80"/>
    <mergeCell ref="A81:A83"/>
    <mergeCell ref="B81:B83"/>
    <mergeCell ref="H81:H83"/>
    <mergeCell ref="J81:J83"/>
    <mergeCell ref="L81:L83"/>
    <mergeCell ref="M81:M83"/>
    <mergeCell ref="N81:O83"/>
    <mergeCell ref="A78:A80"/>
    <mergeCell ref="B78:B80"/>
    <mergeCell ref="H78:H80"/>
    <mergeCell ref="J78:J80"/>
    <mergeCell ref="L78:L80"/>
    <mergeCell ref="M72:M74"/>
    <mergeCell ref="N72:O74"/>
    <mergeCell ref="A75:A77"/>
    <mergeCell ref="B75:B77"/>
    <mergeCell ref="H75:H77"/>
    <mergeCell ref="J75:J77"/>
    <mergeCell ref="L75:L77"/>
    <mergeCell ref="M75:M77"/>
    <mergeCell ref="N75:O77"/>
    <mergeCell ref="A72:A74"/>
    <mergeCell ref="B72:B74"/>
    <mergeCell ref="H72:H74"/>
    <mergeCell ref="J72:J74"/>
    <mergeCell ref="L72:L74"/>
    <mergeCell ref="M66:M68"/>
    <mergeCell ref="N66:O68"/>
    <mergeCell ref="A69:A71"/>
    <mergeCell ref="B69:B71"/>
    <mergeCell ref="H69:H71"/>
    <mergeCell ref="J69:J71"/>
    <mergeCell ref="L69:L71"/>
    <mergeCell ref="M69:M71"/>
    <mergeCell ref="N69:O71"/>
    <mergeCell ref="A66:A68"/>
    <mergeCell ref="B66:B68"/>
    <mergeCell ref="H66:H68"/>
    <mergeCell ref="J66:J68"/>
    <mergeCell ref="L66:L68"/>
    <mergeCell ref="M60:M62"/>
    <mergeCell ref="N60:O62"/>
    <mergeCell ref="A63:A65"/>
    <mergeCell ref="B63:B65"/>
    <mergeCell ref="H63:H65"/>
    <mergeCell ref="J63:J65"/>
    <mergeCell ref="L63:L65"/>
    <mergeCell ref="M63:M65"/>
    <mergeCell ref="N63:O65"/>
    <mergeCell ref="A60:A62"/>
    <mergeCell ref="B60:B62"/>
    <mergeCell ref="H60:H62"/>
    <mergeCell ref="J60:J62"/>
    <mergeCell ref="L60:L62"/>
    <mergeCell ref="M54:M56"/>
    <mergeCell ref="N54:O56"/>
    <mergeCell ref="A57:A59"/>
    <mergeCell ref="B57:B59"/>
    <mergeCell ref="H57:H59"/>
    <mergeCell ref="J57:J59"/>
    <mergeCell ref="L57:L59"/>
    <mergeCell ref="M57:M59"/>
    <mergeCell ref="N57:O59"/>
    <mergeCell ref="A54:A56"/>
    <mergeCell ref="B54:B56"/>
    <mergeCell ref="H54:H56"/>
    <mergeCell ref="J54:J56"/>
    <mergeCell ref="L54:L56"/>
    <mergeCell ref="M48:M50"/>
    <mergeCell ref="N48:O50"/>
    <mergeCell ref="A51:A53"/>
    <mergeCell ref="B51:B53"/>
    <mergeCell ref="H51:H53"/>
    <mergeCell ref="J51:J53"/>
    <mergeCell ref="L51:L53"/>
    <mergeCell ref="M51:M53"/>
    <mergeCell ref="N51:O53"/>
    <mergeCell ref="A48:A50"/>
    <mergeCell ref="B48:B50"/>
    <mergeCell ref="H48:H50"/>
    <mergeCell ref="J48:J50"/>
    <mergeCell ref="L48:L50"/>
    <mergeCell ref="M42:M44"/>
    <mergeCell ref="N42:O44"/>
    <mergeCell ref="A45:A47"/>
    <mergeCell ref="B45:B47"/>
    <mergeCell ref="H45:H47"/>
    <mergeCell ref="J45:J47"/>
    <mergeCell ref="L45:L47"/>
    <mergeCell ref="M45:M47"/>
    <mergeCell ref="N45:O47"/>
    <mergeCell ref="A42:A44"/>
    <mergeCell ref="B42:B44"/>
    <mergeCell ref="H42:H44"/>
    <mergeCell ref="J42:J44"/>
    <mergeCell ref="L42:L44"/>
    <mergeCell ref="L27:L29"/>
    <mergeCell ref="M27:M29"/>
    <mergeCell ref="M36:M38"/>
    <mergeCell ref="N36:O38"/>
    <mergeCell ref="A39:A41"/>
    <mergeCell ref="B39:B41"/>
    <mergeCell ref="H39:H41"/>
    <mergeCell ref="J39:J41"/>
    <mergeCell ref="L39:L41"/>
    <mergeCell ref="M39:M41"/>
    <mergeCell ref="N39:O41"/>
    <mergeCell ref="A36:A38"/>
    <mergeCell ref="B36:B38"/>
    <mergeCell ref="H36:H38"/>
    <mergeCell ref="J36:J38"/>
    <mergeCell ref="L36:L38"/>
    <mergeCell ref="M30:M32"/>
    <mergeCell ref="N30:O32"/>
    <mergeCell ref="A33:A35"/>
    <mergeCell ref="B33:B35"/>
    <mergeCell ref="H33:H35"/>
    <mergeCell ref="J33:J35"/>
    <mergeCell ref="L33:L35"/>
    <mergeCell ref="M33:M35"/>
    <mergeCell ref="N33:O35"/>
    <mergeCell ref="A30:A32"/>
    <mergeCell ref="B30:B32"/>
    <mergeCell ref="H30:H32"/>
    <mergeCell ref="J30:J32"/>
    <mergeCell ref="L30:L32"/>
    <mergeCell ref="M18:M20"/>
    <mergeCell ref="N18:O20"/>
    <mergeCell ref="A18:A20"/>
    <mergeCell ref="B18:B20"/>
    <mergeCell ref="H18:H20"/>
    <mergeCell ref="J18:J20"/>
    <mergeCell ref="A21:A23"/>
    <mergeCell ref="B21:B23"/>
    <mergeCell ref="H21:H23"/>
    <mergeCell ref="J21:J23"/>
    <mergeCell ref="C6:K6"/>
    <mergeCell ref="M6:N6"/>
    <mergeCell ref="A7:B7"/>
    <mergeCell ref="C7:F7"/>
    <mergeCell ref="G7:M7"/>
    <mergeCell ref="N15:O17"/>
    <mergeCell ref="A15:A17"/>
    <mergeCell ref="B15:B17"/>
    <mergeCell ref="H15:H17"/>
    <mergeCell ref="J15:J17"/>
    <mergeCell ref="L15:L17"/>
    <mergeCell ref="M15:M17"/>
    <mergeCell ref="B9:B11"/>
    <mergeCell ref="A1:B3"/>
    <mergeCell ref="C1:M3"/>
    <mergeCell ref="N1:O1"/>
    <mergeCell ref="N2:O2"/>
    <mergeCell ref="N3:O3"/>
    <mergeCell ref="A5:O5"/>
    <mergeCell ref="A12:A14"/>
    <mergeCell ref="B12:B14"/>
    <mergeCell ref="H12:H14"/>
    <mergeCell ref="J12:J14"/>
    <mergeCell ref="L12:L14"/>
    <mergeCell ref="M12:M14"/>
    <mergeCell ref="N12:O14"/>
    <mergeCell ref="G8:H8"/>
    <mergeCell ref="I8:J8"/>
    <mergeCell ref="K8:L8"/>
    <mergeCell ref="N8:O8"/>
    <mergeCell ref="A9:A11"/>
    <mergeCell ref="M9:M11"/>
    <mergeCell ref="N9:O11"/>
    <mergeCell ref="A6:B6"/>
    <mergeCell ref="H9:H11"/>
    <mergeCell ref="J9:J11"/>
    <mergeCell ref="L9:L11"/>
    <mergeCell ref="L18:L20"/>
    <mergeCell ref="A112:F112"/>
    <mergeCell ref="G112:H112"/>
    <mergeCell ref="I112:J112"/>
    <mergeCell ref="K112:L112"/>
    <mergeCell ref="N21:O23"/>
    <mergeCell ref="L21:L23"/>
    <mergeCell ref="M21:M23"/>
    <mergeCell ref="A24:A26"/>
    <mergeCell ref="B24:B26"/>
    <mergeCell ref="H24:H26"/>
    <mergeCell ref="J24:J26"/>
    <mergeCell ref="L24:L26"/>
    <mergeCell ref="M24:M26"/>
    <mergeCell ref="A111:F111"/>
    <mergeCell ref="G111:H111"/>
    <mergeCell ref="I111:J111"/>
    <mergeCell ref="K111:L111"/>
    <mergeCell ref="N24:O26"/>
    <mergeCell ref="A27:A29"/>
    <mergeCell ref="B27:B29"/>
    <mergeCell ref="H27:H29"/>
    <mergeCell ref="J27:J29"/>
    <mergeCell ref="N27:O29"/>
  </mergeCells>
  <conditionalFormatting sqref="O7">
    <cfRule type="containsText" dxfId="205" priority="58" operator="containsText" text="Sin Seguimientos">
      <formula>NOT(ISERROR(SEARCH("Sin Seguimientos",O7)))</formula>
    </cfRule>
  </conditionalFormatting>
  <conditionalFormatting sqref="G9:G110">
    <cfRule type="containsText" dxfId="204" priority="7" operator="containsText" text="NA">
      <formula>NOT(ISERROR(SEARCH("NA",G9)))</formula>
    </cfRule>
  </conditionalFormatting>
  <conditionalFormatting sqref="I9:I110">
    <cfRule type="containsText" dxfId="203" priority="4" operator="containsText" text="NA">
      <formula>NOT(ISERROR(SEARCH("NA",I9)))</formula>
    </cfRule>
  </conditionalFormatting>
  <conditionalFormatting sqref="K9:K110">
    <cfRule type="containsText" dxfId="202" priority="1" operator="containsText" text="NA">
      <formula>NOT(ISERROR(SEARCH("NA",K9)))</formula>
    </cfRule>
  </conditionalFormatting>
  <dataValidations count="1">
    <dataValidation operator="equal" allowBlank="1" showInputMessage="1" showErrorMessage="1" sqref="G9:H9 G12:H12 G18:H18 G15:H15 G21:H21 G10:G11 G13:G14 G16:G17 G19:G20 G22:G23 G103:G104 G24:H24 G27:H27 G30:H30 G33:H33 G36:H36 G39:H39 G42:H42 G45:H45 G48:H48 G51:H51 G54:H54 G57:H57 G60:H60 G63:H63 G66:H66 G69:H69 G72:H72 G75:H75 G78:H78 G81:H81 G84:H84 G87:H87 G90:H90 G93:H93 G96:H96 G99:H99 G102:H102 G105:H105 G25:G26 G28:G29 G31:G32 G34:G35 G37:G38 G40:G41 G43:G44 G46:G47 G49:G50 G52:G53 G55:G56 G58:G59 G61:G62 G64:G65 G67:G68 G70:G71 G73:G74 G76:G77 G79:G80 G82:G83 G85:G86 G88:G89 G91:G92 G94:G95 G97:G98 G100:G101 G106:G107 G108:H108 G109:G110"/>
  </dataValidations>
  <pageMargins left="0.7" right="0.7" top="0.75" bottom="0.75" header="0.3" footer="0.3"/>
  <pageSetup scale="4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56" operator="notEqual" id="{949FC871-97B6-4B9D-B32C-05B522C311AC}">
            <xm:f>VALORACIÓN!$D$10</xm:f>
            <x14:dxf>
              <font>
                <color auto="1"/>
              </font>
              <fill>
                <patternFill patternType="lightGrid">
                  <fgColor theme="0" tint="-4.9989318521683403E-2"/>
                  <bgColor theme="0"/>
                </patternFill>
              </fill>
            </x14:dxf>
          </x14:cfRule>
          <x14:cfRule type="cellIs" priority="57" operator="equal" id="{49E9E0D8-916E-4C60-8136-C59A59D307B5}">
            <xm:f>VALORACIÓN!$D$10</xm:f>
            <x14:dxf>
              <fill>
                <patternFill patternType="lightGrid">
                  <fgColor theme="0" tint="-4.9989318521683403E-2"/>
                </patternFill>
              </fill>
            </x14:dxf>
          </x14:cfRule>
          <xm:sqref>M111:M112</xm:sqref>
        </x14:conditionalFormatting>
        <x14:conditionalFormatting xmlns:xm="http://schemas.microsoft.com/office/excel/2006/main">
          <x14:cfRule type="cellIs" priority="54" operator="notEqual" id="{7C173B4E-71CE-4B5D-9DF5-B1F67492679F}">
            <xm:f>VALORACIÓN!$D$10</xm:f>
            <x14:dxf>
              <font>
                <color auto="1"/>
              </font>
              <fill>
                <patternFill patternType="lightGrid">
                  <fgColor theme="0" tint="-4.9989318521683403E-2"/>
                  <bgColor theme="0"/>
                </patternFill>
              </fill>
            </x14:dxf>
          </x14:cfRule>
          <x14:cfRule type="cellIs" priority="55" operator="equal" id="{C4B98F17-8A19-4FDE-AD1A-E78CC50C46DB}">
            <xm:f>VALORACIÓN!$D$10</xm:f>
            <x14:dxf>
              <fill>
                <patternFill patternType="lightGrid">
                  <fgColor theme="0" tint="-4.9989318521683403E-2"/>
                </patternFill>
              </fill>
            </x14:dxf>
          </x14:cfRule>
          <xm:sqref>G111:G112</xm:sqref>
        </x14:conditionalFormatting>
        <x14:conditionalFormatting xmlns:xm="http://schemas.microsoft.com/office/excel/2006/main">
          <x14:cfRule type="cellIs" priority="52" operator="notEqual" id="{46C7E50A-D88E-48FD-82F5-409BF2C75B40}">
            <xm:f>VALORACIÓN!$D$10</xm:f>
            <x14:dxf>
              <font>
                <color auto="1"/>
              </font>
              <fill>
                <patternFill patternType="lightGrid">
                  <fgColor theme="0" tint="-4.9989318521683403E-2"/>
                  <bgColor theme="0"/>
                </patternFill>
              </fill>
            </x14:dxf>
          </x14:cfRule>
          <x14:cfRule type="cellIs" priority="53" operator="equal" id="{170D05B2-BD3B-4DE3-86A8-A575B3C24639}">
            <xm:f>VALORACIÓN!$D$10</xm:f>
            <x14:dxf>
              <fill>
                <patternFill patternType="lightGrid">
                  <fgColor theme="0" tint="-4.9989318521683403E-2"/>
                </patternFill>
              </fill>
            </x14:dxf>
          </x14:cfRule>
          <xm:sqref>I111:I112</xm:sqref>
        </x14:conditionalFormatting>
        <x14:conditionalFormatting xmlns:xm="http://schemas.microsoft.com/office/excel/2006/main">
          <x14:cfRule type="cellIs" priority="50" operator="notEqual" id="{1737B7AE-99A0-4CD3-9899-E81DECC42FFD}">
            <xm:f>VALORACIÓN!$D$10</xm:f>
            <x14:dxf>
              <font>
                <color auto="1"/>
              </font>
              <fill>
                <patternFill patternType="lightGrid">
                  <fgColor theme="0" tint="-4.9989318521683403E-2"/>
                  <bgColor theme="0"/>
                </patternFill>
              </fill>
            </x14:dxf>
          </x14:cfRule>
          <x14:cfRule type="cellIs" priority="51" operator="equal" id="{CF9F882B-AF8F-4D47-85B2-F6175264C242}">
            <xm:f>VALORACIÓN!$D$10</xm:f>
            <x14:dxf>
              <fill>
                <patternFill patternType="lightGrid">
                  <fgColor theme="0" tint="-4.9989318521683403E-2"/>
                </patternFill>
              </fill>
            </x14:dxf>
          </x14:cfRule>
          <xm:sqref>K111:K112</xm:sqref>
        </x14:conditionalFormatting>
        <x14:conditionalFormatting xmlns:xm="http://schemas.microsoft.com/office/excel/2006/main">
          <x14:cfRule type="cellIs" priority="48" operator="notEqual" id="{D59BA7B6-D712-4654-953F-3287CA6678C1}">
            <xm:f>VALORACIÓN!$D$10</xm:f>
            <x14:dxf>
              <font>
                <color auto="1"/>
              </font>
              <fill>
                <patternFill patternType="lightGrid">
                  <fgColor theme="0" tint="-4.9989318521683403E-2"/>
                  <bgColor theme="0"/>
                </patternFill>
              </fill>
            </x14:dxf>
          </x14:cfRule>
          <x14:cfRule type="cellIs" priority="49" operator="equal" id="{0E610F22-BB93-4A8F-A596-C580643EBF06}">
            <xm:f>VALORACIÓN!$D$10</xm:f>
            <x14:dxf>
              <fill>
                <patternFill patternType="lightGrid">
                  <fgColor theme="0" tint="-4.9989318521683403E-2"/>
                </patternFill>
              </fill>
            </x14:dxf>
          </x14:cfRule>
          <xm:sqref>H9</xm:sqref>
        </x14:conditionalFormatting>
        <x14:conditionalFormatting xmlns:xm="http://schemas.microsoft.com/office/excel/2006/main">
          <x14:cfRule type="cellIs" priority="46" operator="notEqual" id="{4FEACBEF-1585-444E-BD57-BBBDED185C8E}">
            <xm:f>VALORACIÓN!$D$10</xm:f>
            <x14:dxf>
              <font>
                <color auto="1"/>
              </font>
              <fill>
                <patternFill patternType="lightGrid">
                  <fgColor theme="0" tint="-4.9989318521683403E-2"/>
                  <bgColor theme="0"/>
                </patternFill>
              </fill>
            </x14:dxf>
          </x14:cfRule>
          <x14:cfRule type="cellIs" priority="47" operator="equal" id="{45B0D7A8-FDD1-4873-9D1E-F66D83BBF17F}">
            <xm:f>VALORACIÓN!$D$10</xm:f>
            <x14:dxf>
              <fill>
                <patternFill patternType="lightGrid">
                  <fgColor theme="0" tint="-4.9989318521683403E-2"/>
                </patternFill>
              </fill>
            </x14:dxf>
          </x14:cfRule>
          <xm:sqref>J9 L9</xm:sqref>
        </x14:conditionalFormatting>
        <x14:conditionalFormatting xmlns:xm="http://schemas.microsoft.com/office/excel/2006/main">
          <x14:cfRule type="cellIs" priority="44" operator="notEqual" id="{0533B1B7-FDE7-4D8C-A7B4-936AEB8617B2}">
            <xm:f>VALORACIÓN!$D$10</xm:f>
            <x14:dxf>
              <font>
                <color auto="1"/>
              </font>
              <fill>
                <patternFill patternType="lightGrid">
                  <fgColor theme="0" tint="-4.9989318521683403E-2"/>
                  <bgColor theme="0"/>
                </patternFill>
              </fill>
            </x14:dxf>
          </x14:cfRule>
          <x14:cfRule type="cellIs" priority="45" operator="equal" id="{8C8D3A0F-E2E6-43AE-B11A-79E129DECE74}">
            <xm:f>VALORACIÓN!$D$10</xm:f>
            <x14:dxf>
              <fill>
                <patternFill patternType="lightGrid">
                  <fgColor theme="0" tint="-4.9989318521683403E-2"/>
                </patternFill>
              </fill>
            </x14:dxf>
          </x14:cfRule>
          <xm:sqref>M9</xm:sqref>
        </x14:conditionalFormatting>
        <x14:conditionalFormatting xmlns:xm="http://schemas.microsoft.com/office/excel/2006/main">
          <x14:cfRule type="cellIs" priority="42" operator="notEqual" id="{E3D48415-CEEC-4B08-85F1-B34FF7597166}">
            <xm:f>VALORACIÓN!$D$10</xm:f>
            <x14:dxf>
              <font>
                <color auto="1"/>
              </font>
              <fill>
                <patternFill patternType="lightGrid">
                  <fgColor theme="0" tint="-4.9989318521683403E-2"/>
                  <bgColor theme="0"/>
                </patternFill>
              </fill>
            </x14:dxf>
          </x14:cfRule>
          <x14:cfRule type="cellIs" priority="43" operator="equal" id="{CC41EE93-BECC-474F-B2E3-79FAA8818439}">
            <xm:f>VALORACIÓN!$D$10</xm:f>
            <x14:dxf>
              <fill>
                <patternFill patternType="lightGrid">
                  <fgColor theme="0" tint="-4.9989318521683403E-2"/>
                </patternFill>
              </fill>
            </x14:dxf>
          </x14:cfRule>
          <xm:sqref>N9 N12 N15 N18 N21 N24 N27 N30 N33 N36 N39 N42 N45 N48 N51 N54 N57 N60 N63 N66 N69 N72 N75 N78 N81 N84 N87 N90 N93 N96 N99 N102 N105 N108</xm:sqref>
        </x14:conditionalFormatting>
        <x14:conditionalFormatting xmlns:xm="http://schemas.microsoft.com/office/excel/2006/main">
          <x14:cfRule type="cellIs" priority="40" operator="notEqual" id="{8F0CC441-1905-472F-8826-EA6BEFA72871}">
            <xm:f>VALORACIÓN!$D$10</xm:f>
            <x14:dxf>
              <font>
                <color auto="1"/>
              </font>
              <fill>
                <patternFill patternType="lightGrid">
                  <fgColor theme="0" tint="-4.9989318521683403E-2"/>
                  <bgColor theme="0"/>
                </patternFill>
              </fill>
            </x14:dxf>
          </x14:cfRule>
          <x14:cfRule type="cellIs" priority="41" operator="equal" id="{625D85A2-F667-4E4E-96C5-7F6369A63CD3}">
            <xm:f>VALORACIÓN!$D$10</xm:f>
            <x14:dxf>
              <fill>
                <patternFill patternType="lightGrid">
                  <fgColor theme="0" tint="-4.9989318521683403E-2"/>
                </patternFill>
              </fill>
            </x14:dxf>
          </x14:cfRule>
          <xm:sqref>H12</xm:sqref>
        </x14:conditionalFormatting>
        <x14:conditionalFormatting xmlns:xm="http://schemas.microsoft.com/office/excel/2006/main">
          <x14:cfRule type="cellIs" priority="38" operator="notEqual" id="{C350FBC0-C067-4A02-9ECF-3202015826E7}">
            <xm:f>VALORACIÓN!$D$10</xm:f>
            <x14:dxf>
              <font>
                <color auto="1"/>
              </font>
              <fill>
                <patternFill patternType="lightGrid">
                  <fgColor theme="0" tint="-4.9989318521683403E-2"/>
                  <bgColor theme="0"/>
                </patternFill>
              </fill>
            </x14:dxf>
          </x14:cfRule>
          <x14:cfRule type="cellIs" priority="39" operator="equal" id="{244294BE-46D9-4515-8AD2-206BC8BF7DD1}">
            <xm:f>VALORACIÓN!$D$10</xm:f>
            <x14:dxf>
              <fill>
                <patternFill patternType="lightGrid">
                  <fgColor theme="0" tint="-4.9989318521683403E-2"/>
                </patternFill>
              </fill>
            </x14:dxf>
          </x14:cfRule>
          <xm:sqref>J12 L12</xm:sqref>
        </x14:conditionalFormatting>
        <x14:conditionalFormatting xmlns:xm="http://schemas.microsoft.com/office/excel/2006/main">
          <x14:cfRule type="cellIs" priority="36" operator="notEqual" id="{4B9C7861-B86D-49AF-9725-E1E4A483B671}">
            <xm:f>VALORACIÓN!$D$10</xm:f>
            <x14:dxf>
              <font>
                <color auto="1"/>
              </font>
              <fill>
                <patternFill patternType="lightGrid">
                  <fgColor theme="0" tint="-4.9989318521683403E-2"/>
                  <bgColor theme="0"/>
                </patternFill>
              </fill>
            </x14:dxf>
          </x14:cfRule>
          <x14:cfRule type="cellIs" priority="37" operator="equal" id="{FCFE2E29-80D2-4C1B-8D50-94151B6D5010}">
            <xm:f>VALORACIÓN!$D$10</xm:f>
            <x14:dxf>
              <fill>
                <patternFill patternType="lightGrid">
                  <fgColor theme="0" tint="-4.9989318521683403E-2"/>
                </patternFill>
              </fill>
            </x14:dxf>
          </x14:cfRule>
          <xm:sqref>M12</xm:sqref>
        </x14:conditionalFormatting>
        <x14:conditionalFormatting xmlns:xm="http://schemas.microsoft.com/office/excel/2006/main">
          <x14:cfRule type="cellIs" priority="32" operator="notEqual" id="{EEDD3AC0-8B2D-4AE9-AA79-70A8A1B4888D}">
            <xm:f>VALORACIÓN!$D$10</xm:f>
            <x14:dxf>
              <font>
                <color auto="1"/>
              </font>
              <fill>
                <patternFill patternType="lightGrid">
                  <fgColor theme="0" tint="-4.9989318521683403E-2"/>
                  <bgColor theme="0"/>
                </patternFill>
              </fill>
            </x14:dxf>
          </x14:cfRule>
          <x14:cfRule type="cellIs" priority="33" operator="equal" id="{5A516DD3-35CA-436B-8113-B26751C5E743}">
            <xm:f>VALORACIÓN!$D$10</xm:f>
            <x14:dxf>
              <fill>
                <patternFill patternType="lightGrid">
                  <fgColor theme="0" tint="-4.9989318521683403E-2"/>
                </patternFill>
              </fill>
            </x14:dxf>
          </x14:cfRule>
          <xm:sqref>H15</xm:sqref>
        </x14:conditionalFormatting>
        <x14:conditionalFormatting xmlns:xm="http://schemas.microsoft.com/office/excel/2006/main">
          <x14:cfRule type="cellIs" priority="30" operator="notEqual" id="{FFC73538-3E48-4A80-857D-DCE86C0C183F}">
            <xm:f>VALORACIÓN!$D$10</xm:f>
            <x14:dxf>
              <font>
                <color auto="1"/>
              </font>
              <fill>
                <patternFill patternType="lightGrid">
                  <fgColor theme="0" tint="-4.9989318521683403E-2"/>
                  <bgColor theme="0"/>
                </patternFill>
              </fill>
            </x14:dxf>
          </x14:cfRule>
          <x14:cfRule type="cellIs" priority="31" operator="equal" id="{FB359B88-DDE1-44F1-A43D-9E032BF88AC5}">
            <xm:f>VALORACIÓN!$D$10</xm:f>
            <x14:dxf>
              <fill>
                <patternFill patternType="lightGrid">
                  <fgColor theme="0" tint="-4.9989318521683403E-2"/>
                </patternFill>
              </fill>
            </x14:dxf>
          </x14:cfRule>
          <xm:sqref>J15 L15</xm:sqref>
        </x14:conditionalFormatting>
        <x14:conditionalFormatting xmlns:xm="http://schemas.microsoft.com/office/excel/2006/main">
          <x14:cfRule type="cellIs" priority="28" operator="notEqual" id="{676D2C38-2C1B-4C71-B681-1700D333E21C}">
            <xm:f>VALORACIÓN!$D$10</xm:f>
            <x14:dxf>
              <font>
                <color auto="1"/>
              </font>
              <fill>
                <patternFill patternType="lightGrid">
                  <fgColor theme="0" tint="-4.9989318521683403E-2"/>
                  <bgColor theme="0"/>
                </patternFill>
              </fill>
            </x14:dxf>
          </x14:cfRule>
          <x14:cfRule type="cellIs" priority="29" operator="equal" id="{282D5A0F-BEF8-4A7C-A2B0-5518E1CC8EE0}">
            <xm:f>VALORACIÓN!$D$10</xm:f>
            <x14:dxf>
              <fill>
                <patternFill patternType="lightGrid">
                  <fgColor theme="0" tint="-4.9989318521683403E-2"/>
                </patternFill>
              </fill>
            </x14:dxf>
          </x14:cfRule>
          <xm:sqref>M15</xm:sqref>
        </x14:conditionalFormatting>
        <x14:conditionalFormatting xmlns:xm="http://schemas.microsoft.com/office/excel/2006/main">
          <x14:cfRule type="cellIs" priority="24" operator="notEqual" id="{83E813AB-CD88-48D6-853E-64513FBA7E51}">
            <xm:f>VALORACIÓN!$D$10</xm:f>
            <x14:dxf>
              <font>
                <color auto="1"/>
              </font>
              <fill>
                <patternFill patternType="lightGrid">
                  <fgColor theme="0" tint="-4.9989318521683403E-2"/>
                  <bgColor theme="0"/>
                </patternFill>
              </fill>
            </x14:dxf>
          </x14:cfRule>
          <x14:cfRule type="cellIs" priority="25" operator="equal" id="{6AB39ECC-90BF-4119-A1B3-10BC5E042CCD}">
            <xm:f>VALORACIÓN!$D$10</xm:f>
            <x14:dxf>
              <fill>
                <patternFill patternType="lightGrid">
                  <fgColor theme="0" tint="-4.9989318521683403E-2"/>
                </patternFill>
              </fill>
            </x14:dxf>
          </x14:cfRule>
          <xm:sqref>H18</xm:sqref>
        </x14:conditionalFormatting>
        <x14:conditionalFormatting xmlns:xm="http://schemas.microsoft.com/office/excel/2006/main">
          <x14:cfRule type="cellIs" priority="22" operator="notEqual" id="{18BB33DB-FF61-4E4A-9EB7-E77646ADE7AC}">
            <xm:f>VALORACIÓN!$D$10</xm:f>
            <x14:dxf>
              <font>
                <color auto="1"/>
              </font>
              <fill>
                <patternFill patternType="lightGrid">
                  <fgColor theme="0" tint="-4.9989318521683403E-2"/>
                  <bgColor theme="0"/>
                </patternFill>
              </fill>
            </x14:dxf>
          </x14:cfRule>
          <x14:cfRule type="cellIs" priority="23" operator="equal" id="{07A903D9-6E29-48F4-827E-45FBAD93B8B7}">
            <xm:f>VALORACIÓN!$D$10</xm:f>
            <x14:dxf>
              <fill>
                <patternFill patternType="lightGrid">
                  <fgColor theme="0" tint="-4.9989318521683403E-2"/>
                </patternFill>
              </fill>
            </x14:dxf>
          </x14:cfRule>
          <xm:sqref>J18 L18</xm:sqref>
        </x14:conditionalFormatting>
        <x14:conditionalFormatting xmlns:xm="http://schemas.microsoft.com/office/excel/2006/main">
          <x14:cfRule type="cellIs" priority="20" operator="notEqual" id="{B8C7A224-794D-4BB0-AE17-01155ACDD2A0}">
            <xm:f>VALORACIÓN!$D$10</xm:f>
            <x14:dxf>
              <font>
                <color auto="1"/>
              </font>
              <fill>
                <patternFill patternType="lightGrid">
                  <fgColor theme="0" tint="-4.9989318521683403E-2"/>
                  <bgColor theme="0"/>
                </patternFill>
              </fill>
            </x14:dxf>
          </x14:cfRule>
          <x14:cfRule type="cellIs" priority="21" operator="equal" id="{AC60B3A2-C1D9-4A39-B0FF-869DD2BE9ED5}">
            <xm:f>VALORACIÓN!$D$10</xm:f>
            <x14:dxf>
              <fill>
                <patternFill patternType="lightGrid">
                  <fgColor theme="0" tint="-4.9989318521683403E-2"/>
                </patternFill>
              </fill>
            </x14:dxf>
          </x14:cfRule>
          <xm:sqref>M18</xm:sqref>
        </x14:conditionalFormatting>
        <x14:conditionalFormatting xmlns:xm="http://schemas.microsoft.com/office/excel/2006/main">
          <x14:cfRule type="cellIs" priority="16" operator="notEqual" id="{7F2768D3-E5B7-41E8-8CCB-AF23276327CC}">
            <xm:f>VALORACIÓN!$D$10</xm:f>
            <x14:dxf>
              <font>
                <color auto="1"/>
              </font>
              <fill>
                <patternFill patternType="lightGrid">
                  <fgColor theme="0" tint="-4.9989318521683403E-2"/>
                  <bgColor theme="0"/>
                </patternFill>
              </fill>
            </x14:dxf>
          </x14:cfRule>
          <x14:cfRule type="cellIs" priority="17" operator="equal" id="{430761D8-8C1F-4E0F-B2DF-3A5ED46FAD16}">
            <xm:f>VALORACIÓN!$D$10</xm:f>
            <x14:dxf>
              <fill>
                <patternFill patternType="lightGrid">
                  <fgColor theme="0" tint="-4.9989318521683403E-2"/>
                </patternFill>
              </fill>
            </x14:dxf>
          </x14:cfRule>
          <xm:sqref>H21 H24 H27 H30 H33 H36 H39 H42 H45 H48 H51 H54 H57 H60 H63 H66 H69 H72 H75 H78 H81 H84 H87 H90 H93 H96 H99 H102 H105 H108</xm:sqref>
        </x14:conditionalFormatting>
        <x14:conditionalFormatting xmlns:xm="http://schemas.microsoft.com/office/excel/2006/main">
          <x14:cfRule type="cellIs" priority="14" operator="notEqual" id="{52E1C103-A9C0-428C-A168-B452C8A4B66A}">
            <xm:f>VALORACIÓN!$D$10</xm:f>
            <x14:dxf>
              <font>
                <color auto="1"/>
              </font>
              <fill>
                <patternFill patternType="lightGrid">
                  <fgColor theme="0" tint="-4.9989318521683403E-2"/>
                  <bgColor theme="0"/>
                </patternFill>
              </fill>
            </x14:dxf>
          </x14:cfRule>
          <x14:cfRule type="cellIs" priority="15" operator="equal" id="{778AD0FE-BCF2-43AA-87B2-8D9304FE5DF4}">
            <xm:f>VALORACIÓN!$D$10</xm:f>
            <x14:dxf>
              <fill>
                <patternFill patternType="lightGrid">
                  <fgColor theme="0" tint="-4.9989318521683403E-2"/>
                </patternFill>
              </fill>
            </x14:dxf>
          </x14:cfRule>
          <xm:sqref>J21 L21 J24 J27 J30 J33 J36 J39 J42 J45 J48 J51 J54 J57 J60 J63 J66 J69 J72 J75 J78 J81 J84 J87 J90 J93 J96 J99 J102 J105 L24 L27 L30 L33 L36 L39 L42 L45 L48 L51 L54 L57 L60 L63 L66 L69 L72 L75 L78 L81 L84 L87 L90 L93 L96 L99 L102 L105 J108 L108</xm:sqref>
        </x14:conditionalFormatting>
        <x14:conditionalFormatting xmlns:xm="http://schemas.microsoft.com/office/excel/2006/main">
          <x14:cfRule type="cellIs" priority="12" operator="notEqual" id="{F4ED788D-247C-46EB-A84B-ADFE31D853EE}">
            <xm:f>VALORACIÓN!$D$10</xm:f>
            <x14:dxf>
              <font>
                <color auto="1"/>
              </font>
              <fill>
                <patternFill patternType="lightGrid">
                  <fgColor theme="0" tint="-4.9989318521683403E-2"/>
                  <bgColor theme="0"/>
                </patternFill>
              </fill>
            </x14:dxf>
          </x14:cfRule>
          <x14:cfRule type="cellIs" priority="13" operator="equal" id="{0E6A0DE3-D501-4F95-8556-A8701B58A1CD}">
            <xm:f>VALORACIÓN!$D$10</xm:f>
            <x14:dxf>
              <fill>
                <patternFill patternType="lightGrid">
                  <fgColor theme="0" tint="-4.9989318521683403E-2"/>
                </patternFill>
              </fill>
            </x14:dxf>
          </x14:cfRule>
          <xm:sqref>M21 M24 M27 M30 M33 M36 M39 M42 M45 M48 M51 M54 M57 M60 M63 M66 M69 M72 M75 M78 M81 M84 M87 M90 M93 M96 M99 M102 M105 M108</xm:sqref>
        </x14:conditionalFormatting>
        <x14:conditionalFormatting xmlns:xm="http://schemas.microsoft.com/office/excel/2006/main">
          <x14:cfRule type="cellIs" priority="8" operator="notEqual" id="{8C878754-FAB5-46A3-A11B-2906A294BB8C}">
            <xm:f>VALORACIÓN!$D$10</xm:f>
            <x14:dxf>
              <font>
                <color auto="1"/>
              </font>
              <fill>
                <patternFill patternType="lightGrid">
                  <fgColor theme="0" tint="-4.9989318521683403E-2"/>
                  <bgColor theme="0"/>
                </patternFill>
              </fill>
            </x14:dxf>
          </x14:cfRule>
          <x14:cfRule type="cellIs" priority="9" operator="equal" id="{260A3007-673F-4AE1-853A-25B6F99E2C9F}">
            <xm:f>VALORACIÓN!$D$10</xm:f>
            <x14:dxf>
              <fill>
                <patternFill patternType="lightGrid">
                  <fgColor theme="0" tint="-4.9989318521683403E-2"/>
                </patternFill>
              </fill>
            </x14:dxf>
          </x14:cfRule>
          <xm:sqref>G9:G110</xm:sqref>
        </x14:conditionalFormatting>
        <x14:conditionalFormatting xmlns:xm="http://schemas.microsoft.com/office/excel/2006/main">
          <x14:cfRule type="cellIs" priority="5" operator="notEqual" id="{F4B67A89-78A2-4454-BC31-A45B3824B3B4}">
            <xm:f>VALORACIÓN!$D$10</xm:f>
            <x14:dxf>
              <font>
                <color auto="1"/>
              </font>
              <fill>
                <patternFill patternType="lightGrid">
                  <fgColor theme="0" tint="-4.9989318521683403E-2"/>
                  <bgColor theme="0"/>
                </patternFill>
              </fill>
            </x14:dxf>
          </x14:cfRule>
          <x14:cfRule type="cellIs" priority="6" operator="equal" id="{7BD1ED63-EA35-4A17-9F01-0A08CA9F8FA0}">
            <xm:f>VALORACIÓN!$D$10</xm:f>
            <x14:dxf>
              <fill>
                <patternFill patternType="lightGrid">
                  <fgColor theme="0" tint="-4.9989318521683403E-2"/>
                </patternFill>
              </fill>
            </x14:dxf>
          </x14:cfRule>
          <xm:sqref>I9:I110</xm:sqref>
        </x14:conditionalFormatting>
        <x14:conditionalFormatting xmlns:xm="http://schemas.microsoft.com/office/excel/2006/main">
          <x14:cfRule type="cellIs" priority="2" operator="notEqual" id="{096D8F66-1585-48D8-8231-FB9B24699C6D}">
            <xm:f>VALORACIÓN!$D$10</xm:f>
            <x14:dxf>
              <font>
                <color auto="1"/>
              </font>
              <fill>
                <patternFill patternType="lightGrid">
                  <fgColor theme="0" tint="-4.9989318521683403E-2"/>
                  <bgColor theme="0"/>
                </patternFill>
              </fill>
            </x14:dxf>
          </x14:cfRule>
          <x14:cfRule type="cellIs" priority="3" operator="equal" id="{3C216C8E-55C8-4A99-8CD3-6F96F9EEB727}">
            <xm:f>VALORACIÓN!$D$10</xm:f>
            <x14:dxf>
              <fill>
                <patternFill patternType="lightGrid">
                  <fgColor theme="0" tint="-4.9989318521683403E-2"/>
                </patternFill>
              </fill>
            </x14:dxf>
          </x14:cfRule>
          <xm:sqref>K9:K110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7030A0"/>
  </sheetPr>
  <dimension ref="A1:K38"/>
  <sheetViews>
    <sheetView view="pageBreakPreview" zoomScaleNormal="100" zoomScaleSheetLayoutView="100" workbookViewId="0">
      <pane xSplit="2" ySplit="8" topLeftCell="C33"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5" width="9" style="96" customWidth="1"/>
    <col min="6" max="6" width="12" hidden="1" customWidth="1"/>
    <col min="7" max="7" width="31" customWidth="1"/>
    <col min="8" max="8" width="25.109375" customWidth="1"/>
  </cols>
  <sheetData>
    <row r="1" spans="1:11" ht="15" customHeight="1" x14ac:dyDescent="0.2">
      <c r="A1" s="433" t="s">
        <v>145</v>
      </c>
      <c r="B1" s="433"/>
      <c r="C1" s="651" t="s">
        <v>206</v>
      </c>
      <c r="D1" s="652"/>
      <c r="E1" s="652"/>
      <c r="F1" s="652"/>
      <c r="G1" s="653"/>
      <c r="H1" s="182" t="s">
        <v>71</v>
      </c>
      <c r="I1" s="392"/>
      <c r="J1" s="392"/>
      <c r="K1" s="392"/>
    </row>
    <row r="2" spans="1:11" ht="15" customHeight="1" x14ac:dyDescent="0.2">
      <c r="A2" s="433"/>
      <c r="B2" s="433"/>
      <c r="C2" s="654"/>
      <c r="D2" s="655"/>
      <c r="E2" s="655"/>
      <c r="F2" s="655"/>
      <c r="G2" s="656"/>
      <c r="H2" s="182" t="s">
        <v>107</v>
      </c>
      <c r="I2" s="392"/>
      <c r="J2" s="392"/>
      <c r="K2" s="392"/>
    </row>
    <row r="3" spans="1:11" ht="15" customHeight="1" x14ac:dyDescent="0.2">
      <c r="A3" s="433"/>
      <c r="B3" s="433"/>
      <c r="C3" s="657"/>
      <c r="D3" s="658"/>
      <c r="E3" s="658"/>
      <c r="F3" s="658"/>
      <c r="G3" s="659"/>
      <c r="H3" s="182" t="s">
        <v>408</v>
      </c>
      <c r="I3" s="392"/>
      <c r="J3" s="392"/>
      <c r="K3" s="392"/>
    </row>
    <row r="4" spans="1:11" ht="3.75" customHeight="1" x14ac:dyDescent="0.2">
      <c r="A4" s="33"/>
      <c r="B4" s="34"/>
      <c r="C4" s="35"/>
      <c r="D4" s="35"/>
      <c r="E4" s="38"/>
      <c r="F4" s="38"/>
      <c r="G4" s="49"/>
      <c r="H4" s="49"/>
      <c r="I4" s="392"/>
      <c r="J4" s="392"/>
      <c r="K4" s="392"/>
    </row>
    <row r="5" spans="1:11" ht="15.75" x14ac:dyDescent="0.2">
      <c r="A5" s="435" t="s">
        <v>184</v>
      </c>
      <c r="B5" s="435"/>
      <c r="C5" s="435"/>
      <c r="D5" s="435"/>
      <c r="E5" s="514"/>
      <c r="F5" s="514"/>
      <c r="G5" s="514"/>
      <c r="H5" s="514"/>
      <c r="I5" s="392"/>
      <c r="J5" s="392"/>
      <c r="K5" s="392"/>
    </row>
    <row r="6" spans="1:11" ht="15.75" customHeight="1" x14ac:dyDescent="0.2">
      <c r="A6" s="489" t="str">
        <f>'CONTEXTO ESTRATEGICO'!A7</f>
        <v>INSTITUCIONAL</v>
      </c>
      <c r="B6" s="489"/>
      <c r="C6" s="606" t="str">
        <f>'SEGUIMIENTO Y MONITOREO'!C6</f>
        <v>Mapa de Riesgo Institucional</v>
      </c>
      <c r="D6" s="607"/>
      <c r="E6" s="607"/>
      <c r="F6" s="607"/>
      <c r="G6" s="173" t="str">
        <f>'SEGUIMIENTO Y MONITOREO'!E6</f>
        <v>Fecha de Actualización (AAAA/MM/DD)</v>
      </c>
      <c r="H6" s="171">
        <f>'SEGUIMIENTO Y MONITOREO'!H6</f>
        <v>42443</v>
      </c>
      <c r="I6" s="392"/>
      <c r="J6" s="392"/>
      <c r="K6" s="392"/>
    </row>
    <row r="7" spans="1:11" ht="15.75" customHeight="1" x14ac:dyDescent="0.2">
      <c r="A7" s="489"/>
      <c r="B7" s="489"/>
      <c r="C7" s="660" t="s">
        <v>161</v>
      </c>
      <c r="D7" s="661"/>
      <c r="E7" s="661"/>
      <c r="F7" s="662"/>
      <c r="G7" s="170" t="s">
        <v>185</v>
      </c>
      <c r="H7" s="172">
        <f>'SEGUIMIENTO Y MONITOREO'!$AX$7</f>
        <v>42735</v>
      </c>
      <c r="I7" s="392"/>
      <c r="J7" s="392"/>
      <c r="K7" s="392"/>
    </row>
    <row r="8" spans="1:11" ht="24" customHeight="1" x14ac:dyDescent="0.2">
      <c r="A8" s="154" t="s">
        <v>22</v>
      </c>
      <c r="B8" s="154" t="s">
        <v>28</v>
      </c>
      <c r="C8" s="174" t="str">
        <f>TGS!G8</f>
        <v>% 1ER CuaT</v>
      </c>
      <c r="D8" s="174" t="str">
        <f>TGS!I8</f>
        <v>% 2DO CuaT</v>
      </c>
      <c r="E8" s="183" t="str">
        <f>TGS!K8</f>
        <v>% 3ER CuaT</v>
      </c>
      <c r="F8" s="169" t="s">
        <v>201</v>
      </c>
      <c r="G8" s="650"/>
      <c r="H8" s="650"/>
      <c r="I8" s="392"/>
      <c r="J8" s="392"/>
      <c r="K8" s="392"/>
    </row>
    <row r="9" spans="1:11" ht="22.5" customHeight="1" x14ac:dyDescent="0.2">
      <c r="A9" s="178" t="str">
        <f>IDENTIFICACIÓN!C9</f>
        <v>1G</v>
      </c>
      <c r="B9" s="179" t="str">
        <f>IF(IDENTIFICACIÓN!D9="","",IDENTIFICACIÓN!D9)</f>
        <v>Relaciones Interinstitucionales. Concentrar labores múltiples en poco personal</v>
      </c>
      <c r="C9" s="314" t="str">
        <f>'SEGUIMIENTO Y MONITOREO'!AR9</f>
        <v>NA</v>
      </c>
      <c r="D9" s="391">
        <f>'SEGUIMIENTO Y MONITOREO'!AS9</f>
        <v>0</v>
      </c>
      <c r="E9" s="391">
        <f>'SEGUIMIENTO Y MONITOREO'!AU9</f>
        <v>1</v>
      </c>
      <c r="F9" s="180">
        <f>'SEGUIMIENTO Y MONITOREO'!AW9</f>
        <v>1</v>
      </c>
      <c r="G9" s="644"/>
      <c r="H9" s="644"/>
      <c r="I9" s="392"/>
      <c r="J9" s="392"/>
      <c r="K9" s="392"/>
    </row>
    <row r="10" spans="1:11" ht="22.5" customHeight="1" x14ac:dyDescent="0.2">
      <c r="A10" s="178" t="str">
        <f>IDENTIFICACIÓN!C10</f>
        <v>2G</v>
      </c>
      <c r="B10" s="179" t="str">
        <f>IF(IDENTIFICACIÓN!D10="","",IDENTIFICACIÓN!D10)</f>
        <v xml:space="preserve">Relaciones Interinstitucionales. Escaso registro y control de la movilidad internacional entrante y saliente. </v>
      </c>
      <c r="C10" s="391">
        <f>'SEGUIMIENTO Y MONITOREO'!AR12</f>
        <v>1</v>
      </c>
      <c r="D10" s="391">
        <f>'SEGUIMIENTO Y MONITOREO'!AS12</f>
        <v>1</v>
      </c>
      <c r="E10" s="391">
        <f>'SEGUIMIENTO Y MONITOREO'!AU12</f>
        <v>1</v>
      </c>
      <c r="F10" s="180">
        <f>'SEGUIMIENTO Y MONITOREO'!AW12</f>
        <v>1</v>
      </c>
      <c r="G10" s="644"/>
      <c r="H10" s="644"/>
      <c r="I10" s="392"/>
      <c r="J10" s="392"/>
      <c r="K10" s="392"/>
    </row>
    <row r="11" spans="1:11" ht="22.5" customHeight="1" x14ac:dyDescent="0.2">
      <c r="A11" s="178" t="str">
        <f>IDENTIFICACIÓN!C11</f>
        <v>3G</v>
      </c>
      <c r="B11" s="179" t="str">
        <f>IF(IDENTIFICACIÓN!D11="","",IDENTIFICACIÓN!D11)</f>
        <v>Relaciones Interinstitucionales. Gestionar la movilidad internacional sin requisitos legales</v>
      </c>
      <c r="C11" s="391">
        <f>'SEGUIMIENTO Y MONITOREO'!AR15</f>
        <v>1</v>
      </c>
      <c r="D11" s="391">
        <f>'SEGUIMIENTO Y MONITOREO'!AS15</f>
        <v>1</v>
      </c>
      <c r="E11" s="391">
        <f>'SEGUIMIENTO Y MONITOREO'!AU15</f>
        <v>1</v>
      </c>
      <c r="F11" s="180">
        <f>'SEGUIMIENTO Y MONITOREO'!AW15</f>
        <v>1</v>
      </c>
      <c r="G11" s="644"/>
      <c r="H11" s="644"/>
      <c r="I11" s="392"/>
      <c r="J11" s="392"/>
      <c r="K11" s="392"/>
    </row>
    <row r="12" spans="1:11" ht="22.5" customHeight="1" x14ac:dyDescent="0.2">
      <c r="A12" s="178" t="str">
        <f>IDENTIFICACIÓN!C12</f>
        <v>4G</v>
      </c>
      <c r="B12" s="179" t="str">
        <f>IF(IDENTIFICACIÓN!D12="","",IDENTIFICACIÓN!D12)</f>
        <v>Acreditación. Insuficiente Implementación de la Política Institucional de Autoevaluación, Acreditación y Aseguramiento de la calidad</v>
      </c>
      <c r="C12" s="391">
        <f>'SEGUIMIENTO Y MONITOREO'!AR18</f>
        <v>0</v>
      </c>
      <c r="D12" s="391">
        <f>'SEGUIMIENTO Y MONITOREO'!AS18</f>
        <v>0.5</v>
      </c>
      <c r="E12" s="391">
        <f>'SEGUIMIENTO Y MONITOREO'!AU18</f>
        <v>0.5</v>
      </c>
      <c r="F12" s="180">
        <f>'SEGUIMIENTO Y MONITOREO'!AW18</f>
        <v>0.5</v>
      </c>
      <c r="G12" s="644"/>
      <c r="H12" s="644"/>
      <c r="I12" s="392"/>
      <c r="J12" s="392"/>
      <c r="K12" s="392"/>
    </row>
    <row r="13" spans="1:11" ht="22.5" customHeight="1" x14ac:dyDescent="0.2">
      <c r="A13" s="178" t="str">
        <f>IDENTIFICACIÓN!C13</f>
        <v>5G</v>
      </c>
      <c r="B13" s="179" t="str">
        <f>IF(IDENTIFICACIÓN!D13="","",IDENTIFICACIÓN!D13)</f>
        <v xml:space="preserve">Acreditación. Deficiencia en la calidad técnica de los informes </v>
      </c>
      <c r="C13" s="391">
        <f>'SEGUIMIENTO Y MONITOREO'!AR21</f>
        <v>1</v>
      </c>
      <c r="D13" s="391">
        <f>'SEGUIMIENTO Y MONITOREO'!AS21</f>
        <v>1</v>
      </c>
      <c r="E13" s="391">
        <f>'SEGUIMIENTO Y MONITOREO'!AU21</f>
        <v>1</v>
      </c>
      <c r="F13" s="180">
        <f>'SEGUIMIENTO Y MONITOREO'!AW21</f>
        <v>1</v>
      </c>
      <c r="G13" s="644"/>
      <c r="H13" s="644"/>
      <c r="I13" s="392"/>
      <c r="J13" s="392"/>
      <c r="K13" s="392"/>
    </row>
    <row r="14" spans="1:11" ht="22.5" customHeight="1" x14ac:dyDescent="0.2">
      <c r="A14" s="178" t="str">
        <f>IDENTIFICACIÓN!C14</f>
        <v>6G</v>
      </c>
      <c r="B14" s="179" t="str">
        <f>IF(IDENTIFICACIÓN!D14="","",IDENTIFICACIÓN!D14)</f>
        <v>Acreditación. Negación de la acreditación o de la renovación de registro calificado</v>
      </c>
      <c r="C14" s="391" t="str">
        <f>'SEGUIMIENTO Y MONITOREO'!AR24</f>
        <v>NA</v>
      </c>
      <c r="D14" s="391" t="str">
        <f>'SEGUIMIENTO Y MONITOREO'!AS24</f>
        <v>NA</v>
      </c>
      <c r="E14" s="391" t="str">
        <f>'SEGUIMIENTO Y MONITOREO'!AU24</f>
        <v>NA</v>
      </c>
      <c r="F14" s="180" t="str">
        <f>'SEGUIMIENTO Y MONITOREO'!AW24</f>
        <v>NA</v>
      </c>
      <c r="G14" s="644"/>
      <c r="H14" s="644"/>
      <c r="I14" s="392"/>
      <c r="J14" s="392"/>
      <c r="K14" s="392"/>
    </row>
    <row r="15" spans="1:11" ht="22.5" customHeight="1" x14ac:dyDescent="0.2">
      <c r="A15" s="178" t="str">
        <f>IDENTIFICACIÓN!C15</f>
        <v>7G</v>
      </c>
      <c r="B15" s="179" t="str">
        <f>IF(IDENTIFICACIÓN!D15="","",IDENTIFICACIÓN!D15)</f>
        <v>Acreditación. Incumplimiento en algunas actividades establecidas en el plan de trabajo</v>
      </c>
      <c r="C15" s="391" t="str">
        <f>'SEGUIMIENTO Y MONITOREO'!AR27</f>
        <v>NA</v>
      </c>
      <c r="D15" s="391" t="str">
        <f>'SEGUIMIENTO Y MONITOREO'!AS27</f>
        <v>NA</v>
      </c>
      <c r="E15" s="391" t="str">
        <f>'SEGUIMIENTO Y MONITOREO'!AU27</f>
        <v>NA</v>
      </c>
      <c r="F15" s="180" t="str">
        <f>'SEGUIMIENTO Y MONITOREO'!AW27</f>
        <v>NA</v>
      </c>
      <c r="G15" s="644"/>
      <c r="H15" s="644"/>
      <c r="I15" s="392"/>
      <c r="J15" s="392"/>
      <c r="K15" s="392"/>
    </row>
    <row r="16" spans="1:11" ht="22.5" customHeight="1" x14ac:dyDescent="0.2">
      <c r="A16" s="178" t="str">
        <f>IDENTIFICACIÓN!C16</f>
        <v>8G</v>
      </c>
      <c r="B16" s="179" t="str">
        <f>IF(IDENTIFICACIÓN!D16="","",IDENTIFICACIÓN!D16)</f>
        <v>Acreditación. Retraso en el otorgamiento o renovacion del registro calificado</v>
      </c>
      <c r="C16" s="391" t="str">
        <f>'SEGUIMIENTO Y MONITOREO'!AR30</f>
        <v>NA</v>
      </c>
      <c r="D16" s="391" t="str">
        <f>'SEGUIMIENTO Y MONITOREO'!AS30</f>
        <v>NA</v>
      </c>
      <c r="E16" s="391" t="str">
        <f>'SEGUIMIENTO Y MONITOREO'!AU30</f>
        <v>NA</v>
      </c>
      <c r="F16" s="180" t="str">
        <f>'SEGUIMIENTO Y MONITOREO'!AW30</f>
        <v>NA</v>
      </c>
      <c r="G16" s="644"/>
      <c r="H16" s="644"/>
      <c r="I16" s="392"/>
      <c r="J16" s="392"/>
      <c r="K16" s="392"/>
    </row>
    <row r="17" spans="1:11" ht="22.5" customHeight="1" x14ac:dyDescent="0.2">
      <c r="A17" s="178" t="str">
        <f>IDENTIFICACIÓN!C17</f>
        <v>9G</v>
      </c>
      <c r="B17" s="179" t="str">
        <f>IF(IDENTIFICACIÓN!D17="","",IDENTIFICACIÓN!D17)</f>
        <v>Gestión de la Calidad. La alta dirección no asegura la disponibilidad de los recursos para el mantenimiento y mejora del sistema.</v>
      </c>
      <c r="C17" s="391">
        <f>'SEGUIMIENTO Y MONITOREO'!AR33</f>
        <v>1</v>
      </c>
      <c r="D17" s="391">
        <f>'SEGUIMIENTO Y MONITOREO'!AS33</f>
        <v>1</v>
      </c>
      <c r="E17" s="391">
        <f>'SEGUIMIENTO Y MONITOREO'!AU33</f>
        <v>1</v>
      </c>
      <c r="F17" s="180">
        <f>'SEGUIMIENTO Y MONITOREO'!AW33</f>
        <v>1</v>
      </c>
      <c r="G17" s="644"/>
      <c r="H17" s="644"/>
      <c r="I17" s="392"/>
      <c r="J17" s="392"/>
      <c r="K17" s="392"/>
    </row>
    <row r="18" spans="1:11" ht="22.5" customHeight="1" x14ac:dyDescent="0.2">
      <c r="A18" s="178" t="str">
        <f>IDENTIFICACIÓN!C18</f>
        <v>10G</v>
      </c>
      <c r="B18" s="179" t="str">
        <f>IF(IDENTIFICACIÓN!D18="","",IDENTIFICACIÓN!D18)</f>
        <v>Comunicaciones. Inoportuna e ineficaz divulgación de los productos comunicativos y publicitarios ante los usuarios internos y externos.</v>
      </c>
      <c r="C18" s="391">
        <f>'SEGUIMIENTO Y MONITOREO'!AR36</f>
        <v>0.125</v>
      </c>
      <c r="D18" s="391">
        <f>'SEGUIMIENTO Y MONITOREO'!AS36</f>
        <v>0.25</v>
      </c>
      <c r="E18" s="391">
        <f>'SEGUIMIENTO Y MONITOREO'!AU36</f>
        <v>0.25</v>
      </c>
      <c r="F18" s="180">
        <f>'SEGUIMIENTO Y MONITOREO'!AW36</f>
        <v>0.25</v>
      </c>
      <c r="G18" s="644"/>
      <c r="H18" s="644"/>
      <c r="I18" s="392"/>
      <c r="J18" s="392"/>
      <c r="K18" s="392"/>
    </row>
    <row r="19" spans="1:11" ht="22.5" customHeight="1" x14ac:dyDescent="0.2">
      <c r="A19" s="390" t="str">
        <f>IDENTIFICACIÓN!C19</f>
        <v>11G</v>
      </c>
      <c r="B19" s="389" t="str">
        <f>IF(IDENTIFICACIÓN!D19="","",IDENTIFICACIÓN!D19)</f>
        <v>Gestión Academica. Pérdida de Registro Calificado de los Programas Académicos.</v>
      </c>
      <c r="C19" s="391" t="str">
        <f>'SEGUIMIENTO Y MONITOREO'!AR39</f>
        <v>NA</v>
      </c>
      <c r="D19" s="391">
        <f>'SEGUIMIENTO Y MONITOREO'!AS39</f>
        <v>3.5000000000000003E-2</v>
      </c>
      <c r="E19" s="391">
        <f>'SEGUIMIENTO Y MONITOREO'!AU39</f>
        <v>0.05</v>
      </c>
      <c r="F19" s="391">
        <f>'SEGUIMIENTO Y MONITOREO'!AW39</f>
        <v>0.05</v>
      </c>
      <c r="G19" s="392"/>
      <c r="H19" s="392"/>
      <c r="I19" s="392"/>
      <c r="J19" s="392"/>
      <c r="K19" s="392"/>
    </row>
    <row r="20" spans="1:11" ht="22.5" customHeight="1" x14ac:dyDescent="0.2">
      <c r="A20" s="390" t="str">
        <f>IDENTIFICACIÓN!C20</f>
        <v>12G</v>
      </c>
      <c r="B20" s="389" t="str">
        <f>IF(IDENTIFICACIÓN!D20="","",IDENTIFICACIÓN!D20)</f>
        <v>Gestión Academica. Formulación inadecuada de políticas.</v>
      </c>
      <c r="C20" s="391" t="str">
        <f>'SEGUIMIENTO Y MONITOREO'!AR42</f>
        <v>NA</v>
      </c>
      <c r="D20" s="391">
        <f>'SEGUIMIENTO Y MONITOREO'!AS42</f>
        <v>0.05</v>
      </c>
      <c r="E20" s="391">
        <f>'SEGUIMIENTO Y MONITOREO'!AU42</f>
        <v>0.4</v>
      </c>
      <c r="F20" s="391">
        <f>'SEGUIMIENTO Y MONITOREO'!AW42</f>
        <v>0.4</v>
      </c>
      <c r="G20" s="392"/>
      <c r="H20" s="392"/>
      <c r="I20" s="392"/>
      <c r="J20" s="392"/>
      <c r="K20" s="392"/>
    </row>
    <row r="21" spans="1:11" ht="22.5" customHeight="1" x14ac:dyDescent="0.2">
      <c r="A21" s="390" t="str">
        <f>IDENTIFICACIÓN!C21</f>
        <v>13G</v>
      </c>
      <c r="B21" s="389" t="str">
        <f>IF(IDENTIFICACIÓN!D21="","",IDENTIFICACIÓN!D21)</f>
        <v>Gestión Academica. Aplicación inadecuada de la normatividad en el desarrollo de los diferentes procesos academicos de los programas.</v>
      </c>
      <c r="C21" s="391" t="str">
        <f>'SEGUIMIENTO Y MONITOREO'!AR45</f>
        <v>NA</v>
      </c>
      <c r="D21" s="391">
        <f>'SEGUIMIENTO Y MONITOREO'!AS45</f>
        <v>0.05</v>
      </c>
      <c r="E21" s="391">
        <f>'SEGUIMIENTO Y MONITOREO'!AU45</f>
        <v>0.4</v>
      </c>
      <c r="F21" s="391">
        <f>'SEGUIMIENTO Y MONITOREO'!AW45</f>
        <v>0.4</v>
      </c>
      <c r="G21" s="392"/>
      <c r="H21" s="392"/>
      <c r="I21" s="392"/>
      <c r="J21" s="392"/>
      <c r="K21" s="392"/>
    </row>
    <row r="22" spans="1:11" ht="22.5" customHeight="1" x14ac:dyDescent="0.2">
      <c r="A22" s="390" t="str">
        <f>IDENTIFICACIÓN!C22</f>
        <v>14G</v>
      </c>
      <c r="B22" s="389" t="str">
        <f>IF(IDENTIFICACIÓN!D22="","",IDENTIFICACIÓN!D22)</f>
        <v>Gestión Academica. Deterioro en la calidad de los programas académicos por necesidades de recursos no cubiertas.</v>
      </c>
      <c r="C22" s="391" t="str">
        <f>'SEGUIMIENTO Y MONITOREO'!AR48</f>
        <v>NA</v>
      </c>
      <c r="D22" s="391">
        <f>'SEGUIMIENTO Y MONITOREO'!AS48</f>
        <v>0.02</v>
      </c>
      <c r="E22" s="391">
        <f>'SEGUIMIENTO Y MONITOREO'!AU48</f>
        <v>0.10000000000000002</v>
      </c>
      <c r="F22" s="391">
        <f>'SEGUIMIENTO Y MONITOREO'!AW48</f>
        <v>0.10000000000000002</v>
      </c>
      <c r="G22" s="392"/>
      <c r="H22" s="392"/>
      <c r="I22" s="392"/>
      <c r="J22" s="392"/>
      <c r="K22" s="392"/>
    </row>
    <row r="23" spans="1:11" ht="22.5" customHeight="1" x14ac:dyDescent="0.2">
      <c r="A23" s="390" t="str">
        <f>IDENTIFICACIÓN!C23</f>
        <v>15G</v>
      </c>
      <c r="B23" s="389" t="str">
        <f>IF(IDENTIFICACIÓN!D23="","",IDENTIFICACIÓN!D23)</f>
        <v xml:space="preserve">Gestión de Investigación. No fomentar la actividad investigativa en la Universidad.  </v>
      </c>
      <c r="C23" s="391">
        <f>'SEGUIMIENTO Y MONITOREO'!AR51</f>
        <v>0.58333333333333326</v>
      </c>
      <c r="D23" s="391">
        <f>'SEGUIMIENTO Y MONITOREO'!AS51</f>
        <v>0.71666666666666667</v>
      </c>
      <c r="E23" s="391">
        <f>'SEGUIMIENTO Y MONITOREO'!AU51</f>
        <v>0.98333333333333339</v>
      </c>
      <c r="F23" s="391">
        <f>'SEGUIMIENTO Y MONITOREO'!AW51</f>
        <v>0.98333333333333339</v>
      </c>
      <c r="G23" s="392"/>
      <c r="H23" s="392"/>
      <c r="I23" s="392"/>
      <c r="J23" s="392"/>
      <c r="K23" s="392"/>
    </row>
    <row r="24" spans="1:11" ht="22.5" customHeight="1" x14ac:dyDescent="0.2">
      <c r="A24" s="390" t="str">
        <f>IDENTIFICACIÓN!C24</f>
        <v>16G</v>
      </c>
      <c r="B24" s="389" t="str">
        <f>IF(IDENTIFICACIÓN!D24="","",IDENTIFICACIÓN!D24)</f>
        <v>Gestión de Investigación. Deficiente cumplimiento del plan de acción de la Vicerrectoría de Investigación</v>
      </c>
      <c r="C24" s="391">
        <f>'SEGUIMIENTO Y MONITOREO'!AR54</f>
        <v>8.3333333333333343E-2</v>
      </c>
      <c r="D24" s="391">
        <f>'SEGUIMIENTO Y MONITOREO'!AS54</f>
        <v>0.5</v>
      </c>
      <c r="E24" s="391">
        <f>'SEGUIMIENTO Y MONITOREO'!AU54</f>
        <v>0.91666666666666663</v>
      </c>
      <c r="F24" s="391">
        <f>'SEGUIMIENTO Y MONITOREO'!AW54</f>
        <v>0.91666666666666663</v>
      </c>
      <c r="G24" s="392"/>
      <c r="H24" s="392"/>
      <c r="I24" s="392"/>
      <c r="J24" s="392"/>
      <c r="K24" s="392"/>
    </row>
    <row r="25" spans="1:11" ht="22.5" customHeight="1" x14ac:dyDescent="0.2">
      <c r="A25" s="390" t="str">
        <f>IDENTIFICACIÓN!C25</f>
        <v>17G</v>
      </c>
      <c r="B25" s="389" t="str">
        <f>IF(IDENTIFICACIÓN!D25="","",IDENTIFICACIÓN!D25)</f>
        <v>Gestión de Extensión y Proyección Social. Incumplimiento en los compromisos establecidos en la formalización de los proyectos.</v>
      </c>
      <c r="C25" s="391">
        <f>'SEGUIMIENTO Y MONITOREO'!AR57</f>
        <v>0</v>
      </c>
      <c r="D25" s="391">
        <f>'SEGUIMIENTO Y MONITOREO'!AS57</f>
        <v>0.67</v>
      </c>
      <c r="E25" s="391">
        <f>'SEGUIMIENTO Y MONITOREO'!AU57</f>
        <v>0.67</v>
      </c>
      <c r="F25" s="391">
        <f>'SEGUIMIENTO Y MONITOREO'!AW57</f>
        <v>0.67</v>
      </c>
      <c r="G25" s="392"/>
      <c r="H25" s="392"/>
      <c r="I25" s="392"/>
      <c r="J25" s="392"/>
      <c r="K25" s="392"/>
    </row>
    <row r="26" spans="1:11" ht="22.5" customHeight="1" x14ac:dyDescent="0.2">
      <c r="A26" s="390" t="str">
        <f>IDENTIFICACIÓN!C26</f>
        <v>18G</v>
      </c>
      <c r="B26" s="389"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6" s="391" t="str">
        <f>'SEGUIMIENTO Y MONITOREO'!AR60</f>
        <v>NA</v>
      </c>
      <c r="D26" s="391" t="str">
        <f>'SEGUIMIENTO Y MONITOREO'!AS60</f>
        <v>NA</v>
      </c>
      <c r="E26" s="391" t="str">
        <f>'SEGUIMIENTO Y MONITOREO'!AU60</f>
        <v>NA</v>
      </c>
      <c r="F26" s="391" t="str">
        <f>'SEGUIMIENTO Y MONITOREO'!AW60</f>
        <v>NA</v>
      </c>
      <c r="G26" s="392"/>
      <c r="H26" s="392"/>
      <c r="I26" s="392"/>
      <c r="J26" s="392"/>
      <c r="K26" s="392"/>
    </row>
    <row r="27" spans="1:11" ht="22.5" customHeight="1" x14ac:dyDescent="0.2">
      <c r="A27" s="390" t="str">
        <f>IDENTIFICACIÓN!C27</f>
        <v>19G</v>
      </c>
      <c r="B27" s="389" t="str">
        <f>IF(IDENTIFICACIÓN!D27="","",IDENTIFICACIÓN!D27)</f>
        <v>Gestión de Extensión y Proyección Social. Interrupción en las actividades e incumplimiento de los proyectos de extensión y proyección social, en las zonas de influencia.</v>
      </c>
      <c r="C27" s="391" t="str">
        <f>'SEGUIMIENTO Y MONITOREO'!AR63</f>
        <v>NA</v>
      </c>
      <c r="D27" s="391" t="str">
        <f>'SEGUIMIENTO Y MONITOREO'!AS63</f>
        <v>NA</v>
      </c>
      <c r="E27" s="391" t="str">
        <f>'SEGUIMIENTO Y MONITOREO'!AU63</f>
        <v>NA</v>
      </c>
      <c r="F27" s="391" t="str">
        <f>'SEGUIMIENTO Y MONITOREO'!AW63</f>
        <v>NA</v>
      </c>
      <c r="G27" s="392"/>
      <c r="H27" s="392"/>
      <c r="I27" s="392"/>
      <c r="J27" s="392"/>
      <c r="K27" s="392"/>
    </row>
    <row r="28" spans="1:11" ht="22.5" customHeight="1" x14ac:dyDescent="0.2">
      <c r="A28" s="390" t="str">
        <f>IDENTIFICACIÓN!C28</f>
        <v>20G</v>
      </c>
      <c r="B28" s="389" t="str">
        <f>IF(IDENTIFICACIÓN!D28="","",IDENTIFICACIÓN!D28)</f>
        <v>Gestión de Contratación. Celebración de contratos sin el cumplimiento de los requisitos internos y externos de carácter contractual</v>
      </c>
      <c r="C28" s="391" t="str">
        <f>'SEGUIMIENTO Y MONITOREO'!AR66</f>
        <v>NA</v>
      </c>
      <c r="D28" s="391" t="str">
        <f>'SEGUIMIENTO Y MONITOREO'!AS66</f>
        <v>NA</v>
      </c>
      <c r="E28" s="391" t="str">
        <f>'SEGUIMIENTO Y MONITOREO'!AU66</f>
        <v>NA</v>
      </c>
      <c r="F28" s="391" t="str">
        <f>'SEGUIMIENTO Y MONITOREO'!AW66</f>
        <v>NA</v>
      </c>
      <c r="G28" s="392"/>
      <c r="H28" s="392"/>
      <c r="I28" s="392"/>
      <c r="J28" s="392"/>
      <c r="K28" s="392"/>
    </row>
    <row r="29" spans="1:11" ht="22.5" customHeight="1" x14ac:dyDescent="0.2">
      <c r="A29" s="390" t="str">
        <f>IDENTIFICACIÓN!C29</f>
        <v>21G</v>
      </c>
      <c r="B29" s="389" t="str">
        <f>IF(IDENTIFICACIÓN!D29="","",IDENTIFICACIÓN!D29)</f>
        <v>Gestión de Contratación. Documentación incompleta en la carpeta contractual</v>
      </c>
      <c r="C29" s="391" t="str">
        <f>'SEGUIMIENTO Y MONITOREO'!AR69</f>
        <v>NA</v>
      </c>
      <c r="D29" s="391" t="str">
        <f>'SEGUIMIENTO Y MONITOREO'!AS69</f>
        <v>NA</v>
      </c>
      <c r="E29" s="391" t="str">
        <f>'SEGUIMIENTO Y MONITOREO'!AU69</f>
        <v>NA</v>
      </c>
      <c r="F29" s="391" t="str">
        <f>'SEGUIMIENTO Y MONITOREO'!AW69</f>
        <v>NA</v>
      </c>
      <c r="G29" s="392"/>
      <c r="H29" s="392"/>
      <c r="I29" s="392"/>
      <c r="J29" s="392"/>
      <c r="K29" s="392"/>
    </row>
    <row r="30" spans="1:11" ht="22.5" customHeight="1" x14ac:dyDescent="0.2">
      <c r="A30" s="390" t="str">
        <f>IDENTIFICACIÓN!C30</f>
        <v>22G</v>
      </c>
      <c r="B30" s="389" t="str">
        <f>IF(IDENTIFICACIÓN!D30="","",IDENTIFICACIÓN!D30)</f>
        <v>Gestión Administrativa. Inseguridad en el campus</v>
      </c>
      <c r="C30" s="391">
        <f>'SEGUIMIENTO Y MONITOREO'!AR72</f>
        <v>0</v>
      </c>
      <c r="D30" s="391">
        <f>'SEGUIMIENTO Y MONITOREO'!AS72</f>
        <v>0.21666666666666665</v>
      </c>
      <c r="E30" s="391">
        <f>'SEGUIMIENTO Y MONITOREO'!AU72</f>
        <v>0.21666666666666665</v>
      </c>
      <c r="F30" s="391">
        <f>'SEGUIMIENTO Y MONITOREO'!AW72</f>
        <v>0.21666666666666665</v>
      </c>
      <c r="G30" s="392"/>
      <c r="H30" s="392"/>
      <c r="I30" s="392"/>
      <c r="J30" s="392"/>
      <c r="K30" s="392"/>
    </row>
    <row r="31" spans="1:11" ht="22.5" customHeight="1" x14ac:dyDescent="0.2">
      <c r="A31" s="390" t="str">
        <f>IDENTIFICACIÓN!C31</f>
        <v>23G</v>
      </c>
      <c r="B31" s="389" t="str">
        <f>IF(IDENTIFICACIÓN!D31="","",IDENTIFICACIÓN!D31)</f>
        <v>Gestión Administrativa. Inadecuado gestión de los residuos</v>
      </c>
      <c r="C31" s="391">
        <f>'SEGUIMIENTO Y MONITOREO'!AR75</f>
        <v>0</v>
      </c>
      <c r="D31" s="391">
        <f>'SEGUIMIENTO Y MONITOREO'!AS75</f>
        <v>0.5</v>
      </c>
      <c r="E31" s="391">
        <f>'SEGUIMIENTO Y MONITOREO'!AU75</f>
        <v>0.5</v>
      </c>
      <c r="F31" s="391">
        <f>'SEGUIMIENTO Y MONITOREO'!AW75</f>
        <v>0.5</v>
      </c>
      <c r="G31" s="392"/>
      <c r="H31" s="392"/>
      <c r="I31" s="392"/>
      <c r="J31" s="392"/>
      <c r="K31" s="392"/>
    </row>
    <row r="32" spans="1:11" ht="22.5" customHeight="1" x14ac:dyDescent="0.2">
      <c r="A32" s="390" t="str">
        <f>IDENTIFICACIÓN!C32</f>
        <v>24G</v>
      </c>
      <c r="B32" s="389" t="str">
        <f>IF(IDENTIFICACIÓN!D32="","",IDENTIFICACIÓN!D32)</f>
        <v>Gestión del Talento Humano. Deficiente desempeño laboral de los funcionarios de la Universidad.</v>
      </c>
      <c r="C32" s="391">
        <f>'SEGUIMIENTO Y MONITOREO'!AR78</f>
        <v>0</v>
      </c>
      <c r="D32" s="391">
        <f>'SEGUIMIENTO Y MONITOREO'!AS78</f>
        <v>0.45</v>
      </c>
      <c r="E32" s="391">
        <f>'SEGUIMIENTO Y MONITOREO'!AU78</f>
        <v>0.45</v>
      </c>
      <c r="F32" s="391">
        <f>'SEGUIMIENTO Y MONITOREO'!AW78</f>
        <v>0.45</v>
      </c>
      <c r="G32" s="392"/>
      <c r="H32" s="392"/>
      <c r="I32" s="392"/>
      <c r="J32" s="392"/>
      <c r="K32" s="392"/>
    </row>
    <row r="33" spans="1:11" ht="22.5" customHeight="1" x14ac:dyDescent="0.2">
      <c r="A33" s="390" t="str">
        <f>IDENTIFICACIÓN!C33</f>
        <v>25G</v>
      </c>
      <c r="B33" s="389" t="str">
        <f>IF(IDENTIFICACIÓN!D33="","",IDENTIFICACIÓN!D33)</f>
        <v>Gestión del Talento Humano. Falta de plan de incentivos y/o estímulos.</v>
      </c>
      <c r="C33" s="391">
        <f>'SEGUIMIENTO Y MONITOREO'!AR81</f>
        <v>0</v>
      </c>
      <c r="D33" s="391">
        <f>'SEGUIMIENTO Y MONITOREO'!AS81</f>
        <v>0</v>
      </c>
      <c r="E33" s="391">
        <f>'SEGUIMIENTO Y MONITOREO'!AU81</f>
        <v>0.4</v>
      </c>
      <c r="F33" s="391">
        <f>'SEGUIMIENTO Y MONITOREO'!AW81</f>
        <v>0.4</v>
      </c>
      <c r="G33" s="392"/>
      <c r="H33" s="392"/>
      <c r="I33" s="392"/>
      <c r="J33" s="392"/>
      <c r="K33" s="392"/>
    </row>
    <row r="34" spans="1:11" ht="22.5" customHeight="1" x14ac:dyDescent="0.2">
      <c r="A34" s="390" t="str">
        <f>IDENTIFICACIÓN!C34</f>
        <v>26G</v>
      </c>
      <c r="B34" s="389" t="str">
        <f>IF(IDENTIFICACIÓN!D34="","",IDENTIFICACIÓN!D34)</f>
        <v>Gestión del Talento Humano. Demoras en la afilicación de catedráticos y ocasionales al Sistema de Seguridad Social Integral, y de los contratistas y estudiantes de Práctica a la Administradora de Riesgos Laborales.</v>
      </c>
      <c r="C34" s="391">
        <f>'SEGUIMIENTO Y MONITOREO'!AR84</f>
        <v>0</v>
      </c>
      <c r="D34" s="391">
        <f>'SEGUIMIENTO Y MONITOREO'!AS84</f>
        <v>0</v>
      </c>
      <c r="E34" s="391">
        <f>'SEGUIMIENTO Y MONITOREO'!AU84</f>
        <v>0.19999999999999998</v>
      </c>
      <c r="F34" s="391">
        <f>'SEGUIMIENTO Y MONITOREO'!AW84</f>
        <v>0.19999999999999998</v>
      </c>
      <c r="G34" s="392"/>
      <c r="H34" s="392"/>
      <c r="I34" s="392"/>
      <c r="J34" s="392"/>
      <c r="K34" s="392"/>
    </row>
    <row r="35" spans="1:11" ht="22.5" customHeight="1" x14ac:dyDescent="0.2">
      <c r="A35" s="390" t="str">
        <f>IDENTIFICACIÓN!C35</f>
        <v>27G</v>
      </c>
      <c r="B35" s="389" t="str">
        <f>IF(IDENTIFICACIÓN!D35="","",IDENTIFICACIÓN!D35)</f>
        <v>Evaluación Independiente. Deficiente evaluación y verificacion de la existencia, nivel de desarrollo y grado de efectividad del Sistema de Control Interno</v>
      </c>
      <c r="C35" s="391" t="str">
        <f>'SEGUIMIENTO Y MONITOREO'!AR87</f>
        <v>NA</v>
      </c>
      <c r="D35" s="391" t="str">
        <f>'SEGUIMIENTO Y MONITOREO'!AS87</f>
        <v>NA</v>
      </c>
      <c r="E35" s="391" t="str">
        <f>'SEGUIMIENTO Y MONITOREO'!AU87</f>
        <v>NA</v>
      </c>
      <c r="F35" s="391" t="str">
        <f>'SEGUIMIENTO Y MONITOREO'!AW87</f>
        <v>NA</v>
      </c>
      <c r="G35" s="392"/>
      <c r="H35" s="392"/>
      <c r="I35" s="392"/>
      <c r="J35" s="392"/>
      <c r="K35" s="392"/>
    </row>
    <row r="36" spans="1:11" ht="22.5" customHeight="1" x14ac:dyDescent="0.2">
      <c r="A36" s="390" t="str">
        <f>IDENTIFICACIÓN!C36</f>
        <v>28G</v>
      </c>
      <c r="B36" s="389" t="str">
        <f>IF(IDENTIFICACIÓN!D36="","",IDENTIFICACIÓN!D36)</f>
        <v>Evaluación Independiente. Deficiente evaluación del nivel de avance de las acciones pactadas en los planes de mejoramiento</v>
      </c>
      <c r="C36" s="391" t="str">
        <f>'SEGUIMIENTO Y MONITOREO'!AR90</f>
        <v>NA</v>
      </c>
      <c r="D36" s="391" t="str">
        <f>'SEGUIMIENTO Y MONITOREO'!AS90</f>
        <v>NA</v>
      </c>
      <c r="E36" s="391" t="str">
        <f>'SEGUIMIENTO Y MONITOREO'!AU90</f>
        <v>NA</v>
      </c>
      <c r="F36" s="391" t="str">
        <f>'SEGUIMIENTO Y MONITOREO'!AW90</f>
        <v>NA</v>
      </c>
      <c r="G36" s="392"/>
      <c r="H36" s="392"/>
      <c r="I36" s="392"/>
      <c r="J36" s="392"/>
      <c r="K36" s="392"/>
    </row>
    <row r="37" spans="1:11" hidden="1" x14ac:dyDescent="0.2">
      <c r="A37" s="645" t="str">
        <f>'SEGUIMIENTO Y MONITOREO'!B200</f>
        <v>Cumplimiento Riesgos de GESTIÓN (Respecto a los plazos establecidos)</v>
      </c>
      <c r="B37" s="646"/>
      <c r="C37" s="646"/>
      <c r="D37" s="646"/>
      <c r="E37" s="647"/>
      <c r="F37" s="164">
        <f>'SEGUIMIENTO Y MONITOREO'!AW200</f>
        <v>0.4535255295429208</v>
      </c>
      <c r="G37" s="168"/>
      <c r="H37" s="168"/>
    </row>
    <row r="38" spans="1:11" hidden="1" x14ac:dyDescent="0.2">
      <c r="A38" s="648" t="str">
        <f>'SEGUIMIENTO Y MONITOREO'!B201</f>
        <v xml:space="preserve">% Avance Riesgos de GESTIÓN </v>
      </c>
      <c r="B38" s="648"/>
      <c r="C38" s="648"/>
      <c r="D38" s="648"/>
      <c r="E38" s="649"/>
      <c r="F38" s="164">
        <f>'SEGUIMIENTO Y MONITOREO'!AW201</f>
        <v>0.56848874024526197</v>
      </c>
      <c r="G38" s="168"/>
      <c r="H38" s="168"/>
    </row>
  </sheetData>
  <sheetProtection selectLockedCells="1"/>
  <mergeCells count="20">
    <mergeCell ref="G11:H11"/>
    <mergeCell ref="G12:H12"/>
    <mergeCell ref="G13:H13"/>
    <mergeCell ref="G14:H14"/>
    <mergeCell ref="G15:H15"/>
    <mergeCell ref="G10:H10"/>
    <mergeCell ref="G8:H8"/>
    <mergeCell ref="C1:G3"/>
    <mergeCell ref="C6:F6"/>
    <mergeCell ref="C7:F7"/>
    <mergeCell ref="A6:B6"/>
    <mergeCell ref="A7:B7"/>
    <mergeCell ref="A1:B3"/>
    <mergeCell ref="A5:H5"/>
    <mergeCell ref="G9:H9"/>
    <mergeCell ref="G16:H16"/>
    <mergeCell ref="G17:H17"/>
    <mergeCell ref="G18:H18"/>
    <mergeCell ref="A37:E37"/>
    <mergeCell ref="A38:E38"/>
  </mergeCells>
  <conditionalFormatting sqref="H7">
    <cfRule type="containsText" dxfId="155" priority="26" operator="containsText" text="Sin Seguimientos">
      <formula>NOT(ISERROR(SEARCH("Sin Seguimientos",H7)))</formula>
    </cfRule>
  </conditionalFormatting>
  <conditionalFormatting sqref="C9">
    <cfRule type="containsText" dxfId="154" priority="15" operator="containsText" text="NA">
      <formula>NOT(ISERROR(SEARCH("NA",C9)))</formula>
    </cfRule>
  </conditionalFormatting>
  <conditionalFormatting sqref="C10:C16">
    <cfRule type="containsText" dxfId="153" priority="7" operator="containsText" text="NA">
      <formula>NOT(ISERROR(SEARCH("NA",C10)))</formula>
    </cfRule>
  </conditionalFormatting>
  <conditionalFormatting sqref="C17:C36">
    <cfRule type="containsText" dxfId="152" priority="4" operator="containsText" text="NA">
      <formula>NOT(ISERROR(SEARCH("NA",C17)))</formula>
    </cfRule>
  </conditionalFormatting>
  <conditionalFormatting sqref="D9:E36">
    <cfRule type="containsText" dxfId="151" priority="1" operator="containsText" text="NA">
      <formula>NOT(ISERROR(SEARCH("NA",D9)))</formula>
    </cfRule>
  </conditionalFormatting>
  <dataValidations count="1">
    <dataValidation operator="equal" allowBlank="1" showInputMessage="1" showErrorMessage="1" sqref="C9:C36 D19:F36"/>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3" operator="notEqual" id="{64CD3E03-7D89-454E-BE6B-070829286C20}">
            <xm:f>VALORACIÓN!$D$10</xm:f>
            <x14:dxf>
              <font>
                <color auto="1"/>
              </font>
              <fill>
                <patternFill patternType="lightGrid">
                  <fgColor theme="0" tint="-4.9989318521683403E-2"/>
                  <bgColor theme="0"/>
                </patternFill>
              </fill>
            </x14:dxf>
          </x14:cfRule>
          <x14:cfRule type="cellIs" priority="34" operator="equal" id="{CF897324-9115-4EEA-B0BD-2B8208194274}">
            <xm:f>VALORACIÓN!$D$10</xm:f>
            <x14:dxf>
              <fill>
                <patternFill patternType="lightGrid">
                  <fgColor theme="0" tint="-4.9989318521683403E-2"/>
                </patternFill>
              </fill>
            </x14:dxf>
          </x14:cfRule>
          <xm:sqref>F19:F36</xm:sqref>
        </x14:conditionalFormatting>
        <x14:conditionalFormatting xmlns:xm="http://schemas.microsoft.com/office/excel/2006/main">
          <x14:cfRule type="cellIs" priority="29" operator="notEqual" id="{E568F569-1A75-41AD-9E87-98330D261B25}">
            <xm:f>VALORACIÓN!$D$10</xm:f>
            <x14:dxf>
              <font>
                <color auto="1"/>
              </font>
              <fill>
                <patternFill patternType="lightGrid">
                  <fgColor theme="0" tint="-4.9989318521683403E-2"/>
                  <bgColor theme="0"/>
                </patternFill>
              </fill>
            </x14:dxf>
          </x14:cfRule>
          <x14:cfRule type="cellIs" priority="30" operator="equal" id="{47E8CDD3-5F87-487A-A21E-4778CC81FB8E}">
            <xm:f>VALORACIÓN!$D$10</xm:f>
            <x14:dxf>
              <fill>
                <patternFill patternType="lightGrid">
                  <fgColor theme="0" tint="-4.9989318521683403E-2"/>
                </patternFill>
              </fill>
            </x14:dxf>
          </x14:cfRule>
          <xm:sqref>F9:F18</xm:sqref>
        </x14:conditionalFormatting>
        <x14:conditionalFormatting xmlns:xm="http://schemas.microsoft.com/office/excel/2006/main">
          <x14:cfRule type="cellIs" priority="27" operator="notEqual" id="{B5D24AAE-7382-4763-B5D2-4FF8B4A1E0CA}">
            <xm:f>VALORACIÓN!$D$10</xm:f>
            <x14:dxf>
              <font>
                <color auto="1"/>
              </font>
              <fill>
                <patternFill patternType="lightGrid">
                  <fgColor theme="0" tint="-4.9989318521683403E-2"/>
                  <bgColor theme="0"/>
                </patternFill>
              </fill>
            </x14:dxf>
          </x14:cfRule>
          <x14:cfRule type="cellIs" priority="28" operator="equal" id="{EFA09873-6933-4291-918D-BC6B4C4E4D59}">
            <xm:f>VALORACIÓN!$D$10</xm:f>
            <x14:dxf>
              <fill>
                <patternFill patternType="lightGrid">
                  <fgColor theme="0" tint="-4.9989318521683403E-2"/>
                </patternFill>
              </fill>
            </x14:dxf>
          </x14:cfRule>
          <xm:sqref>G9:G36</xm:sqref>
        </x14:conditionalFormatting>
        <x14:conditionalFormatting xmlns:xm="http://schemas.microsoft.com/office/excel/2006/main">
          <x14:cfRule type="cellIs" priority="24" operator="notEqual" id="{B1B113C7-B67A-4F16-A35E-ED02C614F05F}">
            <xm:f>VALORACIÓN!$D$10</xm:f>
            <x14:dxf>
              <font>
                <color auto="1"/>
              </font>
              <fill>
                <patternFill patternType="lightGrid">
                  <fgColor theme="0" tint="-4.9989318521683403E-2"/>
                  <bgColor theme="0"/>
                </patternFill>
              </fill>
            </x14:dxf>
          </x14:cfRule>
          <x14:cfRule type="cellIs" priority="25" operator="equal" id="{2ACFB207-B9E7-4DA4-AEDB-B4F58774B689}">
            <xm:f>VALORACIÓN!$D$10</xm:f>
            <x14:dxf>
              <fill>
                <patternFill patternType="lightGrid">
                  <fgColor theme="0" tint="-4.9989318521683403E-2"/>
                </patternFill>
              </fill>
            </x14:dxf>
          </x14:cfRule>
          <xm:sqref>F37:F38</xm:sqref>
        </x14:conditionalFormatting>
        <x14:conditionalFormatting xmlns:xm="http://schemas.microsoft.com/office/excel/2006/main">
          <x14:cfRule type="cellIs" priority="16" operator="notEqual" id="{A0B9C0C3-1971-475D-9D80-434816ABD084}">
            <xm:f>VALORACIÓN!$D$10</xm:f>
            <x14:dxf>
              <font>
                <color auto="1"/>
              </font>
              <fill>
                <patternFill patternType="lightGrid">
                  <fgColor theme="0" tint="-4.9989318521683403E-2"/>
                  <bgColor theme="0"/>
                </patternFill>
              </fill>
            </x14:dxf>
          </x14:cfRule>
          <x14:cfRule type="cellIs" priority="17" operator="equal" id="{0C851169-3832-4878-92AA-59A9FE0950C8}">
            <xm:f>VALORACIÓN!$D$10</xm:f>
            <x14:dxf>
              <fill>
                <patternFill patternType="lightGrid">
                  <fgColor theme="0" tint="-4.9989318521683403E-2"/>
                </patternFill>
              </fill>
            </x14:dxf>
          </x14:cfRule>
          <xm:sqref>C9</xm:sqref>
        </x14:conditionalFormatting>
        <x14:conditionalFormatting xmlns:xm="http://schemas.microsoft.com/office/excel/2006/main">
          <x14:cfRule type="cellIs" priority="10" operator="notEqual" id="{C694E55F-72F6-4437-AA15-501D37BE091C}">
            <xm:f>VALORACIÓN!$D$10</xm:f>
            <x14:dxf>
              <font>
                <color auto="1"/>
              </font>
              <fill>
                <patternFill patternType="lightGrid">
                  <fgColor theme="0" tint="-4.9989318521683403E-2"/>
                  <bgColor theme="0"/>
                </patternFill>
              </fill>
            </x14:dxf>
          </x14:cfRule>
          <x14:cfRule type="cellIs" priority="11" operator="equal" id="{371E2BDE-3EA7-4EAF-B79E-4D56F115AF63}">
            <xm:f>VALORACIÓN!$D$10</xm:f>
            <x14:dxf>
              <fill>
                <patternFill patternType="lightGrid">
                  <fgColor theme="0" tint="-4.9989318521683403E-2"/>
                </patternFill>
              </fill>
            </x14:dxf>
          </x14:cfRule>
          <xm:sqref>H19:K36 I1:K21</xm:sqref>
        </x14:conditionalFormatting>
        <x14:conditionalFormatting xmlns:xm="http://schemas.microsoft.com/office/excel/2006/main">
          <x14:cfRule type="cellIs" priority="8" operator="notEqual" id="{643F27BC-6320-4727-9E95-6848358C3BAE}">
            <xm:f>VALORACIÓN!$D$10</xm:f>
            <x14:dxf>
              <font>
                <color auto="1"/>
              </font>
              <fill>
                <patternFill patternType="lightGrid">
                  <fgColor theme="0" tint="-4.9989318521683403E-2"/>
                  <bgColor theme="0"/>
                </patternFill>
              </fill>
            </x14:dxf>
          </x14:cfRule>
          <x14:cfRule type="cellIs" priority="9" operator="equal" id="{08F77233-EA37-4951-A3BD-FBFC31675E19}">
            <xm:f>VALORACIÓN!$D$10</xm:f>
            <x14:dxf>
              <fill>
                <patternFill patternType="lightGrid">
                  <fgColor theme="0" tint="-4.9989318521683403E-2"/>
                </patternFill>
              </fill>
            </x14:dxf>
          </x14:cfRule>
          <xm:sqref>C10:C16</xm:sqref>
        </x14:conditionalFormatting>
        <x14:conditionalFormatting xmlns:xm="http://schemas.microsoft.com/office/excel/2006/main">
          <x14:cfRule type="cellIs" priority="5" operator="notEqual" id="{59F30276-7654-438A-8DB7-11A03D157B67}">
            <xm:f>VALORACIÓN!$D$10</xm:f>
            <x14:dxf>
              <font>
                <color auto="1"/>
              </font>
              <fill>
                <patternFill patternType="lightGrid">
                  <fgColor theme="0" tint="-4.9989318521683403E-2"/>
                  <bgColor theme="0"/>
                </patternFill>
              </fill>
            </x14:dxf>
          </x14:cfRule>
          <x14:cfRule type="cellIs" priority="6" operator="equal" id="{26C68340-7B04-434A-ABC5-1FD37C751F2A}">
            <xm:f>VALORACIÓN!$D$10</xm:f>
            <x14:dxf>
              <fill>
                <patternFill patternType="lightGrid">
                  <fgColor theme="0" tint="-4.9989318521683403E-2"/>
                </patternFill>
              </fill>
            </x14:dxf>
          </x14:cfRule>
          <xm:sqref>C17:C36</xm:sqref>
        </x14:conditionalFormatting>
        <x14:conditionalFormatting xmlns:xm="http://schemas.microsoft.com/office/excel/2006/main">
          <x14:cfRule type="cellIs" priority="2" operator="notEqual" id="{10EB1F5A-693E-49F9-A794-BCFEA86D289F}">
            <xm:f>VALORACIÓN!$D$10</xm:f>
            <x14:dxf>
              <font>
                <color auto="1"/>
              </font>
              <fill>
                <patternFill patternType="lightGrid">
                  <fgColor theme="0" tint="-4.9989318521683403E-2"/>
                  <bgColor theme="0"/>
                </patternFill>
              </fill>
            </x14:dxf>
          </x14:cfRule>
          <x14:cfRule type="cellIs" priority="3" operator="equal" id="{BCF3FEFC-FF86-4EF7-A998-BB9B2461EFD9}">
            <xm:f>VALORACIÓN!$D$10</xm:f>
            <x14:dxf>
              <fill>
                <patternFill patternType="lightGrid">
                  <fgColor theme="0" tint="-4.9989318521683403E-2"/>
                </patternFill>
              </fill>
            </x14:dxf>
          </x14:cfRule>
          <xm:sqref>D9:E36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5"/>
  <sheetViews>
    <sheetView view="pageBreakPreview" zoomScaleNormal="100" zoomScaleSheetLayoutView="100" workbookViewId="0">
      <pane xSplit="2" ySplit="8" topLeftCell="C9"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3" width="8.21875" style="96" customWidth="1"/>
    <col min="4" max="4" width="7.77734375" style="96" customWidth="1"/>
    <col min="5" max="5" width="7.88671875" style="96" customWidth="1"/>
    <col min="6" max="6" width="12" hidden="1" customWidth="1"/>
    <col min="7" max="7" width="31" customWidth="1"/>
    <col min="8" max="8" width="25.109375" customWidth="1"/>
  </cols>
  <sheetData>
    <row r="1" spans="1:12" ht="15" customHeight="1" x14ac:dyDescent="0.2">
      <c r="A1" s="433" t="s">
        <v>145</v>
      </c>
      <c r="B1" s="433"/>
      <c r="C1" s="651" t="s">
        <v>206</v>
      </c>
      <c r="D1" s="652"/>
      <c r="E1" s="652"/>
      <c r="F1" s="652"/>
      <c r="G1" s="653"/>
      <c r="H1" s="182" t="s">
        <v>71</v>
      </c>
      <c r="I1" s="392"/>
      <c r="J1" s="392"/>
      <c r="K1" s="392"/>
      <c r="L1" s="392"/>
    </row>
    <row r="2" spans="1:12" ht="15" customHeight="1" x14ac:dyDescent="0.2">
      <c r="A2" s="433"/>
      <c r="B2" s="433"/>
      <c r="C2" s="654"/>
      <c r="D2" s="655"/>
      <c r="E2" s="655"/>
      <c r="F2" s="655"/>
      <c r="G2" s="656"/>
      <c r="H2" s="182" t="s">
        <v>107</v>
      </c>
      <c r="I2" s="392"/>
      <c r="J2" s="392"/>
      <c r="K2" s="392"/>
      <c r="L2" s="392"/>
    </row>
    <row r="3" spans="1:12" ht="15" customHeight="1" x14ac:dyDescent="0.2">
      <c r="A3" s="433"/>
      <c r="B3" s="433"/>
      <c r="C3" s="657"/>
      <c r="D3" s="658"/>
      <c r="E3" s="658"/>
      <c r="F3" s="658"/>
      <c r="G3" s="659"/>
      <c r="H3" s="182" t="s">
        <v>408</v>
      </c>
      <c r="I3" s="392"/>
      <c r="J3" s="392"/>
      <c r="K3" s="392"/>
      <c r="L3" s="392"/>
    </row>
    <row r="4" spans="1:12" ht="3.75" customHeight="1" x14ac:dyDescent="0.2">
      <c r="A4" s="33"/>
      <c r="B4" s="34"/>
      <c r="C4" s="280"/>
      <c r="D4" s="280"/>
      <c r="E4" s="279"/>
      <c r="F4" s="279"/>
      <c r="G4" s="49"/>
      <c r="H4" s="49"/>
      <c r="I4" s="392"/>
      <c r="J4" s="392"/>
      <c r="K4" s="392"/>
      <c r="L4" s="392"/>
    </row>
    <row r="5" spans="1:12" ht="15.75" x14ac:dyDescent="0.2">
      <c r="A5" s="435" t="s">
        <v>184</v>
      </c>
      <c r="B5" s="435"/>
      <c r="C5" s="435"/>
      <c r="D5" s="435"/>
      <c r="E5" s="514"/>
      <c r="F5" s="514"/>
      <c r="G5" s="514"/>
      <c r="H5" s="514"/>
      <c r="I5" s="392"/>
      <c r="J5" s="392"/>
      <c r="K5" s="392"/>
      <c r="L5" s="392"/>
    </row>
    <row r="6" spans="1:12" ht="15.75" customHeight="1" x14ac:dyDescent="0.2">
      <c r="A6" s="489" t="str">
        <f>'CONTEXTO ESTRATEGICO'!A7</f>
        <v>INSTITUCIONAL</v>
      </c>
      <c r="B6" s="489"/>
      <c r="C6" s="606" t="str">
        <f>'SEGUIMIENTO Y MONITOREO'!C6</f>
        <v>Mapa de Riesgo Institucional</v>
      </c>
      <c r="D6" s="607"/>
      <c r="E6" s="607"/>
      <c r="F6" s="607"/>
      <c r="G6" s="287" t="str">
        <f>'SEGUIMIENTO Y MONITOREO'!E6</f>
        <v>Fecha de Actualización (AAAA/MM/DD)</v>
      </c>
      <c r="H6" s="171">
        <f>'SEGUIMIENTO Y MONITOREO'!H6</f>
        <v>42443</v>
      </c>
      <c r="I6" s="392"/>
      <c r="J6" s="392"/>
      <c r="K6" s="392"/>
      <c r="L6" s="392"/>
    </row>
    <row r="7" spans="1:12" ht="21.75" customHeight="1" x14ac:dyDescent="0.2">
      <c r="A7" s="489"/>
      <c r="B7" s="489"/>
      <c r="C7" s="660" t="s">
        <v>161</v>
      </c>
      <c r="D7" s="661"/>
      <c r="E7" s="661"/>
      <c r="F7" s="662"/>
      <c r="G7" s="288" t="s">
        <v>185</v>
      </c>
      <c r="H7" s="172">
        <f>'SEGUIMIENTO Y MONITOREO'!$AX$7</f>
        <v>42735</v>
      </c>
      <c r="I7" s="392"/>
      <c r="J7" s="392"/>
      <c r="K7" s="392"/>
      <c r="L7" s="392"/>
    </row>
    <row r="8" spans="1:12" ht="24" customHeight="1" x14ac:dyDescent="0.2">
      <c r="A8" s="281" t="s">
        <v>22</v>
      </c>
      <c r="B8" s="281" t="s">
        <v>28</v>
      </c>
      <c r="C8" s="285" t="str">
        <f>TGS!G8</f>
        <v>% 1ER CuaT</v>
      </c>
      <c r="D8" s="285" t="str">
        <f>TGS!I8</f>
        <v>% 2DO CuaT</v>
      </c>
      <c r="E8" s="284" t="str">
        <f>TGS!K8</f>
        <v>% 3ER CuaT</v>
      </c>
      <c r="F8" s="286" t="s">
        <v>201</v>
      </c>
      <c r="G8" s="650"/>
      <c r="H8" s="650"/>
      <c r="I8" s="392"/>
      <c r="J8" s="392"/>
      <c r="K8" s="392"/>
      <c r="L8" s="392"/>
    </row>
    <row r="9" spans="1:12" ht="39.75" customHeight="1" thickBot="1" x14ac:dyDescent="0.25">
      <c r="A9" s="252" t="str">
        <f>IDENTIFICACIÓN!C38</f>
        <v>1C</v>
      </c>
      <c r="B9" s="282" t="str">
        <f>IF(IDENTIFICACIÓN!D38="","",IDENTIFICACIÓN!D38)</f>
        <v>Relaciones Interinstitucionales. Tráfico de Influencias</v>
      </c>
      <c r="C9" s="391">
        <f>'SEGUIMIENTO Y MONITOREO'!AR95</f>
        <v>1</v>
      </c>
      <c r="D9" s="391">
        <f>'SEGUIMIENTO Y MONITOREO'!AS95</f>
        <v>1</v>
      </c>
      <c r="E9" s="391">
        <f>'SEGUIMIENTO Y MONITOREO'!AU95</f>
        <v>1</v>
      </c>
      <c r="F9" s="283">
        <f>'SEGUIMIENTO Y MONITOREO'!AW95</f>
        <v>1</v>
      </c>
      <c r="G9" s="644"/>
      <c r="H9" s="644"/>
      <c r="I9" s="392"/>
      <c r="J9" s="392"/>
      <c r="K9" s="392"/>
      <c r="L9" s="392"/>
    </row>
    <row r="10" spans="1:12" ht="39.75" customHeight="1" thickTop="1" thickBot="1" x14ac:dyDescent="0.25">
      <c r="A10" s="252" t="str">
        <f>IDENTIFICACIÓN!C39</f>
        <v>2C</v>
      </c>
      <c r="B10" s="282" t="str">
        <f>IF(IDENTIFICACIÓN!D39="","",IDENTIFICACIÓN!D39)</f>
        <v>Dirección y Planeación. Ausencia o debilidad de procesos y procedimientos para la gestión administrativa y misional</v>
      </c>
      <c r="C10" s="391" t="str">
        <f>'SEGUIMIENTO Y MONITOREO'!AR98</f>
        <v>NA</v>
      </c>
      <c r="D10" s="391" t="str">
        <f>'SEGUIMIENTO Y MONITOREO'!AS98</f>
        <v>NA</v>
      </c>
      <c r="E10" s="391" t="str">
        <f>'SEGUIMIENTO Y MONITOREO'!AU98</f>
        <v>NA</v>
      </c>
      <c r="F10" s="283" t="str">
        <f>'SEGUIMIENTO Y MONITOREO'!AW98</f>
        <v>NA</v>
      </c>
      <c r="G10" s="644"/>
      <c r="H10" s="644"/>
      <c r="I10" s="392"/>
      <c r="J10" s="392"/>
      <c r="K10" s="392"/>
      <c r="L10" s="392"/>
    </row>
    <row r="11" spans="1:12" ht="39.75" customHeight="1" thickTop="1" thickBot="1" x14ac:dyDescent="0.25">
      <c r="A11" s="252" t="str">
        <f>IDENTIFICACIÓN!C40</f>
        <v>3C</v>
      </c>
      <c r="B11" s="282" t="str">
        <f>IF(IDENTIFICACIÓN!D40="","",IDENTIFICACIÓN!D40)</f>
        <v>Dirección y Planeación. Prevaricato</v>
      </c>
      <c r="C11" s="391" t="str">
        <f>'SEGUIMIENTO Y MONITOREO'!AR101</f>
        <v>NA</v>
      </c>
      <c r="D11" s="391" t="str">
        <f>'SEGUIMIENTO Y MONITOREO'!AS101</f>
        <v>NA</v>
      </c>
      <c r="E11" s="391" t="str">
        <f>'SEGUIMIENTO Y MONITOREO'!AU101</f>
        <v>NA</v>
      </c>
      <c r="F11" s="283" t="str">
        <f>'SEGUIMIENTO Y MONITOREO'!AW101</f>
        <v>NA</v>
      </c>
      <c r="G11" s="644"/>
      <c r="H11" s="644"/>
      <c r="I11" s="392"/>
      <c r="J11" s="392"/>
      <c r="K11" s="392"/>
      <c r="L11" s="392"/>
    </row>
    <row r="12" spans="1:12" ht="39.75" customHeight="1" thickTop="1" thickBot="1" x14ac:dyDescent="0.25">
      <c r="A12" s="252" t="str">
        <f>IDENTIFICACIÓN!C41</f>
        <v>4C</v>
      </c>
      <c r="B12" s="282" t="str">
        <f>IF(IDENTIFICACIÓN!D41="","",IDENTIFICACIÓN!D41)</f>
        <v>Dirección y Planeación. Malversación de Recursos</v>
      </c>
      <c r="C12" s="391" t="str">
        <f>'SEGUIMIENTO Y MONITOREO'!AR104</f>
        <v>NA</v>
      </c>
      <c r="D12" s="391" t="str">
        <f>'SEGUIMIENTO Y MONITOREO'!AS104</f>
        <v>NA</v>
      </c>
      <c r="E12" s="391" t="str">
        <f>'SEGUIMIENTO Y MONITOREO'!AU104</f>
        <v>NA</v>
      </c>
      <c r="F12" s="283" t="str">
        <f>'SEGUIMIENTO Y MONITOREO'!AW104</f>
        <v>NA</v>
      </c>
      <c r="G12" s="644"/>
      <c r="H12" s="644"/>
      <c r="I12" s="392"/>
      <c r="J12" s="392"/>
      <c r="K12" s="392"/>
      <c r="L12" s="392"/>
    </row>
    <row r="13" spans="1:12" ht="39.75" customHeight="1" thickTop="1" thickBot="1" x14ac:dyDescent="0.25">
      <c r="A13" s="252" t="str">
        <f>IDENTIFICACIÓN!C42</f>
        <v>5C</v>
      </c>
      <c r="B13" s="282" t="str">
        <f>IF(IDENTIFICACIÓN!D42="","",IDENTIFICACIÓN!D42)</f>
        <v>Acreditación. Deficiencias en el manejo documental y de archivo</v>
      </c>
      <c r="C13" s="391">
        <f>'SEGUIMIENTO Y MONITOREO'!AR107</f>
        <v>1</v>
      </c>
      <c r="D13" s="391">
        <f>'SEGUIMIENTO Y MONITOREO'!AS107</f>
        <v>1</v>
      </c>
      <c r="E13" s="391">
        <f>'SEGUIMIENTO Y MONITOREO'!AU107</f>
        <v>1</v>
      </c>
      <c r="F13" s="283">
        <f>'SEGUIMIENTO Y MONITOREO'!AW107</f>
        <v>1</v>
      </c>
      <c r="G13" s="644"/>
      <c r="H13" s="644"/>
      <c r="I13" s="392"/>
      <c r="J13" s="392"/>
      <c r="K13" s="392"/>
      <c r="L13" s="392"/>
    </row>
    <row r="14" spans="1:12" ht="39.75" customHeight="1" thickTop="1" thickBot="1" x14ac:dyDescent="0.25">
      <c r="A14" s="252" t="str">
        <f>IDENTIFICACIÓN!C43</f>
        <v>6C</v>
      </c>
      <c r="B14" s="389" t="str">
        <f>IF(IDENTIFICACIÓN!D43="","",IDENTIFICACIÓN!D43)</f>
        <v>Acreditación. Concentración de información de determinadas actividades o procesos en una persona</v>
      </c>
      <c r="C14" s="391">
        <f>'SEGUIMIENTO Y MONITOREO'!AR110</f>
        <v>1</v>
      </c>
      <c r="D14" s="391">
        <f>'SEGUIMIENTO Y MONITOREO'!AS110</f>
        <v>1</v>
      </c>
      <c r="E14" s="391">
        <f>'SEGUIMIENTO Y MONITOREO'!AU110</f>
        <v>1</v>
      </c>
      <c r="F14" s="391">
        <f>'SEGUIMIENTO Y MONITOREO'!AW110</f>
        <v>1</v>
      </c>
      <c r="G14" s="392"/>
      <c r="H14" s="392"/>
      <c r="I14" s="392"/>
      <c r="J14" s="392"/>
      <c r="K14" s="392"/>
      <c r="L14" s="392"/>
    </row>
    <row r="15" spans="1:12" ht="39.75" customHeight="1" thickTop="1" thickBot="1" x14ac:dyDescent="0.25">
      <c r="A15" s="252" t="str">
        <f>IDENTIFICACIÓN!C44</f>
        <v>7C</v>
      </c>
      <c r="B15" s="389" t="str">
        <f>IF(IDENTIFICACIÓN!D44="","",IDENTIFICACIÓN!D44)</f>
        <v>Gestión de la Calidad. Concentración de información de determinadas actividades o procesos en una persona</v>
      </c>
      <c r="C15" s="391" t="str">
        <f>'SEGUIMIENTO Y MONITOREO'!AR113</f>
        <v>NA</v>
      </c>
      <c r="D15" s="391" t="str">
        <f>'SEGUIMIENTO Y MONITOREO'!AS113</f>
        <v>NA</v>
      </c>
      <c r="E15" s="391" t="str">
        <f>'SEGUIMIENTO Y MONITOREO'!AU113</f>
        <v>NA</v>
      </c>
      <c r="F15" s="391" t="str">
        <f>'SEGUIMIENTO Y MONITOREO'!AW113</f>
        <v>NA</v>
      </c>
      <c r="G15" s="392"/>
      <c r="H15" s="392"/>
      <c r="I15" s="392"/>
      <c r="J15" s="392"/>
      <c r="K15" s="392"/>
      <c r="L15" s="392"/>
    </row>
    <row r="16" spans="1:12" ht="39.75" customHeight="1" thickTop="1" thickBot="1" x14ac:dyDescent="0.25">
      <c r="A16" s="252" t="str">
        <f>IDENTIFICACIÓN!C45</f>
        <v>8C</v>
      </c>
      <c r="B16" s="389" t="str">
        <f>IF(IDENTIFICACIÓN!D45="","",IDENTIFICACIÓN!D45)</f>
        <v>Gestión de la Calidad. Deficiencias en el  manejo documental y de archivo</v>
      </c>
      <c r="C16" s="391" t="str">
        <f>'SEGUIMIENTO Y MONITOREO'!AR116</f>
        <v>NA</v>
      </c>
      <c r="D16" s="391" t="str">
        <f>'SEGUIMIENTO Y MONITOREO'!AS116</f>
        <v>NA</v>
      </c>
      <c r="E16" s="391" t="str">
        <f>'SEGUIMIENTO Y MONITOREO'!AU116</f>
        <v>NA</v>
      </c>
      <c r="F16" s="391" t="str">
        <f>'SEGUIMIENTO Y MONITOREO'!AW116</f>
        <v>NA</v>
      </c>
      <c r="G16" s="392"/>
      <c r="H16" s="392"/>
      <c r="I16" s="392"/>
      <c r="J16" s="392"/>
      <c r="K16" s="392"/>
      <c r="L16" s="392"/>
    </row>
    <row r="17" spans="1:12" ht="39.75" customHeight="1" thickTop="1" thickBot="1" x14ac:dyDescent="0.25">
      <c r="A17" s="252" t="str">
        <f>IDENTIFICACIÓN!C46</f>
        <v>9C</v>
      </c>
      <c r="B17" s="389" t="str">
        <f>IF(IDENTIFICACIÓN!D46="","",IDENTIFICACIÓN!D46)</f>
        <v>Comunicaciones Concentración de información de determinadas actividades o procesos en una persona</v>
      </c>
      <c r="C17" s="391" t="str">
        <f>'SEGUIMIENTO Y MONITOREO'!AR119</f>
        <v>NA</v>
      </c>
      <c r="D17" s="391" t="str">
        <f>'SEGUIMIENTO Y MONITOREO'!AS119</f>
        <v>NA</v>
      </c>
      <c r="E17" s="391" t="str">
        <f>'SEGUIMIENTO Y MONITOREO'!AU119</f>
        <v>NA</v>
      </c>
      <c r="F17" s="391" t="str">
        <f>'SEGUIMIENTO Y MONITOREO'!AW119</f>
        <v>NA</v>
      </c>
      <c r="G17" s="392"/>
      <c r="H17" s="392"/>
      <c r="I17" s="392"/>
      <c r="J17" s="392"/>
      <c r="K17" s="392"/>
      <c r="L17" s="392"/>
    </row>
    <row r="18" spans="1:12" ht="39.75" customHeight="1" thickTop="1" thickBot="1" x14ac:dyDescent="0.25">
      <c r="A18" s="252" t="str">
        <f>IDENTIFICACIÓN!C47</f>
        <v>10C</v>
      </c>
      <c r="B18" s="389" t="str">
        <f>IF(IDENTIFICACIÓN!D47="","",IDENTIFICACIÓN!D47)</f>
        <v xml:space="preserve">Gestión Academica. Ausencia de canales de comunicación
</v>
      </c>
      <c r="C18" s="391" t="str">
        <f>'SEGUIMIENTO Y MONITOREO'!AR122</f>
        <v>NA</v>
      </c>
      <c r="D18" s="391">
        <f>'SEGUIMIENTO Y MONITOREO'!AS122</f>
        <v>0.02</v>
      </c>
      <c r="E18" s="391">
        <f>'SEGUIMIENTO Y MONITOREO'!AU122</f>
        <v>0.02</v>
      </c>
      <c r="F18" s="391">
        <f>'SEGUIMIENTO Y MONITOREO'!AW122</f>
        <v>0.02</v>
      </c>
      <c r="G18" s="392"/>
      <c r="H18" s="392"/>
      <c r="I18" s="392"/>
      <c r="J18" s="392"/>
      <c r="K18" s="392"/>
      <c r="L18" s="392"/>
    </row>
    <row r="19" spans="1:12" ht="39.75" customHeight="1" thickTop="1" thickBot="1" x14ac:dyDescent="0.25">
      <c r="A19" s="252" t="str">
        <f>IDENTIFICACIÓN!C48</f>
        <v>11C</v>
      </c>
      <c r="B19" s="389" t="str">
        <f>IF(IDENTIFICACIÓN!D48="","",IDENTIFICACIÓN!D48)</f>
        <v>Gestión Academica. Concentración de información de determinadas actividades o procesos en una persona</v>
      </c>
      <c r="C19" s="391" t="str">
        <f>'SEGUIMIENTO Y MONITOREO'!AR125</f>
        <v>NA</v>
      </c>
      <c r="D19" s="391">
        <f>'SEGUIMIENTO Y MONITOREO'!AS125</f>
        <v>1.6666666666666666E-2</v>
      </c>
      <c r="E19" s="391">
        <f>'SEGUIMIENTO Y MONITOREO'!AU125</f>
        <v>1.6666666666666666E-2</v>
      </c>
      <c r="F19" s="391">
        <f>'SEGUIMIENTO Y MONITOREO'!AW125</f>
        <v>1.6666666666666666E-2</v>
      </c>
      <c r="G19" s="392"/>
      <c r="H19" s="392"/>
      <c r="I19" s="392"/>
      <c r="J19" s="392"/>
      <c r="K19" s="392"/>
      <c r="L19" s="392"/>
    </row>
    <row r="20" spans="1:12" ht="39.75" customHeight="1" thickTop="1" thickBot="1" x14ac:dyDescent="0.25">
      <c r="A20" s="252" t="str">
        <f>IDENTIFICACIÓN!C49</f>
        <v>12C</v>
      </c>
      <c r="B20" s="389" t="str">
        <f>IF(IDENTIFICACIÓN!D49="","",IDENTIFICACIÓN!D49)</f>
        <v>Gestión Academica. Deficiencias en el manejo documental y de archivo</v>
      </c>
      <c r="C20" s="391" t="str">
        <f>'SEGUIMIENTO Y MONITOREO'!AR128</f>
        <v>NA</v>
      </c>
      <c r="D20" s="391">
        <f>'SEGUIMIENTO Y MONITOREO'!AS128</f>
        <v>0.02</v>
      </c>
      <c r="E20" s="391">
        <f>'SEGUIMIENTO Y MONITOREO'!AU128</f>
        <v>0.02</v>
      </c>
      <c r="F20" s="391">
        <f>'SEGUIMIENTO Y MONITOREO'!AW128</f>
        <v>0.02</v>
      </c>
      <c r="G20" s="392"/>
      <c r="H20" s="392"/>
      <c r="I20" s="392"/>
      <c r="J20" s="392"/>
      <c r="K20" s="392"/>
      <c r="L20" s="392"/>
    </row>
    <row r="21" spans="1:12" ht="39.75" customHeight="1" thickTop="1" thickBot="1" x14ac:dyDescent="0.25">
      <c r="A21" s="252" t="str">
        <f>IDENTIFICACIÓN!C50</f>
        <v>13C</v>
      </c>
      <c r="B21" s="389" t="str">
        <f>IF(IDENTIFICACIÓN!D50="","",IDENTIFICACIÓN!D50)</f>
        <v>Gestión de Investigación. Vulnerabilidad en el manejo de la información de la actividad investigativa</v>
      </c>
      <c r="C21" s="391">
        <f>'SEGUIMIENTO Y MONITOREO'!AR131</f>
        <v>0.2</v>
      </c>
      <c r="D21" s="391">
        <f>'SEGUIMIENTO Y MONITOREO'!AS131</f>
        <v>0.25</v>
      </c>
      <c r="E21" s="391">
        <f>'SEGUIMIENTO Y MONITOREO'!AU131</f>
        <v>1</v>
      </c>
      <c r="F21" s="391">
        <f>'SEGUIMIENTO Y MONITOREO'!AW131</f>
        <v>1</v>
      </c>
      <c r="G21" s="392"/>
      <c r="H21" s="392"/>
      <c r="I21" s="392"/>
      <c r="J21" s="392"/>
      <c r="K21" s="392"/>
      <c r="L21" s="392"/>
    </row>
    <row r="22" spans="1:12" ht="39.75" customHeight="1" thickTop="1" thickBot="1" x14ac:dyDescent="0.25">
      <c r="A22" s="252" t="str">
        <f>IDENTIFICACIÓN!C51</f>
        <v>14C</v>
      </c>
      <c r="B22" s="389" t="str">
        <f>IF(IDENTIFICACIÓN!D51="","",IDENTIFICACIÓN!D51)</f>
        <v>Gestión de Investigación. Violación de la propiedad Intelectual.</v>
      </c>
      <c r="C22" s="391">
        <f>'SEGUIMIENTO Y MONITOREO'!AR134</f>
        <v>0.75</v>
      </c>
      <c r="D22" s="391">
        <f>'SEGUIMIENTO Y MONITOREO'!AS134</f>
        <v>0.75</v>
      </c>
      <c r="E22" s="391">
        <f>'SEGUIMIENTO Y MONITOREO'!AU134</f>
        <v>1.125</v>
      </c>
      <c r="F22" s="391">
        <f>'SEGUIMIENTO Y MONITOREO'!AW134</f>
        <v>1.125</v>
      </c>
      <c r="G22" s="392"/>
      <c r="H22" s="392"/>
      <c r="I22" s="392"/>
      <c r="J22" s="392"/>
      <c r="K22" s="392"/>
      <c r="L22" s="392"/>
    </row>
    <row r="23" spans="1:12" ht="39.75" customHeight="1" thickTop="1" thickBot="1" x14ac:dyDescent="0.25">
      <c r="A23" s="252" t="str">
        <f>IDENTIFICACIÓN!C52</f>
        <v>15C</v>
      </c>
      <c r="B23" s="389" t="str">
        <f>IF(IDENTIFICACIÓN!D52="","",IDENTIFICACIÓN!D52)</f>
        <v>Gestión de Extensión y Proyección Social. Desviación o uso indebido de recursos, que impidan la ejecución de los proyectos y actividades misionales de la vicerrectoria de extensión y proyección social</v>
      </c>
      <c r="C23" s="391">
        <f>'SEGUIMIENTO Y MONITOREO'!AR137</f>
        <v>0</v>
      </c>
      <c r="D23" s="391">
        <f>'SEGUIMIENTO Y MONITOREO'!AS137</f>
        <v>0.6</v>
      </c>
      <c r="E23" s="391">
        <f>'SEGUIMIENTO Y MONITOREO'!AU137</f>
        <v>0.6</v>
      </c>
      <c r="F23" s="391">
        <f>'SEGUIMIENTO Y MONITOREO'!AW137</f>
        <v>0.6</v>
      </c>
      <c r="G23" s="392"/>
      <c r="H23" s="392"/>
      <c r="I23" s="392"/>
      <c r="J23" s="392"/>
      <c r="K23" s="392"/>
      <c r="L23" s="392"/>
    </row>
    <row r="24" spans="1:12" ht="39.75" customHeight="1" thickTop="1" thickBot="1" x14ac:dyDescent="0.25">
      <c r="A24" s="252" t="str">
        <f>IDENTIFICACIÓN!C53</f>
        <v>16C</v>
      </c>
      <c r="B24" s="389" t="str">
        <f>IF(IDENTIFICACIÓN!D53="","",IDENTIFICACIÓN!D53)</f>
        <v xml:space="preserve">Gestión de Extensión y Proyección Social. Concentración de la información en una persona. </v>
      </c>
      <c r="C24" s="391">
        <f>'SEGUIMIENTO Y MONITOREO'!AR140</f>
        <v>0</v>
      </c>
      <c r="D24" s="391">
        <f>'SEGUIMIENTO Y MONITOREO'!AS140</f>
        <v>0.6</v>
      </c>
      <c r="E24" s="391">
        <f>'SEGUIMIENTO Y MONITOREO'!AU140</f>
        <v>0.89999999999999991</v>
      </c>
      <c r="F24" s="391">
        <f>'SEGUIMIENTO Y MONITOREO'!AW140</f>
        <v>0.89999999999999991</v>
      </c>
      <c r="G24" s="392"/>
      <c r="H24" s="392"/>
      <c r="I24" s="392"/>
      <c r="J24" s="392"/>
      <c r="K24" s="392"/>
      <c r="L24" s="392"/>
    </row>
    <row r="25" spans="1:12" ht="39.75" customHeight="1" thickTop="1" thickBot="1" x14ac:dyDescent="0.25">
      <c r="A25" s="252" t="str">
        <f>IDENTIFICACIÓN!C54</f>
        <v>17C</v>
      </c>
      <c r="B25" s="389" t="str">
        <f>IF(IDENTIFICACIÓN!D54="","",IDENTIFICACIÓN!D54)</f>
        <v xml:space="preserve">Gestión de Extensión y Proyección Social. Inadecuada ejecución de los recursos asignados </v>
      </c>
      <c r="C25" s="391">
        <f>'SEGUIMIENTO Y MONITOREO'!AR143</f>
        <v>0</v>
      </c>
      <c r="D25" s="391">
        <f>'SEGUIMIENTO Y MONITOREO'!AS143</f>
        <v>0.6</v>
      </c>
      <c r="E25" s="391">
        <f>'SEGUIMIENTO Y MONITOREO'!AU143</f>
        <v>0.89999999999999991</v>
      </c>
      <c r="F25" s="391">
        <f>'SEGUIMIENTO Y MONITOREO'!AW143</f>
        <v>0.89999999999999991</v>
      </c>
      <c r="G25" s="392"/>
      <c r="H25" s="392"/>
      <c r="I25" s="392"/>
      <c r="J25" s="392"/>
      <c r="K25" s="392"/>
      <c r="L25" s="392"/>
    </row>
    <row r="26" spans="1:12" ht="39.75" customHeight="1" thickTop="1" thickBot="1" x14ac:dyDescent="0.25">
      <c r="A26" s="252" t="str">
        <f>IDENTIFICACIÓN!C55</f>
        <v>18C</v>
      </c>
      <c r="B26" s="389" t="str">
        <f>IF(IDENTIFICACIÓN!D55="","",IDENTIFICACIÓN!D55)</f>
        <v>Gestión de Extensión y Proyección Social. Extralimitación de funciones.</v>
      </c>
      <c r="C26" s="391">
        <f>'SEGUIMIENTO Y MONITOREO'!AR146</f>
        <v>0</v>
      </c>
      <c r="D26" s="391">
        <f>'SEGUIMIENTO Y MONITOREO'!AS146</f>
        <v>0.6</v>
      </c>
      <c r="E26" s="391">
        <f>'SEGUIMIENTO Y MONITOREO'!AU146</f>
        <v>0.89999999999999991</v>
      </c>
      <c r="F26" s="391">
        <f>'SEGUIMIENTO Y MONITOREO'!AW146</f>
        <v>0.89999999999999991</v>
      </c>
      <c r="G26" s="392"/>
      <c r="H26" s="392"/>
      <c r="I26" s="392"/>
      <c r="J26" s="392"/>
      <c r="K26" s="392"/>
      <c r="L26" s="392"/>
    </row>
    <row r="27" spans="1:12" ht="39.75" customHeight="1" thickTop="1" thickBot="1" x14ac:dyDescent="0.25">
      <c r="A27" s="252" t="str">
        <f>IDENTIFICACIÓN!C56</f>
        <v>19C</v>
      </c>
      <c r="B27" s="389" t="str">
        <f>IF(IDENTIFICACIÓN!D56="","",IDENTIFICACIÓN!D56)</f>
        <v>Gestión de Extensión y Proyección Social. Omisión de la ley para beneficio propio.</v>
      </c>
      <c r="C27" s="391">
        <f>'SEGUIMIENTO Y MONITOREO'!AR149</f>
        <v>0</v>
      </c>
      <c r="D27" s="391">
        <f>'SEGUIMIENTO Y MONITOREO'!AS149</f>
        <v>0.6</v>
      </c>
      <c r="E27" s="391">
        <f>'SEGUIMIENTO Y MONITOREO'!AU149</f>
        <v>0.8</v>
      </c>
      <c r="F27" s="391">
        <f>'SEGUIMIENTO Y MONITOREO'!AW149</f>
        <v>0.8</v>
      </c>
      <c r="G27" s="392"/>
      <c r="H27" s="392"/>
      <c r="I27" s="392"/>
      <c r="J27" s="392"/>
      <c r="K27" s="392"/>
      <c r="L27" s="392"/>
    </row>
    <row r="28" spans="1:12" ht="39.75" customHeight="1" thickTop="1" thickBot="1" x14ac:dyDescent="0.25">
      <c r="A28" s="252" t="str">
        <f>IDENTIFICACIÓN!C57</f>
        <v>20C</v>
      </c>
      <c r="B28" s="389" t="str">
        <f>IF(IDENTIFICACIÓN!D57="","",IDENTIFICACIÓN!D57)</f>
        <v>Gestión de Contratación. Pliegos de condiciones hechos a la medida de una firma en particular.</v>
      </c>
      <c r="C28" s="391" t="str">
        <f>'SEGUIMIENTO Y MONITOREO'!AR152</f>
        <v>NA</v>
      </c>
      <c r="D28" s="391" t="str">
        <f>'SEGUIMIENTO Y MONITOREO'!AS152</f>
        <v>NA</v>
      </c>
      <c r="E28" s="391" t="str">
        <f>'SEGUIMIENTO Y MONITOREO'!AU152</f>
        <v>NA</v>
      </c>
      <c r="F28" s="391" t="str">
        <f>'SEGUIMIENTO Y MONITOREO'!AW152</f>
        <v>NA</v>
      </c>
      <c r="G28" s="392"/>
      <c r="H28" s="392"/>
      <c r="I28" s="392"/>
      <c r="J28" s="392"/>
      <c r="K28" s="392"/>
      <c r="L28" s="392"/>
    </row>
    <row r="29" spans="1:12" ht="39.75" customHeight="1" thickTop="1" thickBot="1" x14ac:dyDescent="0.25">
      <c r="A29" s="252" t="str">
        <f>IDENTIFICACIÓN!C58</f>
        <v>21C</v>
      </c>
      <c r="B29" s="389" t="str">
        <f>IF(IDENTIFICACIÓN!D58="","",IDENTIFICACIÓN!D58)</f>
        <v xml:space="preserve">Gestión Financiera. Pago de obligaciones sin el lleno de requisitos. </v>
      </c>
      <c r="C29" s="391">
        <f>'SEGUIMIENTO Y MONITOREO'!AR155</f>
        <v>0.25</v>
      </c>
      <c r="D29" s="391">
        <f>'SEGUIMIENTO Y MONITOREO'!AS155</f>
        <v>0.6</v>
      </c>
      <c r="E29" s="391">
        <f>'SEGUIMIENTO Y MONITOREO'!AU155</f>
        <v>1</v>
      </c>
      <c r="F29" s="391">
        <f>'SEGUIMIENTO Y MONITOREO'!AW155</f>
        <v>1</v>
      </c>
      <c r="G29" s="392"/>
      <c r="H29" s="392"/>
      <c r="I29" s="392"/>
      <c r="J29" s="392"/>
      <c r="K29" s="392"/>
      <c r="L29" s="392"/>
    </row>
    <row r="30" spans="1:12" ht="39.75" customHeight="1" thickTop="1" thickBot="1" x14ac:dyDescent="0.25">
      <c r="A30" s="252" t="str">
        <f>IDENTIFICACIÓN!C59</f>
        <v>22C</v>
      </c>
      <c r="B30" s="389" t="str">
        <f>IF(IDENTIFICACIÓN!D59="","",IDENTIFICACIÓN!D59)</f>
        <v>Gestión Financiera. Perdida de titulos valores</v>
      </c>
      <c r="C30" s="391">
        <f>'SEGUIMIENTO Y MONITOREO'!AR158</f>
        <v>0.25</v>
      </c>
      <c r="D30" s="391">
        <f>'SEGUIMIENTO Y MONITOREO'!AS158</f>
        <v>0.6</v>
      </c>
      <c r="E30" s="391">
        <f>'SEGUIMIENTO Y MONITOREO'!AU158</f>
        <v>1</v>
      </c>
      <c r="F30" s="391">
        <f>'SEGUIMIENTO Y MONITOREO'!AW158</f>
        <v>1</v>
      </c>
      <c r="G30" s="392"/>
      <c r="H30" s="392"/>
      <c r="I30" s="392"/>
      <c r="J30" s="392"/>
      <c r="K30" s="392"/>
      <c r="L30" s="392"/>
    </row>
    <row r="31" spans="1:12" ht="39.75" customHeight="1" thickTop="1" thickBot="1" x14ac:dyDescent="0.25">
      <c r="A31" s="252" t="str">
        <f>IDENTIFICACIÓN!C60</f>
        <v>23C</v>
      </c>
      <c r="B31" s="389" t="str">
        <f>IF(IDENTIFICACIÓN!D60="","",IDENTIFICACIÓN!D60)</f>
        <v>Gestión Financiera. Omisión en la aplicación  de la normatividad vigente en los procesos de la Gestión Financiera</v>
      </c>
      <c r="C31" s="391">
        <f>'SEGUIMIENTO Y MONITOREO'!AR161</f>
        <v>0.25</v>
      </c>
      <c r="D31" s="391">
        <f>'SEGUIMIENTO Y MONITOREO'!AS161</f>
        <v>0.6</v>
      </c>
      <c r="E31" s="391">
        <f>'SEGUIMIENTO Y MONITOREO'!AU161</f>
        <v>0.95</v>
      </c>
      <c r="F31" s="391">
        <f>'SEGUIMIENTO Y MONITOREO'!AW161</f>
        <v>0.95</v>
      </c>
      <c r="G31" s="392"/>
      <c r="H31" s="392"/>
      <c r="I31" s="392"/>
      <c r="J31" s="392"/>
      <c r="K31" s="392"/>
      <c r="L31" s="392"/>
    </row>
    <row r="32" spans="1:12" ht="39.75" customHeight="1" thickTop="1" thickBot="1" x14ac:dyDescent="0.25">
      <c r="A32" s="252" t="str">
        <f>IDENTIFICACIÓN!C61</f>
        <v>24C</v>
      </c>
      <c r="B32" s="389" t="str">
        <f>IF(IDENTIFICACIÓN!D61="","",IDENTIFICACIÓN!D61)</f>
        <v xml:space="preserve">Apoyo Tecnológico TIC. Vulnerabilidad de la Información </v>
      </c>
      <c r="C32" s="391" t="str">
        <f>'SEGUIMIENTO Y MONITOREO'!AR164</f>
        <v>NA</v>
      </c>
      <c r="D32" s="391">
        <f>'SEGUIMIENTO Y MONITOREO'!AS164</f>
        <v>0.33333333333333331</v>
      </c>
      <c r="E32" s="391">
        <f>'SEGUIMIENTO Y MONITOREO'!AU164</f>
        <v>0.33333333333333331</v>
      </c>
      <c r="F32" s="391">
        <f>'SEGUIMIENTO Y MONITOREO'!AW164</f>
        <v>0.33333333333333331</v>
      </c>
      <c r="G32" s="392"/>
      <c r="H32" s="392"/>
      <c r="I32" s="392"/>
      <c r="J32" s="392"/>
      <c r="K32" s="392"/>
      <c r="L32" s="392"/>
    </row>
    <row r="33" spans="1:12" ht="39.75" customHeight="1" thickTop="1" thickBot="1" x14ac:dyDescent="0.25">
      <c r="A33" s="252" t="str">
        <f>IDENTIFICACIÓN!C62</f>
        <v>25C</v>
      </c>
      <c r="B33" s="389" t="str">
        <f>IF(IDENTIFICACIÓN!D62="","",IDENTIFICACIÓN!D62)</f>
        <v xml:space="preserve">Gestión Documental. Entregar un título o certificado sin los requisitos para ello </v>
      </c>
      <c r="C33" s="391" t="str">
        <f>'SEGUIMIENTO Y MONITOREO'!AR167</f>
        <v>NA</v>
      </c>
      <c r="D33" s="391" t="str">
        <f>'SEGUIMIENTO Y MONITOREO'!AS167</f>
        <v>NA</v>
      </c>
      <c r="E33" s="391" t="str">
        <f>'SEGUIMIENTO Y MONITOREO'!AU167</f>
        <v>NA</v>
      </c>
      <c r="F33" s="391" t="str">
        <f>'SEGUIMIENTO Y MONITOREO'!AW167</f>
        <v>NA</v>
      </c>
      <c r="G33" s="392"/>
      <c r="H33" s="392"/>
      <c r="I33" s="392"/>
      <c r="J33" s="392"/>
      <c r="K33" s="392"/>
      <c r="L33" s="392"/>
    </row>
    <row r="34" spans="1:12" ht="39.75" customHeight="1" thickTop="1" thickBot="1" x14ac:dyDescent="0.25">
      <c r="A34" s="252" t="str">
        <f>IDENTIFICACIÓN!C63</f>
        <v>26C</v>
      </c>
      <c r="B34" s="389" t="str">
        <f>IF(IDENTIFICACIÓN!D63="","",IDENTIFICACIÓN!D63)</f>
        <v>Gestión Documental. Expedición de un certificado de título falso</v>
      </c>
      <c r="C34" s="391" t="str">
        <f>'SEGUIMIENTO Y MONITOREO'!AR170</f>
        <v>NA</v>
      </c>
      <c r="D34" s="391" t="str">
        <f>'SEGUIMIENTO Y MONITOREO'!AS170</f>
        <v>NA</v>
      </c>
      <c r="E34" s="391" t="str">
        <f>'SEGUIMIENTO Y MONITOREO'!AU170</f>
        <v>NA</v>
      </c>
      <c r="F34" s="391" t="str">
        <f>'SEGUIMIENTO Y MONITOREO'!AW170</f>
        <v>NA</v>
      </c>
      <c r="G34" s="392"/>
      <c r="H34" s="392"/>
      <c r="I34" s="392"/>
      <c r="J34" s="392"/>
      <c r="K34" s="392"/>
      <c r="L34" s="392"/>
    </row>
    <row r="35" spans="1:12" ht="39.75" customHeight="1" thickTop="1" thickBot="1" x14ac:dyDescent="0.25">
      <c r="A35" s="252" t="str">
        <f>IDENTIFICACIÓN!C64</f>
        <v>27C</v>
      </c>
      <c r="B35" s="389" t="str">
        <f>IF(IDENTIFICACIÓN!D64="","",IDENTIFICACIÓN!D64)</f>
        <v>Gestión del Talento Humano. Concentración de información de determinadas actividades o procesos en una persona.</v>
      </c>
      <c r="C35" s="391">
        <f>'SEGUIMIENTO Y MONITOREO'!AR173</f>
        <v>4.9999999999999996E-2</v>
      </c>
      <c r="D35" s="391">
        <f>'SEGUIMIENTO Y MONITOREO'!AS173</f>
        <v>4.9999999999999996E-2</v>
      </c>
      <c r="E35" s="391">
        <f>'SEGUIMIENTO Y MONITOREO'!AU173</f>
        <v>0.19999999999999998</v>
      </c>
      <c r="F35" s="391">
        <f>'SEGUIMIENTO Y MONITOREO'!AW173</f>
        <v>0.19999999999999998</v>
      </c>
      <c r="G35" s="392"/>
      <c r="H35" s="392"/>
      <c r="I35" s="392"/>
      <c r="J35" s="392"/>
      <c r="K35" s="392"/>
      <c r="L35" s="392"/>
    </row>
    <row r="36" spans="1:12" ht="39.75" customHeight="1" thickTop="1" thickBot="1" x14ac:dyDescent="0.25">
      <c r="A36" s="252" t="str">
        <f>IDENTIFICACIÓN!C65</f>
        <v>28C</v>
      </c>
      <c r="B36" s="389" t="str">
        <f>IF(IDENTIFICACIÓN!D65="","",IDENTIFICACIÓN!D65)</f>
        <v>Gestión del Talento Humano. Decisiones no ajustadas a la normatividad legal.</v>
      </c>
      <c r="C36" s="391">
        <f>'SEGUIMIENTO Y MONITOREO'!AR176</f>
        <v>0.85</v>
      </c>
      <c r="D36" s="391">
        <f>'SEGUIMIENTO Y MONITOREO'!AS176</f>
        <v>0.85</v>
      </c>
      <c r="E36" s="391">
        <f>'SEGUIMIENTO Y MONITOREO'!AU176</f>
        <v>0.85</v>
      </c>
      <c r="F36" s="391">
        <f>'SEGUIMIENTO Y MONITOREO'!AW176</f>
        <v>0.85</v>
      </c>
      <c r="G36" s="392"/>
      <c r="H36" s="392"/>
      <c r="I36" s="392"/>
      <c r="J36" s="392"/>
      <c r="K36" s="392"/>
      <c r="L36" s="392"/>
    </row>
    <row r="37" spans="1:12" ht="39.75" customHeight="1" thickTop="1" thickBot="1" x14ac:dyDescent="0.25">
      <c r="A37" s="252" t="str">
        <f>IDENTIFICACIÓN!C66</f>
        <v>29C</v>
      </c>
      <c r="B37" s="389" t="str">
        <f>IF(IDENTIFICACIÓN!D66="","",IDENTIFICACIÓN!D66)</f>
        <v>Gestión de Admisiones y Registro. Manipulación de resultados del examen  de admisión.</v>
      </c>
      <c r="C37" s="391" t="str">
        <f>'SEGUIMIENTO Y MONITOREO'!AR179</f>
        <v>NA</v>
      </c>
      <c r="D37" s="391" t="str">
        <f>'SEGUIMIENTO Y MONITOREO'!AS179</f>
        <v>NA</v>
      </c>
      <c r="E37" s="391" t="str">
        <f>'SEGUIMIENTO Y MONITOREO'!AU179</f>
        <v>NA</v>
      </c>
      <c r="F37" s="391" t="str">
        <f>'SEGUIMIENTO Y MONITOREO'!AW179</f>
        <v>NA</v>
      </c>
      <c r="G37" s="392"/>
      <c r="H37" s="392"/>
      <c r="I37" s="392"/>
      <c r="J37" s="392"/>
      <c r="K37" s="392"/>
      <c r="L37" s="392"/>
    </row>
    <row r="38" spans="1:12" ht="39.75" customHeight="1" thickTop="1" thickBot="1" x14ac:dyDescent="0.25">
      <c r="A38" s="252" t="str">
        <f>IDENTIFICACIÓN!C67</f>
        <v>30C</v>
      </c>
      <c r="B38" s="389" t="str">
        <f>IF(IDENTIFICACIÓN!D67="","",IDENTIFICACIÓN!D67)</f>
        <v>Gestión de Admisiones y Registro. Alteración de notas de estudiantes.</v>
      </c>
      <c r="C38" s="391" t="str">
        <f>'SEGUIMIENTO Y MONITOREO'!AR182</f>
        <v>NA</v>
      </c>
      <c r="D38" s="391" t="str">
        <f>'SEGUIMIENTO Y MONITOREO'!AS182</f>
        <v>NA</v>
      </c>
      <c r="E38" s="391" t="str">
        <f>'SEGUIMIENTO Y MONITOREO'!AU182</f>
        <v>NA</v>
      </c>
      <c r="F38" s="391" t="str">
        <f>'SEGUIMIENTO Y MONITOREO'!AW182</f>
        <v>NA</v>
      </c>
      <c r="G38" s="392"/>
      <c r="H38" s="392"/>
      <c r="I38" s="392"/>
      <c r="J38" s="392"/>
      <c r="K38" s="392"/>
      <c r="L38" s="392"/>
    </row>
    <row r="39" spans="1:12" ht="39.75" customHeight="1" thickTop="1" thickBot="1" x14ac:dyDescent="0.25">
      <c r="A39" s="252" t="str">
        <f>IDENTIFICACIÓN!C68</f>
        <v>31C</v>
      </c>
      <c r="B39" s="389" t="str">
        <f>IF(IDENTIFICACIÓN!D68="","",IDENTIFICACIÓN!D68)</f>
        <v>Gestión y Rendición de Cuentas. Rendición de cuentas a la ciudadanía inadecuada, incompleta e inoportuna</v>
      </c>
      <c r="C39" s="391">
        <f>'SEGUIMIENTO Y MONITOREO'!AR185</f>
        <v>7.7034358047016263E-2</v>
      </c>
      <c r="D39" s="391">
        <f>'SEGUIMIENTO Y MONITOREO'!AS185</f>
        <v>0.23110307414104878</v>
      </c>
      <c r="E39" s="391">
        <f>'SEGUIMIENTO Y MONITOREO'!AU185</f>
        <v>0.38517179023508136</v>
      </c>
      <c r="F39" s="391">
        <f>'SEGUIMIENTO Y MONITOREO'!AW185</f>
        <v>0.38517179023508136</v>
      </c>
      <c r="G39" s="392"/>
      <c r="H39" s="392"/>
      <c r="I39" s="392"/>
      <c r="J39" s="392"/>
      <c r="K39" s="392"/>
      <c r="L39" s="392"/>
    </row>
    <row r="40" spans="1:12" ht="39.75" customHeight="1" thickTop="1" thickBot="1" x14ac:dyDescent="0.25">
      <c r="A40" s="252" t="str">
        <f>IDENTIFICACIÓN!C69</f>
        <v>32C</v>
      </c>
      <c r="B40" s="389" t="str">
        <f>IF(IDENTIFICACIÓN!D69="","",IDENTIFICACIÓN!D69)</f>
        <v>Gestión y Rendición de Cuentas. Alteración de la información</v>
      </c>
      <c r="C40" s="391" t="str">
        <f>'SEGUIMIENTO Y MONITOREO'!AR188</f>
        <v>NA</v>
      </c>
      <c r="D40" s="391">
        <f>'SEGUIMIENTO Y MONITOREO'!AS188</f>
        <v>0</v>
      </c>
      <c r="E40" s="391">
        <f>'SEGUIMIENTO Y MONITOREO'!AU188</f>
        <v>0</v>
      </c>
      <c r="F40" s="391">
        <f>'SEGUIMIENTO Y MONITOREO'!AW188</f>
        <v>0</v>
      </c>
      <c r="G40" s="392"/>
      <c r="H40" s="392"/>
      <c r="I40" s="392"/>
      <c r="J40" s="392"/>
      <c r="K40" s="392"/>
      <c r="L40" s="392"/>
    </row>
    <row r="41" spans="1:12" ht="39.75" customHeight="1" thickTop="1" thickBot="1" x14ac:dyDescent="0.25">
      <c r="A41" s="252" t="str">
        <f>IDENTIFICACIÓN!C70</f>
        <v>33C</v>
      </c>
      <c r="B41" s="389" t="str">
        <f>IF(IDENTIFICACIÓN!D70="","",IDENTIFICACIÓN!D70)</f>
        <v>Evaluación Independiente. Falta de Objetividad e Independencia en el proceso auditor, de evaluación y seguimiento</v>
      </c>
      <c r="C41" s="391" t="str">
        <f>'SEGUIMIENTO Y MONITOREO'!AR191</f>
        <v>NA</v>
      </c>
      <c r="D41" s="391" t="str">
        <f>'SEGUIMIENTO Y MONITOREO'!AS191</f>
        <v>NA</v>
      </c>
      <c r="E41" s="391" t="str">
        <f>'SEGUIMIENTO Y MONITOREO'!AU191</f>
        <v>NA</v>
      </c>
      <c r="F41" s="391" t="str">
        <f>'SEGUIMIENTO Y MONITOREO'!AW191</f>
        <v>NA</v>
      </c>
      <c r="G41" s="392"/>
      <c r="H41" s="392"/>
      <c r="I41" s="392"/>
      <c r="J41" s="392"/>
      <c r="K41" s="392"/>
      <c r="L41" s="392"/>
    </row>
    <row r="42" spans="1:12" ht="39.75" customHeight="1" thickTop="1" thickBot="1" x14ac:dyDescent="0.25">
      <c r="A42" s="252" t="str">
        <f>IDENTIFICACIÓN!C71</f>
        <v>34C</v>
      </c>
      <c r="B42" s="389" t="str">
        <f>IF(IDENTIFICACIÓN!D71="","",IDENTIFICACIÓN!D71)</f>
        <v>Evaluación Independiente. No reportar posibles actos de corrupción e irregularidades</v>
      </c>
      <c r="C42" s="391" t="str">
        <f>'SEGUIMIENTO Y MONITOREO'!AR194</f>
        <v>NA</v>
      </c>
      <c r="D42" s="391" t="str">
        <f>'SEGUIMIENTO Y MONITOREO'!AS194</f>
        <v>NA</v>
      </c>
      <c r="E42" s="391" t="str">
        <f>'SEGUIMIENTO Y MONITOREO'!AU194</f>
        <v>NA</v>
      </c>
      <c r="F42" s="391" t="str">
        <f>'SEGUIMIENTO Y MONITOREO'!AW194</f>
        <v>NA</v>
      </c>
      <c r="G42" s="392"/>
      <c r="H42" s="392"/>
      <c r="I42" s="392"/>
      <c r="J42" s="392"/>
      <c r="K42" s="392"/>
      <c r="L42" s="392"/>
    </row>
    <row r="43" spans="1:12" ht="15.75" hidden="1" thickTop="1" x14ac:dyDescent="0.2">
      <c r="A43" s="645" t="str">
        <f>'SEGUIMIENTO Y MONITOREO'!B202</f>
        <v>Cumplimiento Riesgos de CORRUPCIÓN (Respecto a los plazos establecidos)</v>
      </c>
      <c r="B43" s="646"/>
      <c r="C43" s="646"/>
      <c r="D43" s="646"/>
      <c r="E43" s="647"/>
      <c r="F43" s="164">
        <f>'SEGUIMIENTO Y MONITOREO'!AW202</f>
        <v>0.4422218048251107</v>
      </c>
      <c r="G43" s="168"/>
      <c r="H43" s="168"/>
    </row>
    <row r="44" spans="1:12" hidden="1" x14ac:dyDescent="0.2">
      <c r="A44" s="648" t="str">
        <f>'SEGUIMIENTO Y MONITOREO'!B203</f>
        <v xml:space="preserve">% Avance Riesgo de CORRUPCIÓN </v>
      </c>
      <c r="B44" s="648"/>
      <c r="C44" s="648"/>
      <c r="D44" s="648"/>
      <c r="E44" s="649"/>
      <c r="F44" s="164">
        <f>'SEGUIMIENTO Y MONITOREO'!AW203</f>
        <v>0.60297097301229541</v>
      </c>
      <c r="G44" s="168"/>
      <c r="H44" s="168"/>
    </row>
    <row r="45" spans="1:12" ht="15.75" thickTop="1" x14ac:dyDescent="0.2"/>
  </sheetData>
  <sheetProtection selectLockedCells="1"/>
  <mergeCells count="15">
    <mergeCell ref="A44:E44"/>
    <mergeCell ref="A43:E43"/>
    <mergeCell ref="G8:H8"/>
    <mergeCell ref="G9:H9"/>
    <mergeCell ref="G10:H10"/>
    <mergeCell ref="G11:H11"/>
    <mergeCell ref="G12:H12"/>
    <mergeCell ref="G13:H13"/>
    <mergeCell ref="A7:B7"/>
    <mergeCell ref="C7:F7"/>
    <mergeCell ref="A1:B3"/>
    <mergeCell ref="C1:G3"/>
    <mergeCell ref="A5:H5"/>
    <mergeCell ref="A6:B6"/>
    <mergeCell ref="C6:F6"/>
  </mergeCells>
  <conditionalFormatting sqref="H7">
    <cfRule type="containsText" dxfId="132" priority="18" operator="containsText" text="Sin Seguimientos">
      <formula>NOT(ISERROR(SEARCH("Sin Seguimientos",H7)))</formula>
    </cfRule>
  </conditionalFormatting>
  <conditionalFormatting sqref="C9:D42 E14:F42">
    <cfRule type="containsText" dxfId="131" priority="13" operator="containsText" text="NA">
      <formula>NOT(ISERROR(SEARCH("NA",C9)))</formula>
    </cfRule>
  </conditionalFormatting>
  <conditionalFormatting sqref="E13">
    <cfRule type="containsText" dxfId="130" priority="10" operator="containsText" text="NA">
      <formula>NOT(ISERROR(SEARCH("NA",E13)))</formula>
    </cfRule>
  </conditionalFormatting>
  <conditionalFormatting sqref="E9:E12">
    <cfRule type="containsText" dxfId="129" priority="7" operator="containsText" text="NA">
      <formula>NOT(ISERROR(SEARCH("NA",E9)))</formula>
    </cfRule>
  </conditionalFormatting>
  <dataValidations count="1">
    <dataValidation operator="equal" allowBlank="1" showInputMessage="1" showErrorMessage="1" sqref="C9:D42 E14:F42"/>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4" operator="notEqual" id="{80FA5850-58B9-4043-9DAB-791CA05EECA1}">
            <xm:f>VALORACIÓN!$D$10</xm:f>
            <x14:dxf>
              <font>
                <color auto="1"/>
              </font>
              <fill>
                <patternFill patternType="lightGrid">
                  <fgColor theme="0" tint="-4.9989318521683403E-2"/>
                  <bgColor theme="0"/>
                </patternFill>
              </fill>
            </x14:dxf>
          </x14:cfRule>
          <x14:cfRule type="cellIs" priority="15" operator="equal" id="{19207357-8A43-439F-9787-2A7080B949C7}">
            <xm:f>VALORACIÓN!$D$10</xm:f>
            <x14:dxf>
              <fill>
                <patternFill patternType="lightGrid">
                  <fgColor theme="0" tint="-4.9989318521683403E-2"/>
                </patternFill>
              </fill>
            </x14:dxf>
          </x14:cfRule>
          <xm:sqref>C9:D42 E14:F42</xm:sqref>
        </x14:conditionalFormatting>
        <x14:conditionalFormatting xmlns:xm="http://schemas.microsoft.com/office/excel/2006/main">
          <x14:cfRule type="cellIs" priority="21" operator="notEqual" id="{FDBC2F9E-E469-4716-B031-B4A04D78B01D}">
            <xm:f>VALORACIÓN!$D$10</xm:f>
            <x14:dxf>
              <font>
                <color auto="1"/>
              </font>
              <fill>
                <patternFill patternType="lightGrid">
                  <fgColor theme="0" tint="-4.9989318521683403E-2"/>
                  <bgColor theme="0"/>
                </patternFill>
              </fill>
            </x14:dxf>
          </x14:cfRule>
          <x14:cfRule type="cellIs" priority="22" operator="equal" id="{A4DC2C9E-B2A7-435B-945A-FCC53B709A5F}">
            <xm:f>VALORACIÓN!$D$10</xm:f>
            <x14:dxf>
              <fill>
                <patternFill patternType="lightGrid">
                  <fgColor theme="0" tint="-4.9989318521683403E-2"/>
                </patternFill>
              </fill>
            </x14:dxf>
          </x14:cfRule>
          <xm:sqref>F9:F13</xm:sqref>
        </x14:conditionalFormatting>
        <x14:conditionalFormatting xmlns:xm="http://schemas.microsoft.com/office/excel/2006/main">
          <x14:cfRule type="cellIs" priority="19" operator="notEqual" id="{86A3723E-EA31-40F3-BCCD-D393B386BDC9}">
            <xm:f>VALORACIÓN!$D$10</xm:f>
            <x14:dxf>
              <font>
                <color auto="1"/>
              </font>
              <fill>
                <patternFill patternType="lightGrid">
                  <fgColor theme="0" tint="-4.9989318521683403E-2"/>
                  <bgColor theme="0"/>
                </patternFill>
              </fill>
            </x14:dxf>
          </x14:cfRule>
          <x14:cfRule type="cellIs" priority="20" operator="equal" id="{AAFB5F3E-4791-4123-9646-7ABC44B5621C}">
            <xm:f>VALORACIÓN!$D$10</xm:f>
            <x14:dxf>
              <fill>
                <patternFill patternType="lightGrid">
                  <fgColor theme="0" tint="-4.9989318521683403E-2"/>
                </patternFill>
              </fill>
            </x14:dxf>
          </x14:cfRule>
          <xm:sqref>G9:G42</xm:sqref>
        </x14:conditionalFormatting>
        <x14:conditionalFormatting xmlns:xm="http://schemas.microsoft.com/office/excel/2006/main">
          <x14:cfRule type="cellIs" priority="16" operator="notEqual" id="{2F968F6D-DF5A-4F3C-BF35-0F3FA0D6D37B}">
            <xm:f>VALORACIÓN!$D$10</xm:f>
            <x14:dxf>
              <font>
                <color auto="1"/>
              </font>
              <fill>
                <patternFill patternType="lightGrid">
                  <fgColor theme="0" tint="-4.9989318521683403E-2"/>
                  <bgColor theme="0"/>
                </patternFill>
              </fill>
            </x14:dxf>
          </x14:cfRule>
          <x14:cfRule type="cellIs" priority="17" operator="equal" id="{09E57377-3BC4-41B9-9245-C1DF457CFFA6}">
            <xm:f>VALORACIÓN!$D$10</xm:f>
            <x14:dxf>
              <fill>
                <patternFill patternType="lightGrid">
                  <fgColor theme="0" tint="-4.9989318521683403E-2"/>
                </patternFill>
              </fill>
            </x14:dxf>
          </x14:cfRule>
          <xm:sqref>F43:F44</xm:sqref>
        </x14:conditionalFormatting>
        <x14:conditionalFormatting xmlns:xm="http://schemas.microsoft.com/office/excel/2006/main">
          <x14:cfRule type="cellIs" priority="11" operator="notEqual" id="{A4B25C8B-5B2E-4E90-B891-5E92AEB2B3A0}">
            <xm:f>VALORACIÓN!$D$10</xm:f>
            <x14:dxf>
              <font>
                <color auto="1"/>
              </font>
              <fill>
                <patternFill patternType="lightGrid">
                  <fgColor theme="0" tint="-4.9989318521683403E-2"/>
                  <bgColor theme="0"/>
                </patternFill>
              </fill>
            </x14:dxf>
          </x14:cfRule>
          <x14:cfRule type="cellIs" priority="12" operator="equal" id="{BC4539E2-FEA5-4D11-A96A-3BA3D0241041}">
            <xm:f>VALORACIÓN!$D$10</xm:f>
            <x14:dxf>
              <fill>
                <patternFill patternType="lightGrid">
                  <fgColor theme="0" tint="-4.9989318521683403E-2"/>
                </patternFill>
              </fill>
            </x14:dxf>
          </x14:cfRule>
          <xm:sqref>E13</xm:sqref>
        </x14:conditionalFormatting>
        <x14:conditionalFormatting xmlns:xm="http://schemas.microsoft.com/office/excel/2006/main">
          <x14:cfRule type="cellIs" priority="8" operator="notEqual" id="{B37FF60E-2BC7-40B0-A034-61A5A7668F91}">
            <xm:f>VALORACIÓN!$D$10</xm:f>
            <x14:dxf>
              <font>
                <color auto="1"/>
              </font>
              <fill>
                <patternFill patternType="lightGrid">
                  <fgColor theme="0" tint="-4.9989318521683403E-2"/>
                  <bgColor theme="0"/>
                </patternFill>
              </fill>
            </x14:dxf>
          </x14:cfRule>
          <x14:cfRule type="cellIs" priority="9" operator="equal" id="{C7D3B978-1A1F-47D5-B158-AC5170E50CBA}">
            <xm:f>VALORACIÓN!$D$10</xm:f>
            <x14:dxf>
              <fill>
                <patternFill patternType="lightGrid">
                  <fgColor theme="0" tint="-4.9989318521683403E-2"/>
                </patternFill>
              </fill>
            </x14:dxf>
          </x14:cfRule>
          <xm:sqref>E9:E12</xm:sqref>
        </x14:conditionalFormatting>
        <x14:conditionalFormatting xmlns:xm="http://schemas.microsoft.com/office/excel/2006/main">
          <x14:cfRule type="cellIs" priority="5" operator="notEqual" id="{F76EEAFF-679C-4C5F-ACF0-92647D367CEB}">
            <xm:f>VALORACIÓN!$D$10</xm:f>
            <x14:dxf>
              <font>
                <color auto="1"/>
              </font>
              <fill>
                <patternFill patternType="lightGrid">
                  <fgColor theme="0" tint="-4.9989318521683403E-2"/>
                  <bgColor theme="0"/>
                </patternFill>
              </fill>
            </x14:dxf>
          </x14:cfRule>
          <x14:cfRule type="cellIs" priority="6" operator="equal" id="{6B394359-F4AE-4FBE-8322-31EBB11A5D65}">
            <xm:f>VALORACIÓN!$D$10</xm:f>
            <x14:dxf>
              <fill>
                <patternFill patternType="lightGrid">
                  <fgColor theme="0" tint="-4.9989318521683403E-2"/>
                </patternFill>
              </fill>
            </x14:dxf>
          </x14:cfRule>
          <xm:sqref>I1:K42</xm:sqref>
        </x14:conditionalFormatting>
        <x14:conditionalFormatting xmlns:xm="http://schemas.microsoft.com/office/excel/2006/main">
          <x14:cfRule type="cellIs" priority="3" operator="notEqual" id="{C392C442-2331-4BD8-941F-CFC94665E382}">
            <xm:f>VALORACIÓN!$D$10</xm:f>
            <x14:dxf>
              <font>
                <color auto="1"/>
              </font>
              <fill>
                <patternFill patternType="lightGrid">
                  <fgColor theme="0" tint="-4.9989318521683403E-2"/>
                  <bgColor theme="0"/>
                </patternFill>
              </fill>
            </x14:dxf>
          </x14:cfRule>
          <x14:cfRule type="cellIs" priority="4" operator="equal" id="{3AAADB8A-5859-4726-B49D-6B9D19A465C8}">
            <xm:f>VALORACIÓN!$D$10</xm:f>
            <x14:dxf>
              <fill>
                <patternFill patternType="lightGrid">
                  <fgColor theme="0" tint="-4.9989318521683403E-2"/>
                </patternFill>
              </fill>
            </x14:dxf>
          </x14:cfRule>
          <xm:sqref>H14:H42</xm:sqref>
        </x14:conditionalFormatting>
        <x14:conditionalFormatting xmlns:xm="http://schemas.microsoft.com/office/excel/2006/main">
          <x14:cfRule type="cellIs" priority="1" operator="notEqual" id="{788EC67A-42F2-4308-B562-1A6BA6BE66BE}">
            <xm:f>VALORACIÓN!$D$10</xm:f>
            <x14:dxf>
              <font>
                <color auto="1"/>
              </font>
              <fill>
                <patternFill patternType="lightGrid">
                  <fgColor theme="0" tint="-4.9989318521683403E-2"/>
                  <bgColor theme="0"/>
                </patternFill>
              </fill>
            </x14:dxf>
          </x14:cfRule>
          <x14:cfRule type="cellIs" priority="2" operator="equal" id="{4F5FFD7B-EE65-4FDD-B63D-116B68390424}">
            <xm:f>VALORACIÓN!$D$10</xm:f>
            <x14:dxf>
              <fill>
                <patternFill patternType="lightGrid">
                  <fgColor theme="0" tint="-4.9989318521683403E-2"/>
                </patternFill>
              </fill>
            </x14:dxf>
          </x14:cfRule>
          <xm:sqref>L1:L42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7030A0"/>
  </sheetPr>
  <dimension ref="A1:K38"/>
  <sheetViews>
    <sheetView view="pageBreakPreview" zoomScaleNormal="100" zoomScaleSheetLayoutView="100" workbookViewId="0">
      <pane xSplit="2" ySplit="8" topLeftCell="F9"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18" customWidth="1"/>
    <col min="3" max="5" width="6.5546875" style="96" hidden="1" customWidth="1"/>
    <col min="6" max="6" width="28.33203125" customWidth="1"/>
    <col min="7" max="7" width="31" customWidth="1"/>
    <col min="8" max="8" width="25.109375" customWidth="1"/>
  </cols>
  <sheetData>
    <row r="1" spans="1:11" ht="15" customHeight="1" x14ac:dyDescent="0.2">
      <c r="A1" s="433" t="s">
        <v>145</v>
      </c>
      <c r="B1" s="433"/>
      <c r="C1" s="651" t="s">
        <v>206</v>
      </c>
      <c r="D1" s="652"/>
      <c r="E1" s="652"/>
      <c r="F1" s="652"/>
      <c r="G1" s="653"/>
      <c r="H1" s="182" t="s">
        <v>71</v>
      </c>
      <c r="I1" s="392"/>
      <c r="J1" s="392"/>
      <c r="K1" s="392"/>
    </row>
    <row r="2" spans="1:11" ht="15" customHeight="1" x14ac:dyDescent="0.2">
      <c r="A2" s="433"/>
      <c r="B2" s="433"/>
      <c r="C2" s="654"/>
      <c r="D2" s="655"/>
      <c r="E2" s="655"/>
      <c r="F2" s="655"/>
      <c r="G2" s="656"/>
      <c r="H2" s="182" t="s">
        <v>107</v>
      </c>
      <c r="I2" s="392"/>
      <c r="J2" s="392"/>
      <c r="K2" s="392"/>
    </row>
    <row r="3" spans="1:11" ht="15" customHeight="1" x14ac:dyDescent="0.2">
      <c r="A3" s="433"/>
      <c r="B3" s="433"/>
      <c r="C3" s="657"/>
      <c r="D3" s="658"/>
      <c r="E3" s="658"/>
      <c r="F3" s="658"/>
      <c r="G3" s="659"/>
      <c r="H3" s="182" t="s">
        <v>408</v>
      </c>
      <c r="I3" s="392"/>
      <c r="J3" s="392"/>
      <c r="K3" s="392"/>
    </row>
    <row r="4" spans="1:11" ht="3.75" customHeight="1" x14ac:dyDescent="0.2">
      <c r="A4" s="33"/>
      <c r="B4" s="34"/>
      <c r="C4" s="35"/>
      <c r="D4" s="35"/>
      <c r="E4" s="38"/>
      <c r="F4" s="38"/>
      <c r="G4" s="49"/>
      <c r="H4" s="49"/>
      <c r="I4" s="392"/>
      <c r="J4" s="392"/>
      <c r="K4" s="392"/>
    </row>
    <row r="5" spans="1:11" ht="15.75" x14ac:dyDescent="0.2">
      <c r="A5" s="435" t="s">
        <v>184</v>
      </c>
      <c r="B5" s="435"/>
      <c r="C5" s="435"/>
      <c r="D5" s="435"/>
      <c r="E5" s="514"/>
      <c r="F5" s="514"/>
      <c r="G5" s="514"/>
      <c r="H5" s="514"/>
      <c r="I5" s="392"/>
      <c r="J5" s="392"/>
      <c r="K5" s="392"/>
    </row>
    <row r="6" spans="1:11" ht="15.75" customHeight="1" x14ac:dyDescent="0.2">
      <c r="A6" s="489" t="str">
        <f>'CONTEXTO ESTRATEGICO'!A7</f>
        <v>INSTITUCIONAL</v>
      </c>
      <c r="B6" s="489"/>
      <c r="C6" s="606" t="str">
        <f>'SEGUIMIENTO Y MONITOREO'!C6</f>
        <v>Mapa de Riesgo Institucional</v>
      </c>
      <c r="D6" s="607"/>
      <c r="E6" s="607"/>
      <c r="F6" s="607"/>
      <c r="G6" s="173" t="str">
        <f>'SEGUIMIENTO Y MONITOREO'!E6</f>
        <v>Fecha de Actualización (AAAA/MM/DD)</v>
      </c>
      <c r="H6" s="171">
        <f>'SEGUIMIENTO Y MONITOREO'!H6</f>
        <v>42443</v>
      </c>
      <c r="I6" s="392"/>
      <c r="J6" s="392"/>
      <c r="K6" s="392"/>
    </row>
    <row r="7" spans="1:11" ht="15.75" customHeight="1" x14ac:dyDescent="0.2">
      <c r="A7" s="489"/>
      <c r="B7" s="489"/>
      <c r="C7" s="660" t="s">
        <v>161</v>
      </c>
      <c r="D7" s="661"/>
      <c r="E7" s="661"/>
      <c r="F7" s="662"/>
      <c r="G7" s="170" t="s">
        <v>185</v>
      </c>
      <c r="H7" s="172">
        <f>'SEGUIMIENTO Y MONITOREO'!$AX$7</f>
        <v>42735</v>
      </c>
      <c r="I7" s="392"/>
      <c r="J7" s="392"/>
      <c r="K7" s="392"/>
    </row>
    <row r="8" spans="1:11" ht="24" customHeight="1" x14ac:dyDescent="0.2">
      <c r="A8" s="176" t="s">
        <v>22</v>
      </c>
      <c r="B8" s="176" t="s">
        <v>28</v>
      </c>
      <c r="C8" s="174" t="str">
        <f>TGS!G8</f>
        <v>% 1ER CuaT</v>
      </c>
      <c r="D8" s="174" t="str">
        <f>TGS!I8</f>
        <v>% 2DO CuaT</v>
      </c>
      <c r="E8" s="174" t="str">
        <f>TGS!K8</f>
        <v>% 3ER CuaT</v>
      </c>
      <c r="F8" s="169" t="s">
        <v>369</v>
      </c>
      <c r="G8" s="650"/>
      <c r="H8" s="650"/>
      <c r="I8" s="392"/>
      <c r="J8" s="392"/>
      <c r="K8" s="392"/>
    </row>
    <row r="9" spans="1:11" ht="22.5" customHeight="1" x14ac:dyDescent="0.2">
      <c r="A9" s="178" t="str">
        <f>IDENTIFICACIÓN!C9</f>
        <v>1G</v>
      </c>
      <c r="B9" s="179" t="str">
        <f>IF(IDENTIFICACIÓN!D9="","",IDENTIFICACIÓN!D9)</f>
        <v>Relaciones Interinstitucionales. Concentrar labores múltiples en poco personal</v>
      </c>
      <c r="C9" s="180" t="str">
        <f>RXC!C9</f>
        <v>NA</v>
      </c>
      <c r="D9" s="180">
        <f>RXC!D9</f>
        <v>0</v>
      </c>
      <c r="E9" s="181">
        <f>RXC!E9</f>
        <v>1</v>
      </c>
      <c r="F9" s="391">
        <f>RXC!F9</f>
        <v>1</v>
      </c>
      <c r="G9" s="644"/>
      <c r="H9" s="644"/>
      <c r="I9" s="392"/>
      <c r="J9" s="392"/>
      <c r="K9" s="392"/>
    </row>
    <row r="10" spans="1:11" ht="22.5" customHeight="1" x14ac:dyDescent="0.2">
      <c r="A10" s="178" t="str">
        <f>IDENTIFICACIÓN!C10</f>
        <v>2G</v>
      </c>
      <c r="B10" s="179" t="str">
        <f>IF(IDENTIFICACIÓN!D10="","",IDENTIFICACIÓN!D10)</f>
        <v xml:space="preserve">Relaciones Interinstitucionales. Escaso registro y control de la movilidad internacional entrante y saliente. </v>
      </c>
      <c r="C10" s="391">
        <f>RXC!C10</f>
        <v>1</v>
      </c>
      <c r="D10" s="391">
        <f>RXC!D10</f>
        <v>1</v>
      </c>
      <c r="E10" s="181">
        <f>RXC!E10</f>
        <v>1</v>
      </c>
      <c r="F10" s="391">
        <f>RXC!F10</f>
        <v>1</v>
      </c>
      <c r="G10" s="644"/>
      <c r="H10" s="644"/>
      <c r="I10" s="392"/>
      <c r="J10" s="392"/>
      <c r="K10" s="392"/>
    </row>
    <row r="11" spans="1:11" ht="22.5" customHeight="1" x14ac:dyDescent="0.2">
      <c r="A11" s="178" t="str">
        <f>IDENTIFICACIÓN!C11</f>
        <v>3G</v>
      </c>
      <c r="B11" s="179" t="str">
        <f>IF(IDENTIFICACIÓN!D11="","",IDENTIFICACIÓN!D11)</f>
        <v>Relaciones Interinstitucionales. Gestionar la movilidad internacional sin requisitos legales</v>
      </c>
      <c r="C11" s="391">
        <f>RXC!C11</f>
        <v>1</v>
      </c>
      <c r="D11" s="391">
        <f>RXC!D11</f>
        <v>1</v>
      </c>
      <c r="E11" s="181">
        <f>RXC!E11</f>
        <v>1</v>
      </c>
      <c r="F11" s="391">
        <f>RXC!F11</f>
        <v>1</v>
      </c>
      <c r="G11" s="644"/>
      <c r="H11" s="644"/>
      <c r="I11" s="392"/>
      <c r="J11" s="392"/>
      <c r="K11" s="392"/>
    </row>
    <row r="12" spans="1:11" ht="22.5" customHeight="1" x14ac:dyDescent="0.2">
      <c r="A12" s="178" t="str">
        <f>IDENTIFICACIÓN!C12</f>
        <v>4G</v>
      </c>
      <c r="B12" s="179" t="str">
        <f>IF(IDENTIFICACIÓN!D12="","",IDENTIFICACIÓN!D12)</f>
        <v>Acreditación. Insuficiente Implementación de la Política Institucional de Autoevaluación, Acreditación y Aseguramiento de la calidad</v>
      </c>
      <c r="C12" s="391">
        <f>RXC!C12</f>
        <v>0</v>
      </c>
      <c r="D12" s="391">
        <f>RXC!D12</f>
        <v>0.5</v>
      </c>
      <c r="E12" s="181">
        <f>RXC!E12</f>
        <v>0.5</v>
      </c>
      <c r="F12" s="391">
        <f>RXC!F12</f>
        <v>0.5</v>
      </c>
      <c r="G12" s="644"/>
      <c r="H12" s="644"/>
      <c r="I12" s="392"/>
      <c r="J12" s="392"/>
      <c r="K12" s="392"/>
    </row>
    <row r="13" spans="1:11" ht="22.5" customHeight="1" x14ac:dyDescent="0.2">
      <c r="A13" s="178" t="str">
        <f>IDENTIFICACIÓN!C13</f>
        <v>5G</v>
      </c>
      <c r="B13" s="179" t="str">
        <f>IF(IDENTIFICACIÓN!D13="","",IDENTIFICACIÓN!D13)</f>
        <v xml:space="preserve">Acreditación. Deficiencia en la calidad técnica de los informes </v>
      </c>
      <c r="C13" s="391">
        <f>RXC!C13</f>
        <v>1</v>
      </c>
      <c r="D13" s="391">
        <f>RXC!D13</f>
        <v>1</v>
      </c>
      <c r="E13" s="181">
        <f>RXC!E13</f>
        <v>1</v>
      </c>
      <c r="F13" s="391">
        <f>RXC!F13</f>
        <v>1</v>
      </c>
      <c r="G13" s="644"/>
      <c r="H13" s="644"/>
      <c r="I13" s="392"/>
      <c r="J13" s="392"/>
      <c r="K13" s="392"/>
    </row>
    <row r="14" spans="1:11" ht="22.5" customHeight="1" x14ac:dyDescent="0.2">
      <c r="A14" s="178" t="str">
        <f>IDENTIFICACIÓN!C14</f>
        <v>6G</v>
      </c>
      <c r="B14" s="179" t="str">
        <f>IF(IDENTIFICACIÓN!D14="","",IDENTIFICACIÓN!D14)</f>
        <v>Acreditación. Negación de la acreditación o de la renovación de registro calificado</v>
      </c>
      <c r="C14" s="391" t="str">
        <f>RXC!C14</f>
        <v>NA</v>
      </c>
      <c r="D14" s="391" t="str">
        <f>RXC!D14</f>
        <v>NA</v>
      </c>
      <c r="E14" s="181" t="str">
        <f>RXC!E14</f>
        <v>NA</v>
      </c>
      <c r="F14" s="391" t="str">
        <f>RXC!F14</f>
        <v>NA</v>
      </c>
      <c r="G14" s="644"/>
      <c r="H14" s="644"/>
      <c r="I14" s="392"/>
      <c r="J14" s="392"/>
      <c r="K14" s="392"/>
    </row>
    <row r="15" spans="1:11" ht="22.5" customHeight="1" x14ac:dyDescent="0.2">
      <c r="A15" s="178" t="str">
        <f>IDENTIFICACIÓN!C15</f>
        <v>7G</v>
      </c>
      <c r="B15" s="179" t="str">
        <f>IF(IDENTIFICACIÓN!D15="","",IDENTIFICACIÓN!D15)</f>
        <v>Acreditación. Incumplimiento en algunas actividades establecidas en el plan de trabajo</v>
      </c>
      <c r="C15" s="391" t="str">
        <f>RXC!C15</f>
        <v>NA</v>
      </c>
      <c r="D15" s="391" t="str">
        <f>RXC!D15</f>
        <v>NA</v>
      </c>
      <c r="E15" s="181" t="str">
        <f>RXC!E15</f>
        <v>NA</v>
      </c>
      <c r="F15" s="391" t="str">
        <f>RXC!F15</f>
        <v>NA</v>
      </c>
      <c r="G15" s="644"/>
      <c r="H15" s="644"/>
      <c r="I15" s="392"/>
      <c r="J15" s="392"/>
      <c r="K15" s="392"/>
    </row>
    <row r="16" spans="1:11" ht="22.5" customHeight="1" x14ac:dyDescent="0.2">
      <c r="A16" s="178" t="str">
        <f>IDENTIFICACIÓN!C16</f>
        <v>8G</v>
      </c>
      <c r="B16" s="179" t="str">
        <f>IF(IDENTIFICACIÓN!D16="","",IDENTIFICACIÓN!D16)</f>
        <v>Acreditación. Retraso en el otorgamiento o renovacion del registro calificado</v>
      </c>
      <c r="C16" s="391" t="str">
        <f>RXC!C16</f>
        <v>NA</v>
      </c>
      <c r="D16" s="391" t="str">
        <f>RXC!D16</f>
        <v>NA</v>
      </c>
      <c r="E16" s="181" t="str">
        <f>RXC!E16</f>
        <v>NA</v>
      </c>
      <c r="F16" s="391" t="str">
        <f>RXC!F16</f>
        <v>NA</v>
      </c>
      <c r="G16" s="644"/>
      <c r="H16" s="644"/>
      <c r="I16" s="392"/>
      <c r="J16" s="392"/>
      <c r="K16" s="392"/>
    </row>
    <row r="17" spans="1:11" ht="22.5" customHeight="1" x14ac:dyDescent="0.2">
      <c r="A17" s="178" t="str">
        <f>IDENTIFICACIÓN!C17</f>
        <v>9G</v>
      </c>
      <c r="B17" s="179" t="str">
        <f>IF(IDENTIFICACIÓN!D17="","",IDENTIFICACIÓN!D17)</f>
        <v>Gestión de la Calidad. La alta dirección no asegura la disponibilidad de los recursos para el mantenimiento y mejora del sistema.</v>
      </c>
      <c r="C17" s="391">
        <f>RXC!C17</f>
        <v>1</v>
      </c>
      <c r="D17" s="391">
        <f>RXC!D17</f>
        <v>1</v>
      </c>
      <c r="E17" s="181">
        <f>RXC!E17</f>
        <v>1</v>
      </c>
      <c r="F17" s="391">
        <f>RXC!F17</f>
        <v>1</v>
      </c>
      <c r="G17" s="644"/>
      <c r="H17" s="644"/>
      <c r="I17" s="392"/>
      <c r="J17" s="392"/>
      <c r="K17" s="392"/>
    </row>
    <row r="18" spans="1:11" ht="22.5" customHeight="1" x14ac:dyDescent="0.2">
      <c r="A18" s="178" t="str">
        <f>IDENTIFICACIÓN!C18</f>
        <v>10G</v>
      </c>
      <c r="B18" s="179" t="str">
        <f>IF(IDENTIFICACIÓN!D18="","",IDENTIFICACIÓN!D18)</f>
        <v>Comunicaciones. Inoportuna e ineficaz divulgación de los productos comunicativos y publicitarios ante los usuarios internos y externos.</v>
      </c>
      <c r="C18" s="391">
        <f>RXC!C18</f>
        <v>0.125</v>
      </c>
      <c r="D18" s="391">
        <f>RXC!D18</f>
        <v>0.25</v>
      </c>
      <c r="E18" s="181">
        <f>RXC!E18</f>
        <v>0.25</v>
      </c>
      <c r="F18" s="391">
        <f>RXC!F18</f>
        <v>0.25</v>
      </c>
      <c r="G18" s="644"/>
      <c r="H18" s="644"/>
      <c r="I18" s="392"/>
      <c r="J18" s="392"/>
      <c r="K18" s="392"/>
    </row>
    <row r="19" spans="1:11" ht="22.5" customHeight="1" x14ac:dyDescent="0.2">
      <c r="A19" s="390" t="str">
        <f>IDENTIFICACIÓN!C19</f>
        <v>11G</v>
      </c>
      <c r="B19" s="389" t="str">
        <f>IF(IDENTIFICACIÓN!D19="","",IDENTIFICACIÓN!D19)</f>
        <v>Gestión Academica. Pérdida de Registro Calificado de los Programas Académicos.</v>
      </c>
      <c r="C19" s="391" t="str">
        <f>RXC!C19</f>
        <v>NA</v>
      </c>
      <c r="D19" s="391">
        <f>RXC!D19</f>
        <v>3.5000000000000003E-2</v>
      </c>
      <c r="E19" s="181">
        <f>RXC!E19</f>
        <v>0.05</v>
      </c>
      <c r="F19" s="391">
        <f>RXC!F19</f>
        <v>0.05</v>
      </c>
      <c r="G19" s="392"/>
      <c r="H19" s="392"/>
      <c r="I19" s="392"/>
      <c r="J19" s="392"/>
      <c r="K19" s="392"/>
    </row>
    <row r="20" spans="1:11" ht="22.5" customHeight="1" x14ac:dyDescent="0.2">
      <c r="A20" s="390" t="str">
        <f>IDENTIFICACIÓN!C20</f>
        <v>12G</v>
      </c>
      <c r="B20" s="389" t="str">
        <f>IF(IDENTIFICACIÓN!D20="","",IDENTIFICACIÓN!D20)</f>
        <v>Gestión Academica. Formulación inadecuada de políticas.</v>
      </c>
      <c r="C20" s="391" t="str">
        <f>RXC!C20</f>
        <v>NA</v>
      </c>
      <c r="D20" s="391">
        <f>RXC!D20</f>
        <v>0.05</v>
      </c>
      <c r="E20" s="181">
        <f>RXC!E20</f>
        <v>0.4</v>
      </c>
      <c r="F20" s="391">
        <f>RXC!F20</f>
        <v>0.4</v>
      </c>
      <c r="G20" s="392"/>
      <c r="H20" s="392"/>
      <c r="I20" s="392"/>
      <c r="J20" s="392"/>
      <c r="K20" s="392"/>
    </row>
    <row r="21" spans="1:11" ht="22.5" customHeight="1" x14ac:dyDescent="0.2">
      <c r="A21" s="390" t="str">
        <f>IDENTIFICACIÓN!C21</f>
        <v>13G</v>
      </c>
      <c r="B21" s="389" t="str">
        <f>IF(IDENTIFICACIÓN!D21="","",IDENTIFICACIÓN!D21)</f>
        <v>Gestión Academica. Aplicación inadecuada de la normatividad en el desarrollo de los diferentes procesos academicos de los programas.</v>
      </c>
      <c r="C21" s="391" t="str">
        <f>RXC!C21</f>
        <v>NA</v>
      </c>
      <c r="D21" s="391">
        <f>RXC!D21</f>
        <v>0.05</v>
      </c>
      <c r="E21" s="181">
        <f>RXC!E21</f>
        <v>0.4</v>
      </c>
      <c r="F21" s="391">
        <f>RXC!F21</f>
        <v>0.4</v>
      </c>
      <c r="G21" s="392"/>
      <c r="H21" s="392"/>
      <c r="I21" s="392"/>
      <c r="J21" s="392"/>
      <c r="K21" s="392"/>
    </row>
    <row r="22" spans="1:11" ht="22.5" customHeight="1" x14ac:dyDescent="0.2">
      <c r="A22" s="390" t="str">
        <f>IDENTIFICACIÓN!C22</f>
        <v>14G</v>
      </c>
      <c r="B22" s="389" t="str">
        <f>IF(IDENTIFICACIÓN!D22="","",IDENTIFICACIÓN!D22)</f>
        <v>Gestión Academica. Deterioro en la calidad de los programas académicos por necesidades de recursos no cubiertas.</v>
      </c>
      <c r="C22" s="391" t="str">
        <f>RXC!C22</f>
        <v>NA</v>
      </c>
      <c r="D22" s="391">
        <f>RXC!D22</f>
        <v>0.02</v>
      </c>
      <c r="E22" s="181">
        <f>RXC!E22</f>
        <v>0.10000000000000002</v>
      </c>
      <c r="F22" s="391">
        <f>RXC!F22</f>
        <v>0.10000000000000002</v>
      </c>
      <c r="G22" s="392"/>
      <c r="H22" s="392"/>
      <c r="I22" s="392"/>
      <c r="J22" s="392"/>
      <c r="K22" s="392"/>
    </row>
    <row r="23" spans="1:11" ht="22.5" customHeight="1" x14ac:dyDescent="0.2">
      <c r="A23" s="390" t="str">
        <f>IDENTIFICACIÓN!C23</f>
        <v>15G</v>
      </c>
      <c r="B23" s="389" t="str">
        <f>IF(IDENTIFICACIÓN!D23="","",IDENTIFICACIÓN!D23)</f>
        <v xml:space="preserve">Gestión de Investigación. No fomentar la actividad investigativa en la Universidad.  </v>
      </c>
      <c r="C23" s="391">
        <f>RXC!C23</f>
        <v>0.58333333333333326</v>
      </c>
      <c r="D23" s="391">
        <f>RXC!D23</f>
        <v>0.71666666666666667</v>
      </c>
      <c r="E23" s="181">
        <f>RXC!E23</f>
        <v>0.98333333333333339</v>
      </c>
      <c r="F23" s="391">
        <f>RXC!F23</f>
        <v>0.98333333333333339</v>
      </c>
      <c r="G23" s="392"/>
      <c r="H23" s="392"/>
      <c r="I23" s="392"/>
      <c r="J23" s="392"/>
      <c r="K23" s="392"/>
    </row>
    <row r="24" spans="1:11" ht="22.5" customHeight="1" x14ac:dyDescent="0.2">
      <c r="A24" s="390" t="str">
        <f>IDENTIFICACIÓN!C24</f>
        <v>16G</v>
      </c>
      <c r="B24" s="389" t="str">
        <f>IF(IDENTIFICACIÓN!D24="","",IDENTIFICACIÓN!D24)</f>
        <v>Gestión de Investigación. Deficiente cumplimiento del plan de acción de la Vicerrectoría de Investigación</v>
      </c>
      <c r="C24" s="391">
        <f>RXC!C24</f>
        <v>8.3333333333333343E-2</v>
      </c>
      <c r="D24" s="391">
        <f>RXC!D24</f>
        <v>0.5</v>
      </c>
      <c r="E24" s="181">
        <f>RXC!E24</f>
        <v>0.91666666666666663</v>
      </c>
      <c r="F24" s="391">
        <f>RXC!F24</f>
        <v>0.91666666666666663</v>
      </c>
      <c r="G24" s="392"/>
      <c r="H24" s="392"/>
      <c r="I24" s="392"/>
      <c r="J24" s="392"/>
      <c r="K24" s="392"/>
    </row>
    <row r="25" spans="1:11" ht="22.5" customHeight="1" x14ac:dyDescent="0.2">
      <c r="A25" s="390" t="str">
        <f>IDENTIFICACIÓN!C25</f>
        <v>17G</v>
      </c>
      <c r="B25" s="389" t="str">
        <f>IF(IDENTIFICACIÓN!D25="","",IDENTIFICACIÓN!D25)</f>
        <v>Gestión de Extensión y Proyección Social. Incumplimiento en los compromisos establecidos en la formalización de los proyectos.</v>
      </c>
      <c r="C25" s="391">
        <f>RXC!C25</f>
        <v>0</v>
      </c>
      <c r="D25" s="391">
        <f>RXC!D25</f>
        <v>0.67</v>
      </c>
      <c r="E25" s="181">
        <f>RXC!E25</f>
        <v>0.67</v>
      </c>
      <c r="F25" s="391">
        <f>RXC!F25</f>
        <v>0.67</v>
      </c>
      <c r="G25" s="392"/>
      <c r="H25" s="392"/>
      <c r="I25" s="392"/>
      <c r="J25" s="392"/>
      <c r="K25" s="392"/>
    </row>
    <row r="26" spans="1:11" ht="22.5" customHeight="1" x14ac:dyDescent="0.2">
      <c r="A26" s="390" t="str">
        <f>IDENTIFICACIÓN!C26</f>
        <v>18G</v>
      </c>
      <c r="B26" s="389"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6" s="391" t="str">
        <f>RXC!C26</f>
        <v>NA</v>
      </c>
      <c r="D26" s="391" t="str">
        <f>RXC!D26</f>
        <v>NA</v>
      </c>
      <c r="E26" s="181" t="str">
        <f>RXC!E26</f>
        <v>NA</v>
      </c>
      <c r="F26" s="391" t="str">
        <f>RXC!F26</f>
        <v>NA</v>
      </c>
      <c r="G26" s="392"/>
      <c r="H26" s="392"/>
      <c r="I26" s="392"/>
      <c r="J26" s="392"/>
      <c r="K26" s="392"/>
    </row>
    <row r="27" spans="1:11" ht="22.5" customHeight="1" x14ac:dyDescent="0.2">
      <c r="A27" s="390" t="str">
        <f>IDENTIFICACIÓN!C27</f>
        <v>19G</v>
      </c>
      <c r="B27" s="389" t="str">
        <f>IF(IDENTIFICACIÓN!D27="","",IDENTIFICACIÓN!D27)</f>
        <v>Gestión de Extensión y Proyección Social. Interrupción en las actividades e incumplimiento de los proyectos de extensión y proyección social, en las zonas de influencia.</v>
      </c>
      <c r="C27" s="391" t="str">
        <f>RXC!C27</f>
        <v>NA</v>
      </c>
      <c r="D27" s="391" t="str">
        <f>RXC!D27</f>
        <v>NA</v>
      </c>
      <c r="E27" s="181" t="str">
        <f>RXC!E27</f>
        <v>NA</v>
      </c>
      <c r="F27" s="391" t="str">
        <f>RXC!F27</f>
        <v>NA</v>
      </c>
      <c r="G27" s="392"/>
      <c r="H27" s="392"/>
      <c r="I27" s="392"/>
      <c r="J27" s="392"/>
      <c r="K27" s="392"/>
    </row>
    <row r="28" spans="1:11" ht="22.5" customHeight="1" x14ac:dyDescent="0.2">
      <c r="A28" s="390" t="str">
        <f>IDENTIFICACIÓN!C28</f>
        <v>20G</v>
      </c>
      <c r="B28" s="389" t="str">
        <f>IF(IDENTIFICACIÓN!D28="","",IDENTIFICACIÓN!D28)</f>
        <v>Gestión de Contratación. Celebración de contratos sin el cumplimiento de los requisitos internos y externos de carácter contractual</v>
      </c>
      <c r="C28" s="391" t="str">
        <f>RXC!C28</f>
        <v>NA</v>
      </c>
      <c r="D28" s="391" t="str">
        <f>RXC!D28</f>
        <v>NA</v>
      </c>
      <c r="E28" s="181" t="str">
        <f>RXC!E28</f>
        <v>NA</v>
      </c>
      <c r="F28" s="391" t="str">
        <f>RXC!F28</f>
        <v>NA</v>
      </c>
      <c r="G28" s="392"/>
      <c r="H28" s="392"/>
      <c r="I28" s="392"/>
      <c r="J28" s="392"/>
      <c r="K28" s="392"/>
    </row>
    <row r="29" spans="1:11" ht="22.5" customHeight="1" x14ac:dyDescent="0.2">
      <c r="A29" s="390" t="str">
        <f>IDENTIFICACIÓN!C29</f>
        <v>21G</v>
      </c>
      <c r="B29" s="389" t="str">
        <f>IF(IDENTIFICACIÓN!D29="","",IDENTIFICACIÓN!D29)</f>
        <v>Gestión de Contratación. Documentación incompleta en la carpeta contractual</v>
      </c>
      <c r="C29" s="391" t="str">
        <f>RXC!C29</f>
        <v>NA</v>
      </c>
      <c r="D29" s="391" t="str">
        <f>RXC!D29</f>
        <v>NA</v>
      </c>
      <c r="E29" s="181" t="str">
        <f>RXC!E29</f>
        <v>NA</v>
      </c>
      <c r="F29" s="391" t="str">
        <f>RXC!F29</f>
        <v>NA</v>
      </c>
      <c r="G29" s="392"/>
      <c r="H29" s="392"/>
      <c r="I29" s="392"/>
      <c r="J29" s="392"/>
      <c r="K29" s="392"/>
    </row>
    <row r="30" spans="1:11" ht="22.5" customHeight="1" x14ac:dyDescent="0.2">
      <c r="A30" s="390" t="str">
        <f>IDENTIFICACIÓN!C30</f>
        <v>22G</v>
      </c>
      <c r="B30" s="389" t="str">
        <f>IF(IDENTIFICACIÓN!D30="","",IDENTIFICACIÓN!D30)</f>
        <v>Gestión Administrativa. Inseguridad en el campus</v>
      </c>
      <c r="C30" s="391">
        <f>RXC!C30</f>
        <v>0</v>
      </c>
      <c r="D30" s="391">
        <f>RXC!D30</f>
        <v>0.21666666666666665</v>
      </c>
      <c r="E30" s="181">
        <f>RXC!E30</f>
        <v>0.21666666666666665</v>
      </c>
      <c r="F30" s="391">
        <f>RXC!F30</f>
        <v>0.21666666666666665</v>
      </c>
      <c r="G30" s="392"/>
      <c r="H30" s="392"/>
      <c r="I30" s="392"/>
      <c r="J30" s="392"/>
      <c r="K30" s="392"/>
    </row>
    <row r="31" spans="1:11" ht="22.5" customHeight="1" x14ac:dyDescent="0.2">
      <c r="A31" s="390" t="str">
        <f>IDENTIFICACIÓN!C31</f>
        <v>23G</v>
      </c>
      <c r="B31" s="389" t="str">
        <f>IF(IDENTIFICACIÓN!D31="","",IDENTIFICACIÓN!D31)</f>
        <v>Gestión Administrativa. Inadecuado gestión de los residuos</v>
      </c>
      <c r="C31" s="391">
        <f>RXC!C31</f>
        <v>0</v>
      </c>
      <c r="D31" s="391">
        <f>RXC!D31</f>
        <v>0.5</v>
      </c>
      <c r="E31" s="181">
        <f>RXC!E31</f>
        <v>0.5</v>
      </c>
      <c r="F31" s="391">
        <f>RXC!F31</f>
        <v>0.5</v>
      </c>
      <c r="G31" s="392"/>
      <c r="H31" s="392"/>
      <c r="I31" s="392"/>
      <c r="J31" s="392"/>
      <c r="K31" s="392"/>
    </row>
    <row r="32" spans="1:11" ht="22.5" customHeight="1" x14ac:dyDescent="0.2">
      <c r="A32" s="390" t="str">
        <f>IDENTIFICACIÓN!C32</f>
        <v>24G</v>
      </c>
      <c r="B32" s="389" t="str">
        <f>IF(IDENTIFICACIÓN!D32="","",IDENTIFICACIÓN!D32)</f>
        <v>Gestión del Talento Humano. Deficiente desempeño laboral de los funcionarios de la Universidad.</v>
      </c>
      <c r="C32" s="391">
        <f>RXC!C32</f>
        <v>0</v>
      </c>
      <c r="D32" s="391">
        <f>RXC!D32</f>
        <v>0.45</v>
      </c>
      <c r="E32" s="181">
        <f>RXC!E32</f>
        <v>0.45</v>
      </c>
      <c r="F32" s="391">
        <f>RXC!F32</f>
        <v>0.45</v>
      </c>
      <c r="G32" s="392"/>
      <c r="H32" s="392"/>
      <c r="I32" s="392"/>
      <c r="J32" s="392"/>
      <c r="K32" s="392"/>
    </row>
    <row r="33" spans="1:11" ht="22.5" customHeight="1" x14ac:dyDescent="0.2">
      <c r="A33" s="390" t="str">
        <f>IDENTIFICACIÓN!C33</f>
        <v>25G</v>
      </c>
      <c r="B33" s="389" t="str">
        <f>IF(IDENTIFICACIÓN!D33="","",IDENTIFICACIÓN!D33)</f>
        <v>Gestión del Talento Humano. Falta de plan de incentivos y/o estímulos.</v>
      </c>
      <c r="C33" s="391">
        <f>RXC!C33</f>
        <v>0</v>
      </c>
      <c r="D33" s="391">
        <f>RXC!D33</f>
        <v>0</v>
      </c>
      <c r="E33" s="181">
        <f>RXC!E33</f>
        <v>0.4</v>
      </c>
      <c r="F33" s="391">
        <f>RXC!F33</f>
        <v>0.4</v>
      </c>
      <c r="G33" s="392"/>
      <c r="H33" s="392"/>
      <c r="I33" s="392"/>
      <c r="J33" s="392"/>
      <c r="K33" s="392"/>
    </row>
    <row r="34" spans="1:11" ht="22.5" customHeight="1" x14ac:dyDescent="0.2">
      <c r="A34" s="390" t="str">
        <f>IDENTIFICACIÓN!C34</f>
        <v>26G</v>
      </c>
      <c r="B34" s="389" t="str">
        <f>IF(IDENTIFICACIÓN!D34="","",IDENTIFICACIÓN!D34)</f>
        <v>Gestión del Talento Humano. Demoras en la afilicación de catedráticos y ocasionales al Sistema de Seguridad Social Integral, y de los contratistas y estudiantes de Práctica a la Administradora de Riesgos Laborales.</v>
      </c>
      <c r="C34" s="391">
        <f>RXC!C34</f>
        <v>0</v>
      </c>
      <c r="D34" s="391">
        <f>RXC!D34</f>
        <v>0</v>
      </c>
      <c r="E34" s="181">
        <f>RXC!E34</f>
        <v>0.19999999999999998</v>
      </c>
      <c r="F34" s="391">
        <f>RXC!F34</f>
        <v>0.19999999999999998</v>
      </c>
      <c r="G34" s="392"/>
      <c r="H34" s="392"/>
      <c r="I34" s="392"/>
      <c r="J34" s="392"/>
      <c r="K34" s="392"/>
    </row>
    <row r="35" spans="1:11" ht="22.5" customHeight="1" x14ac:dyDescent="0.2">
      <c r="A35" s="390" t="str">
        <f>IDENTIFICACIÓN!C35</f>
        <v>27G</v>
      </c>
      <c r="B35" s="389" t="str">
        <f>IF(IDENTIFICACIÓN!D35="","",IDENTIFICACIÓN!D35)</f>
        <v>Evaluación Independiente. Deficiente evaluación y verificacion de la existencia, nivel de desarrollo y grado de efectividad del Sistema de Control Interno</v>
      </c>
      <c r="C35" s="391" t="str">
        <f>RXC!C35</f>
        <v>NA</v>
      </c>
      <c r="D35" s="391" t="str">
        <f>RXC!D35</f>
        <v>NA</v>
      </c>
      <c r="E35" s="181" t="str">
        <f>RXC!E35</f>
        <v>NA</v>
      </c>
      <c r="F35" s="391" t="str">
        <f>RXC!F35</f>
        <v>NA</v>
      </c>
      <c r="G35" s="392"/>
      <c r="H35" s="392"/>
      <c r="I35" s="392"/>
      <c r="J35" s="392"/>
      <c r="K35" s="392"/>
    </row>
    <row r="36" spans="1:11" ht="22.5" customHeight="1" x14ac:dyDescent="0.2">
      <c r="A36" s="390" t="str">
        <f>IDENTIFICACIÓN!C36</f>
        <v>28G</v>
      </c>
      <c r="B36" s="389" t="str">
        <f>IF(IDENTIFICACIÓN!D36="","",IDENTIFICACIÓN!D36)</f>
        <v>Evaluación Independiente. Deficiente evaluación del nivel de avance de las acciones pactadas en los planes de mejoramiento</v>
      </c>
      <c r="C36" s="391" t="str">
        <f>RXC!C36</f>
        <v>NA</v>
      </c>
      <c r="D36" s="391" t="str">
        <f>RXC!D36</f>
        <v>NA</v>
      </c>
      <c r="E36" s="181" t="str">
        <f>RXC!E36</f>
        <v>NA</v>
      </c>
      <c r="F36" s="391" t="str">
        <f>RXC!F36</f>
        <v>NA</v>
      </c>
      <c r="G36" s="392"/>
      <c r="H36" s="392"/>
      <c r="I36" s="392"/>
      <c r="J36" s="392"/>
      <c r="K36" s="392"/>
    </row>
    <row r="37" spans="1:11" hidden="1" x14ac:dyDescent="0.2">
      <c r="A37" s="645" t="str">
        <f>'SEGUIMIENTO Y MONITOREO'!B200</f>
        <v>Cumplimiento Riesgos de GESTIÓN (Respecto a los plazos establecidos)</v>
      </c>
      <c r="B37" s="646"/>
      <c r="C37" s="646"/>
      <c r="D37" s="646"/>
      <c r="E37" s="647"/>
      <c r="F37" s="164">
        <f>'SEGUIMIENTO Y MONITOREO'!AW200</f>
        <v>0.4535255295429208</v>
      </c>
      <c r="G37" s="168"/>
      <c r="H37" s="168"/>
    </row>
    <row r="38" spans="1:11" hidden="1" x14ac:dyDescent="0.2">
      <c r="A38" s="648" t="str">
        <f>'SEGUIMIENTO Y MONITOREO'!B201</f>
        <v xml:space="preserve">% Avance Riesgos de GESTIÓN </v>
      </c>
      <c r="B38" s="648"/>
      <c r="C38" s="648"/>
      <c r="D38" s="648"/>
      <c r="E38" s="649"/>
      <c r="F38" s="164">
        <f>'SEGUIMIENTO Y MONITOREO'!AW201</f>
        <v>0.56848874024526197</v>
      </c>
      <c r="G38" s="168"/>
      <c r="H38" s="168"/>
    </row>
  </sheetData>
  <mergeCells count="20">
    <mergeCell ref="A38:E38"/>
    <mergeCell ref="G14:H14"/>
    <mergeCell ref="G15:H15"/>
    <mergeCell ref="G16:H16"/>
    <mergeCell ref="G17:H17"/>
    <mergeCell ref="G18:H18"/>
    <mergeCell ref="A37:E37"/>
    <mergeCell ref="G13:H13"/>
    <mergeCell ref="A1:B3"/>
    <mergeCell ref="C1:G3"/>
    <mergeCell ref="A5:H5"/>
    <mergeCell ref="A6:B6"/>
    <mergeCell ref="C6:F6"/>
    <mergeCell ref="A7:B7"/>
    <mergeCell ref="C7:F7"/>
    <mergeCell ref="G8:H8"/>
    <mergeCell ref="G9:H9"/>
    <mergeCell ref="G10:H10"/>
    <mergeCell ref="G11:H11"/>
    <mergeCell ref="G12:H12"/>
  </mergeCells>
  <conditionalFormatting sqref="H7">
    <cfRule type="containsText" dxfId="110" priority="10" operator="containsText" text="Sin Seguimientos">
      <formula>NOT(ISERROR(SEARCH("Sin Seguimientos",H7)))</formula>
    </cfRule>
  </conditionalFormatting>
  <conditionalFormatting sqref="F9:F36">
    <cfRule type="containsText" dxfId="109" priority="5" operator="containsText" text="NA">
      <formula>NOT(ISERROR(SEARCH("NA",F9)))</formula>
    </cfRule>
  </conditionalFormatting>
  <dataValidations count="1">
    <dataValidation operator="equal" allowBlank="1" showInputMessage="1" showErrorMessage="1" sqref="C9:C36"/>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64FC6D30-B3C2-4ED1-B73D-1DB7185878BA}">
            <xm:f>VALORACIÓN!$D$10</xm:f>
            <x14:dxf>
              <font>
                <color auto="1"/>
              </font>
              <fill>
                <patternFill patternType="lightGrid">
                  <fgColor theme="0" tint="-4.9989318521683403E-2"/>
                  <bgColor theme="0"/>
                </patternFill>
              </fill>
            </x14:dxf>
          </x14:cfRule>
          <x14:cfRule type="cellIs" priority="16" operator="equal" id="{17240EA6-7B8D-46A2-A134-D7BE3EA77BF5}">
            <xm:f>VALORACIÓN!$D$10</xm:f>
            <x14:dxf>
              <fill>
                <patternFill patternType="lightGrid">
                  <fgColor theme="0" tint="-4.9989318521683403E-2"/>
                </patternFill>
              </fill>
            </x14:dxf>
          </x14:cfRule>
          <xm:sqref>C9:E36</xm:sqref>
        </x14:conditionalFormatting>
        <x14:conditionalFormatting xmlns:xm="http://schemas.microsoft.com/office/excel/2006/main">
          <x14:cfRule type="cellIs" priority="11" operator="notEqual" id="{35F84B27-FE90-4531-9026-A5F5FE8FA456}">
            <xm:f>VALORACIÓN!$D$10</xm:f>
            <x14:dxf>
              <font>
                <color auto="1"/>
              </font>
              <fill>
                <patternFill patternType="lightGrid">
                  <fgColor theme="0" tint="-4.9989318521683403E-2"/>
                  <bgColor theme="0"/>
                </patternFill>
              </fill>
            </x14:dxf>
          </x14:cfRule>
          <x14:cfRule type="cellIs" priority="12" operator="equal" id="{469507E3-76A9-4CAF-A6FA-97216C2DC05C}">
            <xm:f>VALORACIÓN!$D$10</xm:f>
            <x14:dxf>
              <fill>
                <patternFill patternType="lightGrid">
                  <fgColor theme="0" tint="-4.9989318521683403E-2"/>
                </patternFill>
              </fill>
            </x14:dxf>
          </x14:cfRule>
          <xm:sqref>G9:G36</xm:sqref>
        </x14:conditionalFormatting>
        <x14:conditionalFormatting xmlns:xm="http://schemas.microsoft.com/office/excel/2006/main">
          <x14:cfRule type="cellIs" priority="8" operator="notEqual" id="{11C06524-00E4-442B-95C7-5CEA0FCFC149}">
            <xm:f>VALORACIÓN!$D$10</xm:f>
            <x14:dxf>
              <font>
                <color auto="1"/>
              </font>
              <fill>
                <patternFill patternType="lightGrid">
                  <fgColor theme="0" tint="-4.9989318521683403E-2"/>
                  <bgColor theme="0"/>
                </patternFill>
              </fill>
            </x14:dxf>
          </x14:cfRule>
          <x14:cfRule type="cellIs" priority="9" operator="equal" id="{0F11C44B-B22C-47C8-948D-6D39C8C2AAFB}">
            <xm:f>VALORACIÓN!$D$10</xm:f>
            <x14:dxf>
              <fill>
                <patternFill patternType="lightGrid">
                  <fgColor theme="0" tint="-4.9989318521683403E-2"/>
                </patternFill>
              </fill>
            </x14:dxf>
          </x14:cfRule>
          <xm:sqref>F37:F38</xm:sqref>
        </x14:conditionalFormatting>
        <x14:conditionalFormatting xmlns:xm="http://schemas.microsoft.com/office/excel/2006/main">
          <x14:cfRule type="cellIs" priority="6" operator="notEqual" id="{3EAFE8D7-3459-4E7F-A3A5-BD0BB1E855AC}">
            <xm:f>VALORACIÓN!$D$10</xm:f>
            <x14:dxf>
              <font>
                <color auto="1"/>
              </font>
              <fill>
                <patternFill patternType="lightGrid">
                  <fgColor theme="0" tint="-4.9989318521683403E-2"/>
                  <bgColor theme="0"/>
                </patternFill>
              </fill>
            </x14:dxf>
          </x14:cfRule>
          <x14:cfRule type="cellIs" priority="7" operator="equal" id="{EBBC5968-83C0-4F07-9A4A-698135D73009}">
            <xm:f>VALORACIÓN!$D$10</xm:f>
            <x14:dxf>
              <fill>
                <patternFill patternType="lightGrid">
                  <fgColor theme="0" tint="-4.9989318521683403E-2"/>
                </patternFill>
              </fill>
            </x14:dxf>
          </x14:cfRule>
          <xm:sqref>F9:F36</xm:sqref>
        </x14:conditionalFormatting>
        <x14:conditionalFormatting xmlns:xm="http://schemas.microsoft.com/office/excel/2006/main">
          <x14:cfRule type="cellIs" priority="3" operator="notEqual" id="{A90A662D-A6D4-43A8-AE27-BBCFAC3EFD23}">
            <xm:f>VALORACIÓN!$D$10</xm:f>
            <x14:dxf>
              <font>
                <color auto="1"/>
              </font>
              <fill>
                <patternFill patternType="lightGrid">
                  <fgColor theme="0" tint="-4.9989318521683403E-2"/>
                  <bgColor theme="0"/>
                </patternFill>
              </fill>
            </x14:dxf>
          </x14:cfRule>
          <x14:cfRule type="cellIs" priority="4" operator="equal" id="{9C7EBDDE-5233-41E8-90EB-DE2CBA721780}">
            <xm:f>VALORACIÓN!$D$10</xm:f>
            <x14:dxf>
              <fill>
                <patternFill patternType="lightGrid">
                  <fgColor theme="0" tint="-4.9989318521683403E-2"/>
                </patternFill>
              </fill>
            </x14:dxf>
          </x14:cfRule>
          <xm:sqref>I1:K36</xm:sqref>
        </x14:conditionalFormatting>
        <x14:conditionalFormatting xmlns:xm="http://schemas.microsoft.com/office/excel/2006/main">
          <x14:cfRule type="cellIs" priority="1" operator="notEqual" id="{5702BC1C-27AE-4F3C-9DDA-D6E9384FD492}">
            <xm:f>VALORACIÓN!$D$10</xm:f>
            <x14:dxf>
              <font>
                <color auto="1"/>
              </font>
              <fill>
                <patternFill patternType="lightGrid">
                  <fgColor theme="0" tint="-4.9989318521683403E-2"/>
                  <bgColor theme="0"/>
                </patternFill>
              </fill>
            </x14:dxf>
          </x14:cfRule>
          <x14:cfRule type="cellIs" priority="2" operator="equal" id="{066BFD97-C835-40FC-9712-0BDBBA9FA538}">
            <xm:f>VALORACIÓN!$D$10</xm:f>
            <x14:dxf>
              <fill>
                <patternFill patternType="lightGrid">
                  <fgColor theme="0" tint="-4.9989318521683403E-2"/>
                </patternFill>
              </fill>
            </x14:dxf>
          </x14:cfRule>
          <xm:sqref>H19:H36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45"/>
  <sheetViews>
    <sheetView view="pageBreakPreview" zoomScaleNormal="100" zoomScaleSheetLayoutView="100" workbookViewId="0">
      <pane xSplit="2" ySplit="8" topLeftCell="F48"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5" width="9" style="96" hidden="1" customWidth="1"/>
    <col min="6" max="6" width="28.5546875" customWidth="1"/>
    <col min="7" max="7" width="31" customWidth="1"/>
    <col min="8" max="8" width="25.109375" customWidth="1"/>
  </cols>
  <sheetData>
    <row r="1" spans="1:11" ht="15" customHeight="1" x14ac:dyDescent="0.2">
      <c r="A1" s="433" t="s">
        <v>145</v>
      </c>
      <c r="B1" s="433"/>
      <c r="C1" s="651" t="s">
        <v>206</v>
      </c>
      <c r="D1" s="652"/>
      <c r="E1" s="652"/>
      <c r="F1" s="652"/>
      <c r="G1" s="653"/>
      <c r="H1" s="182" t="s">
        <v>71</v>
      </c>
      <c r="I1" s="392"/>
      <c r="J1" s="392"/>
      <c r="K1" s="392"/>
    </row>
    <row r="2" spans="1:11" ht="15" customHeight="1" x14ac:dyDescent="0.2">
      <c r="A2" s="433"/>
      <c r="B2" s="433"/>
      <c r="C2" s="654"/>
      <c r="D2" s="655"/>
      <c r="E2" s="655"/>
      <c r="F2" s="655"/>
      <c r="G2" s="656"/>
      <c r="H2" s="182" t="s">
        <v>107</v>
      </c>
      <c r="I2" s="392"/>
      <c r="J2" s="392"/>
      <c r="K2" s="392"/>
    </row>
    <row r="3" spans="1:11" ht="15" customHeight="1" x14ac:dyDescent="0.2">
      <c r="A3" s="433"/>
      <c r="B3" s="433"/>
      <c r="C3" s="657"/>
      <c r="D3" s="658"/>
      <c r="E3" s="658"/>
      <c r="F3" s="658"/>
      <c r="G3" s="659"/>
      <c r="H3" s="182" t="s">
        <v>408</v>
      </c>
      <c r="I3" s="392"/>
      <c r="J3" s="392"/>
      <c r="K3" s="392"/>
    </row>
    <row r="4" spans="1:11" ht="3.75" customHeight="1" x14ac:dyDescent="0.2">
      <c r="A4" s="33"/>
      <c r="B4" s="34"/>
      <c r="C4" s="291"/>
      <c r="D4" s="291"/>
      <c r="E4" s="290"/>
      <c r="F4" s="290"/>
      <c r="G4" s="49"/>
      <c r="H4" s="49"/>
      <c r="I4" s="392"/>
      <c r="J4" s="392"/>
      <c r="K4" s="392"/>
    </row>
    <row r="5" spans="1:11" ht="15.75" x14ac:dyDescent="0.2">
      <c r="A5" s="435" t="s">
        <v>184</v>
      </c>
      <c r="B5" s="435"/>
      <c r="C5" s="435"/>
      <c r="D5" s="435"/>
      <c r="E5" s="514"/>
      <c r="F5" s="514"/>
      <c r="G5" s="514"/>
      <c r="H5" s="514"/>
      <c r="I5" s="392"/>
      <c r="J5" s="392"/>
      <c r="K5" s="392"/>
    </row>
    <row r="6" spans="1:11" ht="15.75" customHeight="1" x14ac:dyDescent="0.2">
      <c r="A6" s="489" t="str">
        <f>'CONTEXTO ESTRATEGICO'!A7</f>
        <v>INSTITUCIONAL</v>
      </c>
      <c r="B6" s="489"/>
      <c r="C6" s="606" t="str">
        <f>'SEGUIMIENTO Y MONITOREO'!C6</f>
        <v>Mapa de Riesgo Institucional</v>
      </c>
      <c r="D6" s="607"/>
      <c r="E6" s="607"/>
      <c r="F6" s="607"/>
      <c r="G6" s="302" t="str">
        <f>'SEGUIMIENTO Y MONITOREO'!E6</f>
        <v>Fecha de Actualización (AAAA/MM/DD)</v>
      </c>
      <c r="H6" s="171">
        <f>'SEGUIMIENTO Y MONITOREO'!H6</f>
        <v>42443</v>
      </c>
      <c r="I6" s="392"/>
      <c r="J6" s="392"/>
      <c r="K6" s="392"/>
    </row>
    <row r="7" spans="1:11" ht="15.75" customHeight="1" x14ac:dyDescent="0.2">
      <c r="A7" s="489"/>
      <c r="B7" s="489"/>
      <c r="C7" s="660" t="s">
        <v>161</v>
      </c>
      <c r="D7" s="661"/>
      <c r="E7" s="661"/>
      <c r="F7" s="662"/>
      <c r="G7" s="303" t="s">
        <v>185</v>
      </c>
      <c r="H7" s="172">
        <f>'SEGUIMIENTO Y MONITOREO'!$AX$7</f>
        <v>42735</v>
      </c>
      <c r="I7" s="392"/>
      <c r="J7" s="392"/>
      <c r="K7" s="392"/>
    </row>
    <row r="8" spans="1:11" ht="24" customHeight="1" x14ac:dyDescent="0.2">
      <c r="A8" s="292" t="s">
        <v>22</v>
      </c>
      <c r="B8" s="292" t="s">
        <v>28</v>
      </c>
      <c r="C8" s="300" t="str">
        <f>TGS!G8</f>
        <v>% 1ER CuaT</v>
      </c>
      <c r="D8" s="300" t="str">
        <f>TGS!I8</f>
        <v>% 2DO CuaT</v>
      </c>
      <c r="E8" s="298" t="str">
        <f>TGS!K8</f>
        <v>% 3ER CuaT</v>
      </c>
      <c r="F8" s="301" t="s">
        <v>201</v>
      </c>
      <c r="G8" s="650"/>
      <c r="H8" s="650"/>
      <c r="I8" s="392"/>
      <c r="J8" s="392"/>
      <c r="K8" s="392"/>
    </row>
    <row r="9" spans="1:11" ht="39.75" customHeight="1" thickBot="1" x14ac:dyDescent="0.25">
      <c r="A9" s="252" t="str">
        <f>IDENTIFICACIÓN!C38</f>
        <v>1C</v>
      </c>
      <c r="B9" s="293" t="str">
        <f>IF(IDENTIFICACIÓN!D38="","",IDENTIFICACIÓN!D38)</f>
        <v>Relaciones Interinstitucionales. Tráfico de Influencias</v>
      </c>
      <c r="C9" s="295">
        <f>'RXC C'!C9</f>
        <v>1</v>
      </c>
      <c r="D9" s="295">
        <f>'RXC C'!D9</f>
        <v>1</v>
      </c>
      <c r="E9" s="295">
        <f>'RXC C'!E9</f>
        <v>1</v>
      </c>
      <c r="F9" s="391">
        <f>'RXC C'!F9</f>
        <v>1</v>
      </c>
      <c r="G9" s="644"/>
      <c r="H9" s="644"/>
      <c r="I9" s="392"/>
      <c r="J9" s="392"/>
      <c r="K9" s="392"/>
    </row>
    <row r="10" spans="1:11" ht="39.75" customHeight="1" thickTop="1" thickBot="1" x14ac:dyDescent="0.25">
      <c r="A10" s="252" t="str">
        <f>IDENTIFICACIÓN!C39</f>
        <v>2C</v>
      </c>
      <c r="B10" s="293" t="str">
        <f>IF(IDENTIFICACIÓN!D39="","",IDENTIFICACIÓN!D39)</f>
        <v>Dirección y Planeación. Ausencia o debilidad de procesos y procedimientos para la gestión administrativa y misional</v>
      </c>
      <c r="C10" s="391" t="str">
        <f>'RXC C'!C10</f>
        <v>NA</v>
      </c>
      <c r="D10" s="391" t="str">
        <f>'RXC C'!D10</f>
        <v>NA</v>
      </c>
      <c r="E10" s="391" t="str">
        <f>'RXC C'!E10</f>
        <v>NA</v>
      </c>
      <c r="F10" s="391" t="str">
        <f>'RXC C'!F10</f>
        <v>NA</v>
      </c>
      <c r="G10" s="644"/>
      <c r="H10" s="644"/>
      <c r="I10" s="392"/>
      <c r="J10" s="392"/>
      <c r="K10" s="392"/>
    </row>
    <row r="11" spans="1:11" ht="39.75" customHeight="1" thickTop="1" thickBot="1" x14ac:dyDescent="0.25">
      <c r="A11" s="252" t="str">
        <f>IDENTIFICACIÓN!C40</f>
        <v>3C</v>
      </c>
      <c r="B11" s="293" t="str">
        <f>IF(IDENTIFICACIÓN!D40="","",IDENTIFICACIÓN!D40)</f>
        <v>Dirección y Planeación. Prevaricato</v>
      </c>
      <c r="C11" s="391" t="str">
        <f>'RXC C'!C11</f>
        <v>NA</v>
      </c>
      <c r="D11" s="391" t="str">
        <f>'RXC C'!D11</f>
        <v>NA</v>
      </c>
      <c r="E11" s="391" t="str">
        <f>'RXC C'!E11</f>
        <v>NA</v>
      </c>
      <c r="F11" s="391" t="str">
        <f>'RXC C'!F11</f>
        <v>NA</v>
      </c>
      <c r="G11" s="644"/>
      <c r="H11" s="644"/>
      <c r="I11" s="392"/>
      <c r="J11" s="392"/>
      <c r="K11" s="392"/>
    </row>
    <row r="12" spans="1:11" ht="39.75" customHeight="1" thickTop="1" thickBot="1" x14ac:dyDescent="0.25">
      <c r="A12" s="252" t="str">
        <f>IDENTIFICACIÓN!C41</f>
        <v>4C</v>
      </c>
      <c r="B12" s="293" t="str">
        <f>IF(IDENTIFICACIÓN!D41="","",IDENTIFICACIÓN!D41)</f>
        <v>Dirección y Planeación. Malversación de Recursos</v>
      </c>
      <c r="C12" s="391" t="str">
        <f>'RXC C'!C12</f>
        <v>NA</v>
      </c>
      <c r="D12" s="391" t="str">
        <f>'RXC C'!D12</f>
        <v>NA</v>
      </c>
      <c r="E12" s="391" t="str">
        <f>'RXC C'!E12</f>
        <v>NA</v>
      </c>
      <c r="F12" s="391" t="str">
        <f>'RXC C'!F12</f>
        <v>NA</v>
      </c>
      <c r="G12" s="644"/>
      <c r="H12" s="644"/>
      <c r="I12" s="392"/>
      <c r="J12" s="392"/>
      <c r="K12" s="392"/>
    </row>
    <row r="13" spans="1:11" ht="39.75" customHeight="1" thickTop="1" thickBot="1" x14ac:dyDescent="0.25">
      <c r="A13" s="252" t="str">
        <f>IDENTIFICACIÓN!C42</f>
        <v>5C</v>
      </c>
      <c r="B13" s="293" t="str">
        <f>IF(IDENTIFICACIÓN!D42="","",IDENTIFICACIÓN!D42)</f>
        <v>Acreditación. Deficiencias en el manejo documental y de archivo</v>
      </c>
      <c r="C13" s="391">
        <f>'RXC C'!C13</f>
        <v>1</v>
      </c>
      <c r="D13" s="391">
        <f>'RXC C'!D13</f>
        <v>1</v>
      </c>
      <c r="E13" s="391">
        <f>'RXC C'!E13</f>
        <v>1</v>
      </c>
      <c r="F13" s="391">
        <f>'RXC C'!F13</f>
        <v>1</v>
      </c>
      <c r="G13" s="644"/>
      <c r="H13" s="644"/>
      <c r="I13" s="392"/>
      <c r="J13" s="392"/>
      <c r="K13" s="392"/>
    </row>
    <row r="14" spans="1:11" ht="39.75" customHeight="1" thickTop="1" thickBot="1" x14ac:dyDescent="0.25">
      <c r="A14" s="252" t="str">
        <f>IDENTIFICACIÓN!C43</f>
        <v>6C</v>
      </c>
      <c r="B14" s="389" t="str">
        <f>IF(IDENTIFICACIÓN!D43="","",IDENTIFICACIÓN!D43)</f>
        <v>Acreditación. Concentración de información de determinadas actividades o procesos en una persona</v>
      </c>
      <c r="C14" s="391">
        <f>'RXC C'!C14</f>
        <v>1</v>
      </c>
      <c r="D14" s="391">
        <f>'RXC C'!D14</f>
        <v>1</v>
      </c>
      <c r="E14" s="391">
        <f>'RXC C'!E14</f>
        <v>1</v>
      </c>
      <c r="F14" s="391">
        <f>'RXC C'!F14</f>
        <v>1</v>
      </c>
      <c r="G14" s="392"/>
      <c r="H14" s="392"/>
      <c r="I14" s="392"/>
      <c r="J14" s="392"/>
      <c r="K14" s="392"/>
    </row>
    <row r="15" spans="1:11" ht="39.75" customHeight="1" thickTop="1" thickBot="1" x14ac:dyDescent="0.25">
      <c r="A15" s="252" t="str">
        <f>IDENTIFICACIÓN!C44</f>
        <v>7C</v>
      </c>
      <c r="B15" s="389" t="str">
        <f>IF(IDENTIFICACIÓN!D44="","",IDENTIFICACIÓN!D44)</f>
        <v>Gestión de la Calidad. Concentración de información de determinadas actividades o procesos en una persona</v>
      </c>
      <c r="C15" s="391" t="str">
        <f>'RXC C'!C15</f>
        <v>NA</v>
      </c>
      <c r="D15" s="391" t="str">
        <f>'RXC C'!D15</f>
        <v>NA</v>
      </c>
      <c r="E15" s="391" t="str">
        <f>'RXC C'!E15</f>
        <v>NA</v>
      </c>
      <c r="F15" s="391" t="str">
        <f>'RXC C'!F15</f>
        <v>NA</v>
      </c>
      <c r="G15" s="392"/>
      <c r="H15" s="392"/>
      <c r="I15" s="392"/>
      <c r="J15" s="392"/>
      <c r="K15" s="392"/>
    </row>
    <row r="16" spans="1:11" ht="39.75" customHeight="1" thickTop="1" thickBot="1" x14ac:dyDescent="0.25">
      <c r="A16" s="252" t="str">
        <f>IDENTIFICACIÓN!C45</f>
        <v>8C</v>
      </c>
      <c r="B16" s="389" t="str">
        <f>IF(IDENTIFICACIÓN!D45="","",IDENTIFICACIÓN!D45)</f>
        <v>Gestión de la Calidad. Deficiencias en el  manejo documental y de archivo</v>
      </c>
      <c r="C16" s="391" t="str">
        <f>'RXC C'!C16</f>
        <v>NA</v>
      </c>
      <c r="D16" s="391" t="str">
        <f>'RXC C'!D16</f>
        <v>NA</v>
      </c>
      <c r="E16" s="391" t="str">
        <f>'RXC C'!E16</f>
        <v>NA</v>
      </c>
      <c r="F16" s="391" t="str">
        <f>'RXC C'!F16</f>
        <v>NA</v>
      </c>
      <c r="G16" s="392"/>
      <c r="H16" s="392"/>
      <c r="I16" s="392"/>
      <c r="J16" s="392"/>
      <c r="K16" s="392"/>
    </row>
    <row r="17" spans="1:11" ht="39.75" customHeight="1" thickTop="1" thickBot="1" x14ac:dyDescent="0.25">
      <c r="A17" s="252" t="str">
        <f>IDENTIFICACIÓN!C46</f>
        <v>9C</v>
      </c>
      <c r="B17" s="389" t="str">
        <f>IF(IDENTIFICACIÓN!D46="","",IDENTIFICACIÓN!D46)</f>
        <v>Comunicaciones Concentración de información de determinadas actividades o procesos en una persona</v>
      </c>
      <c r="C17" s="391" t="str">
        <f>'RXC C'!C17</f>
        <v>NA</v>
      </c>
      <c r="D17" s="391" t="str">
        <f>'RXC C'!D17</f>
        <v>NA</v>
      </c>
      <c r="E17" s="391" t="str">
        <f>'RXC C'!E17</f>
        <v>NA</v>
      </c>
      <c r="F17" s="391" t="str">
        <f>'RXC C'!F17</f>
        <v>NA</v>
      </c>
      <c r="G17" s="392"/>
      <c r="H17" s="392"/>
      <c r="I17" s="392"/>
      <c r="J17" s="392"/>
      <c r="K17" s="392"/>
    </row>
    <row r="18" spans="1:11" ht="39.75" customHeight="1" thickTop="1" thickBot="1" x14ac:dyDescent="0.25">
      <c r="A18" s="252" t="str">
        <f>IDENTIFICACIÓN!C47</f>
        <v>10C</v>
      </c>
      <c r="B18" s="389" t="str">
        <f>IF(IDENTIFICACIÓN!D47="","",IDENTIFICACIÓN!D47)</f>
        <v xml:space="preserve">Gestión Academica. Ausencia de canales de comunicación
</v>
      </c>
      <c r="C18" s="391" t="str">
        <f>'RXC C'!C18</f>
        <v>NA</v>
      </c>
      <c r="D18" s="391">
        <f>'RXC C'!D18</f>
        <v>0.02</v>
      </c>
      <c r="E18" s="391">
        <f>'RXC C'!E18</f>
        <v>0.02</v>
      </c>
      <c r="F18" s="391">
        <f>'RXC C'!F18</f>
        <v>0.02</v>
      </c>
      <c r="G18" s="392"/>
      <c r="H18" s="392"/>
      <c r="I18" s="392"/>
      <c r="J18" s="392"/>
      <c r="K18" s="392"/>
    </row>
    <row r="19" spans="1:11" ht="39.75" customHeight="1" thickTop="1" thickBot="1" x14ac:dyDescent="0.25">
      <c r="A19" s="252" t="str">
        <f>IDENTIFICACIÓN!C48</f>
        <v>11C</v>
      </c>
      <c r="B19" s="389" t="str">
        <f>IF(IDENTIFICACIÓN!D48="","",IDENTIFICACIÓN!D48)</f>
        <v>Gestión Academica. Concentración de información de determinadas actividades o procesos en una persona</v>
      </c>
      <c r="C19" s="391" t="str">
        <f>'RXC C'!C19</f>
        <v>NA</v>
      </c>
      <c r="D19" s="391">
        <f>'RXC C'!D19</f>
        <v>1.6666666666666666E-2</v>
      </c>
      <c r="E19" s="391">
        <f>'RXC C'!E19</f>
        <v>1.6666666666666666E-2</v>
      </c>
      <c r="F19" s="391">
        <f>'RXC C'!F19</f>
        <v>1.6666666666666666E-2</v>
      </c>
      <c r="G19" s="392"/>
      <c r="H19" s="392"/>
      <c r="I19" s="392"/>
      <c r="J19" s="392"/>
      <c r="K19" s="392"/>
    </row>
    <row r="20" spans="1:11" ht="39.75" customHeight="1" thickTop="1" thickBot="1" x14ac:dyDescent="0.25">
      <c r="A20" s="252" t="str">
        <f>IDENTIFICACIÓN!C49</f>
        <v>12C</v>
      </c>
      <c r="B20" s="389" t="str">
        <f>IF(IDENTIFICACIÓN!D49="","",IDENTIFICACIÓN!D49)</f>
        <v>Gestión Academica. Deficiencias en el manejo documental y de archivo</v>
      </c>
      <c r="C20" s="391" t="str">
        <f>'RXC C'!C20</f>
        <v>NA</v>
      </c>
      <c r="D20" s="391">
        <f>'RXC C'!D20</f>
        <v>0.02</v>
      </c>
      <c r="E20" s="391">
        <f>'RXC C'!E20</f>
        <v>0.02</v>
      </c>
      <c r="F20" s="391">
        <f>'RXC C'!F20</f>
        <v>0.02</v>
      </c>
      <c r="G20" s="392"/>
      <c r="H20" s="392"/>
      <c r="I20" s="392"/>
      <c r="J20" s="392"/>
      <c r="K20" s="392"/>
    </row>
    <row r="21" spans="1:11" ht="39.75" customHeight="1" thickTop="1" thickBot="1" x14ac:dyDescent="0.25">
      <c r="A21" s="252" t="str">
        <f>IDENTIFICACIÓN!C50</f>
        <v>13C</v>
      </c>
      <c r="B21" s="389" t="str">
        <f>IF(IDENTIFICACIÓN!D50="","",IDENTIFICACIÓN!D50)</f>
        <v>Gestión de Investigación. Vulnerabilidad en el manejo de la información de la actividad investigativa</v>
      </c>
      <c r="C21" s="391">
        <f>'RXC C'!C21</f>
        <v>0.2</v>
      </c>
      <c r="D21" s="391">
        <f>'RXC C'!D21</f>
        <v>0.25</v>
      </c>
      <c r="E21" s="391">
        <f>'RXC C'!E21</f>
        <v>1</v>
      </c>
      <c r="F21" s="391">
        <f>'RXC C'!F21</f>
        <v>1</v>
      </c>
      <c r="G21" s="392"/>
      <c r="H21" s="392"/>
      <c r="I21" s="392"/>
      <c r="J21" s="392"/>
      <c r="K21" s="392"/>
    </row>
    <row r="22" spans="1:11" ht="39.75" customHeight="1" thickTop="1" thickBot="1" x14ac:dyDescent="0.25">
      <c r="A22" s="252" t="str">
        <f>IDENTIFICACIÓN!C51</f>
        <v>14C</v>
      </c>
      <c r="B22" s="389" t="str">
        <f>IF(IDENTIFICACIÓN!D51="","",IDENTIFICACIÓN!D51)</f>
        <v>Gestión de Investigación. Violación de la propiedad Intelectual.</v>
      </c>
      <c r="C22" s="391">
        <f>'RXC C'!C22</f>
        <v>0.75</v>
      </c>
      <c r="D22" s="391">
        <f>'RXC C'!D22</f>
        <v>0.75</v>
      </c>
      <c r="E22" s="391">
        <f>'RXC C'!E22</f>
        <v>1.125</v>
      </c>
      <c r="F22" s="391">
        <f>'RXC C'!F22</f>
        <v>1.125</v>
      </c>
      <c r="G22" s="392"/>
      <c r="H22" s="392"/>
      <c r="I22" s="392"/>
      <c r="J22" s="392"/>
      <c r="K22" s="392"/>
    </row>
    <row r="23" spans="1:11" ht="39.75" customHeight="1" thickTop="1" thickBot="1" x14ac:dyDescent="0.25">
      <c r="A23" s="252" t="str">
        <f>IDENTIFICACIÓN!C52</f>
        <v>15C</v>
      </c>
      <c r="B23" s="389" t="str">
        <f>IF(IDENTIFICACIÓN!D52="","",IDENTIFICACIÓN!D52)</f>
        <v>Gestión de Extensión y Proyección Social. Desviación o uso indebido de recursos, que impidan la ejecución de los proyectos y actividades misionales de la vicerrectoria de extensión y proyección social</v>
      </c>
      <c r="C23" s="391">
        <f>'RXC C'!C23</f>
        <v>0</v>
      </c>
      <c r="D23" s="391">
        <f>'RXC C'!D23</f>
        <v>0.6</v>
      </c>
      <c r="E23" s="391">
        <f>'RXC C'!E23</f>
        <v>0.6</v>
      </c>
      <c r="F23" s="391">
        <f>'RXC C'!F23</f>
        <v>0.6</v>
      </c>
      <c r="G23" s="392"/>
      <c r="H23" s="392"/>
      <c r="I23" s="392"/>
      <c r="J23" s="392"/>
      <c r="K23" s="392"/>
    </row>
    <row r="24" spans="1:11" ht="39.75" customHeight="1" thickTop="1" thickBot="1" x14ac:dyDescent="0.25">
      <c r="A24" s="252" t="str">
        <f>IDENTIFICACIÓN!C53</f>
        <v>16C</v>
      </c>
      <c r="B24" s="389" t="str">
        <f>IF(IDENTIFICACIÓN!D53="","",IDENTIFICACIÓN!D53)</f>
        <v xml:space="preserve">Gestión de Extensión y Proyección Social. Concentración de la información en una persona. </v>
      </c>
      <c r="C24" s="391">
        <f>'RXC C'!C24</f>
        <v>0</v>
      </c>
      <c r="D24" s="391">
        <f>'RXC C'!D24</f>
        <v>0.6</v>
      </c>
      <c r="E24" s="391">
        <f>'RXC C'!E24</f>
        <v>0.89999999999999991</v>
      </c>
      <c r="F24" s="391">
        <f>'RXC C'!F24</f>
        <v>0.89999999999999991</v>
      </c>
      <c r="G24" s="392"/>
      <c r="H24" s="392"/>
      <c r="I24" s="392"/>
      <c r="J24" s="392"/>
      <c r="K24" s="392"/>
    </row>
    <row r="25" spans="1:11" ht="39.75" customHeight="1" thickTop="1" thickBot="1" x14ac:dyDescent="0.25">
      <c r="A25" s="252" t="str">
        <f>IDENTIFICACIÓN!C54</f>
        <v>17C</v>
      </c>
      <c r="B25" s="389" t="str">
        <f>IF(IDENTIFICACIÓN!D54="","",IDENTIFICACIÓN!D54)</f>
        <v xml:space="preserve">Gestión de Extensión y Proyección Social. Inadecuada ejecución de los recursos asignados </v>
      </c>
      <c r="C25" s="391">
        <f>'RXC C'!C25</f>
        <v>0</v>
      </c>
      <c r="D25" s="391">
        <f>'RXC C'!D25</f>
        <v>0.6</v>
      </c>
      <c r="E25" s="391">
        <f>'RXC C'!E25</f>
        <v>0.89999999999999991</v>
      </c>
      <c r="F25" s="391">
        <f>'RXC C'!F25</f>
        <v>0.89999999999999991</v>
      </c>
      <c r="G25" s="392"/>
      <c r="H25" s="392"/>
      <c r="I25" s="392"/>
      <c r="J25" s="392"/>
      <c r="K25" s="392"/>
    </row>
    <row r="26" spans="1:11" ht="39.75" customHeight="1" thickTop="1" thickBot="1" x14ac:dyDescent="0.25">
      <c r="A26" s="252" t="str">
        <f>IDENTIFICACIÓN!C55</f>
        <v>18C</v>
      </c>
      <c r="B26" s="389" t="str">
        <f>IF(IDENTIFICACIÓN!D55="","",IDENTIFICACIÓN!D55)</f>
        <v>Gestión de Extensión y Proyección Social. Extralimitación de funciones.</v>
      </c>
      <c r="C26" s="391">
        <f>'RXC C'!C26</f>
        <v>0</v>
      </c>
      <c r="D26" s="391">
        <f>'RXC C'!D26</f>
        <v>0.6</v>
      </c>
      <c r="E26" s="391">
        <f>'RXC C'!E26</f>
        <v>0.89999999999999991</v>
      </c>
      <c r="F26" s="391">
        <f>'RXC C'!F26</f>
        <v>0.89999999999999991</v>
      </c>
      <c r="G26" s="392"/>
      <c r="H26" s="392"/>
      <c r="I26" s="392"/>
      <c r="J26" s="392"/>
      <c r="K26" s="392"/>
    </row>
    <row r="27" spans="1:11" ht="39.75" customHeight="1" thickTop="1" thickBot="1" x14ac:dyDescent="0.25">
      <c r="A27" s="252" t="str">
        <f>IDENTIFICACIÓN!C56</f>
        <v>19C</v>
      </c>
      <c r="B27" s="389" t="str">
        <f>IF(IDENTIFICACIÓN!D56="","",IDENTIFICACIÓN!D56)</f>
        <v>Gestión de Extensión y Proyección Social. Omisión de la ley para beneficio propio.</v>
      </c>
      <c r="C27" s="391">
        <f>'RXC C'!C27</f>
        <v>0</v>
      </c>
      <c r="D27" s="391">
        <f>'RXC C'!D27</f>
        <v>0.6</v>
      </c>
      <c r="E27" s="391">
        <f>'RXC C'!E27</f>
        <v>0.8</v>
      </c>
      <c r="F27" s="391">
        <f>'RXC C'!F27</f>
        <v>0.8</v>
      </c>
      <c r="G27" s="392"/>
      <c r="H27" s="392"/>
      <c r="I27" s="392"/>
      <c r="J27" s="392"/>
      <c r="K27" s="392"/>
    </row>
    <row r="28" spans="1:11" ht="39.75" customHeight="1" thickTop="1" thickBot="1" x14ac:dyDescent="0.25">
      <c r="A28" s="252" t="str">
        <f>IDENTIFICACIÓN!C57</f>
        <v>20C</v>
      </c>
      <c r="B28" s="389" t="str">
        <f>IF(IDENTIFICACIÓN!D57="","",IDENTIFICACIÓN!D57)</f>
        <v>Gestión de Contratación. Pliegos de condiciones hechos a la medida de una firma en particular.</v>
      </c>
      <c r="C28" s="391" t="str">
        <f>'RXC C'!C28</f>
        <v>NA</v>
      </c>
      <c r="D28" s="391" t="str">
        <f>'RXC C'!D28</f>
        <v>NA</v>
      </c>
      <c r="E28" s="391" t="str">
        <f>'RXC C'!E28</f>
        <v>NA</v>
      </c>
      <c r="F28" s="391" t="str">
        <f>'RXC C'!F28</f>
        <v>NA</v>
      </c>
      <c r="G28" s="392"/>
      <c r="H28" s="392"/>
      <c r="I28" s="392"/>
      <c r="J28" s="392"/>
      <c r="K28" s="392"/>
    </row>
    <row r="29" spans="1:11" ht="39.75" customHeight="1" thickTop="1" thickBot="1" x14ac:dyDescent="0.25">
      <c r="A29" s="252" t="str">
        <f>IDENTIFICACIÓN!C58</f>
        <v>21C</v>
      </c>
      <c r="B29" s="389" t="str">
        <f>IF(IDENTIFICACIÓN!D58="","",IDENTIFICACIÓN!D58)</f>
        <v xml:space="preserve">Gestión Financiera. Pago de obligaciones sin el lleno de requisitos. </v>
      </c>
      <c r="C29" s="391">
        <f>'RXC C'!C29</f>
        <v>0.25</v>
      </c>
      <c r="D29" s="391">
        <f>'RXC C'!D29</f>
        <v>0.6</v>
      </c>
      <c r="E29" s="391">
        <f>'RXC C'!E29</f>
        <v>1</v>
      </c>
      <c r="F29" s="391">
        <f>'RXC C'!F29</f>
        <v>1</v>
      </c>
      <c r="G29" s="392"/>
      <c r="H29" s="392"/>
      <c r="I29" s="392"/>
      <c r="J29" s="392"/>
      <c r="K29" s="392"/>
    </row>
    <row r="30" spans="1:11" ht="39.75" customHeight="1" thickTop="1" thickBot="1" x14ac:dyDescent="0.25">
      <c r="A30" s="252" t="str">
        <f>IDENTIFICACIÓN!C59</f>
        <v>22C</v>
      </c>
      <c r="B30" s="389" t="str">
        <f>IF(IDENTIFICACIÓN!D59="","",IDENTIFICACIÓN!D59)</f>
        <v>Gestión Financiera. Perdida de titulos valores</v>
      </c>
      <c r="C30" s="391">
        <f>'RXC C'!C30</f>
        <v>0.25</v>
      </c>
      <c r="D30" s="391">
        <f>'RXC C'!D30</f>
        <v>0.6</v>
      </c>
      <c r="E30" s="391">
        <f>'RXC C'!E30</f>
        <v>1</v>
      </c>
      <c r="F30" s="391">
        <f>'RXC C'!F30</f>
        <v>1</v>
      </c>
      <c r="G30" s="392"/>
      <c r="H30" s="392"/>
      <c r="I30" s="392"/>
      <c r="J30" s="392"/>
      <c r="K30" s="392"/>
    </row>
    <row r="31" spans="1:11" ht="39.75" customHeight="1" thickTop="1" thickBot="1" x14ac:dyDescent="0.25">
      <c r="A31" s="252" t="str">
        <f>IDENTIFICACIÓN!C60</f>
        <v>23C</v>
      </c>
      <c r="B31" s="389" t="str">
        <f>IF(IDENTIFICACIÓN!D60="","",IDENTIFICACIÓN!D60)</f>
        <v>Gestión Financiera. Omisión en la aplicación  de la normatividad vigente en los procesos de la Gestión Financiera</v>
      </c>
      <c r="C31" s="391">
        <f>'RXC C'!C31</f>
        <v>0.25</v>
      </c>
      <c r="D31" s="391">
        <f>'RXC C'!D31</f>
        <v>0.6</v>
      </c>
      <c r="E31" s="391">
        <f>'RXC C'!E31</f>
        <v>0.95</v>
      </c>
      <c r="F31" s="391">
        <f>'RXC C'!F31</f>
        <v>0.95</v>
      </c>
      <c r="G31" s="392"/>
      <c r="H31" s="392"/>
      <c r="I31" s="392"/>
      <c r="J31" s="392"/>
      <c r="K31" s="392"/>
    </row>
    <row r="32" spans="1:11" ht="39.75" customHeight="1" thickTop="1" thickBot="1" x14ac:dyDescent="0.25">
      <c r="A32" s="252" t="str">
        <f>IDENTIFICACIÓN!C61</f>
        <v>24C</v>
      </c>
      <c r="B32" s="389" t="str">
        <f>IF(IDENTIFICACIÓN!D61="","",IDENTIFICACIÓN!D61)</f>
        <v xml:space="preserve">Apoyo Tecnológico TIC. Vulnerabilidad de la Información </v>
      </c>
      <c r="C32" s="391" t="str">
        <f>'RXC C'!C32</f>
        <v>NA</v>
      </c>
      <c r="D32" s="391">
        <f>'RXC C'!D32</f>
        <v>0.33333333333333331</v>
      </c>
      <c r="E32" s="391">
        <f>'RXC C'!E32</f>
        <v>0.33333333333333331</v>
      </c>
      <c r="F32" s="391">
        <f>'RXC C'!F32</f>
        <v>0.33333333333333331</v>
      </c>
      <c r="G32" s="392"/>
      <c r="H32" s="392"/>
      <c r="I32" s="392"/>
      <c r="J32" s="392"/>
      <c r="K32" s="392"/>
    </row>
    <row r="33" spans="1:11" ht="39.75" customHeight="1" thickTop="1" thickBot="1" x14ac:dyDescent="0.25">
      <c r="A33" s="252" t="str">
        <f>IDENTIFICACIÓN!C62</f>
        <v>25C</v>
      </c>
      <c r="B33" s="389" t="str">
        <f>IF(IDENTIFICACIÓN!D62="","",IDENTIFICACIÓN!D62)</f>
        <v xml:space="preserve">Gestión Documental. Entregar un título o certificado sin los requisitos para ello </v>
      </c>
      <c r="C33" s="391" t="str">
        <f>'RXC C'!C33</f>
        <v>NA</v>
      </c>
      <c r="D33" s="391" t="str">
        <f>'RXC C'!D33</f>
        <v>NA</v>
      </c>
      <c r="E33" s="391" t="str">
        <f>'RXC C'!E33</f>
        <v>NA</v>
      </c>
      <c r="F33" s="391" t="str">
        <f>'RXC C'!F33</f>
        <v>NA</v>
      </c>
      <c r="G33" s="392"/>
      <c r="H33" s="392"/>
      <c r="I33" s="392"/>
      <c r="J33" s="392"/>
      <c r="K33" s="392"/>
    </row>
    <row r="34" spans="1:11" ht="39.75" customHeight="1" thickTop="1" thickBot="1" x14ac:dyDescent="0.25">
      <c r="A34" s="252" t="str">
        <f>IDENTIFICACIÓN!C63</f>
        <v>26C</v>
      </c>
      <c r="B34" s="389" t="str">
        <f>IF(IDENTIFICACIÓN!D63="","",IDENTIFICACIÓN!D63)</f>
        <v>Gestión Documental. Expedición de un certificado de título falso</v>
      </c>
      <c r="C34" s="391" t="str">
        <f>'RXC C'!C34</f>
        <v>NA</v>
      </c>
      <c r="D34" s="391" t="str">
        <f>'RXC C'!D34</f>
        <v>NA</v>
      </c>
      <c r="E34" s="391" t="str">
        <f>'RXC C'!E34</f>
        <v>NA</v>
      </c>
      <c r="F34" s="391" t="str">
        <f>'RXC C'!F34</f>
        <v>NA</v>
      </c>
      <c r="G34" s="392"/>
      <c r="H34" s="392"/>
      <c r="I34" s="392"/>
      <c r="J34" s="392"/>
      <c r="K34" s="392"/>
    </row>
    <row r="35" spans="1:11" ht="39.75" customHeight="1" thickTop="1" thickBot="1" x14ac:dyDescent="0.25">
      <c r="A35" s="252" t="str">
        <f>IDENTIFICACIÓN!C64</f>
        <v>27C</v>
      </c>
      <c r="B35" s="389" t="str">
        <f>IF(IDENTIFICACIÓN!D64="","",IDENTIFICACIÓN!D64)</f>
        <v>Gestión del Talento Humano. Concentración de información de determinadas actividades o procesos en una persona.</v>
      </c>
      <c r="C35" s="391">
        <f>'RXC C'!C35</f>
        <v>4.9999999999999996E-2</v>
      </c>
      <c r="D35" s="391">
        <f>'RXC C'!D35</f>
        <v>4.9999999999999996E-2</v>
      </c>
      <c r="E35" s="391">
        <f>'RXC C'!E35</f>
        <v>0.19999999999999998</v>
      </c>
      <c r="F35" s="391">
        <f>'RXC C'!F35</f>
        <v>0.19999999999999998</v>
      </c>
      <c r="G35" s="392"/>
      <c r="H35" s="392"/>
      <c r="I35" s="392"/>
      <c r="J35" s="392"/>
      <c r="K35" s="392"/>
    </row>
    <row r="36" spans="1:11" ht="39.75" customHeight="1" thickTop="1" thickBot="1" x14ac:dyDescent="0.25">
      <c r="A36" s="252" t="str">
        <f>IDENTIFICACIÓN!C65</f>
        <v>28C</v>
      </c>
      <c r="B36" s="389" t="str">
        <f>IF(IDENTIFICACIÓN!D65="","",IDENTIFICACIÓN!D65)</f>
        <v>Gestión del Talento Humano. Decisiones no ajustadas a la normatividad legal.</v>
      </c>
      <c r="C36" s="391">
        <f>'RXC C'!C36</f>
        <v>0.85</v>
      </c>
      <c r="D36" s="391">
        <f>'RXC C'!D36</f>
        <v>0.85</v>
      </c>
      <c r="E36" s="391">
        <f>'RXC C'!E36</f>
        <v>0.85</v>
      </c>
      <c r="F36" s="391">
        <f>'RXC C'!F36</f>
        <v>0.85</v>
      </c>
      <c r="G36" s="392"/>
      <c r="H36" s="392"/>
      <c r="I36" s="392"/>
      <c r="J36" s="392"/>
      <c r="K36" s="392"/>
    </row>
    <row r="37" spans="1:11" ht="39.75" customHeight="1" thickTop="1" thickBot="1" x14ac:dyDescent="0.25">
      <c r="A37" s="252" t="str">
        <f>IDENTIFICACIÓN!C66</f>
        <v>29C</v>
      </c>
      <c r="B37" s="389" t="str">
        <f>IF(IDENTIFICACIÓN!D66="","",IDENTIFICACIÓN!D66)</f>
        <v>Gestión de Admisiones y Registro. Manipulación de resultados del examen  de admisión.</v>
      </c>
      <c r="C37" s="391" t="str">
        <f>'RXC C'!C37</f>
        <v>NA</v>
      </c>
      <c r="D37" s="391" t="str">
        <f>'RXC C'!D37</f>
        <v>NA</v>
      </c>
      <c r="E37" s="391" t="str">
        <f>'RXC C'!E37</f>
        <v>NA</v>
      </c>
      <c r="F37" s="391" t="str">
        <f>'RXC C'!F37</f>
        <v>NA</v>
      </c>
      <c r="G37" s="392"/>
      <c r="H37" s="392"/>
      <c r="I37" s="392"/>
      <c r="J37" s="392"/>
      <c r="K37" s="392"/>
    </row>
    <row r="38" spans="1:11" ht="39.75" customHeight="1" thickTop="1" thickBot="1" x14ac:dyDescent="0.25">
      <c r="A38" s="252" t="str">
        <f>IDENTIFICACIÓN!C67</f>
        <v>30C</v>
      </c>
      <c r="B38" s="389" t="str">
        <f>IF(IDENTIFICACIÓN!D67="","",IDENTIFICACIÓN!D67)</f>
        <v>Gestión de Admisiones y Registro. Alteración de notas de estudiantes.</v>
      </c>
      <c r="C38" s="391" t="str">
        <f>'RXC C'!C38</f>
        <v>NA</v>
      </c>
      <c r="D38" s="391" t="str">
        <f>'RXC C'!D38</f>
        <v>NA</v>
      </c>
      <c r="E38" s="391" t="str">
        <f>'RXC C'!E38</f>
        <v>NA</v>
      </c>
      <c r="F38" s="391" t="str">
        <f>'RXC C'!F38</f>
        <v>NA</v>
      </c>
      <c r="G38" s="392"/>
      <c r="H38" s="392"/>
      <c r="I38" s="392"/>
      <c r="J38" s="392"/>
      <c r="K38" s="392"/>
    </row>
    <row r="39" spans="1:11" ht="39.75" customHeight="1" thickTop="1" thickBot="1" x14ac:dyDescent="0.25">
      <c r="A39" s="252" t="str">
        <f>IDENTIFICACIÓN!C68</f>
        <v>31C</v>
      </c>
      <c r="B39" s="389" t="str">
        <f>IF(IDENTIFICACIÓN!D68="","",IDENTIFICACIÓN!D68)</f>
        <v>Gestión y Rendición de Cuentas. Rendición de cuentas a la ciudadanía inadecuada, incompleta e inoportuna</v>
      </c>
      <c r="C39" s="391">
        <f>'RXC C'!C39</f>
        <v>7.7034358047016263E-2</v>
      </c>
      <c r="D39" s="391">
        <f>'RXC C'!D39</f>
        <v>0.23110307414104878</v>
      </c>
      <c r="E39" s="391">
        <f>'RXC C'!E39</f>
        <v>0.38517179023508136</v>
      </c>
      <c r="F39" s="391">
        <f>'RXC C'!F39</f>
        <v>0.38517179023508136</v>
      </c>
      <c r="G39" s="392"/>
      <c r="H39" s="392"/>
      <c r="I39" s="392"/>
      <c r="J39" s="392"/>
      <c r="K39" s="392"/>
    </row>
    <row r="40" spans="1:11" ht="39.75" customHeight="1" thickTop="1" thickBot="1" x14ac:dyDescent="0.25">
      <c r="A40" s="252" t="str">
        <f>IDENTIFICACIÓN!C69</f>
        <v>32C</v>
      </c>
      <c r="B40" s="389" t="str">
        <f>IF(IDENTIFICACIÓN!D69="","",IDENTIFICACIÓN!D69)</f>
        <v>Gestión y Rendición de Cuentas. Alteración de la información</v>
      </c>
      <c r="C40" s="391" t="str">
        <f>'RXC C'!C40</f>
        <v>NA</v>
      </c>
      <c r="D40" s="391">
        <f>'RXC C'!D40</f>
        <v>0</v>
      </c>
      <c r="E40" s="391">
        <f>'RXC C'!E40</f>
        <v>0</v>
      </c>
      <c r="F40" s="391">
        <f>'RXC C'!F40</f>
        <v>0</v>
      </c>
      <c r="G40" s="392"/>
      <c r="H40" s="392"/>
      <c r="I40" s="392"/>
      <c r="J40" s="392"/>
      <c r="K40" s="392"/>
    </row>
    <row r="41" spans="1:11" ht="39.75" customHeight="1" thickTop="1" thickBot="1" x14ac:dyDescent="0.25">
      <c r="A41" s="252" t="str">
        <f>IDENTIFICACIÓN!C70</f>
        <v>33C</v>
      </c>
      <c r="B41" s="389" t="str">
        <f>IF(IDENTIFICACIÓN!D70="","",IDENTIFICACIÓN!D70)</f>
        <v>Evaluación Independiente. Falta de Objetividad e Independencia en el proceso auditor, de evaluación y seguimiento</v>
      </c>
      <c r="C41" s="391" t="str">
        <f>'RXC C'!C41</f>
        <v>NA</v>
      </c>
      <c r="D41" s="391" t="str">
        <f>'RXC C'!D41</f>
        <v>NA</v>
      </c>
      <c r="E41" s="391" t="str">
        <f>'RXC C'!E41</f>
        <v>NA</v>
      </c>
      <c r="F41" s="391" t="str">
        <f>'RXC C'!F41</f>
        <v>NA</v>
      </c>
      <c r="G41" s="392"/>
      <c r="H41" s="392"/>
      <c r="I41" s="392"/>
      <c r="J41" s="392"/>
      <c r="K41" s="392"/>
    </row>
    <row r="42" spans="1:11" ht="39.75" customHeight="1" thickTop="1" thickBot="1" x14ac:dyDescent="0.25">
      <c r="A42" s="252" t="str">
        <f>IDENTIFICACIÓN!C71</f>
        <v>34C</v>
      </c>
      <c r="B42" s="389" t="str">
        <f>IF(IDENTIFICACIÓN!D71="","",IDENTIFICACIÓN!D71)</f>
        <v>Evaluación Independiente. No reportar posibles actos de corrupción e irregularidades</v>
      </c>
      <c r="C42" s="391" t="str">
        <f>'RXC C'!C42</f>
        <v>NA</v>
      </c>
      <c r="D42" s="391" t="str">
        <f>'RXC C'!D42</f>
        <v>NA</v>
      </c>
      <c r="E42" s="391" t="str">
        <f>'RXC C'!E42</f>
        <v>NA</v>
      </c>
      <c r="F42" s="391" t="str">
        <f>'RXC C'!F42</f>
        <v>NA</v>
      </c>
      <c r="G42" s="392"/>
      <c r="H42" s="392"/>
      <c r="I42" s="392"/>
      <c r="J42" s="392"/>
      <c r="K42" s="392"/>
    </row>
    <row r="43" spans="1:11" ht="15.75" hidden="1" thickTop="1" x14ac:dyDescent="0.2">
      <c r="A43" s="645" t="str">
        <f>'SEGUIMIENTO Y MONITOREO'!B202</f>
        <v>Cumplimiento Riesgos de CORRUPCIÓN (Respecto a los plazos establecidos)</v>
      </c>
      <c r="B43" s="646"/>
      <c r="C43" s="646"/>
      <c r="D43" s="646"/>
      <c r="E43" s="647"/>
      <c r="F43" s="164">
        <f>'SEGUIMIENTO Y MONITOREO'!AW202</f>
        <v>0.4422218048251107</v>
      </c>
      <c r="G43" s="168"/>
      <c r="H43" s="168"/>
    </row>
    <row r="44" spans="1:11" hidden="1" x14ac:dyDescent="0.2">
      <c r="A44" s="648" t="str">
        <f>'SEGUIMIENTO Y MONITOREO'!B203</f>
        <v xml:space="preserve">% Avance Riesgo de CORRUPCIÓN </v>
      </c>
      <c r="B44" s="648"/>
      <c r="C44" s="648"/>
      <c r="D44" s="648"/>
      <c r="E44" s="649"/>
      <c r="F44" s="164">
        <f>'SEGUIMIENTO Y MONITOREO'!AW203</f>
        <v>0.60297097301229541</v>
      </c>
      <c r="G44" s="168"/>
      <c r="H44" s="168"/>
    </row>
    <row r="45" spans="1:11" ht="15.75" thickTop="1" x14ac:dyDescent="0.2"/>
  </sheetData>
  <sheetProtection selectLockedCells="1"/>
  <mergeCells count="15">
    <mergeCell ref="A7:B7"/>
    <mergeCell ref="C7:F7"/>
    <mergeCell ref="A1:B3"/>
    <mergeCell ref="C1:G3"/>
    <mergeCell ref="A5:H5"/>
    <mergeCell ref="A6:B6"/>
    <mergeCell ref="C6:F6"/>
    <mergeCell ref="A43:E43"/>
    <mergeCell ref="A44:E44"/>
    <mergeCell ref="G8:H8"/>
    <mergeCell ref="G9:H9"/>
    <mergeCell ref="G10:H10"/>
    <mergeCell ref="G11:H11"/>
    <mergeCell ref="G12:H12"/>
    <mergeCell ref="G13:H13"/>
  </mergeCells>
  <conditionalFormatting sqref="H7">
    <cfRule type="containsText" dxfId="96" priority="10" operator="containsText" text="Sin Seguimientos">
      <formula>NOT(ISERROR(SEARCH("Sin Seguimientos",H7)))</formula>
    </cfRule>
  </conditionalFormatting>
  <conditionalFormatting sqref="F9:F42">
    <cfRule type="containsText" dxfId="95" priority="5" operator="containsText" text="NA">
      <formula>NOT(ISERROR(SEARCH("NA",F9)))</formula>
    </cfRule>
  </conditionalFormatting>
  <dataValidations count="1">
    <dataValidation operator="equal" allowBlank="1" showInputMessage="1" showErrorMessage="1" sqref="C9:C42"/>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2A1FB07C-0D60-4440-B2E5-584C72BB044C}">
            <xm:f>VALORACIÓN!$D$10</xm:f>
            <x14:dxf>
              <font>
                <color auto="1"/>
              </font>
              <fill>
                <patternFill patternType="lightGrid">
                  <fgColor theme="0" tint="-4.9989318521683403E-2"/>
                  <bgColor theme="0"/>
                </patternFill>
              </fill>
            </x14:dxf>
          </x14:cfRule>
          <x14:cfRule type="cellIs" priority="16" operator="equal" id="{22103A76-9294-4A92-BC52-1944103A1962}">
            <xm:f>VALORACIÓN!$D$10</xm:f>
            <x14:dxf>
              <fill>
                <patternFill patternType="lightGrid">
                  <fgColor theme="0" tint="-4.9989318521683403E-2"/>
                </patternFill>
              </fill>
            </x14:dxf>
          </x14:cfRule>
          <xm:sqref>C9:E42</xm:sqref>
        </x14:conditionalFormatting>
        <x14:conditionalFormatting xmlns:xm="http://schemas.microsoft.com/office/excel/2006/main">
          <x14:cfRule type="cellIs" priority="11" operator="notEqual" id="{92B586F3-37E6-4E04-9EA8-193A2E5DA098}">
            <xm:f>VALORACIÓN!$D$10</xm:f>
            <x14:dxf>
              <font>
                <color auto="1"/>
              </font>
              <fill>
                <patternFill patternType="lightGrid">
                  <fgColor theme="0" tint="-4.9989318521683403E-2"/>
                  <bgColor theme="0"/>
                </patternFill>
              </fill>
            </x14:dxf>
          </x14:cfRule>
          <x14:cfRule type="cellIs" priority="12" operator="equal" id="{66D4AC25-9C73-464E-8F2F-7EEF54E1FBD4}">
            <xm:f>VALORACIÓN!$D$10</xm:f>
            <x14:dxf>
              <fill>
                <patternFill patternType="lightGrid">
                  <fgColor theme="0" tint="-4.9989318521683403E-2"/>
                </patternFill>
              </fill>
            </x14:dxf>
          </x14:cfRule>
          <xm:sqref>G9:G42</xm:sqref>
        </x14:conditionalFormatting>
        <x14:conditionalFormatting xmlns:xm="http://schemas.microsoft.com/office/excel/2006/main">
          <x14:cfRule type="cellIs" priority="8" operator="notEqual" id="{A34E793F-4B54-43A6-9A22-F3481A78A36F}">
            <xm:f>VALORACIÓN!$D$10</xm:f>
            <x14:dxf>
              <font>
                <color auto="1"/>
              </font>
              <fill>
                <patternFill patternType="lightGrid">
                  <fgColor theme="0" tint="-4.9989318521683403E-2"/>
                  <bgColor theme="0"/>
                </patternFill>
              </fill>
            </x14:dxf>
          </x14:cfRule>
          <x14:cfRule type="cellIs" priority="9" operator="equal" id="{688CFE28-120E-4E78-9F73-342D5EE7E127}">
            <xm:f>VALORACIÓN!$D$10</xm:f>
            <x14:dxf>
              <fill>
                <patternFill patternType="lightGrid">
                  <fgColor theme="0" tint="-4.9989318521683403E-2"/>
                </patternFill>
              </fill>
            </x14:dxf>
          </x14:cfRule>
          <xm:sqref>F43:F44</xm:sqref>
        </x14:conditionalFormatting>
        <x14:conditionalFormatting xmlns:xm="http://schemas.microsoft.com/office/excel/2006/main">
          <x14:cfRule type="cellIs" priority="6" operator="notEqual" id="{44915882-8EC1-4668-A9DC-B31C3AB532CD}">
            <xm:f>VALORACIÓN!$D$10</xm:f>
            <x14:dxf>
              <font>
                <color auto="1"/>
              </font>
              <fill>
                <patternFill patternType="lightGrid">
                  <fgColor theme="0" tint="-4.9989318521683403E-2"/>
                  <bgColor theme="0"/>
                </patternFill>
              </fill>
            </x14:dxf>
          </x14:cfRule>
          <x14:cfRule type="cellIs" priority="7" operator="equal" id="{CF20410D-2C66-4BE6-8A37-C15CA183BCD5}">
            <xm:f>VALORACIÓN!$D$10</xm:f>
            <x14:dxf>
              <fill>
                <patternFill patternType="lightGrid">
                  <fgColor theme="0" tint="-4.9989318521683403E-2"/>
                </patternFill>
              </fill>
            </x14:dxf>
          </x14:cfRule>
          <xm:sqref>F9:F42</xm:sqref>
        </x14:conditionalFormatting>
        <x14:conditionalFormatting xmlns:xm="http://schemas.microsoft.com/office/excel/2006/main">
          <x14:cfRule type="cellIs" priority="3" operator="notEqual" id="{3AFAA47F-6284-4B78-B571-DB1CBEDF68B3}">
            <xm:f>VALORACIÓN!$D$10</xm:f>
            <x14:dxf>
              <font>
                <color auto="1"/>
              </font>
              <fill>
                <patternFill patternType="lightGrid">
                  <fgColor theme="0" tint="-4.9989318521683403E-2"/>
                  <bgColor theme="0"/>
                </patternFill>
              </fill>
            </x14:dxf>
          </x14:cfRule>
          <x14:cfRule type="cellIs" priority="4" operator="equal" id="{92A66B42-49ED-44D3-B121-B25A94F5C4DC}">
            <xm:f>VALORACIÓN!$D$10</xm:f>
            <x14:dxf>
              <fill>
                <patternFill patternType="lightGrid">
                  <fgColor theme="0" tint="-4.9989318521683403E-2"/>
                </patternFill>
              </fill>
            </x14:dxf>
          </x14:cfRule>
          <xm:sqref>H16:K42 H15</xm:sqref>
        </x14:conditionalFormatting>
        <x14:conditionalFormatting xmlns:xm="http://schemas.microsoft.com/office/excel/2006/main">
          <x14:cfRule type="cellIs" priority="1" operator="notEqual" id="{72EFBA0B-22CC-4318-BD1E-C562672F2010}">
            <xm:f>VALORACIÓN!$D$10</xm:f>
            <x14:dxf>
              <font>
                <color auto="1"/>
              </font>
              <fill>
                <patternFill patternType="lightGrid">
                  <fgColor theme="0" tint="-4.9989318521683403E-2"/>
                  <bgColor theme="0"/>
                </patternFill>
              </fill>
            </x14:dxf>
          </x14:cfRule>
          <x14:cfRule type="cellIs" priority="2" operator="equal" id="{7A51EFFD-FA67-49E9-A8BA-AEBAB4D55D71}">
            <xm:f>VALORACIÓN!$D$10</xm:f>
            <x14:dxf>
              <fill>
                <patternFill patternType="lightGrid">
                  <fgColor theme="0" tint="-4.9989318521683403E-2"/>
                </patternFill>
              </fill>
            </x14:dxf>
          </x14:cfRule>
          <xm:sqref>I1:K15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7030A0"/>
  </sheetPr>
  <dimension ref="A1:X22"/>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6" sqref="W6"/>
    </sheetView>
  </sheetViews>
  <sheetFormatPr baseColWidth="10" defaultRowHeight="15" x14ac:dyDescent="0.2"/>
  <cols>
    <col min="1" max="1" width="19.21875" customWidth="1"/>
    <col min="2" max="2" width="12.44140625" customWidth="1"/>
    <col min="3" max="4" width="7.44140625" style="201" customWidth="1"/>
    <col min="5" max="5" width="0.21875" style="201" customWidth="1"/>
    <col min="6" max="6" width="5.5546875" style="201" customWidth="1"/>
    <col min="7" max="7" width="0.21875" style="201" customWidth="1"/>
    <col min="8" max="9" width="4.6640625" style="96" customWidth="1"/>
    <col min="10" max="10" width="0.21875" style="96" customWidth="1"/>
    <col min="11" max="12" width="4.88671875" style="96" customWidth="1"/>
    <col min="13" max="13" width="0.21875" style="96" customWidth="1"/>
    <col min="14" max="15" width="5" style="96" customWidth="1"/>
    <col min="16" max="16" width="0.21875" style="96" customWidth="1"/>
    <col min="17" max="18" width="5.33203125" customWidth="1"/>
    <col min="19" max="19" width="0.21875" customWidth="1"/>
    <col min="20" max="20" width="5.109375" customWidth="1"/>
    <col min="21" max="21" width="4.6640625" customWidth="1"/>
    <col min="22" max="22" width="0.21875" customWidth="1"/>
    <col min="23" max="23" width="18.33203125" customWidth="1"/>
    <col min="24" max="24" width="22.5546875" customWidth="1"/>
  </cols>
  <sheetData>
    <row r="1" spans="1:24" ht="15" customHeight="1" x14ac:dyDescent="0.2">
      <c r="A1" s="433" t="s">
        <v>145</v>
      </c>
      <c r="B1" s="433"/>
      <c r="C1" s="651" t="s">
        <v>206</v>
      </c>
      <c r="D1" s="652"/>
      <c r="E1" s="652"/>
      <c r="F1" s="652"/>
      <c r="G1" s="652"/>
      <c r="H1" s="652"/>
      <c r="I1" s="652"/>
      <c r="J1" s="652"/>
      <c r="K1" s="652"/>
      <c r="L1" s="652"/>
      <c r="M1" s="652"/>
      <c r="N1" s="652"/>
      <c r="O1" s="652"/>
      <c r="P1" s="652"/>
      <c r="Q1" s="652"/>
      <c r="R1" s="652"/>
      <c r="S1" s="652"/>
      <c r="T1" s="652"/>
      <c r="U1" s="652"/>
      <c r="V1" s="652"/>
      <c r="W1" s="653"/>
      <c r="X1" s="182" t="s">
        <v>71</v>
      </c>
    </row>
    <row r="2" spans="1:24" ht="15" customHeight="1" x14ac:dyDescent="0.2">
      <c r="A2" s="433"/>
      <c r="B2" s="433"/>
      <c r="C2" s="654"/>
      <c r="D2" s="655"/>
      <c r="E2" s="655"/>
      <c r="F2" s="655"/>
      <c r="G2" s="655"/>
      <c r="H2" s="655"/>
      <c r="I2" s="655"/>
      <c r="J2" s="655"/>
      <c r="K2" s="655"/>
      <c r="L2" s="655"/>
      <c r="M2" s="655"/>
      <c r="N2" s="655"/>
      <c r="O2" s="655"/>
      <c r="P2" s="655"/>
      <c r="Q2" s="655"/>
      <c r="R2" s="655"/>
      <c r="S2" s="655"/>
      <c r="T2" s="655"/>
      <c r="U2" s="655"/>
      <c r="V2" s="655"/>
      <c r="W2" s="656"/>
      <c r="X2" s="182" t="s">
        <v>107</v>
      </c>
    </row>
    <row r="3" spans="1:24" ht="15" customHeight="1" x14ac:dyDescent="0.2">
      <c r="A3" s="433"/>
      <c r="B3" s="433"/>
      <c r="C3" s="657"/>
      <c r="D3" s="658"/>
      <c r="E3" s="658"/>
      <c r="F3" s="658"/>
      <c r="G3" s="658"/>
      <c r="H3" s="658"/>
      <c r="I3" s="658"/>
      <c r="J3" s="658"/>
      <c r="K3" s="658"/>
      <c r="L3" s="658"/>
      <c r="M3" s="658"/>
      <c r="N3" s="658"/>
      <c r="O3" s="658"/>
      <c r="P3" s="658"/>
      <c r="Q3" s="658"/>
      <c r="R3" s="658"/>
      <c r="S3" s="658"/>
      <c r="T3" s="658"/>
      <c r="U3" s="658"/>
      <c r="V3" s="658"/>
      <c r="W3" s="659"/>
      <c r="X3" s="182" t="s">
        <v>408</v>
      </c>
    </row>
    <row r="4" spans="1:24" ht="3.75" customHeight="1" x14ac:dyDescent="0.2">
      <c r="A4" s="33"/>
      <c r="B4" s="34"/>
      <c r="C4" s="198"/>
      <c r="D4" s="198"/>
      <c r="E4" s="198"/>
      <c r="F4" s="198"/>
      <c r="G4" s="198"/>
      <c r="H4" s="35"/>
      <c r="I4" s="38"/>
      <c r="J4" s="38"/>
      <c r="K4" s="233"/>
      <c r="L4" s="232"/>
      <c r="M4" s="232"/>
      <c r="N4" s="38"/>
      <c r="O4" s="38"/>
      <c r="P4" s="38"/>
      <c r="Q4" s="38"/>
      <c r="R4" s="38"/>
      <c r="S4" s="38"/>
      <c r="T4" s="232"/>
      <c r="U4" s="232"/>
      <c r="V4" s="232"/>
      <c r="W4" s="49"/>
      <c r="X4" s="49"/>
    </row>
    <row r="5" spans="1:24" ht="15.75" x14ac:dyDescent="0.2">
      <c r="A5" s="435" t="s">
        <v>184</v>
      </c>
      <c r="B5" s="435"/>
      <c r="C5" s="435"/>
      <c r="D5" s="435"/>
      <c r="E5" s="435"/>
      <c r="F5" s="435"/>
      <c r="G5" s="435"/>
      <c r="H5" s="435"/>
      <c r="I5" s="514"/>
      <c r="J5" s="514"/>
      <c r="K5" s="514"/>
      <c r="L5" s="514"/>
      <c r="M5" s="514"/>
      <c r="N5" s="514"/>
      <c r="O5" s="514"/>
      <c r="P5" s="514"/>
      <c r="Q5" s="514"/>
      <c r="R5" s="514"/>
      <c r="S5" s="514"/>
      <c r="T5" s="514"/>
      <c r="U5" s="514"/>
      <c r="V5" s="514"/>
      <c r="W5" s="514"/>
      <c r="X5" s="514"/>
    </row>
    <row r="6" spans="1:24" ht="15.75" customHeight="1" x14ac:dyDescent="0.2">
      <c r="A6" s="489" t="str">
        <f>'CONTEXTO ESTRATEGICO'!A7</f>
        <v>INSTITUCIONAL</v>
      </c>
      <c r="B6" s="489"/>
      <c r="C6" s="606" t="str">
        <f>'SEGUIMIENTO Y MONITOREO'!C6</f>
        <v>Mapa de Riesgo Institucional</v>
      </c>
      <c r="D6" s="607"/>
      <c r="E6" s="607"/>
      <c r="F6" s="607"/>
      <c r="G6" s="607"/>
      <c r="H6" s="607"/>
      <c r="I6" s="607"/>
      <c r="J6" s="607"/>
      <c r="K6" s="607"/>
      <c r="L6" s="607"/>
      <c r="M6" s="607"/>
      <c r="N6" s="607"/>
      <c r="O6" s="607"/>
      <c r="P6" s="607"/>
      <c r="Q6" s="607"/>
      <c r="R6" s="607"/>
      <c r="S6" s="187"/>
      <c r="T6" s="236"/>
      <c r="U6" s="236"/>
      <c r="V6" s="236"/>
      <c r="W6" s="173" t="str">
        <f>'SEGUIMIENTO Y MONITOREO'!E6</f>
        <v>Fecha de Actualización (AAAA/MM/DD)</v>
      </c>
      <c r="X6" s="171">
        <f>'SEGUIMIENTO Y MONITOREO'!H6</f>
        <v>42443</v>
      </c>
    </row>
    <row r="7" spans="1:24" ht="15.75" customHeight="1" x14ac:dyDescent="0.2">
      <c r="A7" s="489"/>
      <c r="B7" s="489"/>
      <c r="C7" s="636" t="s">
        <v>367</v>
      </c>
      <c r="D7" s="637"/>
      <c r="E7" s="637"/>
      <c r="F7" s="637"/>
      <c r="G7" s="637"/>
      <c r="H7" s="637"/>
      <c r="I7" s="637"/>
      <c r="J7" s="637"/>
      <c r="K7" s="637"/>
      <c r="L7" s="637"/>
      <c r="M7" s="637"/>
      <c r="N7" s="637"/>
      <c r="O7" s="637"/>
      <c r="P7" s="637"/>
      <c r="Q7" s="637"/>
      <c r="R7" s="637"/>
      <c r="S7" s="637"/>
      <c r="T7" s="637"/>
      <c r="U7" s="638"/>
      <c r="V7" s="209"/>
      <c r="W7" s="170" t="s">
        <v>185</v>
      </c>
      <c r="X7" s="172">
        <f>'SEGUIMIENTO Y MONITOREO'!$AX$7</f>
        <v>42735</v>
      </c>
    </row>
    <row r="8" spans="1:24" ht="25.5" customHeight="1" x14ac:dyDescent="0.2">
      <c r="A8" s="672" t="s">
        <v>286</v>
      </c>
      <c r="B8" s="674">
        <f>VALORACIÓN!BD3</f>
        <v>28</v>
      </c>
      <c r="C8" s="664" t="s">
        <v>292</v>
      </c>
      <c r="D8" s="664" t="s">
        <v>293</v>
      </c>
      <c r="E8" s="202"/>
      <c r="F8" s="664" t="s">
        <v>288</v>
      </c>
      <c r="G8" s="202"/>
      <c r="H8" s="665" t="s">
        <v>289</v>
      </c>
      <c r="I8" s="665"/>
      <c r="J8" s="204"/>
      <c r="K8" s="665" t="s">
        <v>343</v>
      </c>
      <c r="L8" s="665"/>
      <c r="M8" s="238"/>
      <c r="N8" s="666" t="s">
        <v>291</v>
      </c>
      <c r="O8" s="667"/>
      <c r="P8" s="205"/>
      <c r="Q8" s="668" t="s">
        <v>290</v>
      </c>
      <c r="R8" s="668"/>
      <c r="S8" s="210"/>
      <c r="T8" s="668" t="s">
        <v>344</v>
      </c>
      <c r="U8" s="668"/>
      <c r="V8" s="210"/>
      <c r="W8" s="663"/>
      <c r="X8" s="663"/>
    </row>
    <row r="9" spans="1:24" ht="12.75" customHeight="1" x14ac:dyDescent="0.2">
      <c r="A9" s="673"/>
      <c r="B9" s="675"/>
      <c r="C9" s="664"/>
      <c r="D9" s="664"/>
      <c r="E9" s="202"/>
      <c r="F9" s="664"/>
      <c r="G9" s="202"/>
      <c r="H9" s="183" t="s">
        <v>11</v>
      </c>
      <c r="I9" s="183" t="s">
        <v>10</v>
      </c>
      <c r="J9" s="183"/>
      <c r="K9" s="237" t="s">
        <v>342</v>
      </c>
      <c r="L9" s="237" t="s">
        <v>341</v>
      </c>
      <c r="M9" s="237"/>
      <c r="N9" s="183" t="s">
        <v>11</v>
      </c>
      <c r="O9" s="183" t="s">
        <v>10</v>
      </c>
      <c r="P9" s="183"/>
      <c r="Q9" s="169" t="s">
        <v>11</v>
      </c>
      <c r="R9" s="169" t="s">
        <v>10</v>
      </c>
      <c r="S9" s="210"/>
      <c r="T9" s="239" t="s">
        <v>11</v>
      </c>
      <c r="U9" s="239" t="s">
        <v>10</v>
      </c>
      <c r="V9" s="210"/>
      <c r="W9" s="188"/>
      <c r="X9" s="188"/>
    </row>
    <row r="10" spans="1:24" ht="18.75" customHeight="1" x14ac:dyDescent="0.2">
      <c r="A10" s="676" t="s">
        <v>284</v>
      </c>
      <c r="B10" s="677"/>
      <c r="C10" s="199">
        <f>VALORACIÓN!BH6</f>
        <v>48</v>
      </c>
      <c r="D10" s="199">
        <f>VALORACIÓN!BH8</f>
        <v>2</v>
      </c>
      <c r="E10" s="199">
        <f>C12/F12</f>
        <v>0.9642857142857143</v>
      </c>
      <c r="F10" s="199">
        <f>VALORACIÓN!BB3</f>
        <v>50</v>
      </c>
      <c r="G10" s="203">
        <f>F10/$F$12</f>
        <v>0.8928571428571429</v>
      </c>
      <c r="H10" s="199">
        <f>VALORACIÓN!BB6</f>
        <v>48</v>
      </c>
      <c r="I10" s="199">
        <f>VALORACIÓN!BB8</f>
        <v>2</v>
      </c>
      <c r="J10" s="199">
        <f>H12/F12</f>
        <v>0.9107142857142857</v>
      </c>
      <c r="K10" s="199">
        <f>VALORACIÓN!BJ6</f>
        <v>2</v>
      </c>
      <c r="L10" s="199">
        <f>VALORACIÓN!BJ8</f>
        <v>48</v>
      </c>
      <c r="M10" s="199">
        <f>K12/F12</f>
        <v>5.3571428571428568E-2</v>
      </c>
      <c r="N10" s="199">
        <f>VALORACIÓN!BD6</f>
        <v>50</v>
      </c>
      <c r="O10" s="199">
        <f>VALORACIÓN!BD8</f>
        <v>0</v>
      </c>
      <c r="P10" s="199">
        <f>N12/F12</f>
        <v>0.9821428571428571</v>
      </c>
      <c r="Q10" s="199">
        <f>VALORACIÓN!BF6</f>
        <v>45</v>
      </c>
      <c r="R10" s="199">
        <f>VALORACIÓN!BF8</f>
        <v>5</v>
      </c>
      <c r="S10" s="211">
        <f>Q12/$F12</f>
        <v>0.8214285714285714</v>
      </c>
      <c r="T10" s="199">
        <f>VALORACIÓN!BL6</f>
        <v>50</v>
      </c>
      <c r="U10" s="199">
        <f>VALORACIÓN!BL8</f>
        <v>0</v>
      </c>
      <c r="V10" s="211">
        <f>T12/$F12</f>
        <v>0.9642857142857143</v>
      </c>
      <c r="W10" s="184"/>
      <c r="X10" s="184"/>
    </row>
    <row r="11" spans="1:24" ht="18.75" customHeight="1" x14ac:dyDescent="0.2">
      <c r="A11" s="670" t="s">
        <v>285</v>
      </c>
      <c r="B11" s="671"/>
      <c r="C11" s="199">
        <f>VALORACIÓN!BI6</f>
        <v>6</v>
      </c>
      <c r="D11" s="199">
        <f>VALORACIÓN!BI8</f>
        <v>0</v>
      </c>
      <c r="E11" s="199">
        <f>D12/F12</f>
        <v>3.5714285714285712E-2</v>
      </c>
      <c r="F11" s="199">
        <f>VALORACIÓN!BC3</f>
        <v>6</v>
      </c>
      <c r="G11" s="203">
        <f>F11/$F$12</f>
        <v>0.10714285714285714</v>
      </c>
      <c r="H11" s="199">
        <f>VALORACIÓN!BC6</f>
        <v>3</v>
      </c>
      <c r="I11" s="199">
        <f>VALORACIÓN!BC8</f>
        <v>3</v>
      </c>
      <c r="J11" s="199">
        <f>I12/F12</f>
        <v>8.9285714285714288E-2</v>
      </c>
      <c r="K11" s="199">
        <f>VALORACIÓN!BK6</f>
        <v>1</v>
      </c>
      <c r="L11" s="199">
        <f>VALORACIÓN!BK8</f>
        <v>5</v>
      </c>
      <c r="M11" s="199">
        <f>L12/F12</f>
        <v>0.9464285714285714</v>
      </c>
      <c r="N11" s="199">
        <f>VALORACIÓN!BE6</f>
        <v>5</v>
      </c>
      <c r="O11" s="199">
        <f>VALORACIÓN!BE8</f>
        <v>1</v>
      </c>
      <c r="P11" s="199">
        <f>O12/F12</f>
        <v>1.7857142857142856E-2</v>
      </c>
      <c r="Q11" s="199">
        <f>VALORACIÓN!BG6</f>
        <v>1</v>
      </c>
      <c r="R11" s="199">
        <f>VALORACIÓN!BG8</f>
        <v>5</v>
      </c>
      <c r="S11" s="211">
        <f>R12/$F12</f>
        <v>0.17857142857142858</v>
      </c>
      <c r="T11" s="199">
        <f>VALORACIÓN!BM6</f>
        <v>4</v>
      </c>
      <c r="U11" s="199">
        <f>VALORACIÓN!BM8</f>
        <v>2</v>
      </c>
      <c r="V11" s="211">
        <f>U12/$F12</f>
        <v>3.5714285714285712E-2</v>
      </c>
      <c r="W11" s="184"/>
      <c r="X11" s="184"/>
    </row>
    <row r="12" spans="1:24" ht="15" customHeight="1" x14ac:dyDescent="0.2">
      <c r="A12" s="669" t="s">
        <v>294</v>
      </c>
      <c r="B12" s="669"/>
      <c r="C12" s="199">
        <f>SUM(C10:C11)</f>
        <v>54</v>
      </c>
      <c r="D12" s="199">
        <f t="shared" ref="D12" si="0">SUM(D10:D11)</f>
        <v>2</v>
      </c>
      <c r="E12" s="199"/>
      <c r="F12" s="199">
        <f>SUM(F10:F11)</f>
        <v>56</v>
      </c>
      <c r="G12" s="203"/>
      <c r="H12" s="199">
        <f t="shared" ref="H12:R12" si="1">SUM(H10:H11)</f>
        <v>51</v>
      </c>
      <c r="I12" s="199">
        <f t="shared" si="1"/>
        <v>5</v>
      </c>
      <c r="J12" s="199"/>
      <c r="K12" s="199">
        <f t="shared" ref="K12:L12" si="2">SUM(K10:K11)</f>
        <v>3</v>
      </c>
      <c r="L12" s="199">
        <f t="shared" si="2"/>
        <v>53</v>
      </c>
      <c r="M12" s="199"/>
      <c r="N12" s="199">
        <f t="shared" si="1"/>
        <v>55</v>
      </c>
      <c r="O12" s="199">
        <f t="shared" si="1"/>
        <v>1</v>
      </c>
      <c r="P12" s="199"/>
      <c r="Q12" s="199">
        <f t="shared" si="1"/>
        <v>46</v>
      </c>
      <c r="R12" s="199">
        <f t="shared" si="1"/>
        <v>10</v>
      </c>
      <c r="S12" s="211"/>
      <c r="T12" s="199">
        <f t="shared" ref="T12:U12" si="3">SUM(T10:T11)</f>
        <v>54</v>
      </c>
      <c r="U12" s="199">
        <f t="shared" si="3"/>
        <v>2</v>
      </c>
      <c r="V12" s="211"/>
      <c r="W12" s="184"/>
      <c r="X12" s="184"/>
    </row>
    <row r="13" spans="1:24" x14ac:dyDescent="0.2">
      <c r="A13" s="27"/>
      <c r="B13" s="27"/>
      <c r="C13" s="200"/>
      <c r="D13" s="200"/>
      <c r="E13" s="200"/>
      <c r="F13" s="200"/>
      <c r="G13" s="200"/>
      <c r="H13" s="133"/>
      <c r="I13" s="133"/>
      <c r="J13" s="133"/>
      <c r="K13" s="133"/>
      <c r="L13" s="133"/>
      <c r="M13" s="133"/>
      <c r="N13" s="133"/>
      <c r="O13" s="133"/>
      <c r="P13" s="133"/>
      <c r="Q13" s="27"/>
      <c r="R13" s="27"/>
      <c r="S13" s="27"/>
      <c r="T13" s="27"/>
      <c r="U13" s="27"/>
      <c r="V13" s="27"/>
      <c r="W13" s="27"/>
      <c r="X13" s="27"/>
    </row>
    <row r="14" spans="1:24" x14ac:dyDescent="0.2">
      <c r="A14" s="27"/>
      <c r="B14" s="27"/>
      <c r="C14" s="200"/>
      <c r="D14" s="200"/>
      <c r="E14" s="200"/>
      <c r="F14" s="200"/>
      <c r="G14" s="200"/>
      <c r="H14" s="133"/>
      <c r="I14" s="133"/>
      <c r="J14" s="133"/>
      <c r="K14" s="133"/>
      <c r="L14" s="133"/>
      <c r="M14" s="133"/>
      <c r="N14" s="133"/>
      <c r="O14" s="133"/>
      <c r="P14" s="133"/>
      <c r="Q14" s="27"/>
      <c r="R14" s="27"/>
      <c r="S14" s="27"/>
      <c r="T14" s="27"/>
      <c r="U14" s="27"/>
      <c r="V14" s="27"/>
      <c r="W14" s="27"/>
      <c r="X14" s="27"/>
    </row>
    <row r="15" spans="1:24" x14ac:dyDescent="0.2">
      <c r="A15" s="27"/>
      <c r="B15" s="27"/>
      <c r="C15" s="200"/>
      <c r="D15" s="200"/>
      <c r="E15" s="200"/>
      <c r="F15" s="200"/>
      <c r="G15" s="200"/>
      <c r="H15" s="133"/>
      <c r="I15" s="133"/>
      <c r="J15" s="133"/>
      <c r="K15" s="133"/>
      <c r="L15" s="133"/>
      <c r="M15" s="133"/>
      <c r="N15" s="133"/>
      <c r="O15" s="133"/>
      <c r="P15" s="133"/>
      <c r="Q15" s="27"/>
      <c r="R15" s="27"/>
      <c r="S15" s="27"/>
      <c r="T15" s="27"/>
      <c r="U15" s="27"/>
      <c r="V15" s="27"/>
      <c r="W15" s="27"/>
      <c r="X15" s="27"/>
    </row>
    <row r="16" spans="1:24" x14ac:dyDescent="0.2">
      <c r="A16" s="27"/>
      <c r="B16" s="27"/>
      <c r="C16" s="200"/>
      <c r="D16" s="200"/>
      <c r="E16" s="200"/>
      <c r="F16" s="200"/>
      <c r="G16" s="200"/>
      <c r="H16" s="133"/>
      <c r="I16" s="133"/>
      <c r="J16" s="133"/>
      <c r="K16" s="133"/>
      <c r="L16" s="133"/>
      <c r="M16" s="133"/>
      <c r="N16" s="133"/>
      <c r="O16" s="133"/>
      <c r="P16" s="133"/>
      <c r="Q16" s="27"/>
      <c r="R16" s="27"/>
      <c r="S16" s="27"/>
      <c r="T16" s="27"/>
      <c r="U16" s="27"/>
      <c r="V16" s="27"/>
      <c r="W16" s="27"/>
      <c r="X16" s="27"/>
    </row>
    <row r="17" spans="1:24" x14ac:dyDescent="0.2">
      <c r="A17" s="27"/>
      <c r="B17" s="27"/>
      <c r="C17" s="200"/>
      <c r="D17" s="200"/>
      <c r="E17" s="200"/>
      <c r="F17" s="200"/>
      <c r="G17" s="200"/>
      <c r="H17" s="133"/>
      <c r="I17" s="133"/>
      <c r="J17" s="133"/>
      <c r="K17" s="133"/>
      <c r="L17" s="133"/>
      <c r="M17" s="133"/>
      <c r="N17" s="133"/>
      <c r="O17" s="133"/>
      <c r="P17" s="133"/>
      <c r="Q17" s="27"/>
      <c r="R17" s="27"/>
      <c r="S17" s="27"/>
      <c r="T17" s="27"/>
      <c r="U17" s="27"/>
      <c r="V17" s="27"/>
      <c r="W17" s="27"/>
      <c r="X17" s="27"/>
    </row>
    <row r="18" spans="1:24" x14ac:dyDescent="0.2">
      <c r="A18" s="27"/>
      <c r="B18" s="27"/>
      <c r="C18" s="200"/>
      <c r="D18" s="200"/>
      <c r="E18" s="200"/>
      <c r="F18" s="200"/>
      <c r="G18" s="200"/>
      <c r="H18" s="133"/>
      <c r="I18" s="133"/>
      <c r="J18" s="133"/>
      <c r="K18" s="133"/>
      <c r="L18" s="133"/>
      <c r="M18" s="133"/>
      <c r="N18" s="133"/>
      <c r="O18" s="133"/>
      <c r="P18" s="133"/>
      <c r="Q18" s="27"/>
      <c r="R18" s="27"/>
      <c r="S18" s="27"/>
      <c r="T18" s="27"/>
      <c r="U18" s="27"/>
      <c r="V18" s="27"/>
      <c r="W18" s="27"/>
      <c r="X18" s="27"/>
    </row>
    <row r="19" spans="1:24" x14ac:dyDescent="0.2">
      <c r="A19" s="27"/>
      <c r="B19" s="27"/>
      <c r="C19" s="200"/>
      <c r="D19" s="200"/>
      <c r="E19" s="200"/>
      <c r="F19" s="200"/>
      <c r="G19" s="200"/>
      <c r="H19" s="133"/>
      <c r="I19" s="133"/>
      <c r="J19" s="133"/>
      <c r="K19" s="133"/>
      <c r="L19" s="133"/>
      <c r="M19" s="133"/>
      <c r="N19" s="133"/>
      <c r="O19" s="133"/>
      <c r="P19" s="133"/>
      <c r="Q19" s="27"/>
      <c r="R19" s="27"/>
      <c r="S19" s="27"/>
      <c r="T19" s="27"/>
      <c r="U19" s="27"/>
      <c r="V19" s="27"/>
      <c r="W19" s="27"/>
      <c r="X19" s="27"/>
    </row>
    <row r="20" spans="1:24" x14ac:dyDescent="0.2">
      <c r="A20" s="27"/>
      <c r="B20" s="27"/>
      <c r="C20" s="200"/>
      <c r="D20" s="200"/>
      <c r="E20" s="200"/>
      <c r="F20" s="200"/>
      <c r="G20" s="200"/>
      <c r="H20" s="133"/>
      <c r="I20" s="133"/>
      <c r="J20" s="133"/>
      <c r="K20" s="133"/>
      <c r="L20" s="133"/>
      <c r="M20" s="133"/>
      <c r="N20" s="133"/>
      <c r="O20" s="133"/>
      <c r="P20" s="133"/>
      <c r="Q20" s="27"/>
      <c r="R20" s="27"/>
      <c r="S20" s="27"/>
      <c r="T20" s="27"/>
      <c r="U20" s="27"/>
      <c r="V20" s="27"/>
      <c r="W20" s="27"/>
      <c r="X20" s="27"/>
    </row>
    <row r="21" spans="1:24" x14ac:dyDescent="0.2">
      <c r="A21" s="27"/>
      <c r="B21" s="27"/>
      <c r="C21" s="200"/>
      <c r="D21" s="200"/>
      <c r="E21" s="200"/>
      <c r="F21" s="200"/>
      <c r="G21" s="200"/>
      <c r="H21" s="133"/>
      <c r="I21" s="133"/>
      <c r="J21" s="133"/>
      <c r="K21" s="133"/>
      <c r="L21" s="133"/>
      <c r="M21" s="133"/>
      <c r="N21" s="133"/>
      <c r="O21" s="133"/>
      <c r="P21" s="133"/>
      <c r="Q21" s="27"/>
      <c r="R21" s="27"/>
      <c r="S21" s="27"/>
      <c r="T21" s="27"/>
      <c r="U21" s="27"/>
      <c r="V21" s="27"/>
      <c r="W21" s="27"/>
      <c r="X21" s="27"/>
    </row>
    <row r="22" spans="1:24" x14ac:dyDescent="0.2">
      <c r="A22" s="27"/>
      <c r="B22" s="27"/>
      <c r="C22" s="200"/>
      <c r="D22" s="200"/>
      <c r="E22" s="200"/>
      <c r="F22" s="200"/>
      <c r="G22" s="200"/>
      <c r="H22" s="133"/>
      <c r="I22" s="133"/>
      <c r="J22" s="133"/>
      <c r="K22" s="133"/>
      <c r="L22" s="133"/>
      <c r="M22" s="133"/>
      <c r="N22" s="133"/>
      <c r="O22" s="133"/>
      <c r="P22" s="133"/>
      <c r="Q22" s="27"/>
      <c r="R22" s="27"/>
      <c r="S22" s="27"/>
      <c r="T22" s="27"/>
      <c r="U22" s="27"/>
      <c r="V22" s="27"/>
      <c r="W22" s="27"/>
      <c r="X22" s="27"/>
    </row>
  </sheetData>
  <sheetProtection selectLockedCells="1"/>
  <mergeCells count="21">
    <mergeCell ref="A12:B12"/>
    <mergeCell ref="A11:B11"/>
    <mergeCell ref="A8:A9"/>
    <mergeCell ref="B8:B9"/>
    <mergeCell ref="F8:F9"/>
    <mergeCell ref="A10:B10"/>
    <mergeCell ref="W8:X8"/>
    <mergeCell ref="A1:B3"/>
    <mergeCell ref="A5:X5"/>
    <mergeCell ref="A6:B6"/>
    <mergeCell ref="A7:B7"/>
    <mergeCell ref="C8:C9"/>
    <mergeCell ref="D8:D9"/>
    <mergeCell ref="C1:W3"/>
    <mergeCell ref="C6:R6"/>
    <mergeCell ref="H8:I8"/>
    <mergeCell ref="N8:O8"/>
    <mergeCell ref="Q8:R8"/>
    <mergeCell ref="K8:L8"/>
    <mergeCell ref="T8:U8"/>
    <mergeCell ref="C7:U7"/>
  </mergeCells>
  <conditionalFormatting sqref="X7">
    <cfRule type="containsText" dxfId="82" priority="17" operator="containsText" text="Sin Seguimientos">
      <formula>NOT(ISERROR(SEARCH("Sin Seguimientos",X7)))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A4B254BA-EDFA-46FB-92D3-91019EB13944}">
            <xm:f>VALORACIÓN!$D$10</xm:f>
            <x14:dxf>
              <font>
                <color auto="1"/>
              </font>
              <fill>
                <patternFill patternType="lightGrid">
                  <fgColor theme="0" tint="-4.9989318521683403E-2"/>
                  <bgColor theme="0"/>
                </patternFill>
              </fill>
            </x14:dxf>
          </x14:cfRule>
          <x14:cfRule type="cellIs" priority="16" operator="equal" id="{5B274FA5-07C4-4B6C-B98E-FCE3D7F466CA}">
            <xm:f>VALORACIÓN!$D$10</xm:f>
            <x14:dxf>
              <fill>
                <patternFill patternType="lightGrid">
                  <fgColor theme="0" tint="-4.9989318521683403E-2"/>
                </patternFill>
              </fill>
            </x14:dxf>
          </x14:cfRule>
          <xm:sqref>Q10:S11 F12:J12 N12:S12</xm:sqref>
        </x14:conditionalFormatting>
        <x14:conditionalFormatting xmlns:xm="http://schemas.microsoft.com/office/excel/2006/main">
          <x14:cfRule type="cellIs" priority="13" operator="notEqual" id="{D127A4EC-2D28-4215-9B5B-04D1B01697F2}">
            <xm:f>VALORACIÓN!$D$10</xm:f>
            <x14:dxf>
              <font>
                <color auto="1"/>
              </font>
              <fill>
                <patternFill patternType="lightGrid">
                  <fgColor theme="0" tint="-4.9989318521683403E-2"/>
                  <bgColor theme="0"/>
                </patternFill>
              </fill>
            </x14:dxf>
          </x14:cfRule>
          <x14:cfRule type="cellIs" priority="14" operator="equal" id="{97073614-0EF5-4F38-B50E-A3EB75CA43A7}">
            <xm:f>VALORACIÓN!$D$10</xm:f>
            <x14:dxf>
              <fill>
                <patternFill patternType="lightGrid">
                  <fgColor theme="0" tint="-4.9989318521683403E-2"/>
                </patternFill>
              </fill>
            </x14:dxf>
          </x14:cfRule>
          <xm:sqref>F10:G11</xm:sqref>
        </x14:conditionalFormatting>
        <x14:conditionalFormatting xmlns:xm="http://schemas.microsoft.com/office/excel/2006/main">
          <x14:cfRule type="cellIs" priority="11" operator="notEqual" id="{227E2FF6-6290-4653-B317-25166AEBE7B1}">
            <xm:f>VALORACIÓN!$D$10</xm:f>
            <x14:dxf>
              <font>
                <color auto="1"/>
              </font>
              <fill>
                <patternFill patternType="lightGrid">
                  <fgColor theme="0" tint="-4.9989318521683403E-2"/>
                  <bgColor theme="0"/>
                </patternFill>
              </fill>
            </x14:dxf>
          </x14:cfRule>
          <x14:cfRule type="cellIs" priority="12" operator="equal" id="{CDDBFD7E-2937-495F-8F4D-4E890C8F737E}">
            <xm:f>VALORACIÓN!$D$10</xm:f>
            <x14:dxf>
              <fill>
                <patternFill patternType="lightGrid">
                  <fgColor theme="0" tint="-4.9989318521683403E-2"/>
                </patternFill>
              </fill>
            </x14:dxf>
          </x14:cfRule>
          <xm:sqref>H10:J11</xm:sqref>
        </x14:conditionalFormatting>
        <x14:conditionalFormatting xmlns:xm="http://schemas.microsoft.com/office/excel/2006/main">
          <x14:cfRule type="cellIs" priority="9" operator="notEqual" id="{880CD3D3-BA37-4D20-8BB8-AF4410838534}">
            <xm:f>VALORACIÓN!$D$10</xm:f>
            <x14:dxf>
              <font>
                <color auto="1"/>
              </font>
              <fill>
                <patternFill patternType="lightGrid">
                  <fgColor theme="0" tint="-4.9989318521683403E-2"/>
                  <bgColor theme="0"/>
                </patternFill>
              </fill>
            </x14:dxf>
          </x14:cfRule>
          <x14:cfRule type="cellIs" priority="10" operator="equal" id="{A58F4E4A-D386-4C41-8E45-0592824FE6C2}">
            <xm:f>VALORACIÓN!$D$10</xm:f>
            <x14:dxf>
              <fill>
                <patternFill patternType="lightGrid">
                  <fgColor theme="0" tint="-4.9989318521683403E-2"/>
                </patternFill>
              </fill>
            </x14:dxf>
          </x14:cfRule>
          <xm:sqref>N10:P11</xm:sqref>
        </x14:conditionalFormatting>
        <x14:conditionalFormatting xmlns:xm="http://schemas.microsoft.com/office/excel/2006/main">
          <x14:cfRule type="cellIs" priority="7" operator="notEqual" id="{4BC1F1B1-B4AA-4686-9505-8A153750E292}">
            <xm:f>VALORACIÓN!$D$10</xm:f>
            <x14:dxf>
              <font>
                <color auto="1"/>
              </font>
              <fill>
                <patternFill patternType="lightGrid">
                  <fgColor theme="0" tint="-4.9989318521683403E-2"/>
                  <bgColor theme="0"/>
                </patternFill>
              </fill>
            </x14:dxf>
          </x14:cfRule>
          <x14:cfRule type="cellIs" priority="8" operator="equal" id="{9532A820-35A4-46C0-8555-61F7DB969A51}">
            <xm:f>VALORACIÓN!$D$10</xm:f>
            <x14:dxf>
              <fill>
                <patternFill patternType="lightGrid">
                  <fgColor theme="0" tint="-4.9989318521683403E-2"/>
                </patternFill>
              </fill>
            </x14:dxf>
          </x14:cfRule>
          <xm:sqref>C10:E12</xm:sqref>
        </x14:conditionalFormatting>
        <x14:conditionalFormatting xmlns:xm="http://schemas.microsoft.com/office/excel/2006/main">
          <x14:cfRule type="cellIs" priority="5" operator="notEqual" id="{C895EC7D-A3E7-48AC-98FD-B580E0A79794}">
            <xm:f>VALORACIÓN!$D$10</xm:f>
            <x14:dxf>
              <font>
                <color auto="1"/>
              </font>
              <fill>
                <patternFill patternType="lightGrid">
                  <fgColor theme="0" tint="-4.9989318521683403E-2"/>
                  <bgColor theme="0"/>
                </patternFill>
              </fill>
            </x14:dxf>
          </x14:cfRule>
          <x14:cfRule type="cellIs" priority="6" operator="equal" id="{1DBDF171-79A6-48EA-B4F1-7EC305535A2C}">
            <xm:f>VALORACIÓN!$D$10</xm:f>
            <x14:dxf>
              <fill>
                <patternFill patternType="lightGrid">
                  <fgColor theme="0" tint="-4.9989318521683403E-2"/>
                </patternFill>
              </fill>
            </x14:dxf>
          </x14:cfRule>
          <xm:sqref>K12:M12</xm:sqref>
        </x14:conditionalFormatting>
        <x14:conditionalFormatting xmlns:xm="http://schemas.microsoft.com/office/excel/2006/main">
          <x14:cfRule type="cellIs" priority="3" operator="notEqual" id="{FCF07202-1FA2-40F3-B259-A4B35AB83F16}">
            <xm:f>VALORACIÓN!$D$10</xm:f>
            <x14:dxf>
              <font>
                <color auto="1"/>
              </font>
              <fill>
                <patternFill patternType="lightGrid">
                  <fgColor theme="0" tint="-4.9989318521683403E-2"/>
                  <bgColor theme="0"/>
                </patternFill>
              </fill>
            </x14:dxf>
          </x14:cfRule>
          <x14:cfRule type="cellIs" priority="4" operator="equal" id="{A23F3E73-D45F-46CE-B4A9-922C2989529F}">
            <xm:f>VALORACIÓN!$D$10</xm:f>
            <x14:dxf>
              <fill>
                <patternFill patternType="lightGrid">
                  <fgColor theme="0" tint="-4.9989318521683403E-2"/>
                </patternFill>
              </fill>
            </x14:dxf>
          </x14:cfRule>
          <xm:sqref>K10:M11</xm:sqref>
        </x14:conditionalFormatting>
        <x14:conditionalFormatting xmlns:xm="http://schemas.microsoft.com/office/excel/2006/main">
          <x14:cfRule type="cellIs" priority="1" operator="notEqual" id="{A39F58B9-D716-4D1A-9E6B-89C1EA2E29AF}">
            <xm:f>VALORACIÓN!$D$10</xm:f>
            <x14:dxf>
              <font>
                <color auto="1"/>
              </font>
              <fill>
                <patternFill patternType="lightGrid">
                  <fgColor theme="0" tint="-4.9989318521683403E-2"/>
                  <bgColor theme="0"/>
                </patternFill>
              </fill>
            </x14:dxf>
          </x14:cfRule>
          <x14:cfRule type="cellIs" priority="2" operator="equal" id="{EFC5876C-EA89-49F6-B4D0-096005E2644C}">
            <xm:f>VALORACIÓN!$D$10</xm:f>
            <x14:dxf>
              <fill>
                <patternFill patternType="lightGrid">
                  <fgColor theme="0" tint="-4.9989318521683403E-2"/>
                </patternFill>
              </fill>
            </x14:dxf>
          </x14:cfRule>
          <xm:sqref>T10:V12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X22"/>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6" sqref="W6"/>
    </sheetView>
  </sheetViews>
  <sheetFormatPr baseColWidth="10" defaultRowHeight="15" x14ac:dyDescent="0.2"/>
  <cols>
    <col min="1" max="1" width="19.21875" customWidth="1"/>
    <col min="2" max="2" width="12.44140625" customWidth="1"/>
    <col min="3" max="4" width="7.44140625" style="201" customWidth="1"/>
    <col min="5" max="5" width="0.21875" style="201" customWidth="1"/>
    <col min="6" max="6" width="5.5546875" style="201" customWidth="1"/>
    <col min="7" max="7" width="0.21875" style="201" customWidth="1"/>
    <col min="8" max="9" width="4.6640625" style="96" customWidth="1"/>
    <col min="10" max="10" width="0.21875" style="96" customWidth="1"/>
    <col min="11" max="12" width="4.88671875" style="96" customWidth="1"/>
    <col min="13" max="13" width="0.21875" style="96" customWidth="1"/>
    <col min="14" max="15" width="5" style="96" customWidth="1"/>
    <col min="16" max="16" width="0.21875" style="96" customWidth="1"/>
    <col min="17" max="18" width="5.33203125" customWidth="1"/>
    <col min="19" max="19" width="0.21875" customWidth="1"/>
    <col min="20" max="20" width="5.109375" customWidth="1"/>
    <col min="21" max="21" width="4.6640625" customWidth="1"/>
    <col min="22" max="22" width="0.21875" customWidth="1"/>
    <col min="23" max="23" width="18.33203125" customWidth="1"/>
    <col min="24" max="24" width="22.5546875" customWidth="1"/>
  </cols>
  <sheetData>
    <row r="1" spans="1:24" ht="15" customHeight="1" x14ac:dyDescent="0.2">
      <c r="A1" s="433" t="s">
        <v>145</v>
      </c>
      <c r="B1" s="433"/>
      <c r="C1" s="651" t="s">
        <v>206</v>
      </c>
      <c r="D1" s="652"/>
      <c r="E1" s="652"/>
      <c r="F1" s="652"/>
      <c r="G1" s="652"/>
      <c r="H1" s="652"/>
      <c r="I1" s="652"/>
      <c r="J1" s="652"/>
      <c r="K1" s="652"/>
      <c r="L1" s="652"/>
      <c r="M1" s="652"/>
      <c r="N1" s="652"/>
      <c r="O1" s="652"/>
      <c r="P1" s="652"/>
      <c r="Q1" s="652"/>
      <c r="R1" s="652"/>
      <c r="S1" s="652"/>
      <c r="T1" s="652"/>
      <c r="U1" s="652"/>
      <c r="V1" s="652"/>
      <c r="W1" s="653"/>
      <c r="X1" s="182" t="s">
        <v>71</v>
      </c>
    </row>
    <row r="2" spans="1:24" ht="15" customHeight="1" x14ac:dyDescent="0.2">
      <c r="A2" s="433"/>
      <c r="B2" s="433"/>
      <c r="C2" s="654"/>
      <c r="D2" s="655"/>
      <c r="E2" s="655"/>
      <c r="F2" s="655"/>
      <c r="G2" s="655"/>
      <c r="H2" s="655"/>
      <c r="I2" s="655"/>
      <c r="J2" s="655"/>
      <c r="K2" s="655"/>
      <c r="L2" s="655"/>
      <c r="M2" s="655"/>
      <c r="N2" s="655"/>
      <c r="O2" s="655"/>
      <c r="P2" s="655"/>
      <c r="Q2" s="655"/>
      <c r="R2" s="655"/>
      <c r="S2" s="655"/>
      <c r="T2" s="655"/>
      <c r="U2" s="655"/>
      <c r="V2" s="655"/>
      <c r="W2" s="656"/>
      <c r="X2" s="182" t="s">
        <v>107</v>
      </c>
    </row>
    <row r="3" spans="1:24" ht="15" customHeight="1" x14ac:dyDescent="0.2">
      <c r="A3" s="433"/>
      <c r="B3" s="433"/>
      <c r="C3" s="657"/>
      <c r="D3" s="658"/>
      <c r="E3" s="658"/>
      <c r="F3" s="658"/>
      <c r="G3" s="658"/>
      <c r="H3" s="658"/>
      <c r="I3" s="658"/>
      <c r="J3" s="658"/>
      <c r="K3" s="658"/>
      <c r="L3" s="658"/>
      <c r="M3" s="658"/>
      <c r="N3" s="658"/>
      <c r="O3" s="658"/>
      <c r="P3" s="658"/>
      <c r="Q3" s="658"/>
      <c r="R3" s="658"/>
      <c r="S3" s="658"/>
      <c r="T3" s="658"/>
      <c r="U3" s="658"/>
      <c r="V3" s="658"/>
      <c r="W3" s="659"/>
      <c r="X3" s="182" t="s">
        <v>408</v>
      </c>
    </row>
    <row r="4" spans="1:24" ht="3.75" customHeight="1" x14ac:dyDescent="0.2">
      <c r="A4" s="33"/>
      <c r="B4" s="34"/>
      <c r="C4" s="198"/>
      <c r="D4" s="198"/>
      <c r="E4" s="198"/>
      <c r="F4" s="198"/>
      <c r="G4" s="198"/>
      <c r="H4" s="291"/>
      <c r="I4" s="290"/>
      <c r="J4" s="290"/>
      <c r="K4" s="291"/>
      <c r="L4" s="290"/>
      <c r="M4" s="290"/>
      <c r="N4" s="290"/>
      <c r="O4" s="290"/>
      <c r="P4" s="290"/>
      <c r="Q4" s="290"/>
      <c r="R4" s="290"/>
      <c r="S4" s="290"/>
      <c r="T4" s="290"/>
      <c r="U4" s="290"/>
      <c r="V4" s="290"/>
      <c r="W4" s="49"/>
      <c r="X4" s="49"/>
    </row>
    <row r="5" spans="1:24" ht="15.75" x14ac:dyDescent="0.2">
      <c r="A5" s="435" t="s">
        <v>184</v>
      </c>
      <c r="B5" s="435"/>
      <c r="C5" s="435"/>
      <c r="D5" s="435"/>
      <c r="E5" s="435"/>
      <c r="F5" s="435"/>
      <c r="G5" s="435"/>
      <c r="H5" s="435"/>
      <c r="I5" s="514"/>
      <c r="J5" s="514"/>
      <c r="K5" s="514"/>
      <c r="L5" s="514"/>
      <c r="M5" s="514"/>
      <c r="N5" s="514"/>
      <c r="O5" s="514"/>
      <c r="P5" s="514"/>
      <c r="Q5" s="514"/>
      <c r="R5" s="514"/>
      <c r="S5" s="514"/>
      <c r="T5" s="514"/>
      <c r="U5" s="514"/>
      <c r="V5" s="514"/>
      <c r="W5" s="514"/>
      <c r="X5" s="514"/>
    </row>
    <row r="6" spans="1:24" ht="15.75" customHeight="1" x14ac:dyDescent="0.2">
      <c r="A6" s="489" t="str">
        <f>'CONTEXTO ESTRATEGICO'!A7</f>
        <v>INSTITUCIONAL</v>
      </c>
      <c r="B6" s="489"/>
      <c r="C6" s="606" t="str">
        <f>'SEGUIMIENTO Y MONITOREO'!C6</f>
        <v>Mapa de Riesgo Institucional</v>
      </c>
      <c r="D6" s="607"/>
      <c r="E6" s="607"/>
      <c r="F6" s="607"/>
      <c r="G6" s="607"/>
      <c r="H6" s="607"/>
      <c r="I6" s="607"/>
      <c r="J6" s="607"/>
      <c r="K6" s="607"/>
      <c r="L6" s="607"/>
      <c r="M6" s="607"/>
      <c r="N6" s="607"/>
      <c r="O6" s="607"/>
      <c r="P6" s="607"/>
      <c r="Q6" s="607"/>
      <c r="R6" s="607"/>
      <c r="S6" s="294"/>
      <c r="T6" s="294"/>
      <c r="U6" s="294"/>
      <c r="V6" s="294"/>
      <c r="W6" s="302" t="str">
        <f>'SEGUIMIENTO Y MONITOREO'!E6</f>
        <v>Fecha de Actualización (AAAA/MM/DD)</v>
      </c>
      <c r="X6" s="171">
        <f>'SEGUIMIENTO Y MONITOREO'!H6</f>
        <v>42443</v>
      </c>
    </row>
    <row r="7" spans="1:24" ht="15.75" customHeight="1" x14ac:dyDescent="0.2">
      <c r="A7" s="489"/>
      <c r="B7" s="489"/>
      <c r="C7" s="636" t="s">
        <v>372</v>
      </c>
      <c r="D7" s="637"/>
      <c r="E7" s="637"/>
      <c r="F7" s="637"/>
      <c r="G7" s="637"/>
      <c r="H7" s="637"/>
      <c r="I7" s="637"/>
      <c r="J7" s="637"/>
      <c r="K7" s="637"/>
      <c r="L7" s="637"/>
      <c r="M7" s="637"/>
      <c r="N7" s="637"/>
      <c r="O7" s="637"/>
      <c r="P7" s="637"/>
      <c r="Q7" s="637"/>
      <c r="R7" s="637"/>
      <c r="S7" s="637"/>
      <c r="T7" s="637"/>
      <c r="U7" s="638"/>
      <c r="V7" s="209"/>
      <c r="W7" s="303" t="s">
        <v>185</v>
      </c>
      <c r="X7" s="172">
        <f>'SEGUIMIENTO Y MONITOREO'!$AX$7</f>
        <v>42735</v>
      </c>
    </row>
    <row r="8" spans="1:24" ht="25.5" customHeight="1" x14ac:dyDescent="0.2">
      <c r="A8" s="672" t="s">
        <v>286</v>
      </c>
      <c r="B8" s="674">
        <f>COUNTA(IDENTIFICACIÓN!D38:D71)</f>
        <v>34</v>
      </c>
      <c r="C8" s="664" t="s">
        <v>292</v>
      </c>
      <c r="D8" s="664" t="s">
        <v>293</v>
      </c>
      <c r="E8" s="297"/>
      <c r="F8" s="664" t="s">
        <v>288</v>
      </c>
      <c r="G8" s="297"/>
      <c r="H8" s="665" t="s">
        <v>289</v>
      </c>
      <c r="I8" s="665"/>
      <c r="J8" s="299"/>
      <c r="K8" s="665" t="s">
        <v>343</v>
      </c>
      <c r="L8" s="665"/>
      <c r="M8" s="299"/>
      <c r="N8" s="666" t="s">
        <v>291</v>
      </c>
      <c r="O8" s="667"/>
      <c r="P8" s="205"/>
      <c r="Q8" s="668" t="s">
        <v>290</v>
      </c>
      <c r="R8" s="668"/>
      <c r="S8" s="210"/>
      <c r="T8" s="668" t="s">
        <v>344</v>
      </c>
      <c r="U8" s="668"/>
      <c r="V8" s="210"/>
      <c r="W8" s="663"/>
      <c r="X8" s="663"/>
    </row>
    <row r="9" spans="1:24" ht="12.75" customHeight="1" x14ac:dyDescent="0.2">
      <c r="A9" s="673"/>
      <c r="B9" s="675"/>
      <c r="C9" s="664"/>
      <c r="D9" s="664"/>
      <c r="E9" s="297"/>
      <c r="F9" s="664"/>
      <c r="G9" s="297"/>
      <c r="H9" s="298" t="s">
        <v>11</v>
      </c>
      <c r="I9" s="298" t="s">
        <v>10</v>
      </c>
      <c r="J9" s="298"/>
      <c r="K9" s="298" t="s">
        <v>342</v>
      </c>
      <c r="L9" s="298" t="s">
        <v>341</v>
      </c>
      <c r="M9" s="298"/>
      <c r="N9" s="298" t="s">
        <v>11</v>
      </c>
      <c r="O9" s="298" t="s">
        <v>10</v>
      </c>
      <c r="P9" s="298"/>
      <c r="Q9" s="301" t="s">
        <v>11</v>
      </c>
      <c r="R9" s="301" t="s">
        <v>10</v>
      </c>
      <c r="S9" s="210"/>
      <c r="T9" s="301" t="s">
        <v>11</v>
      </c>
      <c r="U9" s="301" t="s">
        <v>10</v>
      </c>
      <c r="V9" s="210"/>
      <c r="W9" s="296"/>
      <c r="X9" s="296"/>
    </row>
    <row r="10" spans="1:24" ht="18.75" customHeight="1" x14ac:dyDescent="0.2">
      <c r="A10" s="676" t="s">
        <v>284</v>
      </c>
      <c r="B10" s="677"/>
      <c r="C10" s="199">
        <f>COUNTIF(VALORACIÓN!$BH$95:$BH$196,"P")</f>
        <v>51</v>
      </c>
      <c r="D10" s="199">
        <f>COUNTIF(VALORACIÓN!$BH$95:$BH$196,"C")</f>
        <v>2</v>
      </c>
      <c r="E10" s="199">
        <f>C12/F12</f>
        <v>0.96296296296296291</v>
      </c>
      <c r="F10" s="403">
        <f>COUNTIF(VALORACIÓN!$N$95:$N$196,30)</f>
        <v>53</v>
      </c>
      <c r="G10" s="203">
        <f>F10/$F$12</f>
        <v>0.98148148148148151</v>
      </c>
      <c r="H10" s="199">
        <f>COUNTIF(VALORACIÓN!$BB$95:$BB$196,"SI")</f>
        <v>45</v>
      </c>
      <c r="I10" s="199">
        <f>COUNTIF(VALORACIÓN!$BB$95:$BB$196,"NO")</f>
        <v>8</v>
      </c>
      <c r="J10" s="199">
        <f>H12/F12</f>
        <v>0.83333333333333337</v>
      </c>
      <c r="K10" s="199">
        <f>COUNTIF(VALORACIÓN!$BJ$95:$BJ$196,"A")</f>
        <v>5</v>
      </c>
      <c r="L10" s="199">
        <f>COUNTIF(VALORACIÓN!$BJ$95:$BJ$196,"M")</f>
        <v>48</v>
      </c>
      <c r="M10" s="199">
        <f>K12/F12</f>
        <v>9.2592592592592587E-2</v>
      </c>
      <c r="N10" s="199">
        <f>COUNTIF(VALORACIÓN!$BD$95:$BD$196,"SI")</f>
        <v>53</v>
      </c>
      <c r="O10" s="199">
        <f>COUNTIF(VALORACIÓN!$BD$95:$BD$196,"NO")</f>
        <v>0</v>
      </c>
      <c r="P10" s="199">
        <f>N12/F12</f>
        <v>1</v>
      </c>
      <c r="Q10" s="199">
        <f>COUNTIF(VALORACIÓN!$BF$95:$BF$196,"SI")</f>
        <v>50</v>
      </c>
      <c r="R10" s="199">
        <f>COUNTIF(VALORACIÓN!$BF$95:$BF$196,"NO")</f>
        <v>3</v>
      </c>
      <c r="S10" s="211">
        <f>Q12/$F12</f>
        <v>0.92592592592592593</v>
      </c>
      <c r="T10" s="199">
        <f>COUNTIF(VALORACIÓN!$BL$95:$BL$196,"SI")</f>
        <v>49</v>
      </c>
      <c r="U10" s="199">
        <f>COUNTIF(VALORACIÓN!$BL$95:$BL$196,"NO")</f>
        <v>4</v>
      </c>
      <c r="V10" s="211">
        <f>T12/$F12</f>
        <v>0.90740740740740744</v>
      </c>
      <c r="W10" s="184"/>
      <c r="X10" s="184"/>
    </row>
    <row r="11" spans="1:24" ht="18.75" customHeight="1" x14ac:dyDescent="0.2">
      <c r="A11" s="670" t="s">
        <v>285</v>
      </c>
      <c r="B11" s="671"/>
      <c r="C11" s="199">
        <f>COUNTIF(VALORACIÓN!$BI$95:$BI$196,"P")</f>
        <v>1</v>
      </c>
      <c r="D11" s="199">
        <f>COUNTIF(VALORACIÓN!$BI$95:$BI$196,"C")</f>
        <v>0</v>
      </c>
      <c r="E11" s="199">
        <f>D12/F12</f>
        <v>3.7037037037037035E-2</v>
      </c>
      <c r="F11" s="403">
        <f>COUNTIF(VALORACIÓN!$N$95:$N$196,0)</f>
        <v>1</v>
      </c>
      <c r="G11" s="203">
        <f>F11/$F$12</f>
        <v>1.8518518518518517E-2</v>
      </c>
      <c r="H11" s="199">
        <f>COUNTIF(VALORACIÓN!$BC$95:$BC$196,"SI")</f>
        <v>0</v>
      </c>
      <c r="I11" s="199">
        <f>COUNTIF(VALORACIÓN!$BC$95:$BC$196,"NO")</f>
        <v>1</v>
      </c>
      <c r="J11" s="199">
        <f>I12/F12</f>
        <v>0.16666666666666666</v>
      </c>
      <c r="K11" s="199">
        <f>COUNTIF(VALORACIÓN!$BK$95:$BK$196,"A")</f>
        <v>0</v>
      </c>
      <c r="L11" s="199">
        <f>COUNTIF(VALORACIÓN!$BK$95:$BK$196,"M")</f>
        <v>1</v>
      </c>
      <c r="M11" s="199">
        <f>L12/F12</f>
        <v>0.90740740740740744</v>
      </c>
      <c r="N11" s="199">
        <f>COUNTIF(VALORACIÓN!$BE$95:$BE$196,"SI")</f>
        <v>1</v>
      </c>
      <c r="O11" s="199">
        <f>COUNTIF(VALORACIÓN!$BE$95:$BE$196,"NO")</f>
        <v>0</v>
      </c>
      <c r="P11" s="199">
        <f>O12/F12</f>
        <v>0</v>
      </c>
      <c r="Q11" s="199">
        <f>COUNTIF(VALORACIÓN!$BG$95:$BG$196,"SI")</f>
        <v>0</v>
      </c>
      <c r="R11" s="199">
        <f>COUNTIF(VALORACIÓN!$BG$95:$BG$196,"NO")</f>
        <v>1</v>
      </c>
      <c r="S11" s="211">
        <f>R12/$F12</f>
        <v>7.407407407407407E-2</v>
      </c>
      <c r="T11" s="199">
        <f>COUNTIF(VALORACIÓN!$BM$95:$BM$196,"SI")</f>
        <v>0</v>
      </c>
      <c r="U11" s="199">
        <f>COUNTIF(VALORACIÓN!$BM$95:$BM$196,"NO")</f>
        <v>1</v>
      </c>
      <c r="V11" s="211">
        <f>U12/$F12</f>
        <v>9.2592592592592587E-2</v>
      </c>
      <c r="W11" s="184"/>
      <c r="X11" s="184"/>
    </row>
    <row r="12" spans="1:24" ht="15" customHeight="1" x14ac:dyDescent="0.2">
      <c r="A12" s="669" t="s">
        <v>294</v>
      </c>
      <c r="B12" s="669"/>
      <c r="C12" s="403">
        <f>SUM(C10:C11)</f>
        <v>52</v>
      </c>
      <c r="D12" s="403">
        <f t="shared" ref="D12" si="0">SUM(D10:D11)</f>
        <v>2</v>
      </c>
      <c r="E12" s="403"/>
      <c r="F12" s="403">
        <f>SUM(F10:F11)</f>
        <v>54</v>
      </c>
      <c r="G12" s="404"/>
      <c r="H12" s="403">
        <f t="shared" ref="H12:R12" si="1">SUM(H10:H11)</f>
        <v>45</v>
      </c>
      <c r="I12" s="403">
        <f t="shared" si="1"/>
        <v>9</v>
      </c>
      <c r="J12" s="403"/>
      <c r="K12" s="403">
        <f t="shared" ref="K12:L12" si="2">SUM(K10:K11)</f>
        <v>5</v>
      </c>
      <c r="L12" s="403">
        <f t="shared" si="2"/>
        <v>49</v>
      </c>
      <c r="M12" s="403"/>
      <c r="N12" s="403">
        <f t="shared" si="1"/>
        <v>54</v>
      </c>
      <c r="O12" s="403">
        <f t="shared" si="1"/>
        <v>0</v>
      </c>
      <c r="P12" s="403"/>
      <c r="Q12" s="403">
        <f t="shared" si="1"/>
        <v>50</v>
      </c>
      <c r="R12" s="403">
        <f t="shared" si="1"/>
        <v>4</v>
      </c>
      <c r="S12" s="405"/>
      <c r="T12" s="403">
        <f t="shared" ref="T12:U12" si="3">SUM(T10:T11)</f>
        <v>49</v>
      </c>
      <c r="U12" s="403">
        <f t="shared" si="3"/>
        <v>5</v>
      </c>
      <c r="V12" s="211"/>
      <c r="W12" s="184"/>
      <c r="X12" s="184"/>
    </row>
    <row r="13" spans="1:24" x14ac:dyDescent="0.2">
      <c r="A13" s="27"/>
      <c r="B13" s="27"/>
      <c r="C13" s="200"/>
      <c r="D13" s="200"/>
      <c r="E13" s="200"/>
      <c r="F13" s="200"/>
      <c r="G13" s="200"/>
      <c r="H13" s="133"/>
      <c r="I13" s="133"/>
      <c r="J13" s="133"/>
      <c r="K13" s="133"/>
      <c r="L13" s="133"/>
      <c r="M13" s="133"/>
      <c r="N13" s="133"/>
      <c r="O13" s="133"/>
      <c r="P13" s="133"/>
      <c r="Q13" s="27"/>
      <c r="R13" s="27"/>
      <c r="S13" s="27"/>
      <c r="T13" s="27"/>
      <c r="U13" s="27"/>
      <c r="V13" s="27"/>
      <c r="W13" s="27"/>
      <c r="X13" s="27"/>
    </row>
    <row r="14" spans="1:24" x14ac:dyDescent="0.2">
      <c r="A14" s="27"/>
      <c r="B14" s="27"/>
      <c r="C14" s="200"/>
      <c r="D14" s="200"/>
      <c r="E14" s="200"/>
      <c r="F14" s="200"/>
      <c r="G14" s="200"/>
      <c r="H14" s="133"/>
      <c r="I14" s="133"/>
      <c r="J14" s="133"/>
      <c r="K14" s="133"/>
      <c r="L14" s="133"/>
      <c r="M14" s="133"/>
      <c r="N14" s="133"/>
      <c r="O14" s="133"/>
      <c r="P14" s="133"/>
      <c r="Q14" s="27"/>
      <c r="R14" s="27"/>
      <c r="S14" s="27"/>
      <c r="T14" s="27"/>
      <c r="U14" s="27"/>
      <c r="V14" s="27"/>
      <c r="W14" s="27"/>
      <c r="X14" s="27"/>
    </row>
    <row r="15" spans="1:24" x14ac:dyDescent="0.2">
      <c r="A15" s="27"/>
      <c r="B15" s="27"/>
      <c r="C15" s="200"/>
      <c r="D15" s="200"/>
      <c r="E15" s="200"/>
      <c r="F15" s="200"/>
      <c r="G15" s="200"/>
      <c r="H15" s="133"/>
      <c r="I15" s="133"/>
      <c r="J15" s="133"/>
      <c r="K15" s="133"/>
      <c r="L15" s="133"/>
      <c r="M15" s="133"/>
      <c r="N15" s="133"/>
      <c r="O15" s="133"/>
      <c r="P15" s="133"/>
      <c r="Q15" s="27"/>
      <c r="R15" s="27"/>
      <c r="S15" s="27"/>
      <c r="T15" s="27"/>
      <c r="U15" s="27"/>
      <c r="V15" s="27"/>
      <c r="W15" s="27"/>
      <c r="X15" s="27"/>
    </row>
    <row r="16" spans="1:24" x14ac:dyDescent="0.2">
      <c r="A16" s="27"/>
      <c r="B16" s="27"/>
      <c r="C16" s="200"/>
      <c r="D16" s="200"/>
      <c r="E16" s="200"/>
      <c r="F16" s="200"/>
      <c r="G16" s="200"/>
      <c r="H16" s="133"/>
      <c r="I16" s="133"/>
      <c r="J16" s="133"/>
      <c r="K16" s="133"/>
      <c r="L16" s="133"/>
      <c r="M16" s="133"/>
      <c r="N16" s="133"/>
      <c r="O16" s="133"/>
      <c r="P16" s="133"/>
      <c r="Q16" s="27"/>
      <c r="R16" s="27"/>
      <c r="S16" s="27"/>
      <c r="T16" s="27"/>
      <c r="U16" s="27"/>
      <c r="V16" s="27"/>
      <c r="W16" s="27"/>
      <c r="X16" s="27"/>
    </row>
    <row r="17" spans="1:24" x14ac:dyDescent="0.2">
      <c r="A17" s="27"/>
      <c r="B17" s="27"/>
      <c r="C17" s="200"/>
      <c r="D17" s="200"/>
      <c r="E17" s="200"/>
      <c r="F17" s="200"/>
      <c r="G17" s="200"/>
      <c r="H17" s="133"/>
      <c r="I17" s="133"/>
      <c r="J17" s="133"/>
      <c r="K17" s="133"/>
      <c r="L17" s="133"/>
      <c r="M17" s="133"/>
      <c r="N17" s="133"/>
      <c r="O17" s="133"/>
      <c r="P17" s="133"/>
      <c r="Q17" s="27"/>
      <c r="R17" s="27"/>
      <c r="S17" s="27"/>
      <c r="T17" s="27"/>
      <c r="U17" s="27"/>
      <c r="V17" s="27"/>
      <c r="W17" s="27"/>
      <c r="X17" s="27"/>
    </row>
    <row r="18" spans="1:24" x14ac:dyDescent="0.2">
      <c r="A18" s="27"/>
      <c r="B18" s="27"/>
      <c r="C18" s="200"/>
      <c r="D18" s="200"/>
      <c r="E18" s="200"/>
      <c r="F18" s="200"/>
      <c r="G18" s="200"/>
      <c r="H18" s="133"/>
      <c r="I18" s="133"/>
      <c r="J18" s="133"/>
      <c r="K18" s="133"/>
      <c r="L18" s="133"/>
      <c r="M18" s="133"/>
      <c r="N18" s="133"/>
      <c r="O18" s="133"/>
      <c r="P18" s="133"/>
      <c r="Q18" s="27"/>
      <c r="R18" s="27"/>
      <c r="S18" s="27"/>
      <c r="T18" s="27"/>
      <c r="U18" s="27"/>
      <c r="V18" s="27"/>
      <c r="W18" s="27"/>
      <c r="X18" s="27"/>
    </row>
    <row r="19" spans="1:24" x14ac:dyDescent="0.2">
      <c r="A19" s="27"/>
      <c r="B19" s="27"/>
      <c r="C19" s="200"/>
      <c r="D19" s="200"/>
      <c r="E19" s="200"/>
      <c r="F19" s="200"/>
      <c r="G19" s="200"/>
      <c r="H19" s="133"/>
      <c r="I19" s="133"/>
      <c r="J19" s="133"/>
      <c r="K19" s="133"/>
      <c r="L19" s="133"/>
      <c r="M19" s="133"/>
      <c r="N19" s="133"/>
      <c r="O19" s="133"/>
      <c r="P19" s="133"/>
      <c r="Q19" s="27"/>
      <c r="R19" s="27"/>
      <c r="S19" s="27"/>
      <c r="T19" s="27"/>
      <c r="U19" s="27"/>
      <c r="V19" s="27"/>
      <c r="W19" s="27"/>
      <c r="X19" s="27"/>
    </row>
    <row r="20" spans="1:24" x14ac:dyDescent="0.2">
      <c r="A20" s="27"/>
      <c r="B20" s="27"/>
      <c r="C20" s="200"/>
      <c r="D20" s="200"/>
      <c r="E20" s="200"/>
      <c r="F20" s="200"/>
      <c r="G20" s="200"/>
      <c r="H20" s="133"/>
      <c r="I20" s="133"/>
      <c r="J20" s="133"/>
      <c r="K20" s="133"/>
      <c r="L20" s="133"/>
      <c r="M20" s="133"/>
      <c r="N20" s="133"/>
      <c r="O20" s="133"/>
      <c r="P20" s="133"/>
      <c r="Q20" s="27"/>
      <c r="R20" s="27"/>
      <c r="S20" s="27"/>
      <c r="T20" s="27"/>
      <c r="U20" s="27"/>
      <c r="V20" s="27"/>
      <c r="W20" s="27"/>
      <c r="X20" s="27"/>
    </row>
    <row r="21" spans="1:24" x14ac:dyDescent="0.2">
      <c r="A21" s="27"/>
      <c r="B21" s="27"/>
      <c r="C21" s="200"/>
      <c r="D21" s="200"/>
      <c r="E21" s="200"/>
      <c r="F21" s="200"/>
      <c r="G21" s="200"/>
      <c r="H21" s="133"/>
      <c r="I21" s="133"/>
      <c r="J21" s="133"/>
      <c r="K21" s="133"/>
      <c r="L21" s="133"/>
      <c r="M21" s="133"/>
      <c r="N21" s="133"/>
      <c r="O21" s="133"/>
      <c r="P21" s="133"/>
      <c r="Q21" s="27"/>
      <c r="R21" s="27"/>
      <c r="S21" s="27"/>
      <c r="T21" s="27"/>
      <c r="U21" s="27"/>
      <c r="V21" s="27"/>
      <c r="W21" s="27"/>
      <c r="X21" s="27"/>
    </row>
    <row r="22" spans="1:24" x14ac:dyDescent="0.2">
      <c r="A22" s="27"/>
      <c r="B22" s="27"/>
      <c r="C22" s="200"/>
      <c r="D22" s="200"/>
      <c r="E22" s="200"/>
      <c r="F22" s="200"/>
      <c r="G22" s="200"/>
      <c r="H22" s="133"/>
      <c r="I22" s="133"/>
      <c r="J22" s="133"/>
      <c r="K22" s="133"/>
      <c r="L22" s="133"/>
      <c r="M22" s="133"/>
      <c r="N22" s="133"/>
      <c r="O22" s="133"/>
      <c r="P22" s="133"/>
      <c r="Q22" s="27"/>
      <c r="R22" s="27"/>
      <c r="S22" s="27"/>
      <c r="T22" s="27"/>
      <c r="U22" s="27"/>
      <c r="V22" s="27"/>
      <c r="W22" s="27"/>
      <c r="X22" s="27"/>
    </row>
  </sheetData>
  <sheetProtection selectLockedCells="1"/>
  <mergeCells count="21">
    <mergeCell ref="A7:B7"/>
    <mergeCell ref="C7:U7"/>
    <mergeCell ref="A1:B3"/>
    <mergeCell ref="C1:W3"/>
    <mergeCell ref="A5:X5"/>
    <mergeCell ref="A6:B6"/>
    <mergeCell ref="C6:R6"/>
    <mergeCell ref="T8:U8"/>
    <mergeCell ref="W8:X8"/>
    <mergeCell ref="A10:B10"/>
    <mergeCell ref="A8:A9"/>
    <mergeCell ref="B8:B9"/>
    <mergeCell ref="C8:C9"/>
    <mergeCell ref="D8:D9"/>
    <mergeCell ref="F8:F9"/>
    <mergeCell ref="H8:I8"/>
    <mergeCell ref="A11:B11"/>
    <mergeCell ref="A12:B12"/>
    <mergeCell ref="K8:L8"/>
    <mergeCell ref="N8:O8"/>
    <mergeCell ref="Q8:R8"/>
  </mergeCells>
  <conditionalFormatting sqref="X7">
    <cfRule type="containsText" dxfId="65" priority="17" operator="containsText" text="Sin Seguimientos">
      <formula>NOT(ISERROR(SEARCH("Sin Seguimientos",X7)))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DC51F523-E42D-4A60-9F37-B1E2E372CBDC}">
            <xm:f>VALORACIÓN!$D$10</xm:f>
            <x14:dxf>
              <font>
                <color auto="1"/>
              </font>
              <fill>
                <patternFill patternType="lightGrid">
                  <fgColor theme="0" tint="-4.9989318521683403E-2"/>
                  <bgColor theme="0"/>
                </patternFill>
              </fill>
            </x14:dxf>
          </x14:cfRule>
          <x14:cfRule type="cellIs" priority="16" operator="equal" id="{21BB286E-03D9-4E97-B266-742D355BC5ED}">
            <xm:f>VALORACIÓN!$D$10</xm:f>
            <x14:dxf>
              <fill>
                <patternFill patternType="lightGrid">
                  <fgColor theme="0" tint="-4.9989318521683403E-2"/>
                </patternFill>
              </fill>
            </x14:dxf>
          </x14:cfRule>
          <xm:sqref>F12:J12 N12:S12 Q10:S11</xm:sqref>
        </x14:conditionalFormatting>
        <x14:conditionalFormatting xmlns:xm="http://schemas.microsoft.com/office/excel/2006/main">
          <x14:cfRule type="cellIs" priority="13" operator="notEqual" id="{B167BA60-A726-4A67-B385-390C59648995}">
            <xm:f>VALORACIÓN!$D$10</xm:f>
            <x14:dxf>
              <font>
                <color auto="1"/>
              </font>
              <fill>
                <patternFill patternType="lightGrid">
                  <fgColor theme="0" tint="-4.9989318521683403E-2"/>
                  <bgColor theme="0"/>
                </patternFill>
              </fill>
            </x14:dxf>
          </x14:cfRule>
          <x14:cfRule type="cellIs" priority="14" operator="equal" id="{8AFB9EF0-1008-4888-BB0A-4B60348D293E}">
            <xm:f>VALORACIÓN!$D$10</xm:f>
            <x14:dxf>
              <fill>
                <patternFill patternType="lightGrid">
                  <fgColor theme="0" tint="-4.9989318521683403E-2"/>
                </patternFill>
              </fill>
            </x14:dxf>
          </x14:cfRule>
          <xm:sqref>F10:G11</xm:sqref>
        </x14:conditionalFormatting>
        <x14:conditionalFormatting xmlns:xm="http://schemas.microsoft.com/office/excel/2006/main">
          <x14:cfRule type="cellIs" priority="11" operator="notEqual" id="{C4EC988D-DC27-4E1D-9215-B4BEF3D9D252}">
            <xm:f>VALORACIÓN!$D$10</xm:f>
            <x14:dxf>
              <font>
                <color auto="1"/>
              </font>
              <fill>
                <patternFill patternType="lightGrid">
                  <fgColor theme="0" tint="-4.9989318521683403E-2"/>
                  <bgColor theme="0"/>
                </patternFill>
              </fill>
            </x14:dxf>
          </x14:cfRule>
          <x14:cfRule type="cellIs" priority="12" operator="equal" id="{27AB2549-FCF3-4941-859E-25B17981CC29}">
            <xm:f>VALORACIÓN!$D$10</xm:f>
            <x14:dxf>
              <fill>
                <patternFill patternType="lightGrid">
                  <fgColor theme="0" tint="-4.9989318521683403E-2"/>
                </patternFill>
              </fill>
            </x14:dxf>
          </x14:cfRule>
          <xm:sqref>H10:J11</xm:sqref>
        </x14:conditionalFormatting>
        <x14:conditionalFormatting xmlns:xm="http://schemas.microsoft.com/office/excel/2006/main">
          <x14:cfRule type="cellIs" priority="9" operator="notEqual" id="{7ED44C11-207E-4793-9C43-2664A85A9249}">
            <xm:f>VALORACIÓN!$D$10</xm:f>
            <x14:dxf>
              <font>
                <color auto="1"/>
              </font>
              <fill>
                <patternFill patternType="lightGrid">
                  <fgColor theme="0" tint="-4.9989318521683403E-2"/>
                  <bgColor theme="0"/>
                </patternFill>
              </fill>
            </x14:dxf>
          </x14:cfRule>
          <x14:cfRule type="cellIs" priority="10" operator="equal" id="{9FB03F60-2C63-4B01-B58A-23D1F2D130B7}">
            <xm:f>VALORACIÓN!$D$10</xm:f>
            <x14:dxf>
              <fill>
                <patternFill patternType="lightGrid">
                  <fgColor theme="0" tint="-4.9989318521683403E-2"/>
                </patternFill>
              </fill>
            </x14:dxf>
          </x14:cfRule>
          <xm:sqref>N10:P11</xm:sqref>
        </x14:conditionalFormatting>
        <x14:conditionalFormatting xmlns:xm="http://schemas.microsoft.com/office/excel/2006/main">
          <x14:cfRule type="cellIs" priority="7" operator="notEqual" id="{A982530C-0EB4-42C0-96B8-6F5A73A32A42}">
            <xm:f>VALORACIÓN!$D$10</xm:f>
            <x14:dxf>
              <font>
                <color auto="1"/>
              </font>
              <fill>
                <patternFill patternType="lightGrid">
                  <fgColor theme="0" tint="-4.9989318521683403E-2"/>
                  <bgColor theme="0"/>
                </patternFill>
              </fill>
            </x14:dxf>
          </x14:cfRule>
          <x14:cfRule type="cellIs" priority="8" operator="equal" id="{2C48F031-11F9-44F4-93A7-8D96CA00B6FF}">
            <xm:f>VALORACIÓN!$D$10</xm:f>
            <x14:dxf>
              <fill>
                <patternFill patternType="lightGrid">
                  <fgColor theme="0" tint="-4.9989318521683403E-2"/>
                </patternFill>
              </fill>
            </x14:dxf>
          </x14:cfRule>
          <xm:sqref>C10:E12</xm:sqref>
        </x14:conditionalFormatting>
        <x14:conditionalFormatting xmlns:xm="http://schemas.microsoft.com/office/excel/2006/main">
          <x14:cfRule type="cellIs" priority="5" operator="notEqual" id="{2F8BBB1B-3323-4F79-B9B2-2F41D57B5660}">
            <xm:f>VALORACIÓN!$D$10</xm:f>
            <x14:dxf>
              <font>
                <color auto="1"/>
              </font>
              <fill>
                <patternFill patternType="lightGrid">
                  <fgColor theme="0" tint="-4.9989318521683403E-2"/>
                  <bgColor theme="0"/>
                </patternFill>
              </fill>
            </x14:dxf>
          </x14:cfRule>
          <x14:cfRule type="cellIs" priority="6" operator="equal" id="{D3A99D59-AD73-4326-A441-EC33E4B88189}">
            <xm:f>VALORACIÓN!$D$10</xm:f>
            <x14:dxf>
              <fill>
                <patternFill patternType="lightGrid">
                  <fgColor theme="0" tint="-4.9989318521683403E-2"/>
                </patternFill>
              </fill>
            </x14:dxf>
          </x14:cfRule>
          <xm:sqref>K12:M12</xm:sqref>
        </x14:conditionalFormatting>
        <x14:conditionalFormatting xmlns:xm="http://schemas.microsoft.com/office/excel/2006/main">
          <x14:cfRule type="cellIs" priority="3" operator="notEqual" id="{BD5F6F14-1E4A-4934-88F1-AF92BA5D1241}">
            <xm:f>VALORACIÓN!$D$10</xm:f>
            <x14:dxf>
              <font>
                <color auto="1"/>
              </font>
              <fill>
                <patternFill patternType="lightGrid">
                  <fgColor theme="0" tint="-4.9989318521683403E-2"/>
                  <bgColor theme="0"/>
                </patternFill>
              </fill>
            </x14:dxf>
          </x14:cfRule>
          <x14:cfRule type="cellIs" priority="4" operator="equal" id="{79111BB9-F8C2-44A5-9318-A9ABEC6EA49A}">
            <xm:f>VALORACIÓN!$D$10</xm:f>
            <x14:dxf>
              <fill>
                <patternFill patternType="lightGrid">
                  <fgColor theme="0" tint="-4.9989318521683403E-2"/>
                </patternFill>
              </fill>
            </x14:dxf>
          </x14:cfRule>
          <xm:sqref>K10:M11</xm:sqref>
        </x14:conditionalFormatting>
        <x14:conditionalFormatting xmlns:xm="http://schemas.microsoft.com/office/excel/2006/main">
          <x14:cfRule type="cellIs" priority="1" operator="notEqual" id="{EA53D3AB-9AFB-423C-8289-BEB677502DE5}">
            <xm:f>VALORACIÓN!$D$10</xm:f>
            <x14:dxf>
              <font>
                <color auto="1"/>
              </font>
              <fill>
                <patternFill patternType="lightGrid">
                  <fgColor theme="0" tint="-4.9989318521683403E-2"/>
                  <bgColor theme="0"/>
                </patternFill>
              </fill>
            </x14:dxf>
          </x14:cfRule>
          <x14:cfRule type="cellIs" priority="2" operator="equal" id="{71EFD558-F45A-4E36-B9B2-6C7369B992BA}">
            <xm:f>VALORACIÓN!$D$10</xm:f>
            <x14:dxf>
              <fill>
                <patternFill patternType="lightGrid">
                  <fgColor theme="0" tint="-4.9989318521683403E-2"/>
                </patternFill>
              </fill>
            </x14:dxf>
          </x14:cfRule>
          <xm:sqref>T10:V12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7030A0"/>
  </sheetPr>
  <dimension ref="A1:S15"/>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P6" sqref="P6:R6"/>
    </sheetView>
  </sheetViews>
  <sheetFormatPr baseColWidth="10" defaultRowHeight="15" x14ac:dyDescent="0.2"/>
  <cols>
    <col min="1" max="1" width="16.44140625" customWidth="1"/>
    <col min="2" max="2" width="6.109375" customWidth="1"/>
    <col min="3" max="3" width="7.44140625" style="201" customWidth="1"/>
    <col min="4" max="4" width="7.5546875" style="201" customWidth="1"/>
    <col min="5" max="5" width="1.44140625" customWidth="1"/>
    <col min="6" max="6" width="7.5546875" customWidth="1"/>
    <col min="7" max="7" width="3.6640625" customWidth="1"/>
    <col min="8" max="12" width="7.21875" customWidth="1"/>
    <col min="13" max="13" width="1.5546875" customWidth="1"/>
    <col min="14" max="14" width="18.44140625" customWidth="1"/>
    <col min="15" max="15" width="0.21875" customWidth="1"/>
    <col min="16" max="17" width="9.109375" customWidth="1"/>
    <col min="18" max="18" width="6.5546875" customWidth="1"/>
  </cols>
  <sheetData>
    <row r="1" spans="1:19" ht="15" customHeight="1" x14ac:dyDescent="0.2">
      <c r="A1" s="433" t="s">
        <v>145</v>
      </c>
      <c r="B1" s="433"/>
      <c r="C1" s="685" t="s">
        <v>206</v>
      </c>
      <c r="D1" s="685"/>
      <c r="E1" s="685"/>
      <c r="F1" s="685"/>
      <c r="G1" s="685"/>
      <c r="H1" s="685"/>
      <c r="I1" s="685"/>
      <c r="J1" s="685"/>
      <c r="K1" s="685"/>
      <c r="L1" s="685"/>
      <c r="M1" s="685"/>
      <c r="N1" s="685"/>
      <c r="P1" s="684" t="s">
        <v>71</v>
      </c>
      <c r="Q1" s="684"/>
      <c r="R1" s="684"/>
      <c r="S1" s="684"/>
    </row>
    <row r="2" spans="1:19" ht="15" customHeight="1" x14ac:dyDescent="0.2">
      <c r="A2" s="433"/>
      <c r="B2" s="433"/>
      <c r="C2" s="685"/>
      <c r="D2" s="685"/>
      <c r="E2" s="685"/>
      <c r="F2" s="685"/>
      <c r="G2" s="685"/>
      <c r="H2" s="685"/>
      <c r="I2" s="685"/>
      <c r="J2" s="685"/>
      <c r="K2" s="685"/>
      <c r="L2" s="685"/>
      <c r="M2" s="685"/>
      <c r="N2" s="685"/>
      <c r="P2" s="684" t="s">
        <v>107</v>
      </c>
      <c r="Q2" s="684"/>
      <c r="R2" s="684"/>
      <c r="S2" s="684"/>
    </row>
    <row r="3" spans="1:19" ht="15" customHeight="1" x14ac:dyDescent="0.2">
      <c r="A3" s="433"/>
      <c r="B3" s="433"/>
      <c r="C3" s="685"/>
      <c r="D3" s="685"/>
      <c r="E3" s="685"/>
      <c r="F3" s="685"/>
      <c r="G3" s="685"/>
      <c r="H3" s="685"/>
      <c r="I3" s="685"/>
      <c r="J3" s="685"/>
      <c r="K3" s="685"/>
      <c r="L3" s="685"/>
      <c r="M3" s="685"/>
      <c r="N3" s="685"/>
      <c r="P3" s="684" t="s">
        <v>408</v>
      </c>
      <c r="Q3" s="684"/>
      <c r="R3" s="684"/>
      <c r="S3" s="684"/>
    </row>
    <row r="4" spans="1:19" ht="3.75" customHeight="1" x14ac:dyDescent="0.2">
      <c r="A4" s="33"/>
      <c r="B4" s="34"/>
      <c r="C4" s="198"/>
      <c r="D4" s="198"/>
      <c r="E4" s="206"/>
      <c r="F4" s="206"/>
      <c r="G4" s="206"/>
      <c r="H4" s="206"/>
      <c r="I4" s="206"/>
      <c r="J4" s="206"/>
      <c r="K4" s="206"/>
      <c r="L4" s="206"/>
      <c r="M4" s="49"/>
      <c r="N4" s="49"/>
    </row>
    <row r="5" spans="1:19" ht="15.75" customHeight="1" x14ac:dyDescent="0.2">
      <c r="A5" s="686" t="s">
        <v>184</v>
      </c>
      <c r="B5" s="592"/>
      <c r="C5" s="592"/>
      <c r="D5" s="592"/>
      <c r="E5" s="592"/>
      <c r="F5" s="592"/>
      <c r="G5" s="592"/>
      <c r="H5" s="592"/>
      <c r="I5" s="592"/>
      <c r="J5" s="592"/>
      <c r="K5" s="592"/>
      <c r="L5" s="592"/>
      <c r="M5" s="592"/>
      <c r="N5" s="592"/>
      <c r="O5" s="592"/>
      <c r="P5" s="592"/>
      <c r="Q5" s="592"/>
      <c r="R5" s="592"/>
      <c r="S5" s="592"/>
    </row>
    <row r="6" spans="1:19" ht="15.75" customHeight="1" x14ac:dyDescent="0.2">
      <c r="A6" s="489" t="str">
        <f>'CONTEXTO ESTRATEGICO'!A7</f>
        <v>INSTITUCIONAL</v>
      </c>
      <c r="B6" s="489"/>
      <c r="C6" s="606" t="str">
        <f>'SEGUIMIENTO Y MONITOREO'!C6</f>
        <v>Mapa de Riesgo Institucional</v>
      </c>
      <c r="D6" s="607"/>
      <c r="E6" s="607"/>
      <c r="F6" s="607"/>
      <c r="G6" s="607"/>
      <c r="H6" s="607"/>
      <c r="I6" s="607"/>
      <c r="J6" s="607"/>
      <c r="K6" s="607"/>
      <c r="L6" s="607"/>
      <c r="M6" s="607"/>
      <c r="N6" s="610"/>
      <c r="P6" s="682" t="str">
        <f>'SEGUIMIENTO Y MONITOREO'!E6</f>
        <v>Fecha de Actualización (AAAA/MM/DD)</v>
      </c>
      <c r="Q6" s="682"/>
      <c r="R6" s="682"/>
      <c r="S6" s="171">
        <f>'SEGUIMIENTO Y MONITOREO'!H6</f>
        <v>42443</v>
      </c>
    </row>
    <row r="7" spans="1:19" ht="15.75" customHeight="1" x14ac:dyDescent="0.2">
      <c r="A7" s="489"/>
      <c r="B7" s="489"/>
      <c r="C7" s="636" t="s">
        <v>368</v>
      </c>
      <c r="D7" s="637"/>
      <c r="E7" s="637"/>
      <c r="F7" s="637"/>
      <c r="G7" s="637"/>
      <c r="H7" s="637"/>
      <c r="I7" s="637"/>
      <c r="J7" s="637"/>
      <c r="K7" s="637"/>
      <c r="L7" s="637"/>
      <c r="M7" s="637"/>
      <c r="N7" s="638"/>
      <c r="P7" s="683" t="s">
        <v>185</v>
      </c>
      <c r="Q7" s="683"/>
      <c r="R7" s="683"/>
      <c r="S7" s="172">
        <f>'SEGUIMIENTO Y MONITOREO'!$AX$7</f>
        <v>42735</v>
      </c>
    </row>
    <row r="8" spans="1:19" ht="25.5" customHeight="1" x14ac:dyDescent="0.2">
      <c r="A8" s="221" t="s">
        <v>286</v>
      </c>
      <c r="B8" s="222">
        <f>VALORACIÓN!BD3</f>
        <v>28</v>
      </c>
      <c r="C8" s="680" t="s">
        <v>317</v>
      </c>
      <c r="D8" s="681"/>
      <c r="E8" s="207"/>
      <c r="F8" s="207"/>
      <c r="G8" s="207"/>
      <c r="H8" s="216"/>
      <c r="I8" s="216"/>
      <c r="J8" s="218" t="s">
        <v>7</v>
      </c>
      <c r="K8" s="216"/>
      <c r="L8" s="216"/>
      <c r="M8" s="215"/>
      <c r="N8" s="215"/>
      <c r="O8" s="27"/>
      <c r="P8" s="27"/>
      <c r="Q8" s="27"/>
      <c r="R8" s="27"/>
      <c r="S8" s="27"/>
    </row>
    <row r="9" spans="1:19" ht="17.25" customHeight="1" thickBot="1" x14ac:dyDescent="0.25">
      <c r="A9" s="678" t="s">
        <v>379</v>
      </c>
      <c r="B9" s="679"/>
      <c r="C9" s="208" t="s">
        <v>93</v>
      </c>
      <c r="D9" s="208" t="s">
        <v>7</v>
      </c>
      <c r="E9" s="207"/>
      <c r="F9" s="207"/>
      <c r="G9" s="207"/>
      <c r="H9" s="220">
        <v>1</v>
      </c>
      <c r="I9" s="220">
        <v>2</v>
      </c>
      <c r="J9" s="220">
        <v>3</v>
      </c>
      <c r="K9" s="220">
        <v>4</v>
      </c>
      <c r="L9" s="220">
        <v>5</v>
      </c>
      <c r="M9" s="207"/>
      <c r="N9" s="207"/>
      <c r="O9" s="27"/>
      <c r="P9" s="27"/>
      <c r="Q9" s="27"/>
      <c r="R9" s="27"/>
      <c r="S9" s="27"/>
    </row>
    <row r="10" spans="1:19" ht="33" customHeight="1" thickBot="1" x14ac:dyDescent="0.25">
      <c r="A10" s="676" t="s">
        <v>297</v>
      </c>
      <c r="B10" s="677"/>
      <c r="C10" s="199">
        <f>COUNTIF(Datos!$AG$3:$AG$30,1)</f>
        <v>20</v>
      </c>
      <c r="D10" s="199">
        <f>COUNTIF(Datos!$AH$3:$AH$30,1)</f>
        <v>1</v>
      </c>
      <c r="E10" s="207"/>
      <c r="F10" s="215"/>
      <c r="G10" s="219">
        <v>1</v>
      </c>
      <c r="H10" s="223">
        <f>COUNTIF(Datos!$AI$3:$AI$30,11)</f>
        <v>0</v>
      </c>
      <c r="I10" s="223">
        <f>COUNTIF(Datos!$AI$3:$AI$30,21)</f>
        <v>0</v>
      </c>
      <c r="J10" s="224">
        <f>COUNTIF(Datos!$AI$3:$AI$30,31)</f>
        <v>0</v>
      </c>
      <c r="K10" s="225">
        <f>COUNTIF(Datos!$AI$3:$AI$30,41)</f>
        <v>19</v>
      </c>
      <c r="L10" s="225">
        <f>COUNTIF(Datos!$AI$3:$AI$30,51)</f>
        <v>1</v>
      </c>
      <c r="M10" s="184"/>
      <c r="N10" s="241" t="s">
        <v>307</v>
      </c>
      <c r="O10" s="245">
        <f>(H10+I10+H11+I11+H12)/B8</f>
        <v>0</v>
      </c>
      <c r="P10" s="27"/>
      <c r="Q10" s="27"/>
      <c r="R10" s="27"/>
      <c r="S10" s="27"/>
    </row>
    <row r="11" spans="1:19" ht="33" customHeight="1" thickBot="1" x14ac:dyDescent="0.25">
      <c r="A11" s="670" t="s">
        <v>298</v>
      </c>
      <c r="B11" s="671"/>
      <c r="C11" s="199">
        <f>COUNTIF(Datos!$AG$3:$AG$30,2)</f>
        <v>0</v>
      </c>
      <c r="D11" s="199">
        <f>COUNTIF(Datos!$AH$3:$AH$30,2)</f>
        <v>0</v>
      </c>
      <c r="E11" s="207"/>
      <c r="F11" s="215"/>
      <c r="G11" s="219">
        <v>2</v>
      </c>
      <c r="H11" s="223">
        <f>COUNTIF(Datos!$AI$3:$AI$30,12)</f>
        <v>0</v>
      </c>
      <c r="I11" s="223">
        <f>COUNTIF(Datos!$AI$3:$AI$30,22)</f>
        <v>0</v>
      </c>
      <c r="J11" s="224">
        <f>COUNTIF(Datos!$AI$3:$AI$30,32)</f>
        <v>0</v>
      </c>
      <c r="K11" s="225">
        <f>COUNTIF(Datos!$AI$3:$AI$30,42)</f>
        <v>0</v>
      </c>
      <c r="L11" s="226">
        <f>COUNTIF(Datos!$AI$3:$AI$30,52)</f>
        <v>0</v>
      </c>
      <c r="M11" s="184"/>
      <c r="N11" s="242" t="s">
        <v>308</v>
      </c>
      <c r="O11" s="245">
        <f>(J10+J11+I12+H13)/B8</f>
        <v>0</v>
      </c>
      <c r="P11" s="27"/>
      <c r="Q11" s="27"/>
      <c r="R11" s="27"/>
      <c r="S11" s="27"/>
    </row>
    <row r="12" spans="1:19" ht="33" customHeight="1" thickBot="1" x14ac:dyDescent="0.25">
      <c r="A12" s="670" t="s">
        <v>299</v>
      </c>
      <c r="B12" s="671"/>
      <c r="C12" s="199">
        <f>COUNTIF(Datos!$AG$3:$AG$30,3)</f>
        <v>1</v>
      </c>
      <c r="D12" s="199">
        <f>COUNTIF(Datos!$AH$3:$AH$30,3)</f>
        <v>4</v>
      </c>
      <c r="E12" s="207"/>
      <c r="F12" s="217" t="s">
        <v>304</v>
      </c>
      <c r="G12" s="219">
        <v>3</v>
      </c>
      <c r="H12" s="223">
        <f>COUNTIF(Datos!$AI$3:$AI$30,13)</f>
        <v>0</v>
      </c>
      <c r="I12" s="224">
        <f>COUNTIF(Datos!$AI$3:$AI$30,23)</f>
        <v>0</v>
      </c>
      <c r="J12" s="225">
        <f>COUNTIF(Datos!$AI$3:$AI$30,33)</f>
        <v>1</v>
      </c>
      <c r="K12" s="226">
        <f>COUNTIF(Datos!$AI$3:$AI$30,43)</f>
        <v>0</v>
      </c>
      <c r="L12" s="226">
        <f>COUNTIF(Datos!$AI$3:$AI$30,53)</f>
        <v>0</v>
      </c>
      <c r="M12" s="184"/>
      <c r="N12" s="243" t="s">
        <v>309</v>
      </c>
      <c r="O12" s="245">
        <f>(K10+L10+K11+J12+J13+I13+I14+H14)/B8</f>
        <v>0.8214285714285714</v>
      </c>
      <c r="P12" s="27"/>
      <c r="Q12" s="27"/>
      <c r="R12" s="27"/>
      <c r="S12" s="27"/>
    </row>
    <row r="13" spans="1:19" ht="33" customHeight="1" thickBot="1" x14ac:dyDescent="0.25">
      <c r="A13" s="670" t="s">
        <v>300</v>
      </c>
      <c r="B13" s="671"/>
      <c r="C13" s="199">
        <f>COUNTIF(Datos!$AG$3:$AG$30,4)</f>
        <v>4</v>
      </c>
      <c r="D13" s="199">
        <f>COUNTIF(Datos!$AH$3:$AH$30,4)</f>
        <v>21</v>
      </c>
      <c r="E13" s="207"/>
      <c r="F13" s="215"/>
      <c r="G13" s="219">
        <v>4</v>
      </c>
      <c r="H13" s="224">
        <f>COUNTIF(Datos!$AI$3:$AI$30,14)</f>
        <v>0</v>
      </c>
      <c r="I13" s="225">
        <f>COUNTIF(Datos!$AI$3:$AI$30,24)</f>
        <v>0</v>
      </c>
      <c r="J13" s="225">
        <f>COUNTIF(Datos!$AI$3:$AI$30,34)</f>
        <v>1</v>
      </c>
      <c r="K13" s="226">
        <f>COUNTIF(Datos!$AI$3:$AI$30,44)</f>
        <v>2</v>
      </c>
      <c r="L13" s="226">
        <f>COUNTIF(Datos!$AI$3:$AI$30,54)</f>
        <v>1</v>
      </c>
      <c r="M13" s="184"/>
      <c r="N13" s="244" t="s">
        <v>310</v>
      </c>
      <c r="O13" s="245">
        <f>(L11+L12+K12+K13+L13+J14+K14+L14)/B8</f>
        <v>0.17857142857142858</v>
      </c>
      <c r="P13" s="27"/>
      <c r="Q13" s="27"/>
      <c r="R13" s="27"/>
      <c r="S13" s="27"/>
    </row>
    <row r="14" spans="1:19" ht="33" customHeight="1" x14ac:dyDescent="0.2">
      <c r="A14" s="670" t="s">
        <v>301</v>
      </c>
      <c r="B14" s="671"/>
      <c r="C14" s="199">
        <f>COUNTIF(Datos!$AG$3:$AG$30,5)</f>
        <v>3</v>
      </c>
      <c r="D14" s="199">
        <f>COUNTIF(Datos!$AH$3:$AH$30,5)</f>
        <v>2</v>
      </c>
      <c r="E14" s="207"/>
      <c r="F14" s="215"/>
      <c r="G14" s="219">
        <v>5</v>
      </c>
      <c r="H14" s="225">
        <f>COUNTIF(Datos!$AI$3:$AI$30,15)</f>
        <v>1</v>
      </c>
      <c r="I14" s="225">
        <f>COUNTIF(Datos!$AI$3:$AI$30,25)</f>
        <v>0</v>
      </c>
      <c r="J14" s="226">
        <f>COUNTIF(Datos!$AI$3:$AI$30,35)</f>
        <v>2</v>
      </c>
      <c r="K14" s="226">
        <f>COUNTIF(Datos!$AI$3:$AI$30,45)</f>
        <v>0</v>
      </c>
      <c r="L14" s="226">
        <f>COUNTIF(Datos!$AI$3:$AI$30,55)</f>
        <v>0</v>
      </c>
      <c r="M14" s="184"/>
      <c r="N14" s="184"/>
      <c r="O14" s="27"/>
      <c r="P14" s="27"/>
      <c r="Q14" s="27"/>
      <c r="R14" s="27"/>
      <c r="S14" s="27"/>
    </row>
    <row r="15" spans="1:19" x14ac:dyDescent="0.2">
      <c r="A15" s="27"/>
      <c r="B15" s="27"/>
      <c r="C15" s="200"/>
      <c r="D15" s="200"/>
      <c r="E15" s="27"/>
      <c r="F15" s="27"/>
      <c r="G15" s="27"/>
      <c r="H15" s="27"/>
      <c r="I15" s="27"/>
      <c r="J15" s="27"/>
      <c r="K15" s="27"/>
      <c r="L15" s="27"/>
      <c r="M15" s="27"/>
      <c r="N15" s="27"/>
      <c r="O15" s="27"/>
      <c r="P15" s="27"/>
      <c r="Q15" s="27"/>
      <c r="R15" s="27"/>
      <c r="S15" s="27"/>
    </row>
  </sheetData>
  <sheetProtection selectLockedCells="1"/>
  <mergeCells count="19">
    <mergeCell ref="P1:S1"/>
    <mergeCell ref="P2:S2"/>
    <mergeCell ref="P3:S3"/>
    <mergeCell ref="C1:N3"/>
    <mergeCell ref="A5:S5"/>
    <mergeCell ref="C8:D8"/>
    <mergeCell ref="A10:B10"/>
    <mergeCell ref="A11:B11"/>
    <mergeCell ref="A12:B12"/>
    <mergeCell ref="P6:R6"/>
    <mergeCell ref="P7:R7"/>
    <mergeCell ref="C6:N6"/>
    <mergeCell ref="C7:N7"/>
    <mergeCell ref="A13:B13"/>
    <mergeCell ref="A14:B14"/>
    <mergeCell ref="A1:B3"/>
    <mergeCell ref="A6:B6"/>
    <mergeCell ref="A7:B7"/>
    <mergeCell ref="A9:B9"/>
  </mergeCells>
  <conditionalFormatting sqref="S7">
    <cfRule type="containsText" dxfId="48" priority="1" operator="containsText" text="Sin Seguimientos">
      <formula>NOT(ISERROR(SEARCH("Sin Seguimientos",S7)))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2" operator="notEqual" id="{72CA2356-9F23-402F-856F-C89E18E3AF3B}">
            <xm:f>VALORACIÓN!$D$10</xm:f>
            <x14:dxf>
              <font>
                <color auto="1"/>
              </font>
              <fill>
                <patternFill patternType="lightGrid">
                  <fgColor theme="0" tint="-4.9989318521683403E-2"/>
                  <bgColor theme="0"/>
                </patternFill>
              </fill>
            </x14:dxf>
          </x14:cfRule>
          <x14:cfRule type="cellIs" priority="13" operator="equal" id="{3625A34F-205A-4AB4-A6F7-957251ADD8AB}">
            <xm:f>VALORACIÓN!$D$10</xm:f>
            <x14:dxf>
              <fill>
                <patternFill patternType="lightGrid">
                  <fgColor theme="0" tint="-4.9989318521683403E-2"/>
                </patternFill>
              </fill>
            </x14:dxf>
          </x14:cfRule>
          <xm:sqref>C10:D14</xm:sqref>
        </x14:conditionalFormatting>
        <x14:conditionalFormatting xmlns:xm="http://schemas.microsoft.com/office/excel/2006/main">
          <x14:cfRule type="cellIs" priority="2" operator="notEqual" id="{69CE0E8D-4BCA-4476-A578-761B5B6BCF44}">
            <xm:f>VALORACIÓN!$D$10</xm:f>
            <x14:dxf>
              <font>
                <color auto="1"/>
              </font>
              <fill>
                <patternFill patternType="lightGrid">
                  <fgColor theme="0" tint="-4.9989318521683403E-2"/>
                  <bgColor theme="0"/>
                </patternFill>
              </fill>
            </x14:dxf>
          </x14:cfRule>
          <x14:cfRule type="cellIs" priority="3" operator="equal" id="{C9496A79-9189-4A3D-88F3-1CE194654357}">
            <xm:f>VALORACIÓN!$D$10</xm:f>
            <x14:dxf>
              <fill>
                <patternFill patternType="lightGrid">
                  <fgColor theme="0" tint="-4.9989318521683403E-2"/>
                </patternFill>
              </fill>
            </x14:dxf>
          </x14:cfRule>
          <xm:sqref>O10:O13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13"/>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P6" sqref="P6:R6"/>
    </sheetView>
  </sheetViews>
  <sheetFormatPr baseColWidth="10" defaultRowHeight="15" x14ac:dyDescent="0.2"/>
  <cols>
    <col min="1" max="1" width="16.44140625" customWidth="1"/>
    <col min="2" max="2" width="6.109375" customWidth="1"/>
    <col min="3" max="3" width="7.44140625" style="201" customWidth="1"/>
    <col min="4" max="4" width="7.5546875" style="201" customWidth="1"/>
    <col min="5" max="5" width="5.21875" customWidth="1"/>
    <col min="6" max="6" width="7.5546875" customWidth="1"/>
    <col min="7" max="7" width="3.6640625" customWidth="1"/>
    <col min="8" max="8" width="7.21875" customWidth="1"/>
    <col min="9" max="9" width="4.5546875" customWidth="1"/>
    <col min="10" max="10" width="7.21875" customWidth="1"/>
    <col min="11" max="11" width="3.6640625" customWidth="1"/>
    <col min="12" max="12" width="7.21875" customWidth="1"/>
    <col min="13" max="13" width="1.5546875" customWidth="1"/>
    <col min="14" max="14" width="18.44140625" customWidth="1"/>
    <col min="15" max="15" width="0.21875" customWidth="1"/>
    <col min="16" max="17" width="9.109375" customWidth="1"/>
    <col min="18" max="18" width="6.5546875" customWidth="1"/>
  </cols>
  <sheetData>
    <row r="1" spans="1:19" ht="15" customHeight="1" x14ac:dyDescent="0.2">
      <c r="A1" s="433" t="s">
        <v>145</v>
      </c>
      <c r="B1" s="433"/>
      <c r="C1" s="685" t="s">
        <v>206</v>
      </c>
      <c r="D1" s="685"/>
      <c r="E1" s="685"/>
      <c r="F1" s="685"/>
      <c r="G1" s="685"/>
      <c r="H1" s="685"/>
      <c r="I1" s="685"/>
      <c r="J1" s="685"/>
      <c r="K1" s="685"/>
      <c r="L1" s="685"/>
      <c r="M1" s="685"/>
      <c r="N1" s="685"/>
      <c r="P1" s="684" t="s">
        <v>71</v>
      </c>
      <c r="Q1" s="684"/>
      <c r="R1" s="684"/>
      <c r="S1" s="684"/>
    </row>
    <row r="2" spans="1:19" ht="15" customHeight="1" x14ac:dyDescent="0.2">
      <c r="A2" s="433"/>
      <c r="B2" s="433"/>
      <c r="C2" s="685"/>
      <c r="D2" s="685"/>
      <c r="E2" s="685"/>
      <c r="F2" s="685"/>
      <c r="G2" s="685"/>
      <c r="H2" s="685"/>
      <c r="I2" s="685"/>
      <c r="J2" s="685"/>
      <c r="K2" s="685"/>
      <c r="L2" s="685"/>
      <c r="M2" s="685"/>
      <c r="N2" s="685"/>
      <c r="P2" s="684" t="s">
        <v>107</v>
      </c>
      <c r="Q2" s="684"/>
      <c r="R2" s="684"/>
      <c r="S2" s="684"/>
    </row>
    <row r="3" spans="1:19" ht="15" customHeight="1" x14ac:dyDescent="0.2">
      <c r="A3" s="433"/>
      <c r="B3" s="433"/>
      <c r="C3" s="685"/>
      <c r="D3" s="685"/>
      <c r="E3" s="685"/>
      <c r="F3" s="685"/>
      <c r="G3" s="685"/>
      <c r="H3" s="685"/>
      <c r="I3" s="685"/>
      <c r="J3" s="685"/>
      <c r="K3" s="685"/>
      <c r="L3" s="685"/>
      <c r="M3" s="685"/>
      <c r="N3" s="685"/>
      <c r="P3" s="684" t="s">
        <v>408</v>
      </c>
      <c r="Q3" s="684"/>
      <c r="R3" s="684"/>
      <c r="S3" s="684"/>
    </row>
    <row r="4" spans="1:19" ht="3.75" customHeight="1" x14ac:dyDescent="0.2">
      <c r="A4" s="33"/>
      <c r="B4" s="34"/>
      <c r="C4" s="198"/>
      <c r="D4" s="198"/>
      <c r="E4" s="290"/>
      <c r="F4" s="290"/>
      <c r="G4" s="290"/>
      <c r="H4" s="290"/>
      <c r="I4" s="290"/>
      <c r="J4" s="290"/>
      <c r="K4" s="290"/>
      <c r="L4" s="290"/>
      <c r="M4" s="49"/>
      <c r="N4" s="49"/>
    </row>
    <row r="5" spans="1:19" ht="15.75" customHeight="1" x14ac:dyDescent="0.2">
      <c r="A5" s="686" t="s">
        <v>184</v>
      </c>
      <c r="B5" s="592"/>
      <c r="C5" s="592"/>
      <c r="D5" s="592"/>
      <c r="E5" s="592"/>
      <c r="F5" s="592"/>
      <c r="G5" s="592"/>
      <c r="H5" s="592"/>
      <c r="I5" s="592"/>
      <c r="J5" s="592"/>
      <c r="K5" s="592"/>
      <c r="L5" s="592"/>
      <c r="M5" s="592"/>
      <c r="N5" s="592"/>
      <c r="O5" s="592"/>
      <c r="P5" s="592"/>
      <c r="Q5" s="592"/>
      <c r="R5" s="592"/>
      <c r="S5" s="592"/>
    </row>
    <row r="6" spans="1:19" ht="15.75" customHeight="1" x14ac:dyDescent="0.2">
      <c r="A6" s="489" t="str">
        <f>'CONTEXTO ESTRATEGICO'!A7</f>
        <v>INSTITUCIONAL</v>
      </c>
      <c r="B6" s="489"/>
      <c r="C6" s="606" t="str">
        <f>'SEGUIMIENTO Y MONITOREO'!C6</f>
        <v>Mapa de Riesgo Institucional</v>
      </c>
      <c r="D6" s="607"/>
      <c r="E6" s="607"/>
      <c r="F6" s="607"/>
      <c r="G6" s="607"/>
      <c r="H6" s="607"/>
      <c r="I6" s="607"/>
      <c r="J6" s="607"/>
      <c r="K6" s="607"/>
      <c r="L6" s="607"/>
      <c r="M6" s="607"/>
      <c r="N6" s="610"/>
      <c r="P6" s="682" t="str">
        <f>'SEGUIMIENTO Y MONITOREO'!E6</f>
        <v>Fecha de Actualización (AAAA/MM/DD)</v>
      </c>
      <c r="Q6" s="682"/>
      <c r="R6" s="682"/>
      <c r="S6" s="171">
        <f>'SEGUIMIENTO Y MONITOREO'!H6</f>
        <v>42443</v>
      </c>
    </row>
    <row r="7" spans="1:19" ht="15.75" customHeight="1" x14ac:dyDescent="0.2">
      <c r="A7" s="489"/>
      <c r="B7" s="489"/>
      <c r="C7" s="691" t="s">
        <v>376</v>
      </c>
      <c r="D7" s="691"/>
      <c r="E7" s="691"/>
      <c r="F7" s="691"/>
      <c r="G7" s="691"/>
      <c r="H7" s="691"/>
      <c r="I7" s="691"/>
      <c r="J7" s="691"/>
      <c r="K7" s="691"/>
      <c r="L7" s="691"/>
      <c r="M7" s="691"/>
      <c r="N7" s="691"/>
      <c r="P7" s="683" t="s">
        <v>185</v>
      </c>
      <c r="Q7" s="683"/>
      <c r="R7" s="683"/>
      <c r="S7" s="172">
        <f>'SEGUIMIENTO Y MONITOREO'!$AX$7</f>
        <v>42735</v>
      </c>
    </row>
    <row r="8" spans="1:19" ht="25.5" customHeight="1" x14ac:dyDescent="0.2">
      <c r="A8" s="221" t="s">
        <v>286</v>
      </c>
      <c r="B8" s="222">
        <f>COUNTA(IDENTIFICACIÓN!D38:D71)</f>
        <v>34</v>
      </c>
      <c r="C8" s="692" t="s">
        <v>317</v>
      </c>
      <c r="D8" s="693"/>
      <c r="E8" s="296"/>
      <c r="F8" s="296"/>
      <c r="G8" s="307"/>
      <c r="H8" s="215"/>
      <c r="I8" s="215"/>
      <c r="J8" s="317"/>
      <c r="K8" s="215"/>
      <c r="L8" s="215"/>
      <c r="M8" s="215"/>
      <c r="N8" s="215"/>
      <c r="O8" s="27"/>
      <c r="P8" s="27"/>
      <c r="Q8" s="27"/>
      <c r="R8" s="27"/>
      <c r="S8" s="27"/>
    </row>
    <row r="9" spans="1:19" ht="17.25" customHeight="1" thickBot="1" x14ac:dyDescent="0.25">
      <c r="A9" s="678" t="s">
        <v>379</v>
      </c>
      <c r="B9" s="679"/>
      <c r="C9" s="297" t="s">
        <v>93</v>
      </c>
      <c r="D9" s="297" t="s">
        <v>7</v>
      </c>
      <c r="E9" s="296"/>
      <c r="F9" s="296"/>
      <c r="G9" s="307"/>
      <c r="H9" s="318"/>
      <c r="I9" s="318"/>
      <c r="J9" s="318"/>
      <c r="K9" s="318"/>
      <c r="L9" s="318"/>
      <c r="M9" s="296"/>
      <c r="N9" s="296"/>
      <c r="O9" s="27"/>
      <c r="P9" s="27"/>
      <c r="Q9" s="27"/>
      <c r="R9" s="27"/>
      <c r="S9" s="27"/>
    </row>
    <row r="10" spans="1:19" ht="33" customHeight="1" thickBot="1" x14ac:dyDescent="0.25">
      <c r="A10" s="670" t="s">
        <v>373</v>
      </c>
      <c r="B10" s="671"/>
      <c r="C10" s="199">
        <f>COUNTIF(Datos!$AH$32:$AH$65,3)</f>
        <v>33</v>
      </c>
      <c r="D10" s="687" t="s">
        <v>353</v>
      </c>
      <c r="E10" s="296"/>
      <c r="F10" s="689" t="s">
        <v>375</v>
      </c>
      <c r="G10" s="323">
        <v>3</v>
      </c>
      <c r="H10" s="322">
        <f>COUNTIF(Datos!$AG$32:$AG$65,3)</f>
        <v>32</v>
      </c>
      <c r="I10" s="320"/>
      <c r="J10" s="690" t="s">
        <v>304</v>
      </c>
      <c r="K10" s="315">
        <v>3</v>
      </c>
      <c r="L10" s="316">
        <f>COUNTIF(Datos!$AI$32:$AI$65,3)</f>
        <v>33</v>
      </c>
      <c r="M10" s="184"/>
      <c r="N10" s="242" t="s">
        <v>308</v>
      </c>
      <c r="O10" s="245">
        <f>L10/B8</f>
        <v>0.97058823529411764</v>
      </c>
      <c r="P10" s="27"/>
      <c r="Q10" s="27"/>
      <c r="R10" s="27"/>
      <c r="S10" s="27"/>
    </row>
    <row r="11" spans="1:19" ht="33" customHeight="1" thickBot="1" x14ac:dyDescent="0.25">
      <c r="A11" s="670" t="s">
        <v>374</v>
      </c>
      <c r="B11" s="671"/>
      <c r="C11" s="199">
        <f>COUNTIF(Datos!$AH$32:$AH$65,5)</f>
        <v>1</v>
      </c>
      <c r="D11" s="688"/>
      <c r="E11" s="296"/>
      <c r="F11" s="689"/>
      <c r="G11" s="324">
        <v>5</v>
      </c>
      <c r="H11" s="321">
        <f>COUNTIF(Datos!$AG$32:$AG$65,5)</f>
        <v>2</v>
      </c>
      <c r="I11" s="319"/>
      <c r="J11" s="690"/>
      <c r="K11" s="219">
        <v>5</v>
      </c>
      <c r="L11" s="226">
        <f>COUNTIF(Datos!$AI$32:$AI$65,5)</f>
        <v>1</v>
      </c>
      <c r="M11" s="184"/>
      <c r="N11" s="244" t="s">
        <v>310</v>
      </c>
      <c r="O11" s="245">
        <f>L11/B8</f>
        <v>2.9411764705882353E-2</v>
      </c>
      <c r="P11" s="27"/>
      <c r="Q11" s="27"/>
      <c r="R11" s="27"/>
      <c r="S11" s="27"/>
    </row>
    <row r="12" spans="1:19" x14ac:dyDescent="0.2">
      <c r="A12" s="27"/>
      <c r="B12" s="27"/>
      <c r="C12" s="200"/>
      <c r="D12" s="200"/>
      <c r="E12" s="27"/>
      <c r="F12" s="27"/>
      <c r="G12" s="27"/>
      <c r="H12" s="27"/>
      <c r="I12" s="27"/>
      <c r="J12" s="27"/>
      <c r="K12" s="27"/>
      <c r="L12" s="27"/>
      <c r="M12" s="27"/>
      <c r="N12" s="27"/>
      <c r="O12" s="27"/>
      <c r="P12" s="27"/>
      <c r="Q12" s="27"/>
      <c r="R12" s="27"/>
      <c r="S12" s="27"/>
    </row>
    <row r="13" spans="1:19" x14ac:dyDescent="0.2">
      <c r="A13" s="27"/>
      <c r="B13" s="27"/>
      <c r="C13" s="200"/>
      <c r="D13" s="200"/>
      <c r="E13" s="27"/>
      <c r="F13" s="27"/>
      <c r="G13" s="27"/>
      <c r="H13" s="27"/>
      <c r="I13" s="27"/>
      <c r="J13" s="27"/>
      <c r="K13" s="27"/>
      <c r="L13" s="27"/>
      <c r="M13" s="27"/>
      <c r="N13" s="27"/>
      <c r="O13" s="27"/>
      <c r="P13" s="27"/>
      <c r="Q13" s="27"/>
      <c r="R13" s="27"/>
      <c r="S13" s="27"/>
    </row>
  </sheetData>
  <sheetProtection selectLockedCells="1"/>
  <mergeCells count="19">
    <mergeCell ref="A1:B3"/>
    <mergeCell ref="C1:N3"/>
    <mergeCell ref="P1:S1"/>
    <mergeCell ref="P2:S2"/>
    <mergeCell ref="P3:S3"/>
    <mergeCell ref="A9:B9"/>
    <mergeCell ref="A10:B10"/>
    <mergeCell ref="A11:B11"/>
    <mergeCell ref="A5:S5"/>
    <mergeCell ref="D10:D11"/>
    <mergeCell ref="F10:F11"/>
    <mergeCell ref="J10:J11"/>
    <mergeCell ref="A6:B6"/>
    <mergeCell ref="C6:N6"/>
    <mergeCell ref="P6:R6"/>
    <mergeCell ref="A7:B7"/>
    <mergeCell ref="C7:N7"/>
    <mergeCell ref="P7:R7"/>
    <mergeCell ref="C8:D8"/>
  </mergeCells>
  <conditionalFormatting sqref="S7">
    <cfRule type="containsText" dxfId="43" priority="1" operator="containsText" text="Sin Seguimientos">
      <formula>NOT(ISERROR(SEARCH("Sin Seguimientos",S7)))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 operator="notEqual" id="{C0D87053-D282-4A7F-9889-517D3C515E1F}">
            <xm:f>VALORACIÓN!$D$10</xm:f>
            <x14:dxf>
              <font>
                <color auto="1"/>
              </font>
              <fill>
                <patternFill patternType="lightGrid">
                  <fgColor theme="0" tint="-4.9989318521683403E-2"/>
                  <bgColor theme="0"/>
                </patternFill>
              </fill>
            </x14:dxf>
          </x14:cfRule>
          <x14:cfRule type="cellIs" priority="5" operator="equal" id="{3171359A-5CA9-42CD-A1EE-02E9A48AC8DB}">
            <xm:f>VALORACIÓN!$D$10</xm:f>
            <x14:dxf>
              <fill>
                <patternFill patternType="lightGrid">
                  <fgColor theme="0" tint="-4.9989318521683403E-2"/>
                </patternFill>
              </fill>
            </x14:dxf>
          </x14:cfRule>
          <xm:sqref>C10:D10 C10:C11</xm:sqref>
        </x14:conditionalFormatting>
        <x14:conditionalFormatting xmlns:xm="http://schemas.microsoft.com/office/excel/2006/main">
          <x14:cfRule type="cellIs" priority="2" operator="notEqual" id="{ACFF3DDF-6033-4B18-A977-49FA73FB0ABE}">
            <xm:f>VALORACIÓN!$D$10</xm:f>
            <x14:dxf>
              <font>
                <color auto="1"/>
              </font>
              <fill>
                <patternFill patternType="lightGrid">
                  <fgColor theme="0" tint="-4.9989318521683403E-2"/>
                  <bgColor theme="0"/>
                </patternFill>
              </fill>
            </x14:dxf>
          </x14:cfRule>
          <x14:cfRule type="cellIs" priority="3" operator="equal" id="{BE483868-B6EE-4F8D-A667-409614692CBA}">
            <xm:f>VALORACIÓN!$D$10</xm:f>
            <x14:dxf>
              <fill>
                <patternFill patternType="lightGrid">
                  <fgColor theme="0" tint="-4.9989318521683403E-2"/>
                </patternFill>
              </fill>
            </x14:dxf>
          </x14:cfRule>
          <xm:sqref>O10:O11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B3198B"/>
  </sheetPr>
  <dimension ref="A1:J72"/>
  <sheetViews>
    <sheetView zoomScale="90" zoomScaleNormal="90" workbookViewId="0">
      <pane xSplit="1" ySplit="8" topLeftCell="B9" activePane="bottomRight" state="frozen"/>
      <selection pane="topRight" activeCell="B1" sqref="B1"/>
      <selection pane="bottomLeft" activeCell="A9" sqref="A9"/>
      <selection pane="bottomRight" activeCell="E9" sqref="E9"/>
    </sheetView>
  </sheetViews>
  <sheetFormatPr baseColWidth="10" defaultRowHeight="15.75" x14ac:dyDescent="0.25"/>
  <cols>
    <col min="1" max="1" width="42" style="1" customWidth="1"/>
    <col min="2" max="2" width="34" style="1" customWidth="1"/>
    <col min="3" max="3" width="3.88671875" style="1" customWidth="1"/>
    <col min="4" max="4" width="22.6640625" style="1" customWidth="1"/>
    <col min="5" max="5" width="29.44140625" style="1" customWidth="1"/>
    <col min="6" max="6" width="26" style="1" customWidth="1"/>
    <col min="7" max="7" width="16.21875" style="1" customWidth="1"/>
    <col min="8" max="8" width="45.6640625" style="1" customWidth="1"/>
    <col min="9" max="16384" width="11.5546875" style="1"/>
  </cols>
  <sheetData>
    <row r="1" spans="1:10" s="3" customFormat="1" ht="21" customHeight="1" x14ac:dyDescent="0.2">
      <c r="A1" s="433" t="s">
        <v>145</v>
      </c>
      <c r="B1" s="434" t="s">
        <v>142</v>
      </c>
      <c r="C1" s="434"/>
      <c r="D1" s="434"/>
      <c r="E1" s="434"/>
      <c r="F1" s="32" t="s">
        <v>71</v>
      </c>
    </row>
    <row r="2" spans="1:10" s="3" customFormat="1" ht="21" customHeight="1" x14ac:dyDescent="0.2">
      <c r="A2" s="433"/>
      <c r="B2" s="434"/>
      <c r="C2" s="434"/>
      <c r="D2" s="434"/>
      <c r="E2" s="434"/>
      <c r="F2" s="32" t="s">
        <v>107</v>
      </c>
    </row>
    <row r="3" spans="1:10" s="3" customFormat="1" ht="21" customHeight="1" x14ac:dyDescent="0.2">
      <c r="A3" s="433"/>
      <c r="B3" s="434"/>
      <c r="C3" s="434"/>
      <c r="D3" s="434"/>
      <c r="E3" s="434"/>
      <c r="F3" s="32" t="s">
        <v>408</v>
      </c>
    </row>
    <row r="4" spans="1:10" s="3" customFormat="1" ht="4.5" customHeight="1" x14ac:dyDescent="0.2">
      <c r="B4" s="36"/>
      <c r="C4" s="36"/>
      <c r="D4" s="36"/>
      <c r="E4" s="36"/>
      <c r="F4" s="36"/>
    </row>
    <row r="5" spans="1:10" ht="24" customHeight="1" x14ac:dyDescent="0.25">
      <c r="A5" s="456" t="s">
        <v>76</v>
      </c>
      <c r="B5" s="456"/>
      <c r="C5" s="456"/>
      <c r="D5" s="456"/>
      <c r="E5" s="456"/>
      <c r="F5" s="457"/>
    </row>
    <row r="6" spans="1:10" x14ac:dyDescent="0.25">
      <c r="A6" s="193" t="str">
        <f>'CONTEXTO ESTRATEGICO'!A7</f>
        <v>INSTITUCIONAL</v>
      </c>
      <c r="B6" s="458" t="str">
        <f>'CONTEXTO ESTRATEGICO'!B7</f>
        <v>Mapa de Riesgo Institucional</v>
      </c>
      <c r="C6" s="458"/>
      <c r="D6" s="458"/>
      <c r="E6" s="458"/>
      <c r="F6" s="458"/>
    </row>
    <row r="7" spans="1:10" ht="33" customHeight="1" x14ac:dyDescent="0.25">
      <c r="A7" s="193" t="str">
        <f>'CONTEXTO ESTRATEGICO'!A8</f>
        <v>MISION</v>
      </c>
      <c r="B7" s="459"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C7" s="459"/>
      <c r="D7" s="459"/>
      <c r="E7" s="459"/>
      <c r="F7" s="459"/>
    </row>
    <row r="8" spans="1:10" ht="26.25" customHeight="1" x14ac:dyDescent="0.25">
      <c r="A8" s="192" t="s">
        <v>227</v>
      </c>
      <c r="B8" s="191" t="s">
        <v>3</v>
      </c>
      <c r="C8" s="191" t="s">
        <v>22</v>
      </c>
      <c r="D8" s="191" t="s">
        <v>1</v>
      </c>
      <c r="E8" s="191" t="s">
        <v>6</v>
      </c>
      <c r="F8" s="191" t="s">
        <v>4</v>
      </c>
      <c r="J8" s="2"/>
    </row>
    <row r="9" spans="1:10" s="7" customFormat="1" ht="69" customHeight="1" x14ac:dyDescent="0.25">
      <c r="A9" s="449" t="str">
        <f>'CONTEXTO ESTRATEGICO'!D32</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c r="B9" s="375" t="s">
        <v>476</v>
      </c>
      <c r="C9" s="377" t="s">
        <v>388</v>
      </c>
      <c r="D9" s="376" t="s">
        <v>669</v>
      </c>
      <c r="E9" s="376" t="s">
        <v>654</v>
      </c>
      <c r="F9" s="375" t="s">
        <v>504</v>
      </c>
    </row>
    <row r="10" spans="1:10" ht="69" customHeight="1" x14ac:dyDescent="0.25">
      <c r="A10" s="450"/>
      <c r="B10" s="375" t="s">
        <v>477</v>
      </c>
      <c r="C10" s="377" t="s">
        <v>389</v>
      </c>
      <c r="D10" s="378" t="s">
        <v>670</v>
      </c>
      <c r="E10" s="376" t="s">
        <v>655</v>
      </c>
      <c r="F10" s="375" t="s">
        <v>505</v>
      </c>
    </row>
    <row r="11" spans="1:10" ht="69" customHeight="1" x14ac:dyDescent="0.25">
      <c r="A11" s="450"/>
      <c r="B11" s="375" t="s">
        <v>478</v>
      </c>
      <c r="C11" s="377" t="s">
        <v>390</v>
      </c>
      <c r="D11" s="378" t="s">
        <v>671</v>
      </c>
      <c r="E11" s="376" t="s">
        <v>656</v>
      </c>
      <c r="F11" s="375" t="s">
        <v>506</v>
      </c>
    </row>
    <row r="12" spans="1:10" ht="69" customHeight="1" x14ac:dyDescent="0.25">
      <c r="A12" s="450"/>
      <c r="B12" s="375" t="s">
        <v>479</v>
      </c>
      <c r="C12" s="377" t="s">
        <v>391</v>
      </c>
      <c r="D12" s="378" t="s">
        <v>672</v>
      </c>
      <c r="E12" s="376" t="s">
        <v>661</v>
      </c>
      <c r="F12" s="375" t="s">
        <v>507</v>
      </c>
    </row>
    <row r="13" spans="1:10" ht="69" customHeight="1" x14ac:dyDescent="0.25">
      <c r="A13" s="450"/>
      <c r="B13" s="375" t="s">
        <v>480</v>
      </c>
      <c r="C13" s="377" t="s">
        <v>392</v>
      </c>
      <c r="D13" s="378" t="s">
        <v>673</v>
      </c>
      <c r="E13" s="376" t="s">
        <v>662</v>
      </c>
      <c r="F13" s="375" t="s">
        <v>508</v>
      </c>
    </row>
    <row r="14" spans="1:10" ht="69" customHeight="1" x14ac:dyDescent="0.25">
      <c r="A14" s="450"/>
      <c r="B14" s="375" t="s">
        <v>481</v>
      </c>
      <c r="C14" s="377" t="s">
        <v>393</v>
      </c>
      <c r="D14" s="378" t="s">
        <v>674</v>
      </c>
      <c r="E14" s="376" t="s">
        <v>663</v>
      </c>
      <c r="F14" s="375" t="s">
        <v>509</v>
      </c>
    </row>
    <row r="15" spans="1:10" ht="69" customHeight="1" x14ac:dyDescent="0.25">
      <c r="A15" s="450"/>
      <c r="B15" s="375" t="s">
        <v>482</v>
      </c>
      <c r="C15" s="377" t="s">
        <v>394</v>
      </c>
      <c r="D15" s="378" t="s">
        <v>675</v>
      </c>
      <c r="E15" s="376" t="s">
        <v>664</v>
      </c>
      <c r="F15" s="375" t="s">
        <v>510</v>
      </c>
    </row>
    <row r="16" spans="1:10" ht="69" customHeight="1" x14ac:dyDescent="0.25">
      <c r="A16" s="450"/>
      <c r="B16" s="375" t="s">
        <v>483</v>
      </c>
      <c r="C16" s="377" t="s">
        <v>395</v>
      </c>
      <c r="D16" s="378" t="s">
        <v>676</v>
      </c>
      <c r="E16" s="376" t="s">
        <v>665</v>
      </c>
      <c r="F16" s="375" t="s">
        <v>511</v>
      </c>
    </row>
    <row r="17" spans="1:6" ht="69" customHeight="1" x14ac:dyDescent="0.25">
      <c r="A17" s="450"/>
      <c r="B17" s="375" t="s">
        <v>484</v>
      </c>
      <c r="C17" s="377" t="s">
        <v>396</v>
      </c>
      <c r="D17" s="378" t="s">
        <v>677</v>
      </c>
      <c r="E17" s="376" t="s">
        <v>668</v>
      </c>
      <c r="F17" s="375" t="s">
        <v>512</v>
      </c>
    </row>
    <row r="18" spans="1:6" ht="69" customHeight="1" x14ac:dyDescent="0.25">
      <c r="A18" s="450"/>
      <c r="B18" s="375" t="s">
        <v>485</v>
      </c>
      <c r="C18" s="379" t="s">
        <v>397</v>
      </c>
      <c r="D18" s="380" t="s">
        <v>678</v>
      </c>
      <c r="E18" s="376" t="s">
        <v>734</v>
      </c>
      <c r="F18" s="375" t="s">
        <v>513</v>
      </c>
    </row>
    <row r="19" spans="1:6" ht="69" customHeight="1" x14ac:dyDescent="0.25">
      <c r="A19" s="450"/>
      <c r="B19" s="375" t="s">
        <v>486</v>
      </c>
      <c r="C19" s="379" t="s">
        <v>429</v>
      </c>
      <c r="D19" s="380" t="s">
        <v>679</v>
      </c>
      <c r="E19" s="385" t="s">
        <v>736</v>
      </c>
      <c r="F19" s="375" t="s">
        <v>514</v>
      </c>
    </row>
    <row r="20" spans="1:6" ht="69" customHeight="1" x14ac:dyDescent="0.25">
      <c r="A20" s="450"/>
      <c r="B20" s="375" t="s">
        <v>487</v>
      </c>
      <c r="C20" s="379" t="s">
        <v>430</v>
      </c>
      <c r="D20" s="380" t="s">
        <v>680</v>
      </c>
      <c r="E20" s="385" t="s">
        <v>737</v>
      </c>
      <c r="F20" s="375" t="s">
        <v>515</v>
      </c>
    </row>
    <row r="21" spans="1:6" ht="69" customHeight="1" x14ac:dyDescent="0.25">
      <c r="A21" s="450"/>
      <c r="B21" s="375" t="s">
        <v>488</v>
      </c>
      <c r="C21" s="379" t="s">
        <v>431</v>
      </c>
      <c r="D21" s="380" t="s">
        <v>681</v>
      </c>
      <c r="E21" s="385" t="s">
        <v>738</v>
      </c>
      <c r="F21" s="375" t="s">
        <v>516</v>
      </c>
    </row>
    <row r="22" spans="1:6" ht="69" customHeight="1" x14ac:dyDescent="0.25">
      <c r="A22" s="450"/>
      <c r="B22" s="375" t="s">
        <v>489</v>
      </c>
      <c r="C22" s="379" t="s">
        <v>432</v>
      </c>
      <c r="D22" s="380" t="s">
        <v>682</v>
      </c>
      <c r="E22" s="385" t="s">
        <v>739</v>
      </c>
      <c r="F22" s="375" t="s">
        <v>517</v>
      </c>
    </row>
    <row r="23" spans="1:6" ht="69" customHeight="1" x14ac:dyDescent="0.25">
      <c r="A23" s="450"/>
      <c r="B23" s="375" t="s">
        <v>490</v>
      </c>
      <c r="C23" s="379" t="s">
        <v>433</v>
      </c>
      <c r="D23" s="380" t="s">
        <v>683</v>
      </c>
      <c r="E23" s="385" t="s">
        <v>743</v>
      </c>
      <c r="F23" s="375" t="s">
        <v>518</v>
      </c>
    </row>
    <row r="24" spans="1:6" ht="69" customHeight="1" x14ac:dyDescent="0.25">
      <c r="A24" s="450"/>
      <c r="B24" s="375" t="s">
        <v>491</v>
      </c>
      <c r="C24" s="379" t="s">
        <v>434</v>
      </c>
      <c r="D24" s="380" t="s">
        <v>684</v>
      </c>
      <c r="E24" s="385" t="s">
        <v>744</v>
      </c>
      <c r="F24" s="375" t="s">
        <v>519</v>
      </c>
    </row>
    <row r="25" spans="1:6" ht="69" customHeight="1" x14ac:dyDescent="0.25">
      <c r="A25" s="450"/>
      <c r="B25" s="375" t="s">
        <v>492</v>
      </c>
      <c r="C25" s="379" t="s">
        <v>435</v>
      </c>
      <c r="D25" s="380" t="s">
        <v>685</v>
      </c>
      <c r="E25" s="384" t="s">
        <v>752</v>
      </c>
      <c r="F25" s="375" t="s">
        <v>520</v>
      </c>
    </row>
    <row r="26" spans="1:6" ht="69" customHeight="1" x14ac:dyDescent="0.25">
      <c r="A26" s="450"/>
      <c r="B26" s="375" t="s">
        <v>493</v>
      </c>
      <c r="C26" s="379" t="s">
        <v>436</v>
      </c>
      <c r="D26" s="380" t="s">
        <v>686</v>
      </c>
      <c r="E26" s="384" t="s">
        <v>753</v>
      </c>
      <c r="F26" s="375" t="s">
        <v>521</v>
      </c>
    </row>
    <row r="27" spans="1:6" ht="69" customHeight="1" x14ac:dyDescent="0.25">
      <c r="A27" s="450"/>
      <c r="B27" s="375" t="s">
        <v>494</v>
      </c>
      <c r="C27" s="379" t="s">
        <v>437</v>
      </c>
      <c r="D27" s="380" t="s">
        <v>687</v>
      </c>
      <c r="E27" s="384" t="s">
        <v>754</v>
      </c>
      <c r="F27" s="375" t="s">
        <v>522</v>
      </c>
    </row>
    <row r="28" spans="1:6" ht="69" customHeight="1" x14ac:dyDescent="0.25">
      <c r="A28" s="450"/>
      <c r="B28" s="375" t="s">
        <v>495</v>
      </c>
      <c r="C28" s="379" t="s">
        <v>438</v>
      </c>
      <c r="D28" s="380" t="s">
        <v>688</v>
      </c>
      <c r="E28" s="384" t="s">
        <v>755</v>
      </c>
      <c r="F28" s="375" t="s">
        <v>523</v>
      </c>
    </row>
    <row r="29" spans="1:6" ht="69" customHeight="1" x14ac:dyDescent="0.25">
      <c r="A29" s="450"/>
      <c r="B29" s="375" t="s">
        <v>496</v>
      </c>
      <c r="C29" s="379" t="s">
        <v>439</v>
      </c>
      <c r="D29" s="380" t="s">
        <v>689</v>
      </c>
      <c r="E29" s="384" t="s">
        <v>756</v>
      </c>
      <c r="F29" s="375" t="s">
        <v>523</v>
      </c>
    </row>
    <row r="30" spans="1:6" ht="69" customHeight="1" x14ac:dyDescent="0.25">
      <c r="A30" s="450"/>
      <c r="B30" s="375" t="s">
        <v>497</v>
      </c>
      <c r="C30" s="379" t="s">
        <v>440</v>
      </c>
      <c r="D30" s="380" t="s">
        <v>690</v>
      </c>
      <c r="E30" s="384" t="s">
        <v>763</v>
      </c>
      <c r="F30" s="375" t="s">
        <v>524</v>
      </c>
    </row>
    <row r="31" spans="1:6" ht="69" customHeight="1" x14ac:dyDescent="0.25">
      <c r="A31" s="450"/>
      <c r="B31" s="375" t="s">
        <v>498</v>
      </c>
      <c r="C31" s="379" t="s">
        <v>441</v>
      </c>
      <c r="D31" s="380" t="s">
        <v>691</v>
      </c>
      <c r="E31" s="384" t="s">
        <v>764</v>
      </c>
      <c r="F31" s="375" t="s">
        <v>525</v>
      </c>
    </row>
    <row r="32" spans="1:6" ht="69" customHeight="1" x14ac:dyDescent="0.25">
      <c r="A32" s="450"/>
      <c r="B32" s="375" t="s">
        <v>499</v>
      </c>
      <c r="C32" s="379" t="s">
        <v>442</v>
      </c>
      <c r="D32" s="380" t="s">
        <v>692</v>
      </c>
      <c r="E32" s="384" t="s">
        <v>765</v>
      </c>
      <c r="F32" s="375" t="s">
        <v>526</v>
      </c>
    </row>
    <row r="33" spans="1:6" ht="69" customHeight="1" x14ac:dyDescent="0.25">
      <c r="A33" s="450"/>
      <c r="B33" s="375" t="s">
        <v>500</v>
      </c>
      <c r="C33" s="379" t="s">
        <v>443</v>
      </c>
      <c r="D33" s="380" t="s">
        <v>693</v>
      </c>
      <c r="E33" s="384" t="s">
        <v>766</v>
      </c>
      <c r="F33" s="375" t="s">
        <v>527</v>
      </c>
    </row>
    <row r="34" spans="1:6" ht="69" customHeight="1" x14ac:dyDescent="0.25">
      <c r="A34" s="450"/>
      <c r="B34" s="375" t="s">
        <v>501</v>
      </c>
      <c r="C34" s="379" t="s">
        <v>444</v>
      </c>
      <c r="D34" s="380" t="s">
        <v>694</v>
      </c>
      <c r="E34" s="384" t="s">
        <v>767</v>
      </c>
      <c r="F34" s="375" t="s">
        <v>528</v>
      </c>
    </row>
    <row r="35" spans="1:6" ht="69" customHeight="1" x14ac:dyDescent="0.25">
      <c r="A35" s="450"/>
      <c r="B35" s="375" t="s">
        <v>502</v>
      </c>
      <c r="C35" s="379" t="s">
        <v>445</v>
      </c>
      <c r="D35" s="380" t="s">
        <v>695</v>
      </c>
      <c r="E35" s="384" t="s">
        <v>774</v>
      </c>
      <c r="F35" s="375" t="s">
        <v>529</v>
      </c>
    </row>
    <row r="36" spans="1:6" ht="69" customHeight="1" x14ac:dyDescent="0.25">
      <c r="A36" s="451"/>
      <c r="B36" s="375" t="s">
        <v>503</v>
      </c>
      <c r="C36" s="379" t="s">
        <v>446</v>
      </c>
      <c r="D36" s="380" t="s">
        <v>696</v>
      </c>
      <c r="E36" s="384" t="s">
        <v>775</v>
      </c>
      <c r="F36" s="375" t="s">
        <v>530</v>
      </c>
    </row>
    <row r="37" spans="1:6" ht="24" customHeight="1" x14ac:dyDescent="0.25">
      <c r="A37" s="455" t="s">
        <v>345</v>
      </c>
      <c r="B37" s="455"/>
      <c r="C37" s="455"/>
      <c r="D37" s="455"/>
      <c r="E37" s="455"/>
      <c r="F37" s="455"/>
    </row>
    <row r="38" spans="1:6" ht="69" customHeight="1" thickBot="1" x14ac:dyDescent="0.3">
      <c r="A38" s="449" t="s">
        <v>697</v>
      </c>
      <c r="B38" s="374" t="s">
        <v>531</v>
      </c>
      <c r="C38" s="381" t="s">
        <v>346</v>
      </c>
      <c r="D38" s="374" t="s">
        <v>698</v>
      </c>
      <c r="E38" s="385" t="s">
        <v>657</v>
      </c>
      <c r="F38" s="452"/>
    </row>
    <row r="39" spans="1:6" ht="69" customHeight="1" thickTop="1" thickBot="1" x14ac:dyDescent="0.3">
      <c r="A39" s="450"/>
      <c r="B39" s="374" t="s">
        <v>532</v>
      </c>
      <c r="C39" s="382" t="s">
        <v>347</v>
      </c>
      <c r="D39" s="374" t="s">
        <v>699</v>
      </c>
      <c r="E39" s="385" t="s">
        <v>658</v>
      </c>
      <c r="F39" s="453"/>
    </row>
    <row r="40" spans="1:6" ht="69" customHeight="1" thickTop="1" thickBot="1" x14ac:dyDescent="0.3">
      <c r="A40" s="450"/>
      <c r="B40" s="374" t="s">
        <v>533</v>
      </c>
      <c r="C40" s="382" t="s">
        <v>348</v>
      </c>
      <c r="D40" s="374" t="s">
        <v>700</v>
      </c>
      <c r="E40" s="376" t="s">
        <v>659</v>
      </c>
      <c r="F40" s="453"/>
    </row>
    <row r="41" spans="1:6" ht="69" customHeight="1" thickTop="1" thickBot="1" x14ac:dyDescent="0.3">
      <c r="A41" s="450"/>
      <c r="B41" s="374" t="s">
        <v>534</v>
      </c>
      <c r="C41" s="382" t="s">
        <v>349</v>
      </c>
      <c r="D41" s="374" t="s">
        <v>701</v>
      </c>
      <c r="E41" s="376" t="s">
        <v>660</v>
      </c>
      <c r="F41" s="453"/>
    </row>
    <row r="42" spans="1:6" ht="69" customHeight="1" thickTop="1" thickBot="1" x14ac:dyDescent="0.3">
      <c r="A42" s="450"/>
      <c r="B42" s="378" t="s">
        <v>535</v>
      </c>
      <c r="C42" s="382" t="s">
        <v>350</v>
      </c>
      <c r="D42" s="383" t="s">
        <v>702</v>
      </c>
      <c r="E42" s="376" t="s">
        <v>666</v>
      </c>
      <c r="F42" s="453"/>
    </row>
    <row r="43" spans="1:6" ht="69" customHeight="1" thickTop="1" thickBot="1" x14ac:dyDescent="0.3">
      <c r="A43" s="450"/>
      <c r="B43" s="378" t="s">
        <v>536</v>
      </c>
      <c r="C43" s="382" t="s">
        <v>447</v>
      </c>
      <c r="D43" s="383" t="s">
        <v>703</v>
      </c>
      <c r="E43" s="385" t="s">
        <v>667</v>
      </c>
      <c r="F43" s="453"/>
    </row>
    <row r="44" spans="1:6" ht="78" thickTop="1" thickBot="1" x14ac:dyDescent="0.3">
      <c r="A44" s="450"/>
      <c r="B44" s="375" t="s">
        <v>537</v>
      </c>
      <c r="C44" s="381" t="s">
        <v>448</v>
      </c>
      <c r="D44" s="375" t="s">
        <v>704</v>
      </c>
      <c r="E44" s="385" t="s">
        <v>732</v>
      </c>
      <c r="F44" s="453"/>
    </row>
    <row r="45" spans="1:6" ht="39.75" thickTop="1" thickBot="1" x14ac:dyDescent="0.3">
      <c r="A45" s="450"/>
      <c r="B45" s="375" t="s">
        <v>538</v>
      </c>
      <c r="C45" s="381" t="s">
        <v>449</v>
      </c>
      <c r="D45" s="375" t="s">
        <v>705</v>
      </c>
      <c r="E45" s="376" t="s">
        <v>733</v>
      </c>
      <c r="F45" s="453"/>
    </row>
    <row r="46" spans="1:6" ht="52.5" thickTop="1" thickBot="1" x14ac:dyDescent="0.3">
      <c r="A46" s="450"/>
      <c r="B46" s="375" t="s">
        <v>539</v>
      </c>
      <c r="C46" s="381" t="s">
        <v>450</v>
      </c>
      <c r="D46" s="375" t="s">
        <v>706</v>
      </c>
      <c r="E46" s="385" t="s">
        <v>735</v>
      </c>
      <c r="F46" s="453"/>
    </row>
    <row r="47" spans="1:6" ht="65.25" thickTop="1" thickBot="1" x14ac:dyDescent="0.3">
      <c r="A47" s="450"/>
      <c r="B47" s="375" t="s">
        <v>540</v>
      </c>
      <c r="C47" s="381" t="s">
        <v>451</v>
      </c>
      <c r="D47" s="375" t="s">
        <v>707</v>
      </c>
      <c r="E47" s="385" t="s">
        <v>740</v>
      </c>
      <c r="F47" s="453"/>
    </row>
    <row r="48" spans="1:6" ht="103.5" thickTop="1" thickBot="1" x14ac:dyDescent="0.3">
      <c r="A48" s="450"/>
      <c r="B48" s="375" t="s">
        <v>541</v>
      </c>
      <c r="C48" s="381" t="s">
        <v>452</v>
      </c>
      <c r="D48" s="375" t="s">
        <v>708</v>
      </c>
      <c r="E48" s="385" t="s">
        <v>741</v>
      </c>
      <c r="F48" s="453"/>
    </row>
    <row r="49" spans="1:6" ht="78" thickTop="1" thickBot="1" x14ac:dyDescent="0.3">
      <c r="A49" s="450"/>
      <c r="B49" s="375" t="s">
        <v>542</v>
      </c>
      <c r="C49" s="381" t="s">
        <v>453</v>
      </c>
      <c r="D49" s="375" t="s">
        <v>709</v>
      </c>
      <c r="E49" s="385" t="s">
        <v>742</v>
      </c>
      <c r="F49" s="453"/>
    </row>
    <row r="50" spans="1:6" ht="52.5" thickTop="1" thickBot="1" x14ac:dyDescent="0.3">
      <c r="A50" s="450"/>
      <c r="B50" s="375" t="s">
        <v>543</v>
      </c>
      <c r="C50" s="381" t="s">
        <v>454</v>
      </c>
      <c r="D50" s="375" t="s">
        <v>710</v>
      </c>
      <c r="E50" s="385" t="s">
        <v>745</v>
      </c>
      <c r="F50" s="453"/>
    </row>
    <row r="51" spans="1:6" ht="52.5" thickTop="1" thickBot="1" x14ac:dyDescent="0.3">
      <c r="A51" s="450"/>
      <c r="B51" s="375" t="s">
        <v>544</v>
      </c>
      <c r="C51" s="381" t="s">
        <v>455</v>
      </c>
      <c r="D51" s="375" t="s">
        <v>711</v>
      </c>
      <c r="E51" s="385" t="s">
        <v>746</v>
      </c>
      <c r="F51" s="453"/>
    </row>
    <row r="52" spans="1:6" ht="90.75" thickTop="1" thickBot="1" x14ac:dyDescent="0.3">
      <c r="A52" s="450"/>
      <c r="B52" s="375" t="s">
        <v>545</v>
      </c>
      <c r="C52" s="381" t="s">
        <v>456</v>
      </c>
      <c r="D52" s="375" t="s">
        <v>712</v>
      </c>
      <c r="E52" s="385" t="s">
        <v>747</v>
      </c>
      <c r="F52" s="453"/>
    </row>
    <row r="53" spans="1:6" ht="52.5" thickTop="1" thickBot="1" x14ac:dyDescent="0.3">
      <c r="A53" s="450"/>
      <c r="B53" s="375" t="s">
        <v>546</v>
      </c>
      <c r="C53" s="381" t="s">
        <v>457</v>
      </c>
      <c r="D53" s="375" t="s">
        <v>713</v>
      </c>
      <c r="E53" s="385" t="s">
        <v>748</v>
      </c>
      <c r="F53" s="453"/>
    </row>
    <row r="54" spans="1:6" ht="78" thickTop="1" thickBot="1" x14ac:dyDescent="0.3">
      <c r="A54" s="450"/>
      <c r="B54" s="375" t="s">
        <v>547</v>
      </c>
      <c r="C54" s="381" t="s">
        <v>458</v>
      </c>
      <c r="D54" s="375" t="s">
        <v>714</v>
      </c>
      <c r="E54" s="385" t="s">
        <v>749</v>
      </c>
      <c r="F54" s="453"/>
    </row>
    <row r="55" spans="1:6" ht="65.25" thickTop="1" thickBot="1" x14ac:dyDescent="0.3">
      <c r="A55" s="450"/>
      <c r="B55" s="375" t="s">
        <v>548</v>
      </c>
      <c r="C55" s="381" t="s">
        <v>459</v>
      </c>
      <c r="D55" s="375" t="s">
        <v>715</v>
      </c>
      <c r="E55" s="385" t="s">
        <v>750</v>
      </c>
      <c r="F55" s="453"/>
    </row>
    <row r="56" spans="1:6" ht="39.75" thickTop="1" thickBot="1" x14ac:dyDescent="0.3">
      <c r="A56" s="450"/>
      <c r="B56" s="375" t="s">
        <v>549</v>
      </c>
      <c r="C56" s="381" t="s">
        <v>460</v>
      </c>
      <c r="D56" s="375" t="s">
        <v>716</v>
      </c>
      <c r="E56" s="385" t="s">
        <v>751</v>
      </c>
      <c r="F56" s="453"/>
    </row>
    <row r="57" spans="1:6" ht="52.5" thickTop="1" thickBot="1" x14ac:dyDescent="0.3">
      <c r="A57" s="450"/>
      <c r="B57" s="375" t="s">
        <v>550</v>
      </c>
      <c r="C57" s="381" t="s">
        <v>461</v>
      </c>
      <c r="D57" s="375" t="s">
        <v>717</v>
      </c>
      <c r="E57" s="385" t="s">
        <v>757</v>
      </c>
      <c r="F57" s="453"/>
    </row>
    <row r="58" spans="1:6" ht="39.75" thickTop="1" thickBot="1" x14ac:dyDescent="0.3">
      <c r="A58" s="450"/>
      <c r="B58" s="375" t="s">
        <v>551</v>
      </c>
      <c r="C58" s="381" t="s">
        <v>462</v>
      </c>
      <c r="D58" s="375" t="s">
        <v>718</v>
      </c>
      <c r="E58" s="385" t="s">
        <v>758</v>
      </c>
      <c r="F58" s="453"/>
    </row>
    <row r="59" spans="1:6" ht="27" thickTop="1" thickBot="1" x14ac:dyDescent="0.3">
      <c r="A59" s="450"/>
      <c r="B59" s="375" t="s">
        <v>552</v>
      </c>
      <c r="C59" s="381" t="s">
        <v>463</v>
      </c>
      <c r="D59" s="375" t="s">
        <v>719</v>
      </c>
      <c r="E59" s="385" t="s">
        <v>759</v>
      </c>
      <c r="F59" s="453"/>
    </row>
    <row r="60" spans="1:6" ht="52.5" thickTop="1" thickBot="1" x14ac:dyDescent="0.3">
      <c r="A60" s="450"/>
      <c r="B60" s="375" t="s">
        <v>553</v>
      </c>
      <c r="C60" s="381" t="s">
        <v>464</v>
      </c>
      <c r="D60" s="375" t="s">
        <v>720</v>
      </c>
      <c r="E60" s="385" t="s">
        <v>760</v>
      </c>
      <c r="F60" s="453"/>
    </row>
    <row r="61" spans="1:6" ht="65.25" thickTop="1" thickBot="1" x14ac:dyDescent="0.3">
      <c r="A61" s="450"/>
      <c r="B61" s="375" t="s">
        <v>554</v>
      </c>
      <c r="C61" s="381" t="s">
        <v>465</v>
      </c>
      <c r="D61" s="375" t="s">
        <v>721</v>
      </c>
      <c r="E61" s="385" t="s">
        <v>761</v>
      </c>
      <c r="F61" s="453"/>
    </row>
    <row r="62" spans="1:6" ht="39.75" thickTop="1" thickBot="1" x14ac:dyDescent="0.3">
      <c r="A62" s="450"/>
      <c r="B62" s="375" t="s">
        <v>778</v>
      </c>
      <c r="C62" s="381" t="s">
        <v>466</v>
      </c>
      <c r="D62" s="375" t="s">
        <v>722</v>
      </c>
      <c r="E62" s="385" t="s">
        <v>762</v>
      </c>
      <c r="F62" s="453"/>
    </row>
    <row r="63" spans="1:6" ht="39.75" thickTop="1" thickBot="1" x14ac:dyDescent="0.3">
      <c r="A63" s="450"/>
      <c r="B63" s="375" t="s">
        <v>778</v>
      </c>
      <c r="C63" s="381" t="s">
        <v>467</v>
      </c>
      <c r="D63" s="375" t="s">
        <v>723</v>
      </c>
      <c r="E63" s="385" t="s">
        <v>762</v>
      </c>
      <c r="F63" s="453"/>
    </row>
    <row r="64" spans="1:6" ht="65.25" thickTop="1" thickBot="1" x14ac:dyDescent="0.3">
      <c r="A64" s="450"/>
      <c r="B64" s="375" t="s">
        <v>555</v>
      </c>
      <c r="C64" s="381" t="s">
        <v>468</v>
      </c>
      <c r="D64" s="375" t="s">
        <v>724</v>
      </c>
      <c r="E64" s="385" t="s">
        <v>768</v>
      </c>
      <c r="F64" s="453"/>
    </row>
    <row r="65" spans="1:6" ht="52.5" thickTop="1" thickBot="1" x14ac:dyDescent="0.3">
      <c r="A65" s="450"/>
      <c r="B65" s="375" t="s">
        <v>556</v>
      </c>
      <c r="C65" s="381" t="s">
        <v>469</v>
      </c>
      <c r="D65" s="375" t="s">
        <v>725</v>
      </c>
      <c r="E65" s="385" t="s">
        <v>769</v>
      </c>
      <c r="F65" s="453"/>
    </row>
    <row r="66" spans="1:6" ht="52.5" thickTop="1" thickBot="1" x14ac:dyDescent="0.3">
      <c r="A66" s="450"/>
      <c r="B66" s="375" t="s">
        <v>557</v>
      </c>
      <c r="C66" s="381" t="s">
        <v>470</v>
      </c>
      <c r="D66" s="375" t="s">
        <v>726</v>
      </c>
      <c r="E66" s="385" t="s">
        <v>770</v>
      </c>
      <c r="F66" s="453"/>
    </row>
    <row r="67" spans="1:6" ht="78" thickTop="1" thickBot="1" x14ac:dyDescent="0.3">
      <c r="A67" s="450"/>
      <c r="B67" s="375" t="s">
        <v>558</v>
      </c>
      <c r="C67" s="381" t="s">
        <v>471</v>
      </c>
      <c r="D67" s="375" t="s">
        <v>727</v>
      </c>
      <c r="E67" s="385" t="s">
        <v>771</v>
      </c>
      <c r="F67" s="453"/>
    </row>
    <row r="68" spans="1:6" ht="52.5" thickTop="1" thickBot="1" x14ac:dyDescent="0.3">
      <c r="A68" s="450"/>
      <c r="B68" s="375" t="s">
        <v>559</v>
      </c>
      <c r="C68" s="381" t="s">
        <v>472</v>
      </c>
      <c r="D68" s="375" t="s">
        <v>728</v>
      </c>
      <c r="E68" s="385" t="s">
        <v>772</v>
      </c>
      <c r="F68" s="453"/>
    </row>
    <row r="69" spans="1:6" ht="52.5" thickTop="1" thickBot="1" x14ac:dyDescent="0.3">
      <c r="A69" s="450"/>
      <c r="B69" s="375" t="s">
        <v>560</v>
      </c>
      <c r="C69" s="381" t="s">
        <v>473</v>
      </c>
      <c r="D69" s="375" t="s">
        <v>729</v>
      </c>
      <c r="E69" s="385" t="s">
        <v>773</v>
      </c>
      <c r="F69" s="453"/>
    </row>
    <row r="70" spans="1:6" ht="65.25" thickTop="1" thickBot="1" x14ac:dyDescent="0.3">
      <c r="A70" s="450"/>
      <c r="B70" s="375" t="s">
        <v>561</v>
      </c>
      <c r="C70" s="381" t="s">
        <v>474</v>
      </c>
      <c r="D70" s="375" t="s">
        <v>730</v>
      </c>
      <c r="E70" s="385" t="s">
        <v>776</v>
      </c>
      <c r="F70" s="453"/>
    </row>
    <row r="71" spans="1:6" ht="52.5" thickTop="1" thickBot="1" x14ac:dyDescent="0.3">
      <c r="A71" s="451"/>
      <c r="B71" s="375" t="s">
        <v>562</v>
      </c>
      <c r="C71" s="381" t="s">
        <v>475</v>
      </c>
      <c r="D71" s="375" t="s">
        <v>731</v>
      </c>
      <c r="E71" s="385" t="s">
        <v>777</v>
      </c>
      <c r="F71" s="454"/>
    </row>
    <row r="72" spans="1:6" ht="16.5" thickTop="1" x14ac:dyDescent="0.25"/>
  </sheetData>
  <sheetProtection algorithmName="SHA-512" hashValue="Or8U7VGMJYfHZ8syQa0BPUUkvp4z9k12Css/cvWr6/cD5xBMfBnq2TPW+6pWR4s31ZeI8zQuwGIvo7QNIukt3g==" saltValue="PN+RwtDWB+BaPvzBPMTp/g==" spinCount="100000" sheet="1" objects="1" scenarios="1" formatCells="0" formatRows="0" selectLockedCells="1"/>
  <mergeCells count="9">
    <mergeCell ref="A38:A71"/>
    <mergeCell ref="F38:F71"/>
    <mergeCell ref="A37:F37"/>
    <mergeCell ref="A1:A3"/>
    <mergeCell ref="B1:E3"/>
    <mergeCell ref="A5:F5"/>
    <mergeCell ref="B6:F6"/>
    <mergeCell ref="B7:F7"/>
    <mergeCell ref="A9:A36"/>
  </mergeCells>
  <phoneticPr fontId="5" type="noConversion"/>
  <conditionalFormatting sqref="A9">
    <cfRule type="cellIs" dxfId="532" priority="3" operator="notEqual">
      <formula>$D$10</formula>
    </cfRule>
    <cfRule type="cellIs" dxfId="531" priority="4" operator="equal">
      <formula>$D$10</formula>
    </cfRule>
  </conditionalFormatting>
  <conditionalFormatting sqref="A38">
    <cfRule type="cellIs" dxfId="530" priority="1" operator="notEqual">
      <formula>$D$10</formula>
    </cfRule>
    <cfRule type="cellIs" dxfId="529" priority="2" operator="equal">
      <formula>$D$10</formula>
    </cfRule>
  </conditionalFormatting>
  <pageMargins left="1.57" right="0.2" top="0.65" bottom="0.38" header="0.28000000000000003" footer="0"/>
  <pageSetup paperSize="5" scale="55" orientation="landscape" r:id="rId1"/>
  <headerFooter alignWithMargins="0">
    <oddHeader>&amp;C&amp;"Kredit,Normal"&amp;22  IDENTIFICACION DE RIESGOS</oddHeader>
  </headerFooter>
  <cellWatches>
    <cellWatch r="F9"/>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0"/>
  <sheetViews>
    <sheetView view="pageBreakPreview" zoomScaleNormal="100" zoomScaleSheetLayoutView="100" workbookViewId="0">
      <pane xSplit="2" ySplit="8" topLeftCell="C19" activePane="bottomRight" state="frozen"/>
      <selection sqref="A1:B3"/>
      <selection pane="topRight" sqref="A1:B3"/>
      <selection pane="bottomLeft" sqref="A1:B3"/>
      <selection pane="bottomRight" activeCell="G6" sqref="G6"/>
    </sheetView>
  </sheetViews>
  <sheetFormatPr baseColWidth="10" defaultRowHeight="15" x14ac:dyDescent="0.2"/>
  <cols>
    <col min="1" max="2" width="14.6640625" customWidth="1"/>
    <col min="3" max="5" width="6.5546875" style="96" customWidth="1"/>
    <col min="6" max="6" width="17.5546875" customWidth="1"/>
    <col min="7" max="7" width="31" customWidth="1"/>
    <col min="8" max="8" width="25.109375" customWidth="1"/>
  </cols>
  <sheetData>
    <row r="1" spans="1:8" ht="15" customHeight="1" x14ac:dyDescent="0.2">
      <c r="A1" s="433" t="s">
        <v>145</v>
      </c>
      <c r="B1" s="433"/>
      <c r="C1" s="651" t="s">
        <v>206</v>
      </c>
      <c r="D1" s="652"/>
      <c r="E1" s="652"/>
      <c r="F1" s="652"/>
      <c r="G1" s="653"/>
      <c r="H1" s="182" t="s">
        <v>71</v>
      </c>
    </row>
    <row r="2" spans="1:8" ht="15" customHeight="1" x14ac:dyDescent="0.2">
      <c r="A2" s="433"/>
      <c r="B2" s="433"/>
      <c r="C2" s="654"/>
      <c r="D2" s="655"/>
      <c r="E2" s="655"/>
      <c r="F2" s="655"/>
      <c r="G2" s="656"/>
      <c r="H2" s="182" t="s">
        <v>107</v>
      </c>
    </row>
    <row r="3" spans="1:8" ht="15" customHeight="1" x14ac:dyDescent="0.2">
      <c r="A3" s="433"/>
      <c r="B3" s="433"/>
      <c r="C3" s="657"/>
      <c r="D3" s="658"/>
      <c r="E3" s="658"/>
      <c r="F3" s="658"/>
      <c r="G3" s="659"/>
      <c r="H3" s="182" t="s">
        <v>408</v>
      </c>
    </row>
    <row r="4" spans="1:8" ht="3.75" customHeight="1" x14ac:dyDescent="0.2">
      <c r="A4" s="33"/>
      <c r="B4" s="34"/>
      <c r="C4" s="269"/>
      <c r="D4" s="269"/>
      <c r="E4" s="268"/>
      <c r="F4" s="268"/>
      <c r="G4" s="49"/>
      <c r="H4" s="49"/>
    </row>
    <row r="5" spans="1:8" ht="15.75" x14ac:dyDescent="0.2">
      <c r="A5" s="435" t="s">
        <v>184</v>
      </c>
      <c r="B5" s="435"/>
      <c r="C5" s="435"/>
      <c r="D5" s="435"/>
      <c r="E5" s="514"/>
      <c r="F5" s="514"/>
      <c r="G5" s="514"/>
      <c r="H5" s="514"/>
    </row>
    <row r="6" spans="1:8" ht="15.75" customHeight="1" x14ac:dyDescent="0.2">
      <c r="A6" s="489" t="str">
        <f>'CONTEXTO ESTRATEGICO'!A7</f>
        <v>INSTITUCIONAL</v>
      </c>
      <c r="B6" s="489"/>
      <c r="C6" s="606" t="str">
        <f>'SEGUIMIENTO Y MONITOREO'!C6</f>
        <v>Mapa de Riesgo Institucional</v>
      </c>
      <c r="D6" s="607"/>
      <c r="E6" s="607"/>
      <c r="F6" s="607"/>
      <c r="G6" s="277" t="str">
        <f>'SEGUIMIENTO Y MONITOREO'!E6</f>
        <v>Fecha de Actualización (AAAA/MM/DD)</v>
      </c>
      <c r="H6" s="171">
        <f>'SEGUIMIENTO Y MONITOREO'!H6</f>
        <v>42443</v>
      </c>
    </row>
    <row r="7" spans="1:8" ht="15.75" customHeight="1" x14ac:dyDescent="0.2">
      <c r="A7" s="489"/>
      <c r="B7" s="489"/>
      <c r="C7" s="660" t="s">
        <v>161</v>
      </c>
      <c r="D7" s="661"/>
      <c r="E7" s="661"/>
      <c r="F7" s="662"/>
      <c r="G7" s="278" t="s">
        <v>185</v>
      </c>
      <c r="H7" s="172">
        <f>'SEGUIMIENTO Y MONITOREO'!$AX$7</f>
        <v>42735</v>
      </c>
    </row>
    <row r="8" spans="1:8" ht="24" customHeight="1" x14ac:dyDescent="0.2">
      <c r="A8" s="695" t="s">
        <v>286</v>
      </c>
      <c r="B8" s="697">
        <f>VALORACIÓN!BD3</f>
        <v>28</v>
      </c>
      <c r="C8" s="275" t="str">
        <f>TGS!G8</f>
        <v>% 1ER CuaT</v>
      </c>
      <c r="D8" s="275" t="str">
        <f>TGS!I8</f>
        <v>% 2DO CuaT</v>
      </c>
      <c r="E8" s="275" t="str">
        <f>TGS!K8</f>
        <v>% 3ER CuaT</v>
      </c>
      <c r="F8" s="276" t="s">
        <v>369</v>
      </c>
      <c r="G8" s="663"/>
      <c r="H8" s="663"/>
    </row>
    <row r="9" spans="1:8" ht="22.5" hidden="1" customHeight="1" x14ac:dyDescent="0.2">
      <c r="A9" s="696"/>
      <c r="B9" s="698"/>
      <c r="C9" s="274" t="str">
        <f>'SEGUIMIENTO Y MONITOREO'!AR9</f>
        <v>NA</v>
      </c>
      <c r="D9" s="274">
        <f>'SEGUIMIENTO Y MONITOREO'!AS9</f>
        <v>0</v>
      </c>
      <c r="E9" s="274">
        <f>'SEGUIMIENTO Y MONITOREO'!AU9</f>
        <v>1</v>
      </c>
      <c r="F9" s="274">
        <f>'SEGUIMIENTO Y MONITOREO'!AW9</f>
        <v>1</v>
      </c>
      <c r="G9" s="694"/>
      <c r="H9" s="694"/>
    </row>
    <row r="10" spans="1:8" ht="22.5" hidden="1" customHeight="1" x14ac:dyDescent="0.2">
      <c r="A10" s="272" t="str">
        <f>IDENTIFICACIÓN!C10</f>
        <v>2G</v>
      </c>
      <c r="B10" s="271" t="str">
        <f>IF(IDENTIFICACIÓN!D10="","",IDENTIFICACIÓN!D10)</f>
        <v xml:space="preserve">Relaciones Interinstitucionales. Escaso registro y control de la movilidad internacional entrante y saliente. </v>
      </c>
      <c r="C10" s="274">
        <f>'SEGUIMIENTO Y MONITOREO'!AR12</f>
        <v>1</v>
      </c>
      <c r="D10" s="274">
        <f>'SEGUIMIENTO Y MONITOREO'!AS12</f>
        <v>1</v>
      </c>
      <c r="E10" s="274">
        <f>'SEGUIMIENTO Y MONITOREO'!AU12</f>
        <v>1</v>
      </c>
      <c r="F10" s="274">
        <f>'SEGUIMIENTO Y MONITOREO'!AW12</f>
        <v>1</v>
      </c>
      <c r="G10" s="694"/>
      <c r="H10" s="694"/>
    </row>
    <row r="11" spans="1:8" ht="22.5" hidden="1" customHeight="1" x14ac:dyDescent="0.2">
      <c r="A11" s="272" t="str">
        <f>IDENTIFICACIÓN!C11</f>
        <v>3G</v>
      </c>
      <c r="B11" s="271" t="str">
        <f>IF(IDENTIFICACIÓN!D11="","",IDENTIFICACIÓN!D11)</f>
        <v>Relaciones Interinstitucionales. Gestionar la movilidad internacional sin requisitos legales</v>
      </c>
      <c r="C11" s="274">
        <f>'SEGUIMIENTO Y MONITOREO'!AR15</f>
        <v>1</v>
      </c>
      <c r="D11" s="274">
        <f>'SEGUIMIENTO Y MONITOREO'!AS15</f>
        <v>1</v>
      </c>
      <c r="E11" s="274">
        <f>'SEGUIMIENTO Y MONITOREO'!AU15</f>
        <v>1</v>
      </c>
      <c r="F11" s="274">
        <f>'SEGUIMIENTO Y MONITOREO'!AW15</f>
        <v>1</v>
      </c>
      <c r="G11" s="694"/>
      <c r="H11" s="694"/>
    </row>
    <row r="12" spans="1:8" ht="22.5" hidden="1" customHeight="1" x14ac:dyDescent="0.2">
      <c r="A12" s="272" t="str">
        <f>IDENTIFICACIÓN!C12</f>
        <v>4G</v>
      </c>
      <c r="B12" s="271" t="str">
        <f>IF(IDENTIFICACIÓN!D12="","",IDENTIFICACIÓN!D12)</f>
        <v>Acreditación. Insuficiente Implementación de la Política Institucional de Autoevaluación, Acreditación y Aseguramiento de la calidad</v>
      </c>
      <c r="C12" s="274">
        <f>'SEGUIMIENTO Y MONITOREO'!AR18</f>
        <v>0</v>
      </c>
      <c r="D12" s="274">
        <f>'SEGUIMIENTO Y MONITOREO'!AS18</f>
        <v>0.5</v>
      </c>
      <c r="E12" s="274">
        <f>'SEGUIMIENTO Y MONITOREO'!AU18</f>
        <v>0.5</v>
      </c>
      <c r="F12" s="274">
        <f>'SEGUIMIENTO Y MONITOREO'!AW18</f>
        <v>0.5</v>
      </c>
      <c r="G12" s="694"/>
      <c r="H12" s="694"/>
    </row>
    <row r="13" spans="1:8" ht="22.5" hidden="1" customHeight="1" x14ac:dyDescent="0.2">
      <c r="A13" s="272" t="str">
        <f>IDENTIFICACIÓN!C13</f>
        <v>5G</v>
      </c>
      <c r="B13" s="271" t="str">
        <f>IF(IDENTIFICACIÓN!D13="","",IDENTIFICACIÓN!D13)</f>
        <v xml:space="preserve">Acreditación. Deficiencia en la calidad técnica de los informes </v>
      </c>
      <c r="C13" s="274">
        <f>'SEGUIMIENTO Y MONITOREO'!AR21</f>
        <v>1</v>
      </c>
      <c r="D13" s="274">
        <f>'SEGUIMIENTO Y MONITOREO'!AS21</f>
        <v>1</v>
      </c>
      <c r="E13" s="274">
        <f>'SEGUIMIENTO Y MONITOREO'!AU21</f>
        <v>1</v>
      </c>
      <c r="F13" s="274">
        <f>'SEGUIMIENTO Y MONITOREO'!AW21</f>
        <v>1</v>
      </c>
      <c r="G13" s="694"/>
      <c r="H13" s="694"/>
    </row>
    <row r="14" spans="1:8" ht="22.5" hidden="1" customHeight="1" x14ac:dyDescent="0.2">
      <c r="A14" s="272" t="str">
        <f>IDENTIFICACIÓN!C14</f>
        <v>6G</v>
      </c>
      <c r="B14" s="271" t="str">
        <f>IF(IDENTIFICACIÓN!D14="","",IDENTIFICACIÓN!D14)</f>
        <v>Acreditación. Negación de la acreditación o de la renovación de registro calificado</v>
      </c>
      <c r="C14" s="274" t="str">
        <f>'SEGUIMIENTO Y MONITOREO'!AR24</f>
        <v>NA</v>
      </c>
      <c r="D14" s="274" t="str">
        <f>'SEGUIMIENTO Y MONITOREO'!AS24</f>
        <v>NA</v>
      </c>
      <c r="E14" s="274" t="str">
        <f>'SEGUIMIENTO Y MONITOREO'!AU24</f>
        <v>NA</v>
      </c>
      <c r="F14" s="274" t="str">
        <f>'SEGUIMIENTO Y MONITOREO'!AW24</f>
        <v>NA</v>
      </c>
      <c r="G14" s="694"/>
      <c r="H14" s="694"/>
    </row>
    <row r="15" spans="1:8" ht="22.5" hidden="1" customHeight="1" x14ac:dyDescent="0.2">
      <c r="A15" s="272" t="str">
        <f>IDENTIFICACIÓN!C15</f>
        <v>7G</v>
      </c>
      <c r="B15" s="271" t="str">
        <f>IF(IDENTIFICACIÓN!D15="","",IDENTIFICACIÓN!D15)</f>
        <v>Acreditación. Incumplimiento en algunas actividades establecidas en el plan de trabajo</v>
      </c>
      <c r="C15" s="274" t="str">
        <f>'SEGUIMIENTO Y MONITOREO'!AR27</f>
        <v>NA</v>
      </c>
      <c r="D15" s="274" t="str">
        <f>'SEGUIMIENTO Y MONITOREO'!AS27</f>
        <v>NA</v>
      </c>
      <c r="E15" s="274" t="str">
        <f>'SEGUIMIENTO Y MONITOREO'!AU27</f>
        <v>NA</v>
      </c>
      <c r="F15" s="274" t="str">
        <f>'SEGUIMIENTO Y MONITOREO'!AW27</f>
        <v>NA</v>
      </c>
      <c r="G15" s="694"/>
      <c r="H15" s="694"/>
    </row>
    <row r="16" spans="1:8" ht="22.5" hidden="1" customHeight="1" x14ac:dyDescent="0.2">
      <c r="A16" s="272" t="str">
        <f>IDENTIFICACIÓN!C16</f>
        <v>8G</v>
      </c>
      <c r="B16" s="271" t="str">
        <f>IF(IDENTIFICACIÓN!D16="","",IDENTIFICACIÓN!D16)</f>
        <v>Acreditación. Retraso en el otorgamiento o renovacion del registro calificado</v>
      </c>
      <c r="C16" s="274" t="str">
        <f>'SEGUIMIENTO Y MONITOREO'!AR30</f>
        <v>NA</v>
      </c>
      <c r="D16" s="274" t="str">
        <f>'SEGUIMIENTO Y MONITOREO'!AS30</f>
        <v>NA</v>
      </c>
      <c r="E16" s="274" t="str">
        <f>'SEGUIMIENTO Y MONITOREO'!AU30</f>
        <v>NA</v>
      </c>
      <c r="F16" s="274" t="str">
        <f>'SEGUIMIENTO Y MONITOREO'!AW30</f>
        <v>NA</v>
      </c>
      <c r="G16" s="694"/>
      <c r="H16" s="694"/>
    </row>
    <row r="17" spans="1:8" ht="22.5" hidden="1" customHeight="1" x14ac:dyDescent="0.2">
      <c r="A17" s="272" t="str">
        <f>IDENTIFICACIÓN!C17</f>
        <v>9G</v>
      </c>
      <c r="B17" s="271" t="str">
        <f>IF(IDENTIFICACIÓN!D17="","",IDENTIFICACIÓN!D17)</f>
        <v>Gestión de la Calidad. La alta dirección no asegura la disponibilidad de los recursos para el mantenimiento y mejora del sistema.</v>
      </c>
      <c r="C17" s="274">
        <f>'SEGUIMIENTO Y MONITOREO'!AR33</f>
        <v>1</v>
      </c>
      <c r="D17" s="274">
        <f>'SEGUIMIENTO Y MONITOREO'!AS33</f>
        <v>1</v>
      </c>
      <c r="E17" s="274">
        <f>'SEGUIMIENTO Y MONITOREO'!AU33</f>
        <v>1</v>
      </c>
      <c r="F17" s="274">
        <f>'SEGUIMIENTO Y MONITOREO'!AW33</f>
        <v>1</v>
      </c>
      <c r="G17" s="694"/>
      <c r="H17" s="694"/>
    </row>
    <row r="18" spans="1:8" ht="22.5" hidden="1" customHeight="1" x14ac:dyDescent="0.2">
      <c r="A18" s="272" t="str">
        <f>IDENTIFICACIÓN!C18</f>
        <v>10G</v>
      </c>
      <c r="B18" s="271" t="str">
        <f>IF(IDENTIFICACIÓN!D18="","",IDENTIFICACIÓN!D18)</f>
        <v>Comunicaciones. Inoportuna e ineficaz divulgación de los productos comunicativos y publicitarios ante los usuarios internos y externos.</v>
      </c>
      <c r="C18" s="274">
        <f>'SEGUIMIENTO Y MONITOREO'!AR36</f>
        <v>0.125</v>
      </c>
      <c r="D18" s="274">
        <f>'SEGUIMIENTO Y MONITOREO'!AS36</f>
        <v>0.25</v>
      </c>
      <c r="E18" s="274">
        <f>'SEGUIMIENTO Y MONITOREO'!AU36</f>
        <v>0.25</v>
      </c>
      <c r="F18" s="274">
        <f>'SEGUIMIENTO Y MONITOREO'!AW36</f>
        <v>0.25</v>
      </c>
      <c r="G18" s="694"/>
      <c r="H18" s="694"/>
    </row>
    <row r="19" spans="1:8" ht="36.75" customHeight="1" x14ac:dyDescent="0.2">
      <c r="A19" s="699" t="str">
        <f>'SEGUIMIENTO Y MONITOREO'!B200</f>
        <v>Cumplimiento Riesgos de GESTIÓN (Respecto a los plazos establecidos)</v>
      </c>
      <c r="B19" s="699"/>
      <c r="C19" s="164">
        <f>TGS!G90</f>
        <v>0.17424749163879599</v>
      </c>
      <c r="D19" s="164">
        <f>TGS!I90</f>
        <v>0.40058372352285398</v>
      </c>
      <c r="E19" s="164">
        <f>TGS!K90</f>
        <v>0.4535255295429208</v>
      </c>
      <c r="F19" s="164">
        <f>'SEGUIMIENTO Y MONITOREO'!AW200</f>
        <v>0.4535255295429208</v>
      </c>
      <c r="G19" s="289">
        <f>1-F19</f>
        <v>0.5464744704570792</v>
      </c>
      <c r="H19" s="184"/>
    </row>
    <row r="20" spans="1:8" ht="36.75" customHeight="1" x14ac:dyDescent="0.2">
      <c r="A20" s="700" t="str">
        <f>'SEGUIMIENTO Y MONITOREO'!B201</f>
        <v xml:space="preserve">% Avance Riesgos de GESTIÓN </v>
      </c>
      <c r="B20" s="700"/>
      <c r="C20" s="164">
        <f>TGS!G91</f>
        <v>0.17424749163879599</v>
      </c>
      <c r="D20" s="164">
        <f>TGS!I91</f>
        <v>0.40058372352285398</v>
      </c>
      <c r="E20" s="164">
        <f>TGS!K91</f>
        <v>0.56848874024526197</v>
      </c>
      <c r="F20" s="164">
        <f>'SEGUIMIENTO Y MONITOREO'!AW201</f>
        <v>0.56848874024526197</v>
      </c>
      <c r="G20" s="289">
        <f>1-F20</f>
        <v>0.43151125975473803</v>
      </c>
      <c r="H20" s="184"/>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row r="25" spans="1:8" x14ac:dyDescent="0.2">
      <c r="A25" s="27"/>
      <c r="B25" s="27"/>
      <c r="C25" s="133"/>
      <c r="D25" s="133"/>
      <c r="E25" s="133"/>
      <c r="F25" s="27"/>
      <c r="G25" s="27"/>
      <c r="H25" s="27"/>
    </row>
    <row r="26" spans="1:8" x14ac:dyDescent="0.2">
      <c r="A26" s="27"/>
      <c r="B26" s="27"/>
      <c r="C26" s="133"/>
      <c r="D26" s="133"/>
      <c r="E26" s="133"/>
      <c r="F26" s="27"/>
      <c r="G26" s="27"/>
      <c r="H26" s="27"/>
    </row>
    <row r="27" spans="1:8" x14ac:dyDescent="0.2">
      <c r="A27" s="27"/>
      <c r="B27" s="27"/>
      <c r="C27" s="133"/>
      <c r="D27" s="133"/>
      <c r="E27" s="133"/>
      <c r="F27" s="27"/>
      <c r="G27" s="27"/>
      <c r="H27" s="27"/>
    </row>
    <row r="28" spans="1:8" x14ac:dyDescent="0.2">
      <c r="A28" s="27"/>
      <c r="B28" s="27"/>
      <c r="C28" s="133"/>
      <c r="D28" s="133"/>
      <c r="E28" s="133"/>
      <c r="F28" s="27"/>
      <c r="G28" s="27"/>
      <c r="H28" s="27"/>
    </row>
    <row r="29" spans="1:8" x14ac:dyDescent="0.2">
      <c r="A29" s="27"/>
      <c r="B29" s="27"/>
      <c r="C29" s="133"/>
      <c r="D29" s="133"/>
      <c r="E29" s="133"/>
      <c r="F29" s="27"/>
      <c r="G29" s="27"/>
      <c r="H29" s="27"/>
    </row>
    <row r="30" spans="1:8" x14ac:dyDescent="0.2">
      <c r="A30" s="27"/>
      <c r="B30" s="27"/>
      <c r="C30" s="133"/>
      <c r="D30" s="133"/>
      <c r="E30" s="133"/>
      <c r="F30" s="27"/>
      <c r="G30" s="27"/>
      <c r="H30" s="27"/>
    </row>
  </sheetData>
  <mergeCells count="22">
    <mergeCell ref="A7:B7"/>
    <mergeCell ref="C7:F7"/>
    <mergeCell ref="A1:B3"/>
    <mergeCell ref="C1:G3"/>
    <mergeCell ref="A5:H5"/>
    <mergeCell ref="A6:B6"/>
    <mergeCell ref="C6:F6"/>
    <mergeCell ref="A19:B19"/>
    <mergeCell ref="A20:B20"/>
    <mergeCell ref="G14:H14"/>
    <mergeCell ref="G15:H15"/>
    <mergeCell ref="G16:H16"/>
    <mergeCell ref="G17:H17"/>
    <mergeCell ref="G18:H18"/>
    <mergeCell ref="G13:H13"/>
    <mergeCell ref="A8:A9"/>
    <mergeCell ref="B8:B9"/>
    <mergeCell ref="G8:H8"/>
    <mergeCell ref="G9:H9"/>
    <mergeCell ref="G10:H10"/>
    <mergeCell ref="G11:H11"/>
    <mergeCell ref="G12:H12"/>
  </mergeCells>
  <conditionalFormatting sqref="H7">
    <cfRule type="containsText" dxfId="38" priority="5" operator="containsText" text="Sin Seguimientos">
      <formula>NOT(ISERROR(SEARCH("Sin Seguimientos",H7)))</formula>
    </cfRule>
  </conditionalFormatting>
  <dataValidations count="1">
    <dataValidation operator="equal" allowBlank="1" showInputMessage="1" showErrorMessage="1" sqref="C9:C18"/>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0" operator="notEqual" id="{6E10A6CE-3C81-4F52-85B3-C3FD1E43AB2D}">
            <xm:f>VALORACIÓN!$D$10</xm:f>
            <x14:dxf>
              <font>
                <color auto="1"/>
              </font>
              <fill>
                <patternFill patternType="lightGrid">
                  <fgColor theme="0" tint="-4.9989318521683403E-2"/>
                  <bgColor theme="0"/>
                </patternFill>
              </fill>
            </x14:dxf>
          </x14:cfRule>
          <x14:cfRule type="cellIs" priority="11" operator="equal" id="{6EE16EA0-2D93-4C9D-85D0-27EC44E45F45}">
            <xm:f>VALORACIÓN!$D$10</xm:f>
            <x14:dxf>
              <fill>
                <patternFill patternType="lightGrid">
                  <fgColor theme="0" tint="-4.9989318521683403E-2"/>
                </patternFill>
              </fill>
            </x14:dxf>
          </x14:cfRule>
          <xm:sqref>C9:E18</xm:sqref>
        </x14:conditionalFormatting>
        <x14:conditionalFormatting xmlns:xm="http://schemas.microsoft.com/office/excel/2006/main">
          <x14:cfRule type="cellIs" priority="8" operator="notEqual" id="{0BA243C2-11F1-4357-BF3B-A865E36CAC52}">
            <xm:f>VALORACIÓN!$D$10</xm:f>
            <x14:dxf>
              <font>
                <color auto="1"/>
              </font>
              <fill>
                <patternFill patternType="lightGrid">
                  <fgColor theme="0" tint="-4.9989318521683403E-2"/>
                  <bgColor theme="0"/>
                </patternFill>
              </fill>
            </x14:dxf>
          </x14:cfRule>
          <x14:cfRule type="cellIs" priority="9" operator="equal" id="{BBFD6AD7-C3DD-45DC-A6A5-38E6B5654A21}">
            <xm:f>VALORACIÓN!$D$10</xm:f>
            <x14:dxf>
              <fill>
                <patternFill patternType="lightGrid">
                  <fgColor theme="0" tint="-4.9989318521683403E-2"/>
                </patternFill>
              </fill>
            </x14:dxf>
          </x14:cfRule>
          <xm:sqref>F9:F18</xm:sqref>
        </x14:conditionalFormatting>
        <x14:conditionalFormatting xmlns:xm="http://schemas.microsoft.com/office/excel/2006/main">
          <x14:cfRule type="cellIs" priority="6" operator="notEqual" id="{BFF4B44E-3B4E-4728-8150-F7978ED17B5E}">
            <xm:f>VALORACIÓN!$D$10</xm:f>
            <x14:dxf>
              <font>
                <color auto="1"/>
              </font>
              <fill>
                <patternFill patternType="lightGrid">
                  <fgColor theme="0" tint="-4.9989318521683403E-2"/>
                  <bgColor theme="0"/>
                </patternFill>
              </fill>
            </x14:dxf>
          </x14:cfRule>
          <x14:cfRule type="cellIs" priority="7" operator="equal" id="{D17AE4E9-0503-4ADF-92CC-750C203E7148}">
            <xm:f>VALORACIÓN!$D$10</xm:f>
            <x14:dxf>
              <fill>
                <patternFill patternType="lightGrid">
                  <fgColor theme="0" tint="-4.9989318521683403E-2"/>
                </patternFill>
              </fill>
            </x14:dxf>
          </x14:cfRule>
          <xm:sqref>G9:G18</xm:sqref>
        </x14:conditionalFormatting>
        <x14:conditionalFormatting xmlns:xm="http://schemas.microsoft.com/office/excel/2006/main">
          <x14:cfRule type="cellIs" priority="3" operator="notEqual" id="{E15AEAF6-7C14-413E-A885-EA4535C2C9AA}">
            <xm:f>VALORACIÓN!$D$10</xm:f>
            <x14:dxf>
              <font>
                <color auto="1"/>
              </font>
              <fill>
                <patternFill patternType="lightGrid">
                  <fgColor theme="0" tint="-4.9989318521683403E-2"/>
                  <bgColor theme="0"/>
                </patternFill>
              </fill>
            </x14:dxf>
          </x14:cfRule>
          <x14:cfRule type="cellIs" priority="4" operator="equal" id="{6B65A22A-290D-4FF6-9991-044BD813D51D}">
            <xm:f>VALORACIÓN!$D$10</xm:f>
            <x14:dxf>
              <fill>
                <patternFill patternType="lightGrid">
                  <fgColor theme="0" tint="-4.9989318521683403E-2"/>
                </patternFill>
              </fill>
            </x14:dxf>
          </x14:cfRule>
          <xm:sqref>F19:F20</xm:sqref>
        </x14:conditionalFormatting>
        <x14:conditionalFormatting xmlns:xm="http://schemas.microsoft.com/office/excel/2006/main">
          <x14:cfRule type="cellIs" priority="1" operator="notEqual" id="{B498E9A1-B859-4997-8568-A3B9BFFBC0F8}">
            <xm:f>VALORACIÓN!$D$10</xm:f>
            <x14:dxf>
              <font>
                <color auto="1"/>
              </font>
              <fill>
                <patternFill patternType="lightGrid">
                  <fgColor theme="0" tint="-4.9989318521683403E-2"/>
                  <bgColor theme="0"/>
                </patternFill>
              </fill>
            </x14:dxf>
          </x14:cfRule>
          <x14:cfRule type="cellIs" priority="2" operator="equal" id="{8C2DDF85-DC9F-4866-A5B4-9A8441FE3AB4}">
            <xm:f>VALORACIÓN!$D$10</xm:f>
            <x14:dxf>
              <fill>
                <patternFill patternType="lightGrid">
                  <fgColor theme="0" tint="-4.9989318521683403E-2"/>
                </patternFill>
              </fill>
            </x14:dxf>
          </x14:cfRule>
          <xm:sqref>C19:E20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5"/>
  <sheetViews>
    <sheetView view="pageBreakPreview" zoomScaleNormal="100" zoomScaleSheetLayoutView="100" workbookViewId="0">
      <pane xSplit="2" ySplit="8" topLeftCell="C9" activePane="bottomRight" state="frozen"/>
      <selection sqref="A1:B3"/>
      <selection pane="topRight" sqref="A1:B3"/>
      <selection pane="bottomLeft" sqref="A1:B3"/>
      <selection pane="bottomRight" activeCell="G6" sqref="G6"/>
    </sheetView>
  </sheetViews>
  <sheetFormatPr baseColWidth="10" defaultRowHeight="15" x14ac:dyDescent="0.2"/>
  <cols>
    <col min="1" max="2" width="14.6640625" customWidth="1"/>
    <col min="3" max="5" width="6.5546875" style="96" customWidth="1"/>
    <col min="6" max="6" width="17.5546875" customWidth="1"/>
    <col min="7" max="7" width="31" customWidth="1"/>
    <col min="8" max="8" width="25.109375" customWidth="1"/>
  </cols>
  <sheetData>
    <row r="1" spans="1:8" ht="15" customHeight="1" x14ac:dyDescent="0.2">
      <c r="A1" s="433" t="s">
        <v>145</v>
      </c>
      <c r="B1" s="433"/>
      <c r="C1" s="651" t="s">
        <v>206</v>
      </c>
      <c r="D1" s="652"/>
      <c r="E1" s="652"/>
      <c r="F1" s="652"/>
      <c r="G1" s="653"/>
      <c r="H1" s="182" t="s">
        <v>71</v>
      </c>
    </row>
    <row r="2" spans="1:8" ht="15" customHeight="1" x14ac:dyDescent="0.2">
      <c r="A2" s="433"/>
      <c r="B2" s="433"/>
      <c r="C2" s="654"/>
      <c r="D2" s="655"/>
      <c r="E2" s="655"/>
      <c r="F2" s="655"/>
      <c r="G2" s="656"/>
      <c r="H2" s="182" t="s">
        <v>107</v>
      </c>
    </row>
    <row r="3" spans="1:8" ht="15" customHeight="1" x14ac:dyDescent="0.2">
      <c r="A3" s="433"/>
      <c r="B3" s="433"/>
      <c r="C3" s="657"/>
      <c r="D3" s="658"/>
      <c r="E3" s="658"/>
      <c r="F3" s="658"/>
      <c r="G3" s="659"/>
      <c r="H3" s="182" t="s">
        <v>408</v>
      </c>
    </row>
    <row r="4" spans="1:8" ht="3.75" customHeight="1" x14ac:dyDescent="0.2">
      <c r="A4" s="33"/>
      <c r="B4" s="34"/>
      <c r="C4" s="291"/>
      <c r="D4" s="291"/>
      <c r="E4" s="290"/>
      <c r="F4" s="290"/>
      <c r="G4" s="49"/>
      <c r="H4" s="49"/>
    </row>
    <row r="5" spans="1:8" ht="15.75" x14ac:dyDescent="0.2">
      <c r="A5" s="435" t="s">
        <v>184</v>
      </c>
      <c r="B5" s="435"/>
      <c r="C5" s="435"/>
      <c r="D5" s="435"/>
      <c r="E5" s="514"/>
      <c r="F5" s="514"/>
      <c r="G5" s="514"/>
      <c r="H5" s="514"/>
    </row>
    <row r="6" spans="1:8" ht="15.75" customHeight="1" x14ac:dyDescent="0.2">
      <c r="A6" s="489" t="str">
        <f>'CONTEXTO ESTRATEGICO'!A7</f>
        <v>INSTITUCIONAL</v>
      </c>
      <c r="B6" s="489"/>
      <c r="C6" s="606" t="str">
        <f>'SEGUIMIENTO Y MONITOREO'!C6</f>
        <v>Mapa de Riesgo Institucional</v>
      </c>
      <c r="D6" s="607"/>
      <c r="E6" s="607"/>
      <c r="F6" s="607"/>
      <c r="G6" s="302" t="str">
        <f>'SEGUIMIENTO Y MONITOREO'!E6</f>
        <v>Fecha de Actualización (AAAA/MM/DD)</v>
      </c>
      <c r="H6" s="171">
        <f>'SEGUIMIENTO Y MONITOREO'!H6</f>
        <v>42443</v>
      </c>
    </row>
    <row r="7" spans="1:8" ht="15.75" customHeight="1" x14ac:dyDescent="0.2">
      <c r="A7" s="489"/>
      <c r="B7" s="489"/>
      <c r="C7" s="660" t="s">
        <v>161</v>
      </c>
      <c r="D7" s="661"/>
      <c r="E7" s="661"/>
      <c r="F7" s="662"/>
      <c r="G7" s="303" t="s">
        <v>185</v>
      </c>
      <c r="H7" s="172">
        <f>'SEGUIMIENTO Y MONITOREO'!$AX$7</f>
        <v>42735</v>
      </c>
    </row>
    <row r="8" spans="1:8" ht="24" customHeight="1" x14ac:dyDescent="0.2">
      <c r="A8" s="695" t="s">
        <v>286</v>
      </c>
      <c r="B8" s="697">
        <f>COUNTA(IDENTIFICACIÓN!D38:D71)</f>
        <v>34</v>
      </c>
      <c r="C8" s="298" t="str">
        <f>TGS!G8</f>
        <v>% 1ER CuaT</v>
      </c>
      <c r="D8" s="298" t="str">
        <f>TGS!I8</f>
        <v>% 2DO CuaT</v>
      </c>
      <c r="E8" s="298" t="str">
        <f>TGS!K8</f>
        <v>% 3ER CuaT</v>
      </c>
      <c r="F8" s="301" t="s">
        <v>369</v>
      </c>
      <c r="G8" s="663"/>
      <c r="H8" s="663"/>
    </row>
    <row r="9" spans="1:8" ht="22.5" hidden="1" customHeight="1" thickBot="1" x14ac:dyDescent="0.25">
      <c r="A9" s="696"/>
      <c r="B9" s="698"/>
      <c r="C9" s="295">
        <f>'SEGUIMIENTO Y MONITOREO'!AR95</f>
        <v>1</v>
      </c>
      <c r="D9" s="295">
        <f>'SEGUIMIENTO Y MONITOREO'!AS95</f>
        <v>1</v>
      </c>
      <c r="E9" s="295">
        <f>'SEGUIMIENTO Y MONITOREO'!AU95</f>
        <v>1</v>
      </c>
      <c r="F9" s="295">
        <f>'SEGUIMIENTO Y MONITOREO'!AW95</f>
        <v>1</v>
      </c>
      <c r="G9" s="694"/>
      <c r="H9" s="694"/>
    </row>
    <row r="10" spans="1:8" ht="22.5" hidden="1" customHeight="1" thickTop="1" thickBot="1" x14ac:dyDescent="0.25">
      <c r="A10" s="252" t="str">
        <f>IDENTIFICACIÓN!C39</f>
        <v>2C</v>
      </c>
      <c r="B10" s="293" t="str">
        <f>IF(IDENTIFICACIÓN!D39="","",IDENTIFICACIÓN!D39)</f>
        <v>Dirección y Planeación. Ausencia o debilidad de procesos y procedimientos para la gestión administrativa y misional</v>
      </c>
      <c r="C10" s="295" t="str">
        <f>'SEGUIMIENTO Y MONITOREO'!AR98</f>
        <v>NA</v>
      </c>
      <c r="D10" s="295" t="str">
        <f>'SEGUIMIENTO Y MONITOREO'!AS98</f>
        <v>NA</v>
      </c>
      <c r="E10" s="295" t="str">
        <f>'SEGUIMIENTO Y MONITOREO'!AU98</f>
        <v>NA</v>
      </c>
      <c r="F10" s="295" t="str">
        <f>'SEGUIMIENTO Y MONITOREO'!AW98</f>
        <v>NA</v>
      </c>
      <c r="G10" s="694"/>
      <c r="H10" s="694"/>
    </row>
    <row r="11" spans="1:8" ht="22.5" hidden="1" customHeight="1" thickTop="1" thickBot="1" x14ac:dyDescent="0.25">
      <c r="A11" s="252" t="str">
        <f>IDENTIFICACIÓN!C40</f>
        <v>3C</v>
      </c>
      <c r="B11" s="293" t="str">
        <f>IF(IDENTIFICACIÓN!D40="","",IDENTIFICACIÓN!D40)</f>
        <v>Dirección y Planeación. Prevaricato</v>
      </c>
      <c r="C11" s="295" t="str">
        <f>'SEGUIMIENTO Y MONITOREO'!AR101</f>
        <v>NA</v>
      </c>
      <c r="D11" s="295" t="str">
        <f>'SEGUIMIENTO Y MONITOREO'!AS101</f>
        <v>NA</v>
      </c>
      <c r="E11" s="295" t="str">
        <f>'SEGUIMIENTO Y MONITOREO'!AU101</f>
        <v>NA</v>
      </c>
      <c r="F11" s="295" t="str">
        <f>'SEGUIMIENTO Y MONITOREO'!AW101</f>
        <v>NA</v>
      </c>
      <c r="G11" s="694"/>
      <c r="H11" s="694"/>
    </row>
    <row r="12" spans="1:8" ht="22.5" hidden="1" customHeight="1" thickTop="1" thickBot="1" x14ac:dyDescent="0.25">
      <c r="A12" s="252" t="str">
        <f>IDENTIFICACIÓN!C41</f>
        <v>4C</v>
      </c>
      <c r="B12" s="293" t="str">
        <f>IF(IDENTIFICACIÓN!D41="","",IDENTIFICACIÓN!D41)</f>
        <v>Dirección y Planeación. Malversación de Recursos</v>
      </c>
      <c r="C12" s="295" t="str">
        <f>'SEGUIMIENTO Y MONITOREO'!AR104</f>
        <v>NA</v>
      </c>
      <c r="D12" s="295" t="str">
        <f>'SEGUIMIENTO Y MONITOREO'!AS104</f>
        <v>NA</v>
      </c>
      <c r="E12" s="295" t="str">
        <f>'SEGUIMIENTO Y MONITOREO'!AU104</f>
        <v>NA</v>
      </c>
      <c r="F12" s="295" t="str">
        <f>'SEGUIMIENTO Y MONITOREO'!AW104</f>
        <v>NA</v>
      </c>
      <c r="G12" s="694"/>
      <c r="H12" s="694"/>
    </row>
    <row r="13" spans="1:8" ht="22.5" hidden="1" customHeight="1" thickTop="1" thickBot="1" x14ac:dyDescent="0.25">
      <c r="A13" s="252" t="str">
        <f>IDENTIFICACIÓN!C42</f>
        <v>5C</v>
      </c>
      <c r="B13" s="293" t="str">
        <f>IF(IDENTIFICACIÓN!D42="","",IDENTIFICACIÓN!D42)</f>
        <v>Acreditación. Deficiencias en el manejo documental y de archivo</v>
      </c>
      <c r="C13" s="295">
        <f>'SEGUIMIENTO Y MONITOREO'!AR107</f>
        <v>1</v>
      </c>
      <c r="D13" s="295">
        <f>'SEGUIMIENTO Y MONITOREO'!AS107</f>
        <v>1</v>
      </c>
      <c r="E13" s="295">
        <f>'SEGUIMIENTO Y MONITOREO'!AU107</f>
        <v>1</v>
      </c>
      <c r="F13" s="295">
        <f>'SEGUIMIENTO Y MONITOREO'!AW107</f>
        <v>1</v>
      </c>
      <c r="G13" s="694"/>
      <c r="H13" s="694"/>
    </row>
    <row r="14" spans="1:8" ht="36.75" customHeight="1" x14ac:dyDescent="0.2">
      <c r="A14" s="699" t="str">
        <f>'SEGUIMIENTO Y MONITOREO'!B202</f>
        <v>Cumplimiento Riesgos de CORRUPCIÓN (Respecto a los plazos establecidos)</v>
      </c>
      <c r="B14" s="699"/>
      <c r="C14" s="164">
        <f>'TGS C'!G111</f>
        <v>0.24291617473435656</v>
      </c>
      <c r="D14" s="164">
        <f>'TGS C'!I111</f>
        <v>0.42483333929614925</v>
      </c>
      <c r="E14" s="164">
        <f>'TGS C'!K111</f>
        <v>0.4422218048251107</v>
      </c>
      <c r="F14" s="164">
        <f>'SEGUIMIENTO Y MONITOREO'!AW202</f>
        <v>0.4422218048251107</v>
      </c>
      <c r="G14" s="289">
        <f>1-F14</f>
        <v>0.55777819517488925</v>
      </c>
      <c r="H14" s="184"/>
    </row>
    <row r="15" spans="1:8" ht="36.75" customHeight="1" x14ac:dyDescent="0.2">
      <c r="A15" s="700" t="str">
        <f>'SEGUIMIENTO Y MONITOREO'!B203</f>
        <v xml:space="preserve">% Avance Riesgo de CORRUPCIÓN </v>
      </c>
      <c r="B15" s="700"/>
      <c r="C15" s="164">
        <f>'TGS C'!G112</f>
        <v>0.24291617473435656</v>
      </c>
      <c r="D15" s="164">
        <f>'TGS C'!I112</f>
        <v>0.43242161878525515</v>
      </c>
      <c r="E15" s="164">
        <f>'TGS C'!K112</f>
        <v>0.60297097301229541</v>
      </c>
      <c r="F15" s="164">
        <f>'SEGUIMIENTO Y MONITOREO'!AW203</f>
        <v>0.60297097301229541</v>
      </c>
      <c r="G15" s="289">
        <f>1-F15</f>
        <v>0.39702902698770459</v>
      </c>
      <c r="H15" s="184"/>
    </row>
    <row r="16" spans="1:8" x14ac:dyDescent="0.2">
      <c r="A16" s="27"/>
      <c r="B16" s="27"/>
      <c r="C16" s="133"/>
      <c r="D16" s="133"/>
      <c r="E16" s="133"/>
      <c r="F16" s="27"/>
      <c r="G16" s="27"/>
      <c r="H16" s="27"/>
    </row>
    <row r="17" spans="1:8" x14ac:dyDescent="0.2">
      <c r="A17" s="27"/>
      <c r="B17" s="27"/>
      <c r="C17" s="133"/>
      <c r="D17" s="133"/>
      <c r="E17" s="133"/>
      <c r="F17" s="27"/>
      <c r="G17" s="27"/>
      <c r="H17" s="27"/>
    </row>
    <row r="18" spans="1:8" x14ac:dyDescent="0.2">
      <c r="A18" s="27"/>
      <c r="B18" s="27"/>
      <c r="C18" s="133"/>
      <c r="D18" s="133"/>
      <c r="E18" s="133"/>
      <c r="F18" s="27"/>
      <c r="G18" s="27"/>
      <c r="H18" s="27"/>
    </row>
    <row r="19" spans="1:8" x14ac:dyDescent="0.2">
      <c r="A19" s="27"/>
      <c r="B19" s="27"/>
      <c r="C19" s="133"/>
      <c r="D19" s="133"/>
      <c r="E19" s="133"/>
      <c r="F19" s="27"/>
      <c r="G19" s="27"/>
      <c r="H19" s="27"/>
    </row>
    <row r="20" spans="1:8" x14ac:dyDescent="0.2">
      <c r="A20" s="27"/>
      <c r="B20" s="27"/>
      <c r="C20" s="133"/>
      <c r="D20" s="133"/>
      <c r="E20" s="133"/>
      <c r="F20" s="27"/>
      <c r="G20" s="27"/>
      <c r="H20" s="27"/>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row r="25" spans="1:8" x14ac:dyDescent="0.2">
      <c r="A25" s="27"/>
      <c r="B25" s="27"/>
      <c r="C25" s="133"/>
      <c r="D25" s="133"/>
      <c r="E25" s="133"/>
      <c r="F25" s="27"/>
      <c r="G25" s="27"/>
      <c r="H25" s="27"/>
    </row>
  </sheetData>
  <mergeCells count="17">
    <mergeCell ref="A7:B7"/>
    <mergeCell ref="C7:F7"/>
    <mergeCell ref="A8:A9"/>
    <mergeCell ref="B8:B9"/>
    <mergeCell ref="A1:B3"/>
    <mergeCell ref="C1:G3"/>
    <mergeCell ref="A5:H5"/>
    <mergeCell ref="A6:B6"/>
    <mergeCell ref="C6:F6"/>
    <mergeCell ref="A14:B14"/>
    <mergeCell ref="A15:B15"/>
    <mergeCell ref="G13:H13"/>
    <mergeCell ref="G8:H8"/>
    <mergeCell ref="G9:H9"/>
    <mergeCell ref="G10:H10"/>
    <mergeCell ref="G11:H11"/>
    <mergeCell ref="G12:H12"/>
  </mergeCells>
  <conditionalFormatting sqref="H7">
    <cfRule type="containsText" dxfId="27" priority="9" operator="containsText" text="Sin Seguimientos">
      <formula>NOT(ISERROR(SEARCH("Sin Seguimientos",H7)))</formula>
    </cfRule>
  </conditionalFormatting>
  <dataValidations count="1">
    <dataValidation operator="equal" allowBlank="1" showInputMessage="1" showErrorMessage="1" sqref="C9:C13"/>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0" operator="notEqual" id="{74858FA0-36DA-4D0A-B8DE-C923C9EC7DF6}">
            <xm:f>VALORACIÓN!$D$10</xm:f>
            <x14:dxf>
              <font>
                <color auto="1"/>
              </font>
              <fill>
                <patternFill patternType="lightGrid">
                  <fgColor theme="0" tint="-4.9989318521683403E-2"/>
                  <bgColor theme="0"/>
                </patternFill>
              </fill>
            </x14:dxf>
          </x14:cfRule>
          <x14:cfRule type="cellIs" priority="11" operator="equal" id="{B45E9D04-8A07-4B06-9761-B7F218BC8DBA}">
            <xm:f>VALORACIÓN!$D$10</xm:f>
            <x14:dxf>
              <fill>
                <patternFill patternType="lightGrid">
                  <fgColor theme="0" tint="-4.9989318521683403E-2"/>
                </patternFill>
              </fill>
            </x14:dxf>
          </x14:cfRule>
          <xm:sqref>G9:G13</xm:sqref>
        </x14:conditionalFormatting>
        <x14:conditionalFormatting xmlns:xm="http://schemas.microsoft.com/office/excel/2006/main">
          <x14:cfRule type="cellIs" priority="7" operator="notEqual" id="{032A083A-9203-4979-A1B5-48748F1546A6}">
            <xm:f>VALORACIÓN!$D$10</xm:f>
            <x14:dxf>
              <font>
                <color auto="1"/>
              </font>
              <fill>
                <patternFill patternType="lightGrid">
                  <fgColor theme="0" tint="-4.9989318521683403E-2"/>
                  <bgColor theme="0"/>
                </patternFill>
              </fill>
            </x14:dxf>
          </x14:cfRule>
          <x14:cfRule type="cellIs" priority="8" operator="equal" id="{65D5F806-71AE-4BC3-B0AB-DD0490A88151}">
            <xm:f>VALORACIÓN!$D$10</xm:f>
            <x14:dxf>
              <fill>
                <patternFill patternType="lightGrid">
                  <fgColor theme="0" tint="-4.9989318521683403E-2"/>
                </patternFill>
              </fill>
            </x14:dxf>
          </x14:cfRule>
          <xm:sqref>F14:F15</xm:sqref>
        </x14:conditionalFormatting>
        <x14:conditionalFormatting xmlns:xm="http://schemas.microsoft.com/office/excel/2006/main">
          <x14:cfRule type="cellIs" priority="5" operator="notEqual" id="{900ABC59-5407-42C0-9BEB-2CEA16F1C0AD}">
            <xm:f>VALORACIÓN!$D$10</xm:f>
            <x14:dxf>
              <font>
                <color auto="1"/>
              </font>
              <fill>
                <patternFill patternType="lightGrid">
                  <fgColor theme="0" tint="-4.9989318521683403E-2"/>
                  <bgColor theme="0"/>
                </patternFill>
              </fill>
            </x14:dxf>
          </x14:cfRule>
          <x14:cfRule type="cellIs" priority="6" operator="equal" id="{1DBE2100-0448-46F8-B5DB-A8662EDBE128}">
            <xm:f>VALORACIÓN!$D$10</xm:f>
            <x14:dxf>
              <fill>
                <patternFill patternType="lightGrid">
                  <fgColor theme="0" tint="-4.9989318521683403E-2"/>
                </patternFill>
              </fill>
            </x14:dxf>
          </x14:cfRule>
          <xm:sqref>C14:E15</xm:sqref>
        </x14:conditionalFormatting>
        <x14:conditionalFormatting xmlns:xm="http://schemas.microsoft.com/office/excel/2006/main">
          <x14:cfRule type="cellIs" priority="3" operator="notEqual" id="{F08CFA9B-99D3-44E6-9A33-287396B880DA}">
            <xm:f>VALORACIÓN!$D$10</xm:f>
            <x14:dxf>
              <font>
                <color auto="1"/>
              </font>
              <fill>
                <patternFill patternType="lightGrid">
                  <fgColor theme="0" tint="-4.9989318521683403E-2"/>
                  <bgColor theme="0"/>
                </patternFill>
              </fill>
            </x14:dxf>
          </x14:cfRule>
          <x14:cfRule type="cellIs" priority="4" operator="equal" id="{4CDBDA53-75F4-4ADE-8582-8D814D5AEB23}">
            <xm:f>VALORACIÓN!$D$10</xm:f>
            <x14:dxf>
              <fill>
                <patternFill patternType="lightGrid">
                  <fgColor theme="0" tint="-4.9989318521683403E-2"/>
                </patternFill>
              </fill>
            </x14:dxf>
          </x14:cfRule>
          <xm:sqref>F9:F13</xm:sqref>
        </x14:conditionalFormatting>
        <x14:conditionalFormatting xmlns:xm="http://schemas.microsoft.com/office/excel/2006/main">
          <x14:cfRule type="cellIs" priority="1" operator="notEqual" id="{D7989489-0A63-4FCD-AE13-DFBC11BF31D6}">
            <xm:f>VALORACIÓN!$D$10</xm:f>
            <x14:dxf>
              <font>
                <color auto="1"/>
              </font>
              <fill>
                <patternFill patternType="lightGrid">
                  <fgColor theme="0" tint="-4.9989318521683403E-2"/>
                  <bgColor theme="0"/>
                </patternFill>
              </fill>
            </x14:dxf>
          </x14:cfRule>
          <x14:cfRule type="cellIs" priority="2" operator="equal" id="{EF454860-E516-4D98-9F2A-66B8DBBAA0B9}">
            <xm:f>VALORACIÓN!$D$10</xm:f>
            <x14:dxf>
              <fill>
                <patternFill patternType="lightGrid">
                  <fgColor theme="0" tint="-4.9989318521683403E-2"/>
                </patternFill>
              </fill>
            </x14:dxf>
          </x14:cfRule>
          <xm:sqref>C9:E13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4"/>
  <sheetViews>
    <sheetView view="pageBreakPreview" zoomScaleNormal="100" zoomScaleSheetLayoutView="100" workbookViewId="0">
      <pane xSplit="2" ySplit="8" topLeftCell="C9" activePane="bottomRight" state="frozen"/>
      <selection sqref="A1:B3"/>
      <selection pane="topRight" sqref="A1:B3"/>
      <selection pane="bottomLeft" sqref="A1:B3"/>
      <selection pane="bottomRight" activeCell="G7" sqref="G7"/>
    </sheetView>
  </sheetViews>
  <sheetFormatPr baseColWidth="10" defaultRowHeight="15" x14ac:dyDescent="0.2"/>
  <cols>
    <col min="1" max="1" width="18.5546875" customWidth="1"/>
    <col min="2" max="2" width="9.33203125" customWidth="1"/>
    <col min="3" max="5" width="6.5546875" style="96" customWidth="1"/>
    <col min="6" max="6" width="17.5546875" customWidth="1"/>
    <col min="7" max="7" width="31" customWidth="1"/>
    <col min="8" max="8" width="25.109375" customWidth="1"/>
  </cols>
  <sheetData>
    <row r="1" spans="1:8" ht="15" customHeight="1" x14ac:dyDescent="0.2">
      <c r="A1" s="433" t="s">
        <v>145</v>
      </c>
      <c r="B1" s="433"/>
      <c r="C1" s="651" t="s">
        <v>206</v>
      </c>
      <c r="D1" s="652"/>
      <c r="E1" s="652"/>
      <c r="F1" s="652"/>
      <c r="G1" s="653"/>
      <c r="H1" s="182" t="s">
        <v>71</v>
      </c>
    </row>
    <row r="2" spans="1:8" ht="15" customHeight="1" x14ac:dyDescent="0.2">
      <c r="A2" s="433"/>
      <c r="B2" s="433"/>
      <c r="C2" s="654"/>
      <c r="D2" s="655"/>
      <c r="E2" s="655"/>
      <c r="F2" s="655"/>
      <c r="G2" s="656"/>
      <c r="H2" s="182" t="s">
        <v>107</v>
      </c>
    </row>
    <row r="3" spans="1:8" ht="15" customHeight="1" x14ac:dyDescent="0.2">
      <c r="A3" s="433"/>
      <c r="B3" s="433"/>
      <c r="C3" s="657"/>
      <c r="D3" s="658"/>
      <c r="E3" s="658"/>
      <c r="F3" s="658"/>
      <c r="G3" s="659"/>
      <c r="H3" s="182" t="s">
        <v>408</v>
      </c>
    </row>
    <row r="4" spans="1:8" ht="3.75" customHeight="1" x14ac:dyDescent="0.2">
      <c r="A4" s="33"/>
      <c r="B4" s="34"/>
      <c r="C4" s="305"/>
      <c r="D4" s="305"/>
      <c r="E4" s="304"/>
      <c r="F4" s="304"/>
      <c r="G4" s="49"/>
      <c r="H4" s="49"/>
    </row>
    <row r="5" spans="1:8" ht="15.75" x14ac:dyDescent="0.2">
      <c r="A5" s="435" t="s">
        <v>184</v>
      </c>
      <c r="B5" s="435"/>
      <c r="C5" s="435"/>
      <c r="D5" s="435"/>
      <c r="E5" s="514"/>
      <c r="F5" s="514"/>
      <c r="G5" s="514"/>
      <c r="H5" s="514"/>
    </row>
    <row r="6" spans="1:8" ht="15.75" customHeight="1" x14ac:dyDescent="0.2">
      <c r="A6" s="489" t="str">
        <f>'CONTEXTO ESTRATEGICO'!A7</f>
        <v>INSTITUCIONAL</v>
      </c>
      <c r="B6" s="489"/>
      <c r="C6" s="606" t="str">
        <f>'SEGUIMIENTO Y MONITOREO'!C6</f>
        <v>Mapa de Riesgo Institucional</v>
      </c>
      <c r="D6" s="607"/>
      <c r="E6" s="607"/>
      <c r="F6" s="607"/>
      <c r="G6" s="310" t="str">
        <f>'SEGUIMIENTO Y MONITOREO'!E6</f>
        <v>Fecha de Actualización (AAAA/MM/DD)</v>
      </c>
      <c r="H6" s="171">
        <f>'SEGUIMIENTO Y MONITOREO'!H6</f>
        <v>42443</v>
      </c>
    </row>
    <row r="7" spans="1:8" ht="15.75" customHeight="1" x14ac:dyDescent="0.2">
      <c r="A7" s="489"/>
      <c r="B7" s="489"/>
      <c r="C7" s="701" t="s">
        <v>385</v>
      </c>
      <c r="D7" s="702"/>
      <c r="E7" s="702"/>
      <c r="F7" s="703"/>
      <c r="G7" s="311" t="s">
        <v>185</v>
      </c>
      <c r="H7" s="172">
        <f>'SEGUIMIENTO Y MONITOREO'!$AX$7</f>
        <v>42735</v>
      </c>
    </row>
    <row r="8" spans="1:8" ht="24" customHeight="1" x14ac:dyDescent="0.2">
      <c r="A8" s="325" t="s">
        <v>286</v>
      </c>
      <c r="B8" s="326">
        <f>SUM(VALORACIÓN!BD3,COUNTA(IDENTIFICACIÓN!D38:D71))</f>
        <v>62</v>
      </c>
      <c r="C8" s="308" t="str">
        <f>TGS!G8</f>
        <v>% 1ER CuaT</v>
      </c>
      <c r="D8" s="308" t="str">
        <f>TGS!I8</f>
        <v>% 2DO CuaT</v>
      </c>
      <c r="E8" s="308" t="str">
        <f>TGS!K8</f>
        <v>% 3ER CuaT</v>
      </c>
      <c r="F8" s="309" t="s">
        <v>369</v>
      </c>
      <c r="G8" s="663"/>
      <c r="H8" s="663"/>
    </row>
    <row r="9" spans="1:8" ht="18.75" customHeight="1" x14ac:dyDescent="0.2">
      <c r="A9" s="709" t="s">
        <v>380</v>
      </c>
      <c r="B9" s="327" t="s">
        <v>381</v>
      </c>
      <c r="C9" s="164">
        <f>'SEGUIMIENTO Y MONITOREO'!J200</f>
        <v>0.17424749163879599</v>
      </c>
      <c r="D9" s="164">
        <f>'SEGUIMIENTO Y MONITOREO'!T200</f>
        <v>0.40058372352285398</v>
      </c>
      <c r="E9" s="164">
        <f>'SEGUIMIENTO Y MONITOREO'!AD200</f>
        <v>0.4535255295429208</v>
      </c>
      <c r="F9" s="164">
        <f>'SEGUIMIENTO Y MONITOREO'!AW200</f>
        <v>0.4535255295429208</v>
      </c>
      <c r="G9" s="289"/>
      <c r="H9" s="184"/>
    </row>
    <row r="10" spans="1:8" ht="18.75" customHeight="1" thickBot="1" x14ac:dyDescent="0.25">
      <c r="A10" s="710"/>
      <c r="B10" s="335" t="s">
        <v>382</v>
      </c>
      <c r="C10" s="328">
        <f>'SEGUIMIENTO Y MONITOREO'!J202</f>
        <v>0.24291617473435656</v>
      </c>
      <c r="D10" s="328">
        <f>'SEGUIMIENTO Y MONITOREO'!T202</f>
        <v>0.42483333929614925</v>
      </c>
      <c r="E10" s="328">
        <f>'SEGUIMIENTO Y MONITOREO'!AD202</f>
        <v>0.4422218048251107</v>
      </c>
      <c r="F10" s="328">
        <f>'SEGUIMIENTO Y MONITOREO'!AW202</f>
        <v>0.4422218048251107</v>
      </c>
      <c r="G10" s="289"/>
      <c r="H10" s="184"/>
    </row>
    <row r="11" spans="1:8" ht="18.75" customHeight="1" thickBot="1" x14ac:dyDescent="0.25">
      <c r="A11" s="704" t="s">
        <v>383</v>
      </c>
      <c r="B11" s="705"/>
      <c r="C11" s="331">
        <f>'SEGUIMIENTO Y MONITOREO'!J205</f>
        <v>0.20971661415358461</v>
      </c>
      <c r="D11" s="331">
        <f>'SEGUIMIENTO Y MONITOREO'!T205</f>
        <v>0.41310926725000852</v>
      </c>
      <c r="E11" s="331">
        <f>'SEGUIMIENTO Y MONITOREO'!AD205</f>
        <v>0.44768686803354679</v>
      </c>
      <c r="F11" s="332">
        <f>'SEGUIMIENTO Y MONITOREO'!AW205</f>
        <v>0.44768686803354679</v>
      </c>
      <c r="G11" s="337">
        <f>1-F11</f>
        <v>0.55231313196645315</v>
      </c>
      <c r="H11" s="184"/>
    </row>
    <row r="12" spans="1:8" ht="18.75" customHeight="1" x14ac:dyDescent="0.2">
      <c r="A12" s="706" t="s">
        <v>182</v>
      </c>
      <c r="B12" s="329" t="s">
        <v>381</v>
      </c>
      <c r="C12" s="330">
        <f>'SEGUIMIENTO Y MONITOREO'!J201</f>
        <v>0.17424749163879599</v>
      </c>
      <c r="D12" s="330">
        <f>'SEGUIMIENTO Y MONITOREO'!T201</f>
        <v>0.40058372352285398</v>
      </c>
      <c r="E12" s="330">
        <f>'SEGUIMIENTO Y MONITOREO'!AD201</f>
        <v>0.56848874024526197</v>
      </c>
      <c r="F12" s="330">
        <f>'SEGUIMIENTO Y MONITOREO'!AW201</f>
        <v>0.56848874024526197</v>
      </c>
      <c r="G12" s="337"/>
      <c r="H12" s="184"/>
    </row>
    <row r="13" spans="1:8" ht="18.75" customHeight="1" thickBot="1" x14ac:dyDescent="0.25">
      <c r="A13" s="706"/>
      <c r="B13" s="336" t="s">
        <v>382</v>
      </c>
      <c r="C13" s="328">
        <f>'SEGUIMIENTO Y MONITOREO'!J203</f>
        <v>0.24291617473435656</v>
      </c>
      <c r="D13" s="328">
        <f>'SEGUIMIENTO Y MONITOREO'!T203</f>
        <v>0.43242161878525515</v>
      </c>
      <c r="E13" s="328">
        <f>'SEGUIMIENTO Y MONITOREO'!AD203</f>
        <v>0.60297097301229541</v>
      </c>
      <c r="F13" s="328">
        <f>'SEGUIMIENTO Y MONITOREO'!AW203</f>
        <v>0.60297097301229541</v>
      </c>
      <c r="G13" s="337"/>
      <c r="H13" s="184"/>
    </row>
    <row r="14" spans="1:8" ht="18.75" customHeight="1" thickBot="1" x14ac:dyDescent="0.25">
      <c r="A14" s="707" t="s">
        <v>384</v>
      </c>
      <c r="B14" s="708"/>
      <c r="C14" s="333">
        <f>'SEGUIMIENTO Y MONITOREO'!J206</f>
        <v>0.20971661415358461</v>
      </c>
      <c r="D14" s="333">
        <f>'SEGUIMIENTO Y MONITOREO'!T206</f>
        <v>0.41702880673645831</v>
      </c>
      <c r="E14" s="333">
        <f>'SEGUIMIENTO Y MONITOREO'!AD206</f>
        <v>0.58629969108140001</v>
      </c>
      <c r="F14" s="334">
        <f>'SEGUIMIENTO Y MONITOREO'!AW206</f>
        <v>0.58629969108140001</v>
      </c>
      <c r="G14" s="337">
        <f>1-F14</f>
        <v>0.41370030891859999</v>
      </c>
      <c r="H14" s="184"/>
    </row>
    <row r="15" spans="1:8" x14ac:dyDescent="0.2">
      <c r="A15" s="27"/>
      <c r="B15" s="27"/>
      <c r="C15" s="133"/>
      <c r="D15" s="133"/>
      <c r="E15" s="133"/>
      <c r="F15" s="27"/>
      <c r="G15" s="27"/>
      <c r="H15" s="27"/>
    </row>
    <row r="16" spans="1:8" x14ac:dyDescent="0.2">
      <c r="A16" s="27"/>
      <c r="B16" s="27"/>
      <c r="C16" s="133"/>
      <c r="D16" s="133"/>
      <c r="E16" s="133"/>
      <c r="F16" s="27"/>
      <c r="G16" s="27"/>
      <c r="H16" s="27"/>
    </row>
    <row r="17" spans="1:8" x14ac:dyDescent="0.2">
      <c r="A17" s="27"/>
      <c r="B17" s="27"/>
      <c r="C17" s="133"/>
      <c r="D17" s="133"/>
      <c r="E17" s="133"/>
      <c r="F17" s="27"/>
      <c r="G17" s="27"/>
      <c r="H17" s="27"/>
    </row>
    <row r="18" spans="1:8" x14ac:dyDescent="0.2">
      <c r="A18" s="27"/>
      <c r="B18" s="27"/>
      <c r="C18" s="133"/>
      <c r="D18" s="133"/>
      <c r="E18" s="133"/>
      <c r="F18" s="27"/>
      <c r="G18" s="27"/>
      <c r="H18" s="27"/>
    </row>
    <row r="19" spans="1:8" x14ac:dyDescent="0.2">
      <c r="A19" s="27"/>
      <c r="B19" s="27"/>
      <c r="C19" s="133"/>
      <c r="D19" s="133"/>
      <c r="E19" s="133"/>
      <c r="F19" s="27"/>
      <c r="G19" s="27"/>
      <c r="H19" s="27"/>
    </row>
    <row r="20" spans="1:8" x14ac:dyDescent="0.2">
      <c r="A20" s="27"/>
      <c r="B20" s="27"/>
      <c r="C20" s="133"/>
      <c r="D20" s="133"/>
      <c r="E20" s="133"/>
      <c r="F20" s="27"/>
      <c r="G20" s="27"/>
      <c r="H20" s="27"/>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sheetData>
  <mergeCells count="12">
    <mergeCell ref="A11:B11"/>
    <mergeCell ref="A12:A13"/>
    <mergeCell ref="A14:B14"/>
    <mergeCell ref="A9:A10"/>
    <mergeCell ref="G8:H8"/>
    <mergeCell ref="A7:B7"/>
    <mergeCell ref="C7:F7"/>
    <mergeCell ref="A1:B3"/>
    <mergeCell ref="C1:G3"/>
    <mergeCell ref="A5:H5"/>
    <mergeCell ref="A6:B6"/>
    <mergeCell ref="C6:F6"/>
  </mergeCells>
  <conditionalFormatting sqref="H7">
    <cfRule type="containsText" dxfId="16" priority="17" operator="containsText" text="Sin Seguimientos">
      <formula>NOT(ISERROR(SEARCH("Sin Seguimientos",H7)))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3F0046E7-8580-4AF4-9708-8CB2ABFC9FC1}">
            <xm:f>VALORACIÓN!$D$10</xm:f>
            <x14:dxf>
              <font>
                <color auto="1"/>
              </font>
              <fill>
                <patternFill patternType="lightGrid">
                  <fgColor theme="0" tint="-4.9989318521683403E-2"/>
                  <bgColor theme="0"/>
                </patternFill>
              </fill>
            </x14:dxf>
          </x14:cfRule>
          <x14:cfRule type="cellIs" priority="16" operator="equal" id="{016F67C5-613F-4B9E-BC9A-6C970F55A50F}">
            <xm:f>VALORACIÓN!$D$10</xm:f>
            <x14:dxf>
              <fill>
                <patternFill patternType="lightGrid">
                  <fgColor theme="0" tint="-4.9989318521683403E-2"/>
                </patternFill>
              </fill>
            </x14:dxf>
          </x14:cfRule>
          <xm:sqref>F9:F10</xm:sqref>
        </x14:conditionalFormatting>
        <x14:conditionalFormatting xmlns:xm="http://schemas.microsoft.com/office/excel/2006/main">
          <x14:cfRule type="cellIs" priority="13" operator="notEqual" id="{A94F56BE-BC4C-4CFB-9B5F-20C113B41DA5}">
            <xm:f>VALORACIÓN!$D$10</xm:f>
            <x14:dxf>
              <font>
                <color auto="1"/>
              </font>
              <fill>
                <patternFill patternType="lightGrid">
                  <fgColor theme="0" tint="-4.9989318521683403E-2"/>
                  <bgColor theme="0"/>
                </patternFill>
              </fill>
            </x14:dxf>
          </x14:cfRule>
          <x14:cfRule type="cellIs" priority="14" operator="equal" id="{DE2156DD-2C4D-444A-B9CE-83FA970F1056}">
            <xm:f>VALORACIÓN!$D$10</xm:f>
            <x14:dxf>
              <fill>
                <patternFill patternType="lightGrid">
                  <fgColor theme="0" tint="-4.9989318521683403E-2"/>
                </patternFill>
              </fill>
            </x14:dxf>
          </x14:cfRule>
          <xm:sqref>C9:E10</xm:sqref>
        </x14:conditionalFormatting>
        <x14:conditionalFormatting xmlns:xm="http://schemas.microsoft.com/office/excel/2006/main">
          <x14:cfRule type="cellIs" priority="11" operator="notEqual" id="{12557B69-DCCA-4AD0-98F9-0A050817CC78}">
            <xm:f>VALORACIÓN!$D$10</xm:f>
            <x14:dxf>
              <font>
                <color auto="1"/>
              </font>
              <fill>
                <patternFill patternType="lightGrid">
                  <fgColor theme="0" tint="-4.9989318521683403E-2"/>
                  <bgColor theme="0"/>
                </patternFill>
              </fill>
            </x14:dxf>
          </x14:cfRule>
          <x14:cfRule type="cellIs" priority="12" operator="equal" id="{29A88D8F-5503-418D-A9F0-A4FD238E1908}">
            <xm:f>VALORACIÓN!$D$10</xm:f>
            <x14:dxf>
              <fill>
                <patternFill patternType="lightGrid">
                  <fgColor theme="0" tint="-4.9989318521683403E-2"/>
                </patternFill>
              </fill>
            </x14:dxf>
          </x14:cfRule>
          <xm:sqref>F11:F12</xm:sqref>
        </x14:conditionalFormatting>
        <x14:conditionalFormatting xmlns:xm="http://schemas.microsoft.com/office/excel/2006/main">
          <x14:cfRule type="cellIs" priority="9" operator="notEqual" id="{1CB94392-3BE2-4171-A84D-D204E83E0947}">
            <xm:f>VALORACIÓN!$D$10</xm:f>
            <x14:dxf>
              <font>
                <color auto="1"/>
              </font>
              <fill>
                <patternFill patternType="lightGrid">
                  <fgColor theme="0" tint="-4.9989318521683403E-2"/>
                  <bgColor theme="0"/>
                </patternFill>
              </fill>
            </x14:dxf>
          </x14:cfRule>
          <x14:cfRule type="cellIs" priority="10" operator="equal" id="{633258B9-C0B0-424F-B30A-F74830F8C354}">
            <xm:f>VALORACIÓN!$D$10</xm:f>
            <x14:dxf>
              <fill>
                <patternFill patternType="lightGrid">
                  <fgColor theme="0" tint="-4.9989318521683403E-2"/>
                </patternFill>
              </fill>
            </x14:dxf>
          </x14:cfRule>
          <xm:sqref>C11:E12</xm:sqref>
        </x14:conditionalFormatting>
        <x14:conditionalFormatting xmlns:xm="http://schemas.microsoft.com/office/excel/2006/main">
          <x14:cfRule type="cellIs" priority="7" operator="notEqual" id="{99B76186-F664-4EBE-AD5E-8C108B8556F1}">
            <xm:f>VALORACIÓN!$D$10</xm:f>
            <x14:dxf>
              <font>
                <color auto="1"/>
              </font>
              <fill>
                <patternFill patternType="lightGrid">
                  <fgColor theme="0" tint="-4.9989318521683403E-2"/>
                  <bgColor theme="0"/>
                </patternFill>
              </fill>
            </x14:dxf>
          </x14:cfRule>
          <x14:cfRule type="cellIs" priority="8" operator="equal" id="{35950E7F-EDF8-492C-8078-A6C5D942813C}">
            <xm:f>VALORACIÓN!$D$10</xm:f>
            <x14:dxf>
              <fill>
                <patternFill patternType="lightGrid">
                  <fgColor theme="0" tint="-4.9989318521683403E-2"/>
                </patternFill>
              </fill>
            </x14:dxf>
          </x14:cfRule>
          <xm:sqref>F13</xm:sqref>
        </x14:conditionalFormatting>
        <x14:conditionalFormatting xmlns:xm="http://schemas.microsoft.com/office/excel/2006/main">
          <x14:cfRule type="cellIs" priority="5" operator="notEqual" id="{DB15282B-E695-496A-9D40-5AE7BBAC5CAC}">
            <xm:f>VALORACIÓN!$D$10</xm:f>
            <x14:dxf>
              <font>
                <color auto="1"/>
              </font>
              <fill>
                <patternFill patternType="lightGrid">
                  <fgColor theme="0" tint="-4.9989318521683403E-2"/>
                  <bgColor theme="0"/>
                </patternFill>
              </fill>
            </x14:dxf>
          </x14:cfRule>
          <x14:cfRule type="cellIs" priority="6" operator="equal" id="{AA88243B-EB07-4FBC-8572-BCDF1BD20583}">
            <xm:f>VALORACIÓN!$D$10</xm:f>
            <x14:dxf>
              <fill>
                <patternFill patternType="lightGrid">
                  <fgColor theme="0" tint="-4.9989318521683403E-2"/>
                </patternFill>
              </fill>
            </x14:dxf>
          </x14:cfRule>
          <xm:sqref>C13:E13</xm:sqref>
        </x14:conditionalFormatting>
        <x14:conditionalFormatting xmlns:xm="http://schemas.microsoft.com/office/excel/2006/main">
          <x14:cfRule type="cellIs" priority="3" operator="notEqual" id="{C280DFAA-4EFE-4712-AD5E-93C1B5F48F9F}">
            <xm:f>VALORACIÓN!$D$10</xm:f>
            <x14:dxf>
              <font>
                <color auto="1"/>
              </font>
              <fill>
                <patternFill patternType="lightGrid">
                  <fgColor theme="0" tint="-4.9989318521683403E-2"/>
                  <bgColor theme="0"/>
                </patternFill>
              </fill>
            </x14:dxf>
          </x14:cfRule>
          <x14:cfRule type="cellIs" priority="4" operator="equal" id="{CC40F3CC-DB0D-42AB-9F81-0E17FBCE7263}">
            <xm:f>VALORACIÓN!$D$10</xm:f>
            <x14:dxf>
              <fill>
                <patternFill patternType="lightGrid">
                  <fgColor theme="0" tint="-4.9989318521683403E-2"/>
                </patternFill>
              </fill>
            </x14:dxf>
          </x14:cfRule>
          <xm:sqref>F14</xm:sqref>
        </x14:conditionalFormatting>
        <x14:conditionalFormatting xmlns:xm="http://schemas.microsoft.com/office/excel/2006/main">
          <x14:cfRule type="cellIs" priority="1" operator="notEqual" id="{EF2FD0A6-8F7A-4D36-ADBA-F42179925BEC}">
            <xm:f>VALORACIÓN!$D$10</xm:f>
            <x14:dxf>
              <font>
                <color auto="1"/>
              </font>
              <fill>
                <patternFill patternType="lightGrid">
                  <fgColor theme="0" tint="-4.9989318521683403E-2"/>
                  <bgColor theme="0"/>
                </patternFill>
              </fill>
            </x14:dxf>
          </x14:cfRule>
          <x14:cfRule type="cellIs" priority="2" operator="equal" id="{566FEFAC-7EBD-4F45-9075-D4C1A4F9A996}">
            <xm:f>VALORACIÓN!$D$10</xm:f>
            <x14:dxf>
              <fill>
                <patternFill patternType="lightGrid">
                  <fgColor theme="0" tint="-4.9989318521683403E-2"/>
                </patternFill>
              </fill>
            </x14:dxf>
          </x14:cfRule>
          <xm:sqref>C14:E14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0.14999847407452621"/>
  </sheetPr>
  <dimension ref="A1:I316"/>
  <sheetViews>
    <sheetView zoomScaleNormal="100" workbookViewId="0">
      <pane ySplit="1" topLeftCell="A2" activePane="bottomLeft" state="frozen"/>
      <selection pane="bottomLeft" activeCell="J268" sqref="J268"/>
    </sheetView>
  </sheetViews>
  <sheetFormatPr baseColWidth="10" defaultRowHeight="15" x14ac:dyDescent="0.2"/>
  <cols>
    <col min="1" max="1" width="43.6640625" style="27" customWidth="1"/>
    <col min="2" max="8" width="11.5546875" style="27"/>
    <col min="9" max="9" width="0" style="27" hidden="1" customWidth="1"/>
    <col min="10" max="16384" width="11.5546875" style="27"/>
  </cols>
  <sheetData>
    <row r="1" spans="9:9" ht="122.25" customHeight="1" x14ac:dyDescent="0.2">
      <c r="I1" s="71" t="s">
        <v>144</v>
      </c>
    </row>
    <row r="38" spans="1:1" x14ac:dyDescent="0.2">
      <c r="A38" s="59" t="s">
        <v>64</v>
      </c>
    </row>
    <row r="78" spans="1:1" x14ac:dyDescent="0.2">
      <c r="A78" s="59" t="s">
        <v>65</v>
      </c>
    </row>
    <row r="102" spans="1:1" x14ac:dyDescent="0.2">
      <c r="A102" s="59" t="s">
        <v>65</v>
      </c>
    </row>
    <row r="155" spans="1:6" x14ac:dyDescent="0.2">
      <c r="A155"/>
      <c r="B155"/>
      <c r="C155"/>
      <c r="D155"/>
      <c r="E155"/>
    </row>
    <row r="158" spans="1:6" x14ac:dyDescent="0.2">
      <c r="B158" s="68"/>
      <c r="C158" s="68"/>
      <c r="D158" s="68"/>
      <c r="E158" s="68"/>
      <c r="F158" s="68"/>
    </row>
    <row r="159" spans="1:6" x14ac:dyDescent="0.2">
      <c r="B159" s="68"/>
      <c r="C159" s="68"/>
      <c r="D159" s="68"/>
      <c r="E159" s="68"/>
      <c r="F159" s="68"/>
    </row>
    <row r="160" spans="1:6" x14ac:dyDescent="0.2">
      <c r="B160" s="68"/>
      <c r="C160" s="68"/>
      <c r="D160" s="68"/>
      <c r="E160" s="68"/>
      <c r="F160" s="68"/>
    </row>
    <row r="161" spans="2:6" x14ac:dyDescent="0.2">
      <c r="B161" s="68"/>
      <c r="C161" s="68"/>
      <c r="D161" s="68"/>
      <c r="E161" s="68"/>
      <c r="F161" s="68"/>
    </row>
    <row r="162" spans="2:6" x14ac:dyDescent="0.2">
      <c r="B162" s="68"/>
      <c r="C162" s="68"/>
      <c r="D162" s="68"/>
      <c r="E162" s="68"/>
      <c r="F162" s="68"/>
    </row>
    <row r="163" spans="2:6" x14ac:dyDescent="0.2">
      <c r="B163" s="68"/>
      <c r="C163" s="68"/>
      <c r="D163" s="68"/>
      <c r="E163" s="68"/>
      <c r="F163" s="68"/>
    </row>
    <row r="164" spans="2:6" x14ac:dyDescent="0.2">
      <c r="B164" s="313"/>
      <c r="C164" s="313"/>
      <c r="D164" s="313"/>
      <c r="E164" s="313"/>
      <c r="F164" s="313"/>
    </row>
    <row r="165" spans="2:6" x14ac:dyDescent="0.2">
      <c r="B165" s="313"/>
      <c r="C165" s="313"/>
      <c r="D165" s="313"/>
      <c r="E165" s="313"/>
      <c r="F165" s="313"/>
    </row>
    <row r="166" spans="2:6" x14ac:dyDescent="0.2">
      <c r="B166" s="313"/>
      <c r="C166" s="313"/>
      <c r="D166" s="313"/>
      <c r="E166" s="313"/>
      <c r="F166" s="313"/>
    </row>
    <row r="167" spans="2:6" x14ac:dyDescent="0.2">
      <c r="B167" s="313"/>
      <c r="C167" s="313"/>
      <c r="D167" s="313"/>
      <c r="E167" s="313"/>
      <c r="F167" s="313"/>
    </row>
    <row r="168" spans="2:6" x14ac:dyDescent="0.2">
      <c r="B168" s="313"/>
      <c r="C168" s="313"/>
      <c r="D168" s="313"/>
      <c r="E168" s="313"/>
      <c r="F168" s="313"/>
    </row>
    <row r="169" spans="2:6" x14ac:dyDescent="0.2">
      <c r="B169" s="313"/>
      <c r="C169" s="313"/>
      <c r="D169" s="313"/>
      <c r="E169" s="313"/>
      <c r="F169" s="313"/>
    </row>
    <row r="170" spans="2:6" x14ac:dyDescent="0.2">
      <c r="B170" s="313"/>
      <c r="C170" s="313"/>
      <c r="D170" s="313"/>
      <c r="E170" s="313"/>
      <c r="F170" s="313"/>
    </row>
    <row r="171" spans="2:6" x14ac:dyDescent="0.2">
      <c r="B171" s="313"/>
      <c r="C171" s="313"/>
      <c r="D171" s="313"/>
      <c r="E171" s="313"/>
      <c r="F171" s="313"/>
    </row>
    <row r="172" spans="2:6" x14ac:dyDescent="0.2">
      <c r="B172" s="313"/>
      <c r="C172" s="313"/>
      <c r="D172" s="313"/>
      <c r="E172" s="313"/>
      <c r="F172" s="313"/>
    </row>
    <row r="173" spans="2:6" x14ac:dyDescent="0.2">
      <c r="B173" s="313"/>
      <c r="C173" s="313"/>
      <c r="D173" s="313"/>
      <c r="E173" s="313"/>
      <c r="F173" s="313"/>
    </row>
    <row r="174" spans="2:6" x14ac:dyDescent="0.2">
      <c r="B174" s="313"/>
      <c r="C174" s="313"/>
      <c r="D174" s="313"/>
      <c r="E174" s="313"/>
      <c r="F174" s="313"/>
    </row>
    <row r="175" spans="2:6" x14ac:dyDescent="0.2">
      <c r="B175" s="313"/>
      <c r="C175" s="313"/>
      <c r="D175" s="313"/>
      <c r="E175" s="313"/>
      <c r="F175" s="313"/>
    </row>
    <row r="176" spans="2:6" x14ac:dyDescent="0.2">
      <c r="B176" s="68"/>
      <c r="C176" s="68"/>
      <c r="D176" s="68"/>
      <c r="E176" s="68"/>
      <c r="F176" s="68"/>
    </row>
    <row r="177" spans="1:7" x14ac:dyDescent="0.2">
      <c r="B177" s="68"/>
      <c r="C177" s="68"/>
      <c r="D177" s="68"/>
      <c r="E177" s="68"/>
      <c r="F177" s="68"/>
    </row>
    <row r="178" spans="1:7" x14ac:dyDescent="0.2">
      <c r="B178" s="68"/>
      <c r="C178" s="68"/>
      <c r="D178" s="68"/>
      <c r="E178" s="68"/>
      <c r="F178" s="68"/>
    </row>
    <row r="179" spans="1:7" x14ac:dyDescent="0.2">
      <c r="B179" s="313"/>
      <c r="C179" s="313"/>
      <c r="D179" s="313"/>
      <c r="E179" s="313"/>
      <c r="F179" s="313"/>
    </row>
    <row r="180" spans="1:7" x14ac:dyDescent="0.2">
      <c r="B180" s="313"/>
      <c r="C180" s="313"/>
      <c r="D180" s="313"/>
      <c r="E180" s="313"/>
      <c r="F180" s="313"/>
    </row>
    <row r="181" spans="1:7" x14ac:dyDescent="0.2">
      <c r="B181" s="313"/>
      <c r="C181" s="313"/>
      <c r="D181" s="313"/>
      <c r="E181" s="313"/>
      <c r="F181" s="313"/>
    </row>
    <row r="182" spans="1:7" x14ac:dyDescent="0.2">
      <c r="B182" s="313"/>
      <c r="C182" s="313"/>
      <c r="D182" s="313"/>
      <c r="E182" s="313"/>
      <c r="F182" s="313"/>
    </row>
    <row r="183" spans="1:7" x14ac:dyDescent="0.2">
      <c r="B183" s="313"/>
      <c r="C183" s="313"/>
      <c r="D183" s="313"/>
      <c r="E183" s="313"/>
      <c r="F183" s="313"/>
    </row>
    <row r="184" spans="1:7" x14ac:dyDescent="0.2">
      <c r="B184" s="313"/>
      <c r="C184" s="313"/>
      <c r="D184" s="313"/>
      <c r="E184" s="313"/>
      <c r="F184" s="313"/>
    </row>
    <row r="185" spans="1:7" x14ac:dyDescent="0.2">
      <c r="B185" s="313"/>
      <c r="C185" s="313"/>
      <c r="D185" s="313"/>
      <c r="E185" s="313"/>
      <c r="F185" s="313"/>
    </row>
    <row r="186" spans="1:7" x14ac:dyDescent="0.2">
      <c r="B186" s="68"/>
      <c r="C186" s="68"/>
      <c r="D186" s="68"/>
      <c r="E186" s="68"/>
      <c r="F186" s="68"/>
    </row>
    <row r="187" spans="1:7" x14ac:dyDescent="0.2">
      <c r="A187" s="711" t="s">
        <v>65</v>
      </c>
      <c r="B187" s="711"/>
      <c r="C187" s="60"/>
      <c r="D187" s="60"/>
      <c r="E187" s="60"/>
      <c r="F187" s="68"/>
    </row>
    <row r="188" spans="1:7" x14ac:dyDescent="0.2">
      <c r="A188" s="313"/>
      <c r="B188" s="313"/>
      <c r="C188" s="60"/>
      <c r="D188" s="60"/>
      <c r="E188" s="60"/>
      <c r="F188" s="313"/>
    </row>
    <row r="189" spans="1:7" x14ac:dyDescent="0.2">
      <c r="B189" s="68"/>
      <c r="C189" s="68"/>
      <c r="D189" s="68"/>
      <c r="E189" s="68"/>
      <c r="F189" s="68"/>
    </row>
    <row r="190" spans="1:7" x14ac:dyDescent="0.2">
      <c r="B190" s="68"/>
      <c r="C190" s="711" t="s">
        <v>65</v>
      </c>
      <c r="D190" s="711"/>
      <c r="E190" s="711"/>
      <c r="F190" s="711"/>
      <c r="G190" s="711"/>
    </row>
    <row r="218" spans="4:8" x14ac:dyDescent="0.2">
      <c r="D218" s="711"/>
      <c r="E218" s="711"/>
      <c r="F218" s="711"/>
      <c r="G218" s="711"/>
      <c r="H218" s="711"/>
    </row>
    <row r="237" spans="1:5" x14ac:dyDescent="0.2">
      <c r="E237" s="60" t="s">
        <v>66</v>
      </c>
    </row>
    <row r="238" spans="1:5" x14ac:dyDescent="0.2">
      <c r="A238" s="60" t="s">
        <v>66</v>
      </c>
    </row>
    <row r="241" spans="2:6" x14ac:dyDescent="0.2">
      <c r="B241" s="60"/>
      <c r="C241" s="61"/>
      <c r="D241" s="61"/>
      <c r="E241" s="61"/>
      <c r="F241" s="61"/>
    </row>
    <row r="242" spans="2:6" x14ac:dyDescent="0.2">
      <c r="B242" s="31"/>
      <c r="C242" s="31"/>
      <c r="D242" s="31"/>
      <c r="E242" s="31"/>
      <c r="F242" s="31"/>
    </row>
    <row r="265" spans="1:1" x14ac:dyDescent="0.2">
      <c r="A265" s="28"/>
    </row>
    <row r="316" spans="1:1" x14ac:dyDescent="0.2">
      <c r="A316" s="59" t="s">
        <v>66</v>
      </c>
    </row>
  </sheetData>
  <mergeCells count="3">
    <mergeCell ref="C190:G190"/>
    <mergeCell ref="D218:H218"/>
    <mergeCell ref="A187:B187"/>
  </mergeCells>
  <hyperlinks>
    <hyperlink ref="A38" location="'CONTEXTO ESTRATEGICO'!A1" display="Volver"/>
    <hyperlink ref="A78" location="IDENTIFICACIÓN!A1" display="volver "/>
    <hyperlink ref="C190:G190" location="ANALISIS!A1" display="volver "/>
    <hyperlink ref="A316" location="'CONSOLIDACION DEL MAPA'!A1" display="volver"/>
    <hyperlink ref="A102" location="IDENTIFICACIÓN!A1" display="volver "/>
    <hyperlink ref="E237" location="VALORACIÓN!A1" display="volver"/>
    <hyperlink ref="A238" location="VALORACIÓN!A1" display="volver"/>
    <hyperlink ref="A187:B187" location="ANALISIS!A1" display="volver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8" tint="-0.249977111117893"/>
  </sheetPr>
  <dimension ref="A1:O74"/>
  <sheetViews>
    <sheetView zoomScale="90" zoomScaleNormal="90" workbookViewId="0">
      <pane ySplit="10" topLeftCell="A11" activePane="bottomLeft" state="frozen"/>
      <selection pane="bottomLeft" activeCell="D69" sqref="D69"/>
    </sheetView>
  </sheetViews>
  <sheetFormatPr baseColWidth="10" defaultRowHeight="15.75" x14ac:dyDescent="0.2"/>
  <cols>
    <col min="1" max="1" width="3.6640625" style="3" customWidth="1"/>
    <col min="2" max="2" width="23.88671875" style="3" customWidth="1"/>
    <col min="3" max="3" width="20.44140625" style="3" customWidth="1"/>
    <col min="4" max="4" width="3.88671875" style="3" customWidth="1"/>
    <col min="5" max="5" width="11.33203125" style="3" customWidth="1"/>
    <col min="6" max="6" width="20.44140625" style="3" customWidth="1"/>
    <col min="7" max="7" width="4.21875" style="3" customWidth="1"/>
    <col min="8" max="8" width="14" style="3" customWidth="1"/>
    <col min="9" max="9" width="9.77734375" style="3" hidden="1" customWidth="1"/>
    <col min="10" max="10" width="15.6640625" style="5" customWidth="1"/>
    <col min="11" max="11" width="11.33203125" style="46" hidden="1" customWidth="1"/>
    <col min="12" max="15" width="11.5546875" style="46" hidden="1" customWidth="1"/>
    <col min="16" max="16" width="11.5546875" style="3" customWidth="1"/>
    <col min="17" max="16384" width="11.5546875" style="3"/>
  </cols>
  <sheetData>
    <row r="1" spans="1:15" ht="23.25" customHeight="1" x14ac:dyDescent="0.2">
      <c r="A1" s="478" t="s">
        <v>145</v>
      </c>
      <c r="B1" s="479"/>
      <c r="C1" s="469" t="s">
        <v>142</v>
      </c>
      <c r="D1" s="470"/>
      <c r="E1" s="470"/>
      <c r="F1" s="470"/>
      <c r="G1" s="470"/>
      <c r="H1" s="471"/>
      <c r="I1" s="36"/>
      <c r="J1" s="37" t="s">
        <v>71</v>
      </c>
    </row>
    <row r="2" spans="1:15" ht="23.25" customHeight="1" x14ac:dyDescent="0.2">
      <c r="A2" s="480"/>
      <c r="B2" s="481"/>
      <c r="C2" s="472"/>
      <c r="D2" s="473"/>
      <c r="E2" s="473"/>
      <c r="F2" s="473"/>
      <c r="G2" s="473"/>
      <c r="H2" s="474"/>
      <c r="I2" s="36"/>
      <c r="J2" s="32" t="s">
        <v>107</v>
      </c>
    </row>
    <row r="3" spans="1:15" ht="23.25" customHeight="1" x14ac:dyDescent="0.2">
      <c r="A3" s="482"/>
      <c r="B3" s="483"/>
      <c r="C3" s="475"/>
      <c r="D3" s="476"/>
      <c r="E3" s="476"/>
      <c r="F3" s="476"/>
      <c r="G3" s="476"/>
      <c r="H3" s="477"/>
      <c r="I3" s="36"/>
      <c r="J3" s="32" t="s">
        <v>408</v>
      </c>
    </row>
    <row r="4" spans="1:15" ht="3.75" customHeight="1" x14ac:dyDescent="0.2">
      <c r="A4" s="36"/>
      <c r="B4" s="36"/>
      <c r="C4" s="36"/>
      <c r="D4" s="36"/>
      <c r="E4" s="36"/>
      <c r="F4" s="36"/>
      <c r="G4" s="36"/>
      <c r="H4" s="36"/>
      <c r="I4" s="36"/>
      <c r="J4" s="36"/>
    </row>
    <row r="5" spans="1:15" ht="25.5" customHeight="1" x14ac:dyDescent="0.2">
      <c r="A5" s="435" t="s">
        <v>77</v>
      </c>
      <c r="B5" s="435"/>
      <c r="C5" s="435"/>
      <c r="D5" s="435"/>
      <c r="E5" s="435"/>
      <c r="F5" s="435"/>
      <c r="G5" s="435"/>
      <c r="H5" s="435"/>
      <c r="I5" s="435"/>
      <c r="J5" s="435"/>
    </row>
    <row r="6" spans="1:15" ht="15.75" customHeight="1" x14ac:dyDescent="0.2">
      <c r="A6" s="489" t="str">
        <f>'CONTEXTO ESTRATEGICO'!A7</f>
        <v>INSTITUCIONAL</v>
      </c>
      <c r="B6" s="489"/>
      <c r="C6" s="490" t="str">
        <f>'CONTEXTO ESTRATEGICO'!B7</f>
        <v>Mapa de Riesgo Institucional</v>
      </c>
      <c r="D6" s="491"/>
      <c r="E6" s="491"/>
      <c r="F6" s="491"/>
      <c r="G6" s="491"/>
      <c r="H6" s="491"/>
      <c r="I6" s="491"/>
      <c r="J6" s="492"/>
    </row>
    <row r="7" spans="1:15" ht="27" customHeight="1" x14ac:dyDescent="0.2">
      <c r="A7" s="487" t="str">
        <f>'CONTEXTO ESTRATEGICO'!A8</f>
        <v>MISION</v>
      </c>
      <c r="B7" s="488"/>
      <c r="C7" s="490"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1"/>
      <c r="G7" s="491"/>
      <c r="H7" s="491"/>
      <c r="I7" s="491"/>
      <c r="J7" s="492"/>
    </row>
    <row r="8" spans="1:15" ht="16.5" customHeight="1" x14ac:dyDescent="0.2">
      <c r="A8" s="485" t="s">
        <v>22</v>
      </c>
      <c r="B8" s="485" t="s">
        <v>1</v>
      </c>
      <c r="C8" s="463" t="s">
        <v>5</v>
      </c>
      <c r="D8" s="464"/>
      <c r="E8" s="464"/>
      <c r="F8" s="464"/>
      <c r="G8" s="464"/>
      <c r="H8" s="464"/>
      <c r="I8" s="464"/>
      <c r="J8" s="465"/>
    </row>
    <row r="9" spans="1:15" ht="18" customHeight="1" x14ac:dyDescent="0.2">
      <c r="A9" s="485"/>
      <c r="B9" s="485"/>
      <c r="C9" s="466" t="s">
        <v>2</v>
      </c>
      <c r="D9" s="467"/>
      <c r="E9" s="467"/>
      <c r="F9" s="467"/>
      <c r="G9" s="467"/>
      <c r="H9" s="468"/>
      <c r="I9" s="8"/>
      <c r="J9" s="486" t="s">
        <v>16</v>
      </c>
    </row>
    <row r="10" spans="1:15" ht="23.25" customHeight="1" x14ac:dyDescent="0.2">
      <c r="A10" s="485"/>
      <c r="B10" s="485"/>
      <c r="C10" s="197" t="str">
        <f>IDENTIFICACIÓN!B8</f>
        <v>CAUSAS</v>
      </c>
      <c r="D10" s="484" t="s">
        <v>63</v>
      </c>
      <c r="E10" s="484"/>
      <c r="F10" s="197" t="str">
        <f>IDENTIFICACIÓN!F8</f>
        <v>EFECTOS</v>
      </c>
      <c r="G10" s="484" t="s">
        <v>0</v>
      </c>
      <c r="H10" s="484"/>
      <c r="I10" s="9"/>
      <c r="J10" s="486"/>
      <c r="K10" s="46" t="s">
        <v>88</v>
      </c>
      <c r="L10" s="46" t="s">
        <v>89</v>
      </c>
      <c r="M10" s="46" t="s">
        <v>90</v>
      </c>
      <c r="N10" s="46" t="s">
        <v>91</v>
      </c>
      <c r="O10" s="46" t="s">
        <v>92</v>
      </c>
    </row>
    <row r="11" spans="1:15" ht="47.25" customHeight="1" x14ac:dyDescent="0.2">
      <c r="A11" s="344" t="str">
        <f>IDENTIFICACIÓN!C9</f>
        <v>1G</v>
      </c>
      <c r="B11" s="175" t="str">
        <f>IF(IDENTIFICACIÓN!D9="","",IDENTIFICACIÓN!D9)</f>
        <v>Relaciones Interinstitucionales. Concentrar labores múltiples en poco personal</v>
      </c>
      <c r="C11" s="55" t="str">
        <f>IF(IDENTIFICACIÓN!B9="","",IDENTIFICACIÓN!B9)</f>
        <v>Gestión de nuevos proyectos de movilidad, convenios y cooperación. Falta de vinculación de personal necesario en la Oficina de Relaciones Internacionales.</v>
      </c>
      <c r="D11" s="371">
        <v>3</v>
      </c>
      <c r="E11" s="12" t="str">
        <f>IF(D11=5,"CASI CERTEZA",IF(D11=4,"PROBABLE",IF(D11=3,"POSIBLE",IF(D11=2,"IMPROBABLE","RARO"))))</f>
        <v>POSIBLE</v>
      </c>
      <c r="F11" s="55" t="str">
        <f>IF(IDENTIFICACIÓN!F9="","",IDENTIFICACIÓN!F9)</f>
        <v>Bajo rendimiento en la gestión</v>
      </c>
      <c r="G11" s="371">
        <v>3</v>
      </c>
      <c r="H11" s="19" t="str">
        <f>IF(G11=1,"INSIGNIFICANTE",IF(G11=2,"MENOR",IF(G11=3,"MODERADO",IF(G11=4,"MAYOR","CATASTRÓFICO"))))</f>
        <v>MODERADO</v>
      </c>
      <c r="I11" s="16">
        <f>IF(G11=2,D11+20,IF(G11=3,D11+30,IF(G11=4,D11+40,IF(G11=5,D11+50,D11+10))))</f>
        <v>33</v>
      </c>
      <c r="J11" s="45" t="str">
        <f>IF(G11=1,K11,IF(G11=2,L11,IF(G11=3,M11,IF(G11=4,N11,O11))))</f>
        <v>ALTA 3:3</v>
      </c>
      <c r="K11" s="46" t="str">
        <f>IF($I11=11,"BAJA 1:1",IF($I11=12,"BAJA 2:1",IF($I11=13,"BAJA 3:1",IF($I11=14,"MODERADA 4:1","ALTA 5:1"))))</f>
        <v>ALTA 5:1</v>
      </c>
      <c r="L11" s="46" t="str">
        <f>IF($I11=21,"BAJA 1:2",IF($I11=22,"BAJA 2:2",IF($I11=23,"MODERADA 3:2",IF($I11=24,"ALTA 4:2","ALTA 5:2"))))</f>
        <v>ALTA 5:2</v>
      </c>
      <c r="M11" s="46" t="str">
        <f>IF($I11=31,"MODERADA 1:3",IF($I11=32,"MODERADA 2:3",IF($I11=33,"ALTA 3:3",IF($I11=34,"ALTA 4:3","EXTREMA 5:3"))))</f>
        <v>ALTA 3:3</v>
      </c>
      <c r="N11" s="46" t="str">
        <f>IF($I11=41,"ALTA 1:4",IF($I11=42,"ALTA 2:4",IF($I11=43,"EXTREMA 3:4",IF($I11=44,"EXTREMA 4:4","EXTREMA 5:4"))))</f>
        <v>EXTREMA 5:4</v>
      </c>
      <c r="O11" s="46" t="str">
        <f>IF($I11=51,"ALTA 1:5",IF($I11=52,"EXTREMA 2:5",IF($I11=53,"EXTREMA 3:5",IF($I11=54,"EXTREMA 4:5","EXTREMA 5:5"))))</f>
        <v>EXTREMA 5:5</v>
      </c>
    </row>
    <row r="12" spans="1:15" ht="47.25" customHeight="1" x14ac:dyDescent="0.2">
      <c r="A12" s="344" t="str">
        <f>IDENTIFICACIÓN!C10</f>
        <v>2G</v>
      </c>
      <c r="B12" s="21" t="str">
        <f>IF(IDENTIFICACIÓN!D10="","",IDENTIFICACIÓN!D10)</f>
        <v xml:space="preserve">Relaciones Interinstitucionales. Escaso registro y control de la movilidad internacional entrante y saliente. </v>
      </c>
      <c r="C12" s="55" t="str">
        <f>IF(IDENTIFICACIÓN!B10="","",IDENTIFICACIÓN!B10)</f>
        <v>Desconocimiento de los usuarios en relacion al procedimiendo de registro de la movilidad internacional entrante y saliente</v>
      </c>
      <c r="D12" s="371">
        <v>3</v>
      </c>
      <c r="E12" s="19" t="str">
        <f t="shared" ref="E12:E20" si="0">IF(D12=5,"CASI CERTEZA",IF(D12=4,"PROBABLE",IF(D12=3,"POSIBLE",IF(D12=2,"IMPROBABLE","RARO"))))</f>
        <v>POSIBLE</v>
      </c>
      <c r="F12" s="55" t="str">
        <f>IF(IDENTIFICACIÓN!F10="","",IDENTIFICACIÓN!F10)</f>
        <v>Bajo resultado en los indicadores. Percepciónes poco favorables en distintos escenarios (Visita de PARES, Evaluadores del MEN, SNIES y SUE). Bajo registro de movilidad internacional. Disminución de los recursos aportados por falta de información real.</v>
      </c>
      <c r="G12" s="371">
        <v>4</v>
      </c>
      <c r="H12" s="19" t="str">
        <f t="shared" ref="H12:H20" si="1">IF(G12=1,"INSIGNIFICANTE",IF(G12=2,"MENOR",IF(G12=3,"MODERADO",IF(G12=4,"MAYOR","CATASTRÓFICO"))))</f>
        <v>MAYOR</v>
      </c>
      <c r="I12" s="16">
        <f t="shared" ref="I12:I20" si="2">IF(G12=2,D12+20,IF(G12=3,D12+30,IF(G12=4,D12+40,IF(G12=5,D12+50,D12+10))))</f>
        <v>43</v>
      </c>
      <c r="J12" s="45" t="str">
        <f t="shared" ref="J12:J20" si="3">IF(G12=1,K12,IF(G12=2,L12,IF(G12=3,M12,IF(G12=4,N12,O12))))</f>
        <v>EXTREMA 3:4</v>
      </c>
      <c r="K12" s="46" t="str">
        <f t="shared" ref="K12:K38" si="4">IF($I12=11,"BAJA 1:1",IF($I12=12,"BAJA 2:1",IF($I12=13,"BAJA 3:1",IF($I12=14,"MODERADA 4:1","ALTA 5:1"))))</f>
        <v>ALTA 5:1</v>
      </c>
      <c r="L12" s="46" t="str">
        <f t="shared" ref="L12:L38" si="5">IF($I12=21,"BAJA 1:2",IF($I12=22,"BAJA 2:2",IF($I12=23,"MODERADA 3:2",IF($I12=24,"ALTA 4:2","ALTA 5:2"))))</f>
        <v>ALTA 5:2</v>
      </c>
      <c r="M12" s="46" t="str">
        <f>IF($I12=31,"MODERADA 1:3",IF($I12=32,"MODERADA 2:3",IF($I12=33,"ALTA 3:3",IF($I12=34,"ALTA 4:3","EXTREMA 5:3"))))</f>
        <v>EXTREMA 5:3</v>
      </c>
      <c r="N12" s="46" t="str">
        <f>IF($I12=41,"ALTA 1:4",IF($I12=42,"ALTA 2:4",IF($I12=43,"EXTREMA 3:4",IF($I12=44,"EXTREMA 4:4","EXTREMA 5:4"))))</f>
        <v>EXTREMA 3:4</v>
      </c>
      <c r="O12" s="46" t="str">
        <f>IF($I12=51,"ALTA 1:5",IF($I12=52,"EXTREMA 2:5",IF($I12=53,"EXTREMA 3:5",IF($I12=54,"EXTREMA 4:5","EXTREMA 5:5"))))</f>
        <v>EXTREMA 5:5</v>
      </c>
    </row>
    <row r="13" spans="1:15" ht="47.25" customHeight="1" x14ac:dyDescent="0.2">
      <c r="A13" s="344" t="str">
        <f>IDENTIFICACIÓN!C11</f>
        <v>3G</v>
      </c>
      <c r="B13" s="175" t="str">
        <f>IF(IDENTIFICACIÓN!D11="","",IDENTIFICACIÓN!D11)</f>
        <v>Relaciones Interinstitucionales. Gestionar la movilidad internacional sin requisitos legales</v>
      </c>
      <c r="C13" s="55" t="str">
        <f>IF(IDENTIFICACIÓN!B11="","",IDENTIFICACIÓN!B11)</f>
        <v>Desconocimiento del  personal de la Oficina de Relaciones  internacionales y la comunidad universitaria de los procedimietos y requisitos nacionales e internacionales legales y migratorios</v>
      </c>
      <c r="D13" s="371">
        <v>2</v>
      </c>
      <c r="E13" s="19" t="str">
        <f t="shared" si="0"/>
        <v>IMPROBABLE</v>
      </c>
      <c r="F13" s="55" t="str">
        <f>IF(IDENTIFICACIÓN!F11="","",IDENTIFICACIÓN!F11)</f>
        <v>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v>
      </c>
      <c r="G13" s="371">
        <v>4</v>
      </c>
      <c r="H13" s="19" t="str">
        <f t="shared" si="1"/>
        <v>MAYOR</v>
      </c>
      <c r="I13" s="16">
        <f t="shared" si="2"/>
        <v>42</v>
      </c>
      <c r="J13" s="45" t="str">
        <f t="shared" si="3"/>
        <v>ALTA 2:4</v>
      </c>
      <c r="K13" s="46" t="str">
        <f t="shared" si="4"/>
        <v>ALTA 5:1</v>
      </c>
      <c r="L13" s="46" t="str">
        <f t="shared" si="5"/>
        <v>ALTA 5:2</v>
      </c>
      <c r="M13" s="46" t="str">
        <f t="shared" ref="M13:M38" si="6">IF($I13=31,"MODERADA 1:3",IF($I13=32,"MODERADA 2:3",IF($I13=33,"ALTA 3:3",IF($I13=34,"ALTA 4:3","EXTREMA 5:3"))))</f>
        <v>EXTREMA 5:3</v>
      </c>
      <c r="N13" s="46" t="str">
        <f t="shared" ref="N13:N38" si="7">IF($I13=41,"ALTA 1:4",IF($I13=42,"ALTA 2:4",IF($I13=43,"EXTREMA 3:4",IF($I13=44,"EXTREMA 4:4","EXTREMA 5:4"))))</f>
        <v>ALTA 2:4</v>
      </c>
      <c r="O13" s="46" t="str">
        <f t="shared" ref="O13:O38" si="8">IF($I13=51,"ALTA 1:5",IF($I13=52,"EXTREMA 2:5",IF($I13=53,"EXTREMA 3:5",IF($I13=54,"EXTREMA 4:5","EXTREMA 5:5"))))</f>
        <v>EXTREMA 5:5</v>
      </c>
    </row>
    <row r="14" spans="1:15" ht="47.25" customHeight="1" x14ac:dyDescent="0.2">
      <c r="A14" s="344" t="str">
        <f>IDENTIFICACIÓN!C12</f>
        <v>4G</v>
      </c>
      <c r="B14" s="175" t="str">
        <f>IF(IDENTIFICACIÓN!D12="","",IDENTIFICACIÓN!D12)</f>
        <v>Acreditación. Insuficiente Implementación de la Política Institucional de Autoevaluación, Acreditación y Aseguramiento de la calidad</v>
      </c>
      <c r="C14" s="55" t="str">
        <f>IF(IDENTIFICACIÓN!B12="","",IDENTIFICACIÓN!B12)</f>
        <v>1. Poco conocimiento y difusión de la política de autoevaluación y del funcionamiento de la misma</v>
      </c>
      <c r="D14" s="372">
        <v>3</v>
      </c>
      <c r="E14" s="19" t="str">
        <f t="shared" si="0"/>
        <v>POSIBLE</v>
      </c>
      <c r="F14" s="55" t="str">
        <f>IF(IDENTIFICACIÓN!F12="","",IDENTIFICACIÓN!F12)</f>
        <v xml:space="preserve">1. Atraso en la dinámica de fortalecimiento de la cultura de autoevaluación, acreditación y mejoramiento continuo en los programas académicos.
2. Bajo desarrollo en los procesos académicos
3. Incumplimiento de las metas del plan de gobierno. </v>
      </c>
      <c r="G14" s="372">
        <v>4</v>
      </c>
      <c r="H14" s="19" t="str">
        <f t="shared" si="1"/>
        <v>MAYOR</v>
      </c>
      <c r="I14" s="16">
        <f t="shared" si="2"/>
        <v>43</v>
      </c>
      <c r="J14" s="45" t="str">
        <f t="shared" si="3"/>
        <v>EXTREMA 3:4</v>
      </c>
      <c r="K14" s="46" t="str">
        <f t="shared" si="4"/>
        <v>ALTA 5:1</v>
      </c>
      <c r="L14" s="46" t="str">
        <f t="shared" si="5"/>
        <v>ALTA 5:2</v>
      </c>
      <c r="M14" s="46" t="str">
        <f t="shared" si="6"/>
        <v>EXTREMA 5:3</v>
      </c>
      <c r="N14" s="46" t="str">
        <f t="shared" si="7"/>
        <v>EXTREMA 3:4</v>
      </c>
      <c r="O14" s="46" t="str">
        <f t="shared" si="8"/>
        <v>EXTREMA 5:5</v>
      </c>
    </row>
    <row r="15" spans="1:15" ht="47.25" customHeight="1" x14ac:dyDescent="0.2">
      <c r="A15" s="344" t="str">
        <f>IDENTIFICACIÓN!C13</f>
        <v>5G</v>
      </c>
      <c r="B15" s="175" t="str">
        <f>IF(IDENTIFICACIÓN!D13="","",IDENTIFICACIÓN!D13)</f>
        <v xml:space="preserve">Acreditación. Deficiencia en la calidad técnica de los informes </v>
      </c>
      <c r="C15" s="55" t="str">
        <f>IF(IDENTIFICACIÓN!B13="","",IDENTIFICACIÓN!B13)</f>
        <v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v>
      </c>
      <c r="D15" s="372">
        <v>1</v>
      </c>
      <c r="E15" s="19" t="str">
        <f t="shared" si="0"/>
        <v>RARO</v>
      </c>
      <c r="F15" s="55" t="str">
        <f>IF(IDENTIFICACIÓN!F13="","",IDENTIFICACIÓN!F13)</f>
        <v>1. Informes que no corresponden con las realidades del programa
2. Pérdida de credibilidad en los procesos de autoevaluación y mejora continua
3. Requerimiento de información complentaria (Auto)</v>
      </c>
      <c r="G15" s="372">
        <v>4</v>
      </c>
      <c r="H15" s="19" t="str">
        <f t="shared" si="1"/>
        <v>MAYOR</v>
      </c>
      <c r="I15" s="16">
        <f t="shared" si="2"/>
        <v>41</v>
      </c>
      <c r="J15" s="45" t="str">
        <f t="shared" si="3"/>
        <v>ALTA 1:4</v>
      </c>
      <c r="K15" s="46" t="str">
        <f t="shared" si="4"/>
        <v>ALTA 5:1</v>
      </c>
      <c r="L15" s="46" t="str">
        <f t="shared" si="5"/>
        <v>ALTA 5:2</v>
      </c>
      <c r="M15" s="46" t="str">
        <f t="shared" si="6"/>
        <v>EXTREMA 5:3</v>
      </c>
      <c r="N15" s="46" t="str">
        <f t="shared" si="7"/>
        <v>ALTA 1:4</v>
      </c>
      <c r="O15" s="46" t="str">
        <f t="shared" si="8"/>
        <v>EXTREMA 5:5</v>
      </c>
    </row>
    <row r="16" spans="1:15" ht="47.25" customHeight="1" x14ac:dyDescent="0.2">
      <c r="A16" s="344" t="str">
        <f>IDENTIFICACIÓN!C14</f>
        <v>6G</v>
      </c>
      <c r="B16" s="175" t="str">
        <f>IF(IDENTIFICACIÓN!D14="","",IDENTIFICACIÓN!D14)</f>
        <v>Acreditación. Negación de la acreditación o de la renovación de registro calificado</v>
      </c>
      <c r="C16" s="55" t="str">
        <f>IF(IDENTIFICACIÓN!B14="","",IDENTIFICACIÓN!B14)</f>
        <v>1. Pocas competencias en la administración del trámite de registro calificado o acreditación, de algunos directivos para el cumplimiento de procedimientos y lineamientos 
2. Baja calidad de los programas académicos</v>
      </c>
      <c r="D16" s="372">
        <v>3</v>
      </c>
      <c r="E16" s="19" t="str">
        <f t="shared" si="0"/>
        <v>POSIBLE</v>
      </c>
      <c r="F16" s="55" t="str">
        <f>IF(IDENTIFICACIÓN!F14="","",IDENTIFICACIÓN!F14)</f>
        <v>1. Desprestigio tanto de la Institución como del programa académico
2. Baja posibilidad de continuar con el proceso de Acreditación Institucional</v>
      </c>
      <c r="G16" s="372">
        <v>4</v>
      </c>
      <c r="H16" s="19" t="str">
        <f t="shared" si="1"/>
        <v>MAYOR</v>
      </c>
      <c r="I16" s="16">
        <f t="shared" si="2"/>
        <v>43</v>
      </c>
      <c r="J16" s="45" t="str">
        <f t="shared" si="3"/>
        <v>EXTREMA 3:4</v>
      </c>
      <c r="K16" s="46" t="str">
        <f t="shared" si="4"/>
        <v>ALTA 5:1</v>
      </c>
      <c r="L16" s="46" t="str">
        <f t="shared" si="5"/>
        <v>ALTA 5:2</v>
      </c>
      <c r="M16" s="46" t="str">
        <f t="shared" si="6"/>
        <v>EXTREMA 5:3</v>
      </c>
      <c r="N16" s="46" t="str">
        <f t="shared" si="7"/>
        <v>EXTREMA 3:4</v>
      </c>
      <c r="O16" s="46" t="str">
        <f t="shared" si="8"/>
        <v>EXTREMA 5:5</v>
      </c>
    </row>
    <row r="17" spans="1:15" ht="47.25" customHeight="1" x14ac:dyDescent="0.2">
      <c r="A17" s="344" t="str">
        <f>IDENTIFICACIÓN!C15</f>
        <v>7G</v>
      </c>
      <c r="B17" s="175" t="str">
        <f>IF(IDENTIFICACIÓN!D15="","",IDENTIFICACIÓN!D15)</f>
        <v>Acreditación. Incumplimiento en algunas actividades establecidas en el plan de trabajo</v>
      </c>
      <c r="C17" s="55" t="str">
        <f>IF(IDENTIFICACIÓN!B15="","",IDENTIFICACIÓN!B15)</f>
        <v>*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v>
      </c>
      <c r="D17" s="372">
        <v>5</v>
      </c>
      <c r="E17" s="19" t="str">
        <f t="shared" si="0"/>
        <v>CASI CERTEZA</v>
      </c>
      <c r="F17" s="55" t="str">
        <f>IF(IDENTIFICACIÓN!F15="","",IDENTIFICACIÓN!F15)</f>
        <v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v>
      </c>
      <c r="G17" s="372">
        <v>3</v>
      </c>
      <c r="H17" s="19" t="str">
        <f t="shared" si="1"/>
        <v>MODERADO</v>
      </c>
      <c r="I17" s="16">
        <f t="shared" si="2"/>
        <v>35</v>
      </c>
      <c r="J17" s="45" t="str">
        <f t="shared" si="3"/>
        <v>EXTREMA 5:3</v>
      </c>
      <c r="K17" s="46" t="str">
        <f t="shared" si="4"/>
        <v>ALTA 5:1</v>
      </c>
      <c r="L17" s="46" t="str">
        <f t="shared" si="5"/>
        <v>ALTA 5:2</v>
      </c>
      <c r="M17" s="46" t="str">
        <f t="shared" si="6"/>
        <v>EXTREMA 5:3</v>
      </c>
      <c r="N17" s="46" t="str">
        <f t="shared" si="7"/>
        <v>EXTREMA 5:4</v>
      </c>
      <c r="O17" s="46" t="str">
        <f t="shared" si="8"/>
        <v>EXTREMA 5:5</v>
      </c>
    </row>
    <row r="18" spans="1:15" ht="47.25" customHeight="1" x14ac:dyDescent="0.2">
      <c r="A18" s="344" t="str">
        <f>IDENTIFICACIÓN!C16</f>
        <v>8G</v>
      </c>
      <c r="B18" s="175" t="str">
        <f>IF(IDENTIFICACIÓN!D16="","",IDENTIFICACIÓN!D16)</f>
        <v>Acreditación. Retraso en el otorgamiento o renovacion del registro calificado</v>
      </c>
      <c r="C18" s="55" t="str">
        <f>IF(IDENTIFICACIÓN!B16="","",IDENTIFICACIÓN!B16)</f>
        <v>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v>
      </c>
      <c r="D18" s="372">
        <v>4</v>
      </c>
      <c r="E18" s="19" t="str">
        <f t="shared" si="0"/>
        <v>PROBABLE</v>
      </c>
      <c r="F18" s="55" t="str">
        <f>IF(IDENTIFICACIÓN!F16="","",IDENTIFICACIÓN!F16)</f>
        <v>1. Suspensión de la oferta del programa por vencimiento de registro sin que se haya producido la respuesta del MEN.
2. Impacto en los indicadores de la Institución</v>
      </c>
      <c r="G18" s="372">
        <v>4</v>
      </c>
      <c r="H18" s="19" t="str">
        <f t="shared" si="1"/>
        <v>MAYOR</v>
      </c>
      <c r="I18" s="16">
        <f t="shared" si="2"/>
        <v>44</v>
      </c>
      <c r="J18" s="45" t="str">
        <f t="shared" si="3"/>
        <v>EXTREMA 4:4</v>
      </c>
      <c r="K18" s="46" t="str">
        <f t="shared" si="4"/>
        <v>ALTA 5:1</v>
      </c>
      <c r="L18" s="46" t="str">
        <f t="shared" si="5"/>
        <v>ALTA 5:2</v>
      </c>
      <c r="M18" s="46" t="str">
        <f t="shared" si="6"/>
        <v>EXTREMA 5:3</v>
      </c>
      <c r="N18" s="46" t="str">
        <f t="shared" si="7"/>
        <v>EXTREMA 4:4</v>
      </c>
      <c r="O18" s="46" t="str">
        <f t="shared" si="8"/>
        <v>EXTREMA 5:5</v>
      </c>
    </row>
    <row r="19" spans="1:15" ht="47.25" customHeight="1" x14ac:dyDescent="0.2">
      <c r="A19" s="344" t="str">
        <f>IDENTIFICACIÓN!C17</f>
        <v>9G</v>
      </c>
      <c r="B19" s="175" t="str">
        <f>IF(IDENTIFICACIÓN!D17="","",IDENTIFICACIÓN!D17)</f>
        <v>Gestión de la Calidad. La alta dirección no asegura la disponibilidad de los recursos para el mantenimiento y mejora del sistema.</v>
      </c>
      <c r="C19" s="55" t="str">
        <f>IF(IDENTIFICACIÓN!B17="","",IDENTIFICACIÓN!B17)</f>
        <v>Insuficientes mecanismos de control y seguimiento para el aseguramiento de la calidad. 
Desarticulación de planes de mejoramientos de los procesos con el plan de acción institucional.</v>
      </c>
      <c r="D19" s="373">
        <v>1</v>
      </c>
      <c r="E19" s="19" t="str">
        <f t="shared" si="0"/>
        <v>RARO</v>
      </c>
      <c r="F19" s="55" t="str">
        <f>IF(IDENTIFICACIÓN!F17="","",IDENTIFICACIÓN!F17)</f>
        <v>Suspensión o pérdida de los Certificados de la calidad.
Pérdida de la cultura de la gestión de la calidad institucional.</v>
      </c>
      <c r="G19" s="373">
        <v>4</v>
      </c>
      <c r="H19" s="19" t="str">
        <f t="shared" si="1"/>
        <v>MAYOR</v>
      </c>
      <c r="I19" s="16">
        <f t="shared" si="2"/>
        <v>41</v>
      </c>
      <c r="J19" s="45" t="str">
        <f t="shared" si="3"/>
        <v>ALTA 1:4</v>
      </c>
      <c r="K19" s="46" t="str">
        <f t="shared" si="4"/>
        <v>ALTA 5:1</v>
      </c>
      <c r="L19" s="46" t="str">
        <f t="shared" si="5"/>
        <v>ALTA 5:2</v>
      </c>
      <c r="M19" s="46" t="str">
        <f t="shared" si="6"/>
        <v>EXTREMA 5:3</v>
      </c>
      <c r="N19" s="46" t="str">
        <f t="shared" si="7"/>
        <v>ALTA 1:4</v>
      </c>
      <c r="O19" s="46" t="str">
        <f t="shared" si="8"/>
        <v>EXTREMA 5:5</v>
      </c>
    </row>
    <row r="20" spans="1:15" ht="47.25" customHeight="1" x14ac:dyDescent="0.2">
      <c r="A20" s="344" t="str">
        <f>IDENTIFICACIÓN!C18</f>
        <v>10G</v>
      </c>
      <c r="B20" s="175" t="str">
        <f>IF(IDENTIFICACIÓN!D18="","",IDENTIFICACIÓN!D18)</f>
        <v>Comunicaciones. Inoportuna e ineficaz divulgación de los productos comunicativos y publicitarios ante los usuarios internos y externos.</v>
      </c>
      <c r="C20" s="55" t="str">
        <f>IF(IDENTIFICACIÓN!B18="","",IDENTIFICACIÓN!B18)</f>
        <v xml:space="preserve">Dependencia en la toma de decisiones. Demora en la revisión de los productos comunicativos por parte de la Alta Dirección y/o jefes. </v>
      </c>
      <c r="D20" s="371">
        <v>3</v>
      </c>
      <c r="E20" s="19" t="str">
        <f t="shared" si="0"/>
        <v>POSIBLE</v>
      </c>
      <c r="F20" s="55" t="str">
        <f>IF(IDENTIFICACIÓN!F18="","",IDENTIFICACIÓN!F18)</f>
        <v>Disminución de los indicadores de calidad, pérdida de la credibilidad, presentación desactualizada de la información y discontinuidad de publicaciones.</v>
      </c>
      <c r="G20" s="371">
        <v>4</v>
      </c>
      <c r="H20" s="19" t="str">
        <f t="shared" si="1"/>
        <v>MAYOR</v>
      </c>
      <c r="I20" s="16">
        <f t="shared" si="2"/>
        <v>43</v>
      </c>
      <c r="J20" s="45" t="str">
        <f t="shared" si="3"/>
        <v>EXTREMA 3:4</v>
      </c>
      <c r="K20" s="46" t="str">
        <f t="shared" si="4"/>
        <v>ALTA 5:1</v>
      </c>
      <c r="L20" s="46" t="str">
        <f t="shared" si="5"/>
        <v>ALTA 5:2</v>
      </c>
      <c r="M20" s="46" t="str">
        <f t="shared" si="6"/>
        <v>EXTREMA 5:3</v>
      </c>
      <c r="N20" s="46" t="str">
        <f t="shared" si="7"/>
        <v>EXTREMA 3:4</v>
      </c>
      <c r="O20" s="46" t="str">
        <f t="shared" si="8"/>
        <v>EXTREMA 5:5</v>
      </c>
    </row>
    <row r="21" spans="1:15" ht="47.25" customHeight="1" x14ac:dyDescent="0.2">
      <c r="A21" s="354" t="str">
        <f>IDENTIFICACIÓN!C19</f>
        <v>11G</v>
      </c>
      <c r="B21" s="353" t="str">
        <f>IF(IDENTIFICACIÓN!D19="","",IDENTIFICACIÓN!D19)</f>
        <v>Gestión Academica. Pérdida de Registro Calificado de los Programas Académicos.</v>
      </c>
      <c r="C21" s="55" t="str">
        <f>IF(IDENTIFICACIÓN!B19="","",IDENTIFICACIÓN!B19)</f>
        <v>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v>
      </c>
      <c r="D21" s="371">
        <v>3</v>
      </c>
      <c r="E21" s="19" t="str">
        <f t="shared" ref="E21" si="9">IF(D21=5,"CASI CERTEZA",IF(D21=4,"PROBABLE",IF(D21=3,"POSIBLE",IF(D21=2,"IMPROBABLE","RARO"))))</f>
        <v>POSIBLE</v>
      </c>
      <c r="F21" s="55" t="str">
        <f>IF(IDENTIFICACIÓN!F19="","",IDENTIFICACIÓN!F19)</f>
        <v>1. Reducción de la oferta académica.
2. Pérdida de la credibilidad institucional.
3.  Impacto económico (Disminución de ingresos).
4. Deserción estudiantil.</v>
      </c>
      <c r="G21" s="371">
        <v>4</v>
      </c>
      <c r="H21" s="19" t="str">
        <f t="shared" ref="H21" si="10">IF(G21=1,"INSIGNIFICANTE",IF(G21=2,"MENOR",IF(G21=3,"MODERADO",IF(G21=4,"MAYOR","CATASTRÓFICO"))))</f>
        <v>MAYOR</v>
      </c>
      <c r="I21" s="16">
        <f t="shared" ref="I21" si="11">IF(G21=2,D21+20,IF(G21=3,D21+30,IF(G21=4,D21+40,IF(G21=5,D21+50,D21+10))))</f>
        <v>43</v>
      </c>
      <c r="J21" s="45" t="str">
        <f t="shared" ref="J21" si="12">IF(G21=1,K21,IF(G21=2,L21,IF(G21=3,M21,IF(G21=4,N21,O21))))</f>
        <v>EXTREMA 3:4</v>
      </c>
      <c r="K21" s="46" t="str">
        <f t="shared" si="4"/>
        <v>ALTA 5:1</v>
      </c>
      <c r="L21" s="46" t="str">
        <f t="shared" si="5"/>
        <v>ALTA 5:2</v>
      </c>
      <c r="M21" s="46" t="str">
        <f t="shared" si="6"/>
        <v>EXTREMA 5:3</v>
      </c>
      <c r="N21" s="46" t="str">
        <f t="shared" si="7"/>
        <v>EXTREMA 3:4</v>
      </c>
      <c r="O21" s="46" t="str">
        <f t="shared" si="8"/>
        <v>EXTREMA 5:5</v>
      </c>
    </row>
    <row r="22" spans="1:15" ht="47.25" customHeight="1" x14ac:dyDescent="0.2">
      <c r="A22" s="354" t="str">
        <f>IDENTIFICACIÓN!C20</f>
        <v>12G</v>
      </c>
      <c r="B22" s="353" t="str">
        <f>IF(IDENTIFICACIÓN!D20="","",IDENTIFICACIÓN!D20)</f>
        <v>Gestión Academica. Formulación inadecuada de políticas.</v>
      </c>
      <c r="C22" s="55" t="str">
        <f>IF(IDENTIFICACIÓN!B20="","",IDENTIFICACIÓN!B20)</f>
        <v>1. Inadecuada revisión del contexto. 
2.  Toma de decisiones basadas en situaciones particulares, sin considerar la generalidad que aplica en cada caso.  
3. Alta carga laboral.</v>
      </c>
      <c r="D22" s="371">
        <v>3</v>
      </c>
      <c r="E22" s="19" t="str">
        <f t="shared" ref="E22:E24" si="13">IF(D22=5,"CASI CERTEZA",IF(D22=4,"PROBABLE",IF(D22=3,"POSIBLE",IF(D22=2,"IMPROBABLE","RARO"))))</f>
        <v>POSIBLE</v>
      </c>
      <c r="F22" s="55" t="str">
        <f>IF(IDENTIFICACIÓN!F20="","",IDENTIFICACIÓN!F20)</f>
        <v>1. Ausencia de unidad de criterio.
2. Posibles toma de decisiones inadecuadas.
3. Retrasa el desarrollo institucional.
4. Exposición a sanciones.
5. Favorecimiento a casos particulares.</v>
      </c>
      <c r="G22" s="371">
        <v>4</v>
      </c>
      <c r="H22" s="19" t="str">
        <f t="shared" ref="H22:H24" si="14">IF(G22=1,"INSIGNIFICANTE",IF(G22=2,"MENOR",IF(G22=3,"MODERADO",IF(G22=4,"MAYOR","CATASTRÓFICO"))))</f>
        <v>MAYOR</v>
      </c>
      <c r="I22" s="16">
        <f t="shared" ref="I22:I24" si="15">IF(G22=2,D22+20,IF(G22=3,D22+30,IF(G22=4,D22+40,IF(G22=5,D22+50,D22+10))))</f>
        <v>43</v>
      </c>
      <c r="J22" s="45" t="str">
        <f t="shared" ref="J22:J24" si="16">IF(G22=1,K22,IF(G22=2,L22,IF(G22=3,M22,IF(G22=4,N22,O22))))</f>
        <v>EXTREMA 3:4</v>
      </c>
      <c r="K22" s="46" t="str">
        <f t="shared" si="4"/>
        <v>ALTA 5:1</v>
      </c>
      <c r="L22" s="46" t="str">
        <f t="shared" si="5"/>
        <v>ALTA 5:2</v>
      </c>
      <c r="M22" s="46" t="str">
        <f t="shared" si="6"/>
        <v>EXTREMA 5:3</v>
      </c>
      <c r="N22" s="46" t="str">
        <f t="shared" si="7"/>
        <v>EXTREMA 3:4</v>
      </c>
      <c r="O22" s="46" t="str">
        <f t="shared" si="8"/>
        <v>EXTREMA 5:5</v>
      </c>
    </row>
    <row r="23" spans="1:15" ht="47.25" customHeight="1" x14ac:dyDescent="0.2">
      <c r="A23" s="354" t="str">
        <f>IDENTIFICACIÓN!C21</f>
        <v>13G</v>
      </c>
      <c r="B23" s="353" t="str">
        <f>IF(IDENTIFICACIÓN!D21="","",IDENTIFICACIÓN!D21)</f>
        <v>Gestión Academica. Aplicación inadecuada de la normatividad en el desarrollo de los diferentes procesos academicos de los programas.</v>
      </c>
      <c r="C23" s="55" t="str">
        <f>IF(IDENTIFICACIÓN!B21="","",IDENTIFICACIÓN!B21)</f>
        <v xml:space="preserve">1. Desconocimiento de la normativa existente o falta de revisión de los responsables del proceso.
2.  Descuido por parte de personal responsable del proceso.
3.  Alta carga laboral.                                   </v>
      </c>
      <c r="D23" s="371">
        <v>2</v>
      </c>
      <c r="E23" s="19" t="str">
        <f t="shared" si="13"/>
        <v>IMPROBABLE</v>
      </c>
      <c r="F23" s="55" t="str">
        <f>IF(IDENTIFICACIÓN!F21="","",IDENTIFICACIÓN!F21)</f>
        <v>1. Incremento de: demandas, derechos de petición, tutelas, PQR.
2. Incumplimiento de la planeación académica.
3. Perdida de credibilidad institucional.
4. Sanciones económicas y/o administrativas.
5. Afectación de la gobernabilidad institucional.</v>
      </c>
      <c r="G23" s="371">
        <v>4</v>
      </c>
      <c r="H23" s="19" t="str">
        <f t="shared" si="14"/>
        <v>MAYOR</v>
      </c>
      <c r="I23" s="16">
        <f t="shared" si="15"/>
        <v>42</v>
      </c>
      <c r="J23" s="45" t="str">
        <f t="shared" si="16"/>
        <v>ALTA 2:4</v>
      </c>
      <c r="K23" s="46" t="str">
        <f t="shared" si="4"/>
        <v>ALTA 5:1</v>
      </c>
      <c r="L23" s="46" t="str">
        <f t="shared" si="5"/>
        <v>ALTA 5:2</v>
      </c>
      <c r="M23" s="46" t="str">
        <f t="shared" si="6"/>
        <v>EXTREMA 5:3</v>
      </c>
      <c r="N23" s="46" t="str">
        <f t="shared" si="7"/>
        <v>ALTA 2:4</v>
      </c>
      <c r="O23" s="46" t="str">
        <f t="shared" si="8"/>
        <v>EXTREMA 5:5</v>
      </c>
    </row>
    <row r="24" spans="1:15" ht="47.25" customHeight="1" x14ac:dyDescent="0.2">
      <c r="A24" s="354" t="str">
        <f>IDENTIFICACIÓN!C22</f>
        <v>14G</v>
      </c>
      <c r="B24" s="353" t="str">
        <f>IF(IDENTIFICACIÓN!D22="","",IDENTIFICACIÓN!D22)</f>
        <v>Gestión Academica. Deterioro en la calidad de los programas académicos por necesidades de recursos no cubiertas.</v>
      </c>
      <c r="C24" s="55" t="str">
        <f>IF(IDENTIFICACIÓN!B22="","",IDENTIFICACIÓN!B22)</f>
        <v>1. Planeación inadecuada.                                         
2. Mala priorización de las necesidades de los programas académicos.</v>
      </c>
      <c r="D24" s="371">
        <v>3</v>
      </c>
      <c r="E24" s="19" t="str">
        <f t="shared" si="13"/>
        <v>POSIBLE</v>
      </c>
      <c r="F24" s="55" t="str">
        <f>IF(IDENTIFICACIÓN!F22="","",IDENTIFICACIÓN!F22)</f>
        <v>1. Mala ejecución de los recursos.
2. Necesidades insatisfechas de los programas académicos.</v>
      </c>
      <c r="G24" s="371">
        <v>4</v>
      </c>
      <c r="H24" s="19" t="str">
        <f t="shared" si="14"/>
        <v>MAYOR</v>
      </c>
      <c r="I24" s="16">
        <f t="shared" si="15"/>
        <v>43</v>
      </c>
      <c r="J24" s="45" t="str">
        <f t="shared" si="16"/>
        <v>EXTREMA 3:4</v>
      </c>
      <c r="K24" s="46" t="str">
        <f t="shared" si="4"/>
        <v>ALTA 5:1</v>
      </c>
      <c r="L24" s="46" t="str">
        <f t="shared" si="5"/>
        <v>ALTA 5:2</v>
      </c>
      <c r="M24" s="46" t="str">
        <f t="shared" si="6"/>
        <v>EXTREMA 5:3</v>
      </c>
      <c r="N24" s="46" t="str">
        <f t="shared" si="7"/>
        <v>EXTREMA 3:4</v>
      </c>
      <c r="O24" s="46" t="str">
        <f t="shared" si="8"/>
        <v>EXTREMA 5:5</v>
      </c>
    </row>
    <row r="25" spans="1:15" ht="47.25" customHeight="1" x14ac:dyDescent="0.2">
      <c r="A25" s="354" t="str">
        <f>IDENTIFICACIÓN!C23</f>
        <v>15G</v>
      </c>
      <c r="B25" s="353" t="str">
        <f>IF(IDENTIFICACIÓN!D23="","",IDENTIFICACIÓN!D23)</f>
        <v xml:space="preserve">Gestión de Investigación. No fomentar la actividad investigativa en la Universidad.  </v>
      </c>
      <c r="C25" s="55" t="str">
        <f>IF(IDENTIFICACIÓN!B23="","",IDENTIFICACIÓN!B23)</f>
        <v xml:space="preserve">Falta de gestión de recursos para actividades de investigación. 
Desconocimiento de necesidades de los grupos de investigación
Desconocimiento de procedimientos </v>
      </c>
      <c r="D25" s="371">
        <v>1</v>
      </c>
      <c r="E25" s="19" t="str">
        <f t="shared" ref="E25:E26" si="17">IF(D25=5,"CASI CERTEZA",IF(D25=4,"PROBABLE",IF(D25=3,"POSIBLE",IF(D25=2,"IMPROBABLE","RARO"))))</f>
        <v>RARO</v>
      </c>
      <c r="F25" s="55" t="str">
        <f>IF(IDENTIFICACIÓN!F23="","",IDENTIFICACIÓN!F23)</f>
        <v>Disminuyen los indicadores de la actividad investigativa
Reducción de presupuesto para la investigación
Disminución de la visibilidad de la Universidad</v>
      </c>
      <c r="G25" s="371">
        <v>5</v>
      </c>
      <c r="H25" s="19" t="str">
        <f t="shared" ref="H25:H26" si="18">IF(G25=1,"INSIGNIFICANTE",IF(G25=2,"MENOR",IF(G25=3,"MODERADO",IF(G25=4,"MAYOR","CATASTRÓFICO"))))</f>
        <v>CATASTRÓFICO</v>
      </c>
      <c r="I25" s="16">
        <f t="shared" ref="I25:I26" si="19">IF(G25=2,D25+20,IF(G25=3,D25+30,IF(G25=4,D25+40,IF(G25=5,D25+50,D25+10))))</f>
        <v>51</v>
      </c>
      <c r="J25" s="45" t="str">
        <f t="shared" ref="J25:J26" si="20">IF(G25=1,K25,IF(G25=2,L25,IF(G25=3,M25,IF(G25=4,N25,O25))))</f>
        <v>ALTA 1:5</v>
      </c>
      <c r="K25" s="46" t="str">
        <f t="shared" si="4"/>
        <v>ALTA 5:1</v>
      </c>
      <c r="L25" s="46" t="str">
        <f t="shared" si="5"/>
        <v>ALTA 5:2</v>
      </c>
      <c r="M25" s="46" t="str">
        <f t="shared" si="6"/>
        <v>EXTREMA 5:3</v>
      </c>
      <c r="N25" s="46" t="str">
        <f t="shared" si="7"/>
        <v>EXTREMA 5:4</v>
      </c>
      <c r="O25" s="46" t="str">
        <f t="shared" si="8"/>
        <v>ALTA 1:5</v>
      </c>
    </row>
    <row r="26" spans="1:15" ht="47.25" customHeight="1" x14ac:dyDescent="0.2">
      <c r="A26" s="354" t="str">
        <f>IDENTIFICACIÓN!C24</f>
        <v>16G</v>
      </c>
      <c r="B26" s="353" t="str">
        <f>IF(IDENTIFICACIÓN!D24="","",IDENTIFICACIÓN!D24)</f>
        <v>Gestión de Investigación. Deficiente cumplimiento del plan de acción de la Vicerrectoría de Investigación</v>
      </c>
      <c r="C26" s="55" t="str">
        <f>IF(IDENTIFICACIÓN!B24="","",IDENTIFICACIÓN!B24)</f>
        <v>Deficiente planificación del plan de acción.
Sobrecarga laboral.
Deficiente seguimiento a la ejecución del plan de acción.
Escaso personal, para el creciente incremento de las actividades de investigación.</v>
      </c>
      <c r="D26" s="371">
        <v>1</v>
      </c>
      <c r="E26" s="19" t="str">
        <f t="shared" si="17"/>
        <v>RARO</v>
      </c>
      <c r="F26" s="55" t="str">
        <f>IF(IDENTIFICACIÓN!F24="","",IDENTIFICACIÓN!F24)</f>
        <v>Disminuyen los indicadores de la actividad investigativa.
Reducción de presupuesto para la investigación.
Disminución de la visibilidad de resultados de la investigación de la Universidad.</v>
      </c>
      <c r="G26" s="371">
        <v>4</v>
      </c>
      <c r="H26" s="19" t="str">
        <f t="shared" si="18"/>
        <v>MAYOR</v>
      </c>
      <c r="I26" s="16">
        <f t="shared" si="19"/>
        <v>41</v>
      </c>
      <c r="J26" s="45" t="str">
        <f t="shared" si="20"/>
        <v>ALTA 1:4</v>
      </c>
      <c r="K26" s="46" t="str">
        <f t="shared" si="4"/>
        <v>ALTA 5:1</v>
      </c>
      <c r="L26" s="46" t="str">
        <f t="shared" si="5"/>
        <v>ALTA 5:2</v>
      </c>
      <c r="M26" s="46" t="str">
        <f t="shared" si="6"/>
        <v>EXTREMA 5:3</v>
      </c>
      <c r="N26" s="46" t="str">
        <f t="shared" si="7"/>
        <v>ALTA 1:4</v>
      </c>
      <c r="O26" s="46" t="str">
        <f t="shared" si="8"/>
        <v>EXTREMA 5:5</v>
      </c>
    </row>
    <row r="27" spans="1:15" ht="47.25" customHeight="1" x14ac:dyDescent="0.2">
      <c r="A27" s="354" t="str">
        <f>IDENTIFICACIÓN!C25</f>
        <v>17G</v>
      </c>
      <c r="B27" s="353" t="str">
        <f>IF(IDENTIFICACIÓN!D25="","",IDENTIFICACIÓN!D25)</f>
        <v>Gestión de Extensión y Proyección Social. Incumplimiento en los compromisos establecidos en la formalización de los proyectos.</v>
      </c>
      <c r="C27" s="55" t="str">
        <f>IF(IDENTIFICACIÓN!B25="","",IDENTIFICACIÓN!B25)</f>
        <v>Aumento en la oferta de servicios y los requerimientos por las partes interesadas.
Deficiencia en la infraestructura de los proveedores tecnológicos.</v>
      </c>
      <c r="D27" s="371">
        <v>3</v>
      </c>
      <c r="E27" s="19" t="str">
        <f t="shared" ref="E27:E38" si="21">IF(D27=5,"CASI CERTEZA",IF(D27=4,"PROBABLE",IF(D27=3,"POSIBLE",IF(D27=2,"IMPROBABLE","RARO"))))</f>
        <v>POSIBLE</v>
      </c>
      <c r="F27" s="55" t="str">
        <f>IF(IDENTIFICACIÓN!F25="","",IDENTIFICACIÓN!F25)</f>
        <v>Baja competitividad.
Disminución de ventas de servicios, e impacto socioeconómicos en las áreas de influencia.</v>
      </c>
      <c r="G27" s="371">
        <v>4</v>
      </c>
      <c r="H27" s="19" t="str">
        <f t="shared" ref="H27:H38" si="22">IF(G27=1,"INSIGNIFICANTE",IF(G27=2,"MENOR",IF(G27=3,"MODERADO",IF(G27=4,"MAYOR","CATASTRÓFICO"))))</f>
        <v>MAYOR</v>
      </c>
      <c r="I27" s="16">
        <f t="shared" ref="I27:I38" si="23">IF(G27=2,D27+20,IF(G27=3,D27+30,IF(G27=4,D27+40,IF(G27=5,D27+50,D27+10))))</f>
        <v>43</v>
      </c>
      <c r="J27" s="45" t="str">
        <f t="shared" ref="J27:J38" si="24">IF(G27=1,K27,IF(G27=2,L27,IF(G27=3,M27,IF(G27=4,N27,O27))))</f>
        <v>EXTREMA 3:4</v>
      </c>
      <c r="K27" s="46" t="str">
        <f t="shared" si="4"/>
        <v>ALTA 5:1</v>
      </c>
      <c r="L27" s="46" t="str">
        <f t="shared" si="5"/>
        <v>ALTA 5:2</v>
      </c>
      <c r="M27" s="46" t="str">
        <f t="shared" si="6"/>
        <v>EXTREMA 5:3</v>
      </c>
      <c r="N27" s="46" t="str">
        <f t="shared" si="7"/>
        <v>EXTREMA 3:4</v>
      </c>
      <c r="O27" s="46" t="str">
        <f t="shared" si="8"/>
        <v>EXTREMA 5:5</v>
      </c>
    </row>
    <row r="28" spans="1:15" ht="47.25" customHeight="1" x14ac:dyDescent="0.2">
      <c r="A28" s="354" t="str">
        <f>IDENTIFICACIÓN!C26</f>
        <v>18G</v>
      </c>
      <c r="B28" s="353"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8" s="55" t="str">
        <f>IF(IDENTIFICACIÓN!B26="","",IDENTIFICACIÓN!B26)</f>
        <v>Canales de comunicación deficientes.</v>
      </c>
      <c r="D28" s="371">
        <v>4</v>
      </c>
      <c r="E28" s="19" t="str">
        <f t="shared" si="21"/>
        <v>PROBABLE</v>
      </c>
      <c r="F28" s="55" t="str">
        <f>IF(IDENTIFICACIÓN!F26="","",IDENTIFICACIÓN!F26)</f>
        <v>Bajo impacto social.</v>
      </c>
      <c r="G28" s="371">
        <v>3</v>
      </c>
      <c r="H28" s="19" t="str">
        <f t="shared" si="22"/>
        <v>MODERADO</v>
      </c>
      <c r="I28" s="16">
        <f t="shared" si="23"/>
        <v>34</v>
      </c>
      <c r="J28" s="45" t="str">
        <f t="shared" si="24"/>
        <v>ALTA 4:3</v>
      </c>
      <c r="K28" s="46" t="str">
        <f t="shared" si="4"/>
        <v>ALTA 5:1</v>
      </c>
      <c r="L28" s="46" t="str">
        <f t="shared" si="5"/>
        <v>ALTA 5:2</v>
      </c>
      <c r="M28" s="46" t="str">
        <f t="shared" si="6"/>
        <v>ALTA 4:3</v>
      </c>
      <c r="N28" s="46" t="str">
        <f t="shared" si="7"/>
        <v>EXTREMA 5:4</v>
      </c>
      <c r="O28" s="46" t="str">
        <f t="shared" si="8"/>
        <v>EXTREMA 5:5</v>
      </c>
    </row>
    <row r="29" spans="1:15" ht="47.25" customHeight="1" x14ac:dyDescent="0.2">
      <c r="A29" s="354" t="str">
        <f>IDENTIFICACIÓN!C27</f>
        <v>19G</v>
      </c>
      <c r="B29" s="353" t="str">
        <f>IF(IDENTIFICACIÓN!D27="","",IDENTIFICACIÓN!D27)</f>
        <v>Gestión de Extensión y Proyección Social. Interrupción en las actividades e incumplimiento de los proyectos de extensión y proyección social, en las zonas de influencia.</v>
      </c>
      <c r="C29" s="55" t="str">
        <f>IF(IDENTIFICACIÓN!B27="","",IDENTIFICACIÓN!B27)</f>
        <v>*Presencia de grupos armados en las zonas de influencia.
*Deficiencia en las vías de acceso a las zonas de influencia.</v>
      </c>
      <c r="D29" s="371">
        <v>3</v>
      </c>
      <c r="E29" s="19" t="str">
        <f t="shared" si="21"/>
        <v>POSIBLE</v>
      </c>
      <c r="F29" s="55" t="str">
        <f>IF(IDENTIFICACIÓN!F27="","",IDENTIFICACIÓN!F27)</f>
        <v>Incumplimiento contractual con los aliados.
Sanciones.
Pérdida de la imagen institucional.</v>
      </c>
      <c r="G29" s="371">
        <v>4</v>
      </c>
      <c r="H29" s="19" t="str">
        <f t="shared" si="22"/>
        <v>MAYOR</v>
      </c>
      <c r="I29" s="16">
        <f t="shared" si="23"/>
        <v>43</v>
      </c>
      <c r="J29" s="45" t="str">
        <f t="shared" si="24"/>
        <v>EXTREMA 3:4</v>
      </c>
      <c r="K29" s="46" t="str">
        <f t="shared" si="4"/>
        <v>ALTA 5:1</v>
      </c>
      <c r="L29" s="46" t="str">
        <f t="shared" si="5"/>
        <v>ALTA 5:2</v>
      </c>
      <c r="M29" s="46" t="str">
        <f t="shared" si="6"/>
        <v>EXTREMA 5:3</v>
      </c>
      <c r="N29" s="46" t="str">
        <f t="shared" si="7"/>
        <v>EXTREMA 3:4</v>
      </c>
      <c r="O29" s="46" t="str">
        <f t="shared" si="8"/>
        <v>EXTREMA 5:5</v>
      </c>
    </row>
    <row r="30" spans="1:15" ht="47.25" customHeight="1" x14ac:dyDescent="0.2">
      <c r="A30" s="354" t="str">
        <f>IDENTIFICACIÓN!C28</f>
        <v>20G</v>
      </c>
      <c r="B30" s="353" t="str">
        <f>IF(IDENTIFICACIÓN!D28="","",IDENTIFICACIÓN!D28)</f>
        <v>Gestión de Contratación. Celebración de contratos sin el cumplimiento de los requisitos internos y externos de carácter contractual</v>
      </c>
      <c r="C30" s="55" t="str">
        <f>IF(IDENTIFICACIÓN!B28="","",IDENTIFICACIÓN!B28)</f>
        <v>Desconocimiento de las normas internas, externas y jurisprudenciales que rigen la celebración de contratos.</v>
      </c>
      <c r="D30" s="371">
        <v>1</v>
      </c>
      <c r="E30" s="19" t="str">
        <f t="shared" si="21"/>
        <v>RARO</v>
      </c>
      <c r="F30" s="55" t="str">
        <f>IF(IDENTIFICACIÓN!F28="","",IDENTIFICACIÓN!F28)</f>
        <v>Sanciones administrativas, disciplinarias, fiscales y penales, demandas.</v>
      </c>
      <c r="G30" s="371">
        <v>4</v>
      </c>
      <c r="H30" s="19" t="str">
        <f t="shared" si="22"/>
        <v>MAYOR</v>
      </c>
      <c r="I30" s="16">
        <f t="shared" si="23"/>
        <v>41</v>
      </c>
      <c r="J30" s="45" t="str">
        <f t="shared" si="24"/>
        <v>ALTA 1:4</v>
      </c>
      <c r="K30" s="46" t="str">
        <f t="shared" si="4"/>
        <v>ALTA 5:1</v>
      </c>
      <c r="L30" s="46" t="str">
        <f t="shared" si="5"/>
        <v>ALTA 5:2</v>
      </c>
      <c r="M30" s="46" t="str">
        <f t="shared" si="6"/>
        <v>EXTREMA 5:3</v>
      </c>
      <c r="N30" s="46" t="str">
        <f t="shared" si="7"/>
        <v>ALTA 1:4</v>
      </c>
      <c r="O30" s="46" t="str">
        <f t="shared" si="8"/>
        <v>EXTREMA 5:5</v>
      </c>
    </row>
    <row r="31" spans="1:15" ht="47.25" customHeight="1" x14ac:dyDescent="0.2">
      <c r="A31" s="354" t="str">
        <f>IDENTIFICACIÓN!C29</f>
        <v>21G</v>
      </c>
      <c r="B31" s="353" t="str">
        <f>IF(IDENTIFICACIÓN!D29="","",IDENTIFICACIÓN!D29)</f>
        <v>Gestión de Contratación. Documentación incompleta en la carpeta contractual</v>
      </c>
      <c r="C31" s="55" t="str">
        <f>IF(IDENTIFICACIÓN!B29="","",IDENTIFICACIÓN!B29)</f>
        <v>Falta de entrega oportuna de la documentación relacionada con un contrato</v>
      </c>
      <c r="D31" s="371">
        <v>3</v>
      </c>
      <c r="E31" s="19" t="str">
        <f t="shared" si="21"/>
        <v>POSIBLE</v>
      </c>
      <c r="F31" s="55" t="str">
        <f>IF(IDENTIFICACIÓN!F29="","",IDENTIFICACIÓN!F29)</f>
        <v>Sanciones administrativas, disciplinarias, fiscales y penales, demandas.</v>
      </c>
      <c r="G31" s="371">
        <v>4</v>
      </c>
      <c r="H31" s="19" t="str">
        <f t="shared" si="22"/>
        <v>MAYOR</v>
      </c>
      <c r="I31" s="16">
        <f t="shared" si="23"/>
        <v>43</v>
      </c>
      <c r="J31" s="45" t="str">
        <f t="shared" si="24"/>
        <v>EXTREMA 3:4</v>
      </c>
      <c r="K31" s="46" t="str">
        <f t="shared" si="4"/>
        <v>ALTA 5:1</v>
      </c>
      <c r="L31" s="46" t="str">
        <f t="shared" si="5"/>
        <v>ALTA 5:2</v>
      </c>
      <c r="M31" s="46" t="str">
        <f t="shared" si="6"/>
        <v>EXTREMA 5:3</v>
      </c>
      <c r="N31" s="46" t="str">
        <f t="shared" si="7"/>
        <v>EXTREMA 3:4</v>
      </c>
      <c r="O31" s="46" t="str">
        <f t="shared" si="8"/>
        <v>EXTREMA 5:5</v>
      </c>
    </row>
    <row r="32" spans="1:15" ht="47.25" customHeight="1" x14ac:dyDescent="0.2">
      <c r="A32" s="354" t="str">
        <f>IDENTIFICACIÓN!C30</f>
        <v>22G</v>
      </c>
      <c r="B32" s="353" t="str">
        <f>IF(IDENTIFICACIÓN!D30="","",IDENTIFICACIÓN!D30)</f>
        <v>Gestión Administrativa. Inseguridad en el campus</v>
      </c>
      <c r="C32" s="55" t="str">
        <f>IF(IDENTIFICACIÓN!B30="","",IDENTIFICACIÓN!B30)</f>
        <v>Falta de personal de seguridad.
Falta de dispositivos de seguridad.
poco sistema de iluminación.</v>
      </c>
      <c r="D32" s="371">
        <v>4</v>
      </c>
      <c r="E32" s="19" t="str">
        <f t="shared" si="21"/>
        <v>PROBABLE</v>
      </c>
      <c r="F32" s="55" t="str">
        <f>IF(IDENTIFICACIÓN!F30="","",IDENTIFICACIÓN!F30)</f>
        <v>Demandas
Detrimento del patrimonio
Incremento de la prima de poliza de seguros
Perdida de imagen</v>
      </c>
      <c r="G32" s="371">
        <v>5</v>
      </c>
      <c r="H32" s="19" t="str">
        <f t="shared" si="22"/>
        <v>CATASTRÓFICO</v>
      </c>
      <c r="I32" s="16">
        <f t="shared" si="23"/>
        <v>54</v>
      </c>
      <c r="J32" s="45" t="str">
        <f t="shared" si="24"/>
        <v>EXTREMA 4:5</v>
      </c>
      <c r="K32" s="46" t="str">
        <f t="shared" si="4"/>
        <v>ALTA 5:1</v>
      </c>
      <c r="L32" s="46" t="str">
        <f t="shared" si="5"/>
        <v>ALTA 5:2</v>
      </c>
      <c r="M32" s="46" t="str">
        <f t="shared" si="6"/>
        <v>EXTREMA 5:3</v>
      </c>
      <c r="N32" s="46" t="str">
        <f t="shared" si="7"/>
        <v>EXTREMA 5:4</v>
      </c>
      <c r="O32" s="46" t="str">
        <f t="shared" si="8"/>
        <v>EXTREMA 4:5</v>
      </c>
    </row>
    <row r="33" spans="1:15" ht="47.25" customHeight="1" x14ac:dyDescent="0.2">
      <c r="A33" s="354" t="str">
        <f>IDENTIFICACIÓN!C31</f>
        <v>23G</v>
      </c>
      <c r="B33" s="353" t="str">
        <f>IF(IDENTIFICACIÓN!D31="","",IDENTIFICACIÓN!D31)</f>
        <v>Gestión Administrativa. Inadecuado gestión de los residuos</v>
      </c>
      <c r="C33" s="55" t="str">
        <f>IF(IDENTIFICACIÓN!B31="","",IDENTIFICACIÓN!B31)</f>
        <v>Incumplimiento de los Programas formulados para el manejo adecuado de los residuos generados en las actividades desarrolladas.
Falta de asignación presupuestal para la implementación del PGIR.</v>
      </c>
      <c r="D33" s="371">
        <v>4</v>
      </c>
      <c r="E33" s="19" t="str">
        <f t="shared" si="21"/>
        <v>PROBABLE</v>
      </c>
      <c r="F33" s="55" t="str">
        <f>IF(IDENTIFICACIÓN!F31="","",IDENTIFICACIÓN!F31)</f>
        <v>Afectación y riesgos a la salud
Contaminación ambiental
Sanciones ambientales</v>
      </c>
      <c r="G33" s="371">
        <v>4</v>
      </c>
      <c r="H33" s="19" t="str">
        <f t="shared" si="22"/>
        <v>MAYOR</v>
      </c>
      <c r="I33" s="16">
        <f t="shared" si="23"/>
        <v>44</v>
      </c>
      <c r="J33" s="45" t="str">
        <f t="shared" si="24"/>
        <v>EXTREMA 4:4</v>
      </c>
      <c r="K33" s="46" t="str">
        <f t="shared" si="4"/>
        <v>ALTA 5:1</v>
      </c>
      <c r="L33" s="46" t="str">
        <f t="shared" si="5"/>
        <v>ALTA 5:2</v>
      </c>
      <c r="M33" s="46" t="str">
        <f t="shared" si="6"/>
        <v>EXTREMA 5:3</v>
      </c>
      <c r="N33" s="46" t="str">
        <f t="shared" si="7"/>
        <v>EXTREMA 4:4</v>
      </c>
      <c r="O33" s="46" t="str">
        <f t="shared" si="8"/>
        <v>EXTREMA 5:5</v>
      </c>
    </row>
    <row r="34" spans="1:15" ht="47.25" customHeight="1" x14ac:dyDescent="0.2">
      <c r="A34" s="354" t="str">
        <f>IDENTIFICACIÓN!C32</f>
        <v>24G</v>
      </c>
      <c r="B34" s="353" t="str">
        <f>IF(IDENTIFICACIÓN!D32="","",IDENTIFICACIÓN!D32)</f>
        <v>Gestión del Talento Humano. Deficiente desempeño laboral de los funcionarios de la Universidad.</v>
      </c>
      <c r="C34" s="55" t="str">
        <f>IF(IDENTIFICACIÓN!B32="","",IDENTIFICACIÓN!B32)</f>
        <v>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v>
      </c>
      <c r="D34" s="371">
        <v>5</v>
      </c>
      <c r="E34" s="19" t="str">
        <f t="shared" si="21"/>
        <v>CASI CERTEZA</v>
      </c>
      <c r="F34" s="55" t="str">
        <f>IF(IDENTIFICACIÓN!F32="","",IDENTIFICACIÓN!F32)</f>
        <v>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v>
      </c>
      <c r="G34" s="371">
        <v>4</v>
      </c>
      <c r="H34" s="19" t="str">
        <f t="shared" si="22"/>
        <v>MAYOR</v>
      </c>
      <c r="I34" s="16">
        <f t="shared" si="23"/>
        <v>45</v>
      </c>
      <c r="J34" s="45" t="str">
        <f t="shared" si="24"/>
        <v>EXTREMA 5:4</v>
      </c>
      <c r="K34" s="46" t="str">
        <f t="shared" si="4"/>
        <v>ALTA 5:1</v>
      </c>
      <c r="L34" s="46" t="str">
        <f t="shared" si="5"/>
        <v>ALTA 5:2</v>
      </c>
      <c r="M34" s="46" t="str">
        <f t="shared" si="6"/>
        <v>EXTREMA 5:3</v>
      </c>
      <c r="N34" s="46" t="str">
        <f t="shared" si="7"/>
        <v>EXTREMA 5:4</v>
      </c>
      <c r="O34" s="46" t="str">
        <f t="shared" si="8"/>
        <v>EXTREMA 5:5</v>
      </c>
    </row>
    <row r="35" spans="1:15" ht="47.25" customHeight="1" x14ac:dyDescent="0.2">
      <c r="A35" s="354" t="str">
        <f>IDENTIFICACIÓN!C33</f>
        <v>25G</v>
      </c>
      <c r="B35" s="353" t="str">
        <f>IF(IDENTIFICACIÓN!D33="","",IDENTIFICACIÓN!D33)</f>
        <v>Gestión del Talento Humano. Falta de plan de incentivos y/o estímulos.</v>
      </c>
      <c r="C35" s="55" t="str">
        <f>IF(IDENTIFICACIÓN!B33="","",IDENTIFICACIÓN!B33)</f>
        <v>1. Falta de Formulación del plan de incentivos para los empleados.
2.Falta de diagnostico integral de las 
necesidades reales de los 
funcionarios frente al programas de 
Bienestar Social Laboral.</v>
      </c>
      <c r="D35" s="371">
        <v>5</v>
      </c>
      <c r="E35" s="19" t="str">
        <f t="shared" si="21"/>
        <v>CASI CERTEZA</v>
      </c>
      <c r="F35" s="55" t="str">
        <f>IF(IDENTIFICACIÓN!F33="","",IDENTIFICACIÓN!F33)</f>
        <v>1. Inconformidad de los empleados.
2. Desestimulación del desempeño laboral.
3. Inadecuado ambiente laboral.</v>
      </c>
      <c r="G35" s="371">
        <v>3</v>
      </c>
      <c r="H35" s="19" t="str">
        <f t="shared" si="22"/>
        <v>MODERADO</v>
      </c>
      <c r="I35" s="16">
        <f t="shared" si="23"/>
        <v>35</v>
      </c>
      <c r="J35" s="45" t="str">
        <f t="shared" si="24"/>
        <v>EXTREMA 5:3</v>
      </c>
      <c r="K35" s="46" t="str">
        <f t="shared" si="4"/>
        <v>ALTA 5:1</v>
      </c>
      <c r="L35" s="46" t="str">
        <f t="shared" si="5"/>
        <v>ALTA 5:2</v>
      </c>
      <c r="M35" s="46" t="str">
        <f t="shared" si="6"/>
        <v>EXTREMA 5:3</v>
      </c>
      <c r="N35" s="46" t="str">
        <f t="shared" si="7"/>
        <v>EXTREMA 5:4</v>
      </c>
      <c r="O35" s="46" t="str">
        <f t="shared" si="8"/>
        <v>EXTREMA 5:5</v>
      </c>
    </row>
    <row r="36" spans="1:15" ht="47.25" customHeight="1" x14ac:dyDescent="0.2">
      <c r="A36" s="354" t="str">
        <f>IDENTIFICACIÓN!C34</f>
        <v>26G</v>
      </c>
      <c r="B36" s="353" t="str">
        <f>IF(IDENTIFICACIÓN!D34="","",IDENTIFICACIÓN!D34)</f>
        <v>Gestión del Talento Humano. Demoras en la afilicación de catedráticos y ocasionales al Sistema de Seguridad Social Integral, y de los contratistas y estudiantes de Práctica a la Administradora de Riesgos Laborales.</v>
      </c>
      <c r="C36" s="55" t="str">
        <f>IF(IDENTIFICACIÓN!B34="","",IDENTIFICACIÓN!B34)</f>
        <v>1. Reporte tardío de la información de personal vinculado y/o contratado y de estudiantes de prácticas.
2. Omisión de información del personal vinculado y/o contratado y de estudiantes en prácticas.</v>
      </c>
      <c r="D36" s="371">
        <v>5</v>
      </c>
      <c r="E36" s="19" t="str">
        <f t="shared" si="21"/>
        <v>CASI CERTEZA</v>
      </c>
      <c r="F36" s="55" t="str">
        <f>IF(IDENTIFICACIÓN!F34="","",IDENTIFICACIÓN!F34)</f>
        <v>1. Incumplimiento de obligaciones del empleador y/o contratante.
2. Sanciones y/o multas.
3. Demandas con repercusiones económicas.</v>
      </c>
      <c r="G36" s="371">
        <v>5</v>
      </c>
      <c r="H36" s="19" t="str">
        <f t="shared" si="22"/>
        <v>CATASTRÓFICO</v>
      </c>
      <c r="I36" s="16">
        <f t="shared" si="23"/>
        <v>55</v>
      </c>
      <c r="J36" s="45" t="str">
        <f t="shared" si="24"/>
        <v>EXTREMA 5:5</v>
      </c>
      <c r="K36" s="46" t="str">
        <f t="shared" si="4"/>
        <v>ALTA 5:1</v>
      </c>
      <c r="L36" s="46" t="str">
        <f t="shared" si="5"/>
        <v>ALTA 5:2</v>
      </c>
      <c r="M36" s="46" t="str">
        <f t="shared" si="6"/>
        <v>EXTREMA 5:3</v>
      </c>
      <c r="N36" s="46" t="str">
        <f t="shared" si="7"/>
        <v>EXTREMA 5:4</v>
      </c>
      <c r="O36" s="46" t="str">
        <f t="shared" si="8"/>
        <v>EXTREMA 5:5</v>
      </c>
    </row>
    <row r="37" spans="1:15" ht="47.25" customHeight="1" x14ac:dyDescent="0.2">
      <c r="A37" s="354" t="str">
        <f>IDENTIFICACIÓN!C35</f>
        <v>27G</v>
      </c>
      <c r="B37" s="353" t="str">
        <f>IF(IDENTIFICACIÓN!D35="","",IDENTIFICACIÓN!D35)</f>
        <v>Evaluación Independiente. Deficiente evaluación y verificacion de la existencia, nivel de desarrollo y grado de efectividad del Sistema de Control Interno</v>
      </c>
      <c r="C37" s="55" t="str">
        <f>IF(IDENTIFICACIÓN!B35="","",IDENTIFICACIÓN!B35)</f>
        <v>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v>
      </c>
      <c r="D37" s="371">
        <v>1</v>
      </c>
      <c r="E37" s="19" t="str">
        <f t="shared" si="21"/>
        <v>RARO</v>
      </c>
      <c r="F37" s="55" t="str">
        <f>IF(IDENTIFICACIÓN!F35="","",IDENTIFICACIÓN!F35)</f>
        <v xml:space="preserve">No consecución de metas misionales.
Sanciones por los diferentes organos de control.
Deterioro o perdida de los bienes o recursos publicos.
</v>
      </c>
      <c r="G37" s="371">
        <v>4</v>
      </c>
      <c r="H37" s="19" t="str">
        <f t="shared" si="22"/>
        <v>MAYOR</v>
      </c>
      <c r="I37" s="16">
        <f t="shared" si="23"/>
        <v>41</v>
      </c>
      <c r="J37" s="45" t="str">
        <f t="shared" si="24"/>
        <v>ALTA 1:4</v>
      </c>
      <c r="K37" s="46" t="str">
        <f t="shared" si="4"/>
        <v>ALTA 5:1</v>
      </c>
      <c r="L37" s="46" t="str">
        <f t="shared" si="5"/>
        <v>ALTA 5:2</v>
      </c>
      <c r="M37" s="46" t="str">
        <f t="shared" si="6"/>
        <v>EXTREMA 5:3</v>
      </c>
      <c r="N37" s="46" t="str">
        <f t="shared" si="7"/>
        <v>ALTA 1:4</v>
      </c>
      <c r="O37" s="46" t="str">
        <f t="shared" si="8"/>
        <v>EXTREMA 5:5</v>
      </c>
    </row>
    <row r="38" spans="1:15" ht="47.25" customHeight="1" thickBot="1" x14ac:dyDescent="0.25">
      <c r="A38" s="354" t="str">
        <f>IDENTIFICACIÓN!C36</f>
        <v>28G</v>
      </c>
      <c r="B38" s="353" t="str">
        <f>IF(IDENTIFICACIÓN!D36="","",IDENTIFICACIÓN!D36)</f>
        <v>Evaluación Independiente. Deficiente evaluación del nivel de avance de las acciones pactadas en los planes de mejoramiento</v>
      </c>
      <c r="C38" s="55" t="str">
        <f>IF(IDENTIFICACIÓN!B36="","",IDENTIFICACIÓN!B36)</f>
        <v>Baja disponibilidad en el equipo de trabajo en el seguimiento del sistema.
Personal sin las competencias y conocimientos adecuadas
Poca disponibilidad de la informacion de entrada
Falta de cultura del autocontrol, autogestion y autorregulación</v>
      </c>
      <c r="D38" s="371">
        <v>2</v>
      </c>
      <c r="E38" s="19" t="str">
        <f t="shared" si="21"/>
        <v>IMPROBABLE</v>
      </c>
      <c r="F38" s="55" t="str">
        <f>IF(IDENTIFICACIÓN!F36="","",IDENTIFICACIÓN!F36)</f>
        <v>Incumplimiento en el logro de metas y objetivos.
Sanciones de organismos de control
Deterioro o perdida de los bienes o recursos publicos.</v>
      </c>
      <c r="G38" s="371">
        <v>4</v>
      </c>
      <c r="H38" s="19" t="str">
        <f t="shared" si="22"/>
        <v>MAYOR</v>
      </c>
      <c r="I38" s="16">
        <f t="shared" si="23"/>
        <v>42</v>
      </c>
      <c r="J38" s="45" t="str">
        <f t="shared" si="24"/>
        <v>ALTA 2:4</v>
      </c>
      <c r="K38" s="46" t="str">
        <f t="shared" si="4"/>
        <v>ALTA 5:1</v>
      </c>
      <c r="L38" s="46" t="str">
        <f t="shared" si="5"/>
        <v>ALTA 5:2</v>
      </c>
      <c r="M38" s="46" t="str">
        <f t="shared" si="6"/>
        <v>EXTREMA 5:3</v>
      </c>
      <c r="N38" s="46" t="str">
        <f t="shared" si="7"/>
        <v>ALTA 2:4</v>
      </c>
      <c r="O38" s="46" t="str">
        <f t="shared" si="8"/>
        <v>EXTREMA 5:5</v>
      </c>
    </row>
    <row r="39" spans="1:15" ht="25.5" customHeight="1" thickTop="1" thickBot="1" x14ac:dyDescent="0.25">
      <c r="A39" s="460" t="str">
        <f>IDENTIFICACIÓN!A37</f>
        <v>RIESGOS DE CORRUPCIÓN</v>
      </c>
      <c r="B39" s="461"/>
      <c r="C39" s="461"/>
      <c r="D39" s="461"/>
      <c r="E39" s="461"/>
      <c r="F39" s="461"/>
      <c r="G39" s="461"/>
      <c r="H39" s="461"/>
      <c r="I39" s="461"/>
      <c r="J39" s="462"/>
    </row>
    <row r="40" spans="1:15" ht="47.25" customHeight="1" thickTop="1" thickBot="1" x14ac:dyDescent="0.25">
      <c r="A40" s="352" t="str">
        <f>IDENTIFICACIÓN!C38</f>
        <v>1C</v>
      </c>
      <c r="B40" s="246" t="str">
        <f>IF(IDENTIFICACIÓN!D38="","",IDENTIFICACIÓN!D38)</f>
        <v>Relaciones Interinstitucionales. Tráfico de Influencias</v>
      </c>
      <c r="C40" s="55" t="str">
        <f>IF(IDENTIFICACIÓN!B38="","",IDENTIFICACIÓN!B38)</f>
        <v>Concentración de autoridad o exceso de poder. Extralimitación de funciones. Ausencia Cultura de Ética y Buen Gobierno.</v>
      </c>
      <c r="D40" s="373">
        <v>3</v>
      </c>
      <c r="E40" s="19" t="str">
        <f>IF(D40=5,"CASI CERTEZA",IF(D40=3,"POSIBLE",""))</f>
        <v>POSIBLE</v>
      </c>
      <c r="F40" s="363"/>
      <c r="G40" s="364"/>
      <c r="H40" s="364"/>
      <c r="I40" s="16"/>
      <c r="J40" s="45" t="str">
        <f>IF(D40=3,"MODERADA",IF(D40=5,"EXTREMA",""))</f>
        <v>MODERADA</v>
      </c>
    </row>
    <row r="41" spans="1:15" ht="47.25" customHeight="1" thickTop="1" thickBot="1" x14ac:dyDescent="0.25">
      <c r="A41" s="352" t="str">
        <f>IDENTIFICACIÓN!C39</f>
        <v>2C</v>
      </c>
      <c r="B41" s="246" t="str">
        <f>IF(IDENTIFICACIÓN!D39="","",IDENTIFICACIÓN!D39)</f>
        <v>Dirección y Planeación. Ausencia o debilidad de procesos y procedimientos para la gestión administrativa y misional</v>
      </c>
      <c r="C41" s="55" t="str">
        <f>IF(IDENTIFICACIÓN!B39="","",IDENTIFICACIÓN!B39)</f>
        <v>Ausencia de cultura de información</v>
      </c>
      <c r="D41" s="373">
        <v>3</v>
      </c>
      <c r="E41" s="19" t="str">
        <f t="shared" ref="E41:E45" si="25">IF(D41=5,"CASI CERTEZA",IF(D41=3,"POSIBLE",""))</f>
        <v>POSIBLE</v>
      </c>
      <c r="F41" s="365"/>
      <c r="G41" s="366"/>
      <c r="H41" s="367"/>
      <c r="I41" s="16"/>
      <c r="J41" s="45" t="str">
        <f t="shared" ref="J41:J44" si="26">IF(D41=3,"MODERADA",IF(D41=5,"EXTREMA",""))</f>
        <v>MODERADA</v>
      </c>
    </row>
    <row r="42" spans="1:15" ht="47.25" customHeight="1" thickTop="1" thickBot="1" x14ac:dyDescent="0.25">
      <c r="A42" s="352" t="str">
        <f>IDENTIFICACIÓN!C40</f>
        <v>3C</v>
      </c>
      <c r="B42" s="246" t="str">
        <f>IF(IDENTIFICACIÓN!D40="","",IDENTIFICACIÓN!D40)</f>
        <v>Dirección y Planeación. Prevaricato</v>
      </c>
      <c r="C42" s="55" t="str">
        <f>IF(IDENTIFICACIÓN!B40="","",IDENTIFICACIÓN!B40)</f>
        <v>Desconocimiento de la ley</v>
      </c>
      <c r="D42" s="373">
        <v>3</v>
      </c>
      <c r="E42" s="19" t="str">
        <f t="shared" si="25"/>
        <v>POSIBLE</v>
      </c>
      <c r="F42" s="365"/>
      <c r="G42" s="366"/>
      <c r="H42" s="367"/>
      <c r="I42" s="16"/>
      <c r="J42" s="45" t="str">
        <f t="shared" si="26"/>
        <v>MODERADA</v>
      </c>
    </row>
    <row r="43" spans="1:15" ht="47.25" customHeight="1" thickTop="1" thickBot="1" x14ac:dyDescent="0.25">
      <c r="A43" s="352" t="str">
        <f>IDENTIFICACIÓN!C41</f>
        <v>4C</v>
      </c>
      <c r="B43" s="246" t="str">
        <f>IF(IDENTIFICACIÓN!D41="","",IDENTIFICACIÓN!D41)</f>
        <v>Dirección y Planeación. Malversación de Recursos</v>
      </c>
      <c r="C43" s="55" t="str">
        <f>IF(IDENTIFICACIÓN!B41="","",IDENTIFICACIÓN!B41)</f>
        <v>Omisión de procedimientos legales</v>
      </c>
      <c r="D43" s="373">
        <v>3</v>
      </c>
      <c r="E43" s="19" t="str">
        <f t="shared" si="25"/>
        <v>POSIBLE</v>
      </c>
      <c r="F43" s="365"/>
      <c r="G43" s="366"/>
      <c r="H43" s="367"/>
      <c r="I43" s="16"/>
      <c r="J43" s="45" t="str">
        <f t="shared" si="26"/>
        <v>MODERADA</v>
      </c>
    </row>
    <row r="44" spans="1:15" ht="47.25" customHeight="1" thickTop="1" thickBot="1" x14ac:dyDescent="0.25">
      <c r="A44" s="352" t="str">
        <f>IDENTIFICACIÓN!C42</f>
        <v>5C</v>
      </c>
      <c r="B44" s="246" t="str">
        <f>IF(IDENTIFICACIÓN!D42="","",IDENTIFICACIÓN!D42)</f>
        <v>Acreditación. Deficiencias en el manejo documental y de archivo</v>
      </c>
      <c r="C44" s="55" t="str">
        <f>IF(IDENTIFICACIÓN!B42="","",IDENTIFICACIÓN!B42)</f>
        <v>Deficiente o débil organización en el acervo documental</v>
      </c>
      <c r="D44" s="373">
        <v>3</v>
      </c>
      <c r="E44" s="19" t="str">
        <f t="shared" si="25"/>
        <v>POSIBLE</v>
      </c>
      <c r="F44" s="365"/>
      <c r="G44" s="366"/>
      <c r="H44" s="367"/>
      <c r="I44" s="16"/>
      <c r="J44" s="45" t="str">
        <f t="shared" si="26"/>
        <v>MODERADA</v>
      </c>
    </row>
    <row r="45" spans="1:15" ht="47.25" customHeight="1" thickTop="1" thickBot="1" x14ac:dyDescent="0.25">
      <c r="A45" s="352" t="str">
        <f>IDENTIFICACIÓN!C43</f>
        <v>6C</v>
      </c>
      <c r="B45" s="353" t="str">
        <f>IF(IDENTIFICACIÓN!D43="","",IDENTIFICACIÓN!D43)</f>
        <v>Acreditación. Concentración de información de determinadas actividades o procesos en una persona</v>
      </c>
      <c r="C45" s="55" t="str">
        <f>IF(IDENTIFICACIÓN!B43="","",IDENTIFICACIÓN!B43)</f>
        <v>Bajo numero de personal adscrito a la Oficina</v>
      </c>
      <c r="D45" s="373">
        <v>3</v>
      </c>
      <c r="E45" s="19" t="str">
        <f t="shared" si="25"/>
        <v>POSIBLE</v>
      </c>
      <c r="F45" s="365"/>
      <c r="G45" s="366"/>
      <c r="H45" s="367"/>
      <c r="I45" s="16"/>
      <c r="J45" s="45" t="str">
        <f t="shared" ref="J45" si="27">IF(D45=3,"MODERADA",IF(D45=5,"EXTREMA",""))</f>
        <v>MODERADA</v>
      </c>
    </row>
    <row r="46" spans="1:15" ht="96" thickTop="1" thickBot="1" x14ac:dyDescent="0.25">
      <c r="A46" s="352" t="str">
        <f>IDENTIFICACIÓN!C44</f>
        <v>7C</v>
      </c>
      <c r="B46" s="353" t="str">
        <f>IF(IDENTIFICACIÓN!D44="","",IDENTIFICACIÓN!D44)</f>
        <v>Gestión de la Calidad. Concentración de información de determinadas actividades o procesos en una persona</v>
      </c>
      <c r="C46" s="55" t="str">
        <f>IF(IDENTIFICACIÓN!B44="","",IDENTIFICACIÓN!B44)</f>
        <v xml:space="preserve">Falta de cualificación del personal
Alta rotación de personal
Concentración de conocimiento
</v>
      </c>
      <c r="D46" s="373">
        <v>3</v>
      </c>
      <c r="E46" s="19" t="str">
        <f t="shared" ref="E46:E66" si="28">IF(D46=5,"CASI CERTEZA",IF(D46=3,"POSIBLE",""))</f>
        <v>POSIBLE</v>
      </c>
      <c r="F46" s="365"/>
      <c r="G46" s="366"/>
      <c r="H46" s="367"/>
      <c r="I46" s="16"/>
      <c r="J46" s="45" t="str">
        <f t="shared" ref="J46:J66" si="29">IF(D46=3,"MODERADA",IF(D46=5,"EXTREMA",""))</f>
        <v>MODERADA</v>
      </c>
    </row>
    <row r="47" spans="1:15" ht="48.75" thickTop="1" thickBot="1" x14ac:dyDescent="0.25">
      <c r="A47" s="352" t="str">
        <f>IDENTIFICACIÓN!C45</f>
        <v>8C</v>
      </c>
      <c r="B47" s="353" t="str">
        <f>IF(IDENTIFICACIÓN!D45="","",IDENTIFICACIÓN!D45)</f>
        <v>Gestión de la Calidad. Deficiencias en el  manejo documental y de archivo</v>
      </c>
      <c r="C47" s="55" t="str">
        <f>IF(IDENTIFICACIÓN!B45="","",IDENTIFICACIÓN!B45)</f>
        <v>Gestión documental deficiente</v>
      </c>
      <c r="D47" s="373">
        <v>3</v>
      </c>
      <c r="E47" s="19" t="str">
        <f t="shared" si="28"/>
        <v>POSIBLE</v>
      </c>
      <c r="F47" s="365"/>
      <c r="G47" s="366"/>
      <c r="H47" s="367"/>
      <c r="I47" s="16"/>
      <c r="J47" s="45" t="str">
        <f t="shared" si="29"/>
        <v>MODERADA</v>
      </c>
    </row>
    <row r="48" spans="1:15" ht="64.5" thickTop="1" thickBot="1" x14ac:dyDescent="0.25">
      <c r="A48" s="352" t="str">
        <f>IDENTIFICACIÓN!C46</f>
        <v>9C</v>
      </c>
      <c r="B48" s="353" t="str">
        <f>IF(IDENTIFICACIÓN!D46="","",IDENTIFICACIÓN!D46)</f>
        <v>Comunicaciones Concentración de información de determinadas actividades o procesos en una persona</v>
      </c>
      <c r="C48" s="55" t="str">
        <f>IF(IDENTIFICACIÓN!B46="","",IDENTIFICACIÓN!B46)</f>
        <v xml:space="preserve">Concentración de conocimiento
</v>
      </c>
      <c r="D48" s="373">
        <v>3</v>
      </c>
      <c r="E48" s="19" t="str">
        <f t="shared" si="28"/>
        <v>POSIBLE</v>
      </c>
      <c r="F48" s="365"/>
      <c r="G48" s="366"/>
      <c r="H48" s="367"/>
      <c r="I48" s="16"/>
      <c r="J48" s="45" t="str">
        <f t="shared" si="29"/>
        <v>MODERADA</v>
      </c>
    </row>
    <row r="49" spans="1:10" ht="48.75" thickTop="1" thickBot="1" x14ac:dyDescent="0.25">
      <c r="A49" s="352" t="str">
        <f>IDENTIFICACIÓN!C47</f>
        <v>10C</v>
      </c>
      <c r="B49" s="353" t="str">
        <f>IF(IDENTIFICACIÓN!D47="","",IDENTIFICACIÓN!D47)</f>
        <v xml:space="preserve">Gestión Academica. Ausencia de canales de comunicación
</v>
      </c>
      <c r="C49" s="55" t="str">
        <f>IF(IDENTIFICACIÓN!B47="","",IDENTIFICACIÓN!B47)</f>
        <v>1. Cambios en la alta dirección</v>
      </c>
      <c r="D49" s="373">
        <v>3</v>
      </c>
      <c r="E49" s="19" t="str">
        <f t="shared" si="28"/>
        <v>POSIBLE</v>
      </c>
      <c r="F49" s="365"/>
      <c r="G49" s="366"/>
      <c r="H49" s="367"/>
      <c r="I49" s="16"/>
      <c r="J49" s="45" t="str">
        <f t="shared" si="29"/>
        <v>MODERADA</v>
      </c>
    </row>
    <row r="50" spans="1:10" ht="64.5" thickTop="1" thickBot="1" x14ac:dyDescent="0.25">
      <c r="A50" s="352" t="str">
        <f>IDENTIFICACIÓN!C48</f>
        <v>11C</v>
      </c>
      <c r="B50" s="353" t="str">
        <f>IF(IDENTIFICACIÓN!D48="","",IDENTIFICACIÓN!D48)</f>
        <v>Gestión Academica. Concentración de información de determinadas actividades o procesos en una persona</v>
      </c>
      <c r="C50" s="55" t="str">
        <f>IF(IDENTIFICACIÓN!B48="","",IDENTIFICACIÓN!B48)</f>
        <v>1. No distribución de acuerdo a competencias</v>
      </c>
      <c r="D50" s="373">
        <v>3</v>
      </c>
      <c r="E50" s="19" t="str">
        <f t="shared" si="28"/>
        <v>POSIBLE</v>
      </c>
      <c r="F50" s="365"/>
      <c r="G50" s="366"/>
      <c r="H50" s="367"/>
      <c r="I50" s="16"/>
      <c r="J50" s="45" t="str">
        <f t="shared" si="29"/>
        <v>MODERADA</v>
      </c>
    </row>
    <row r="51" spans="1:10" ht="48.75" thickTop="1" thickBot="1" x14ac:dyDescent="0.25">
      <c r="A51" s="352" t="str">
        <f>IDENTIFICACIÓN!C49</f>
        <v>12C</v>
      </c>
      <c r="B51" s="353" t="str">
        <f>IF(IDENTIFICACIÓN!D49="","",IDENTIFICACIÓN!D49)</f>
        <v>Gestión Academica. Deficiencias en el manejo documental y de archivo</v>
      </c>
      <c r="C51" s="55" t="str">
        <f>IF(IDENTIFICACIÓN!B49="","",IDENTIFICACIÓN!B49)</f>
        <v>1. Gestión Documental deficiente</v>
      </c>
      <c r="D51" s="373">
        <v>3</v>
      </c>
      <c r="E51" s="19" t="str">
        <f t="shared" si="28"/>
        <v>POSIBLE</v>
      </c>
      <c r="F51" s="365"/>
      <c r="G51" s="366"/>
      <c r="H51" s="367"/>
      <c r="I51" s="16"/>
      <c r="J51" s="45" t="str">
        <f t="shared" si="29"/>
        <v>MODERADA</v>
      </c>
    </row>
    <row r="52" spans="1:10" ht="127.5" thickTop="1" thickBot="1" x14ac:dyDescent="0.25">
      <c r="A52" s="352" t="str">
        <f>IDENTIFICACIÓN!C50</f>
        <v>13C</v>
      </c>
      <c r="B52" s="353" t="str">
        <f>IF(IDENTIFICACIÓN!D50="","",IDENTIFICACIÓN!D50)</f>
        <v>Gestión de Investigación. Vulnerabilidad en el manejo de la información de la actividad investigativa</v>
      </c>
      <c r="C52" s="55" t="str">
        <f>IF(IDENTIFICACIÓN!B50="","",IDENTIFICACIÓN!B50)</f>
        <v xml:space="preserve">Se carece de un sistema de información que permita tener información unificada, actualizada y facilite el seguimiento y control de la actividad investigativa.
</v>
      </c>
      <c r="D52" s="373">
        <v>5</v>
      </c>
      <c r="E52" s="19" t="str">
        <f t="shared" si="28"/>
        <v>CASI CERTEZA</v>
      </c>
      <c r="F52" s="365"/>
      <c r="G52" s="366"/>
      <c r="H52" s="367"/>
      <c r="I52" s="16"/>
      <c r="J52" s="45" t="str">
        <f t="shared" si="29"/>
        <v>EXTREMA</v>
      </c>
    </row>
    <row r="53" spans="1:10" ht="48.75" thickTop="1" thickBot="1" x14ac:dyDescent="0.25">
      <c r="A53" s="352" t="str">
        <f>IDENTIFICACIÓN!C51</f>
        <v>14C</v>
      </c>
      <c r="B53" s="353" t="str">
        <f>IF(IDENTIFICACIÓN!D51="","",IDENTIFICACIÓN!D51)</f>
        <v>Gestión de Investigación. Violación de la propiedad Intelectual.</v>
      </c>
      <c r="C53" s="55" t="str">
        <f>IF(IDENTIFICACIÓN!B51="","",IDENTIFICACIÓN!B51)</f>
        <v>Desconocimiento de la normatividad de Propiedad Intelectual.</v>
      </c>
      <c r="D53" s="373">
        <v>5</v>
      </c>
      <c r="E53" s="19" t="str">
        <f t="shared" si="28"/>
        <v>CASI CERTEZA</v>
      </c>
      <c r="F53" s="365"/>
      <c r="G53" s="366"/>
      <c r="H53" s="367"/>
      <c r="I53" s="16"/>
      <c r="J53" s="45" t="str">
        <f t="shared" si="29"/>
        <v>EXTREMA</v>
      </c>
    </row>
    <row r="54" spans="1:10" ht="127.5" thickTop="1" thickBot="1" x14ac:dyDescent="0.25">
      <c r="A54" s="352" t="str">
        <f>IDENTIFICACIÓN!C52</f>
        <v>15C</v>
      </c>
      <c r="B54" s="353" t="str">
        <f>IF(IDENTIFICACIÓN!D52="","",IDENTIFICACIÓN!D52)</f>
        <v>Gestión de Extensión y Proyección Social. Desviación o uso indebido de recursos, que impidan la ejecución de los proyectos y actividades misionales de la vicerrectoria de extensión y proyección social</v>
      </c>
      <c r="C54" s="55" t="str">
        <f>IF(IDENTIFICACIÓN!B52="","",IDENTIFICACIÓN!B52)</f>
        <v>Falta de cultura y aplicación de valores éticos.
Designación de personal con bajas competencias.</v>
      </c>
      <c r="D54" s="373">
        <v>3</v>
      </c>
      <c r="E54" s="19" t="str">
        <f t="shared" si="28"/>
        <v>POSIBLE</v>
      </c>
      <c r="F54" s="365"/>
      <c r="G54" s="366"/>
      <c r="H54" s="367"/>
      <c r="I54" s="16"/>
      <c r="J54" s="45" t="str">
        <f t="shared" si="29"/>
        <v>MODERADA</v>
      </c>
    </row>
    <row r="55" spans="1:10" ht="80.25" thickTop="1" thickBot="1" x14ac:dyDescent="0.25">
      <c r="A55" s="352" t="str">
        <f>IDENTIFICACIÓN!C53</f>
        <v>16C</v>
      </c>
      <c r="B55" s="353" t="str">
        <f>IF(IDENTIFICACIÓN!D53="","",IDENTIFICACIÓN!D53)</f>
        <v xml:space="preserve">Gestión de Extensión y Proyección Social. Concentración de la información en una persona. </v>
      </c>
      <c r="C55" s="55" t="str">
        <f>IF(IDENTIFICACIÓN!B53="","",IDENTIFICACIÓN!B53)</f>
        <v>No cumplimiento de las funciones establecidas según el cargo.
Mal manejo de los procesos.</v>
      </c>
      <c r="D55" s="373">
        <v>3</v>
      </c>
      <c r="E55" s="19" t="str">
        <f t="shared" si="28"/>
        <v>POSIBLE</v>
      </c>
      <c r="F55" s="365"/>
      <c r="G55" s="366"/>
      <c r="H55" s="367"/>
      <c r="I55" s="16"/>
      <c r="J55" s="45" t="str">
        <f t="shared" si="29"/>
        <v>MODERADA</v>
      </c>
    </row>
    <row r="56" spans="1:10" ht="143.25" thickTop="1" thickBot="1" x14ac:dyDescent="0.25">
      <c r="A56" s="352" t="str">
        <f>IDENTIFICACIÓN!C54</f>
        <v>17C</v>
      </c>
      <c r="B56" s="353" t="str">
        <f>IF(IDENTIFICACIÓN!D54="","",IDENTIFICACIÓN!D54)</f>
        <v xml:space="preserve">Gestión de Extensión y Proyección Social. Inadecuada ejecución de los recursos asignados </v>
      </c>
      <c r="C56" s="55" t="str">
        <f>IF(IDENTIFICACIÓN!B54="","",IDENTIFICACIÓN!B54)</f>
        <v xml:space="preserve">*Falta de herramientas técnicas y tecnológicas en gestión de la información.
*Incertidumbre en el uso preciso de los recursos.
*Desconocimiento en el impacto logrado por los proyectos.
</v>
      </c>
      <c r="D56" s="373">
        <v>3</v>
      </c>
      <c r="E56" s="19" t="str">
        <f t="shared" si="28"/>
        <v>POSIBLE</v>
      </c>
      <c r="F56" s="365"/>
      <c r="G56" s="366"/>
      <c r="H56" s="367"/>
      <c r="I56" s="16"/>
      <c r="J56" s="45" t="str">
        <f t="shared" si="29"/>
        <v>MODERADA</v>
      </c>
    </row>
    <row r="57" spans="1:10" ht="174.75" thickTop="1" thickBot="1" x14ac:dyDescent="0.25">
      <c r="A57" s="352" t="str">
        <f>IDENTIFICACIÓN!C55</f>
        <v>18C</v>
      </c>
      <c r="B57" s="353" t="str">
        <f>IF(IDENTIFICACIÓN!D55="","",IDENTIFICACIÓN!D55)</f>
        <v>Gestión de Extensión y Proyección Social. Extralimitación de funciones.</v>
      </c>
      <c r="C57" s="55" t="str">
        <f>IF(IDENTIFICACIÓN!B55="","",IDENTIFICACIÓN!B55)</f>
        <v>*Falta de información para la planificación del desarrollo de los proyectos.
*Escasos recursos asignados para el desarrollo de las actividades programadas en el proceso misional de vicerrectoria de extensión y proyección social.</v>
      </c>
      <c r="D57" s="373">
        <v>3</v>
      </c>
      <c r="E57" s="19" t="str">
        <f t="shared" si="28"/>
        <v>POSIBLE</v>
      </c>
      <c r="F57" s="365"/>
      <c r="G57" s="366"/>
      <c r="H57" s="367"/>
      <c r="I57" s="16"/>
      <c r="J57" s="45" t="str">
        <f t="shared" si="29"/>
        <v>MODERADA</v>
      </c>
    </row>
    <row r="58" spans="1:10" ht="64.5" thickTop="1" thickBot="1" x14ac:dyDescent="0.25">
      <c r="A58" s="352" t="str">
        <f>IDENTIFICACIÓN!C56</f>
        <v>19C</v>
      </c>
      <c r="B58" s="353" t="str">
        <f>IF(IDENTIFICACIÓN!D56="","",IDENTIFICACIÓN!D56)</f>
        <v>Gestión de Extensión y Proyección Social. Omisión de la ley para beneficio propio.</v>
      </c>
      <c r="C58" s="55" t="str">
        <f>IF(IDENTIFICACIÓN!B56="","",IDENTIFICACIÓN!B56)</f>
        <v>Dificultad en la identificación y acceso a los cambios en la normativa y regulaciones.</v>
      </c>
      <c r="D58" s="373">
        <v>3</v>
      </c>
      <c r="E58" s="19" t="str">
        <f t="shared" si="28"/>
        <v>POSIBLE</v>
      </c>
      <c r="F58" s="365"/>
      <c r="G58" s="366"/>
      <c r="H58" s="367"/>
      <c r="I58" s="16"/>
      <c r="J58" s="45" t="str">
        <f t="shared" si="29"/>
        <v>MODERADA</v>
      </c>
    </row>
    <row r="59" spans="1:10" ht="80.25" thickTop="1" thickBot="1" x14ac:dyDescent="0.25">
      <c r="A59" s="352" t="str">
        <f>IDENTIFICACIÓN!C57</f>
        <v>20C</v>
      </c>
      <c r="B59" s="353" t="str">
        <f>IF(IDENTIFICACIÓN!D57="","",IDENTIFICACIÓN!D57)</f>
        <v>Gestión de Contratación. Pliegos de condiciones hechos a la medida de una firma en particular.</v>
      </c>
      <c r="C59" s="55" t="str">
        <f>IF(IDENTIFICACIÓN!B57="","",IDENTIFICACIÓN!B57)</f>
        <v xml:space="preserve">Presiones por parte de personas, gremios o entidades externas
</v>
      </c>
      <c r="D59" s="373">
        <v>3</v>
      </c>
      <c r="E59" s="19" t="str">
        <f t="shared" si="28"/>
        <v>POSIBLE</v>
      </c>
      <c r="F59" s="365"/>
      <c r="G59" s="366"/>
      <c r="H59" s="367"/>
      <c r="I59" s="16"/>
      <c r="J59" s="45" t="str">
        <f t="shared" si="29"/>
        <v>MODERADA</v>
      </c>
    </row>
    <row r="60" spans="1:10" ht="48.75" thickTop="1" thickBot="1" x14ac:dyDescent="0.25">
      <c r="A60" s="352" t="str">
        <f>IDENTIFICACIÓN!C58</f>
        <v>21C</v>
      </c>
      <c r="B60" s="353" t="str">
        <f>IF(IDENTIFICACIÓN!D58="","",IDENTIFICACIÓN!D58)</f>
        <v xml:space="preserve">Gestión Financiera. Pago de obligaciones sin el lleno de requisitos. </v>
      </c>
      <c r="C60" s="55" t="str">
        <f>IF(IDENTIFICACIÓN!B58="","",IDENTIFICACIÓN!B58)</f>
        <v>Desconocimiento de la Normatividad aplicada a los procesos de pago.</v>
      </c>
      <c r="D60" s="373">
        <v>3</v>
      </c>
      <c r="E60" s="19" t="str">
        <f t="shared" si="28"/>
        <v>POSIBLE</v>
      </c>
      <c r="F60" s="365"/>
      <c r="G60" s="366"/>
      <c r="H60" s="367"/>
      <c r="I60" s="16"/>
      <c r="J60" s="45" t="str">
        <f t="shared" si="29"/>
        <v>MODERADA</v>
      </c>
    </row>
    <row r="61" spans="1:10" ht="64.5" thickTop="1" thickBot="1" x14ac:dyDescent="0.25">
      <c r="A61" s="352" t="str">
        <f>IDENTIFICACIÓN!C59</f>
        <v>22C</v>
      </c>
      <c r="B61" s="353" t="str">
        <f>IF(IDENTIFICACIÓN!D59="","",IDENTIFICACIÓN!D59)</f>
        <v>Gestión Financiera. Perdida de titulos valores</v>
      </c>
      <c r="C61" s="55" t="str">
        <f>IF(IDENTIFICACIÓN!B59="","",IDENTIFICACIÓN!B59)</f>
        <v xml:space="preserve">Error humano, deficiencia en la custodia, protección y entrega de titulos valores </v>
      </c>
      <c r="D61" s="373">
        <v>3</v>
      </c>
      <c r="E61" s="19" t="str">
        <f t="shared" si="28"/>
        <v>POSIBLE</v>
      </c>
      <c r="F61" s="365"/>
      <c r="G61" s="366"/>
      <c r="H61" s="367"/>
      <c r="I61" s="16"/>
      <c r="J61" s="45" t="str">
        <f t="shared" si="29"/>
        <v>MODERADA</v>
      </c>
    </row>
    <row r="62" spans="1:10" ht="80.25" thickTop="1" thickBot="1" x14ac:dyDescent="0.25">
      <c r="A62" s="352" t="str">
        <f>IDENTIFICACIÓN!C60</f>
        <v>23C</v>
      </c>
      <c r="B62" s="353" t="str">
        <f>IF(IDENTIFICACIÓN!D60="","",IDENTIFICACIÓN!D60)</f>
        <v>Gestión Financiera. Omisión en la aplicación  de la normatividad vigente en los procesos de la Gestión Financiera</v>
      </c>
      <c r="C62" s="55" t="str">
        <f>IF(IDENTIFICACIÓN!B60="","",IDENTIFICACIÓN!B60)</f>
        <v xml:space="preserve">Desconocimiento ó desactualización de la normatividad externa aplicable a los procesos. </v>
      </c>
      <c r="D62" s="373">
        <v>3</v>
      </c>
      <c r="E62" s="19" t="str">
        <f t="shared" si="28"/>
        <v>POSIBLE</v>
      </c>
      <c r="F62" s="365"/>
      <c r="G62" s="366"/>
      <c r="H62" s="367"/>
      <c r="I62" s="16"/>
      <c r="J62" s="45" t="str">
        <f t="shared" si="29"/>
        <v>MODERADA</v>
      </c>
    </row>
    <row r="63" spans="1:10" ht="64.5" thickTop="1" thickBot="1" x14ac:dyDescent="0.25">
      <c r="A63" s="352" t="str">
        <f>IDENTIFICACIÓN!C61</f>
        <v>24C</v>
      </c>
      <c r="B63" s="353" t="str">
        <f>IF(IDENTIFICACIÓN!D61="","",IDENTIFICACIÓN!D61)</f>
        <v xml:space="preserve">Apoyo Tecnológico TIC. Vulnerabilidad de la Información </v>
      </c>
      <c r="C63" s="55" t="str">
        <f>IF(IDENTIFICACIÓN!B61="","",IDENTIFICACIÓN!B61)</f>
        <v>Ausenca de controles para la implementacion, administracion y soportes de SI</v>
      </c>
      <c r="D63" s="373">
        <v>3</v>
      </c>
      <c r="E63" s="19" t="str">
        <f t="shared" si="28"/>
        <v>POSIBLE</v>
      </c>
      <c r="F63" s="365"/>
      <c r="G63" s="366"/>
      <c r="H63" s="367"/>
      <c r="I63" s="16"/>
      <c r="J63" s="45" t="str">
        <f t="shared" si="29"/>
        <v>MODERADA</v>
      </c>
    </row>
    <row r="64" spans="1:10" ht="96" thickTop="1" thickBot="1" x14ac:dyDescent="0.25">
      <c r="A64" s="352" t="str">
        <f>IDENTIFICACIÓN!C62</f>
        <v>25C</v>
      </c>
      <c r="B64" s="353" t="str">
        <f>IF(IDENTIFICACIÓN!D62="","",IDENTIFICACIÓN!D62)</f>
        <v xml:space="preserve">Gestión Documental. Entregar un título o certificado sin los requisitos para ello </v>
      </c>
      <c r="C64" s="55" t="str">
        <f>IF(IDENTIFICACIÓN!B62="","",IDENTIFICACIÓN!B62)</f>
        <v>Omisión de procedimientos legal 
Falta de cualificación del personal
Ausencia de cultura ética y buen gobierno</v>
      </c>
      <c r="D64" s="373">
        <v>3</v>
      </c>
      <c r="E64" s="19" t="str">
        <f t="shared" si="28"/>
        <v>POSIBLE</v>
      </c>
      <c r="F64" s="365"/>
      <c r="G64" s="366"/>
      <c r="H64" s="367"/>
      <c r="I64" s="16"/>
      <c r="J64" s="45" t="str">
        <f t="shared" si="29"/>
        <v>MODERADA</v>
      </c>
    </row>
    <row r="65" spans="1:10" ht="96" thickTop="1" thickBot="1" x14ac:dyDescent="0.25">
      <c r="A65" s="352" t="str">
        <f>IDENTIFICACIÓN!C63</f>
        <v>26C</v>
      </c>
      <c r="B65" s="353" t="str">
        <f>IF(IDENTIFICACIÓN!D63="","",IDENTIFICACIÓN!D63)</f>
        <v>Gestión Documental. Expedición de un certificado de título falso</v>
      </c>
      <c r="C65" s="55" t="str">
        <f>IF(IDENTIFICACIÓN!B63="","",IDENTIFICACIÓN!B63)</f>
        <v>Omisión de procedimientos legal 
Falta de cualificación del personal
Ausencia de cultura ética y buen gobierno</v>
      </c>
      <c r="D65" s="373">
        <v>3</v>
      </c>
      <c r="E65" s="19" t="str">
        <f t="shared" si="28"/>
        <v>POSIBLE</v>
      </c>
      <c r="F65" s="365"/>
      <c r="G65" s="366"/>
      <c r="H65" s="367"/>
      <c r="I65" s="16"/>
      <c r="J65" s="45" t="str">
        <f t="shared" si="29"/>
        <v>MODERADA</v>
      </c>
    </row>
    <row r="66" spans="1:10" ht="143.25" thickTop="1" thickBot="1" x14ac:dyDescent="0.25">
      <c r="A66" s="352" t="str">
        <f>IDENTIFICACIÓN!C64</f>
        <v>27C</v>
      </c>
      <c r="B66" s="353" t="str">
        <f>IF(IDENTIFICACIÓN!D64="","",IDENTIFICACIÓN!D64)</f>
        <v>Gestión del Talento Humano. Concentración de información de determinadas actividades o procesos en una persona.</v>
      </c>
      <c r="C66" s="55" t="str">
        <f>IF(IDENTIFICACIÓN!B64="","",IDENTIFICACIÓN!B64)</f>
        <v>1. Inadecuada distribución de personal, de acuerdo a competencias.
2. Falta de definición de puntos de control
3. Bajo nivel de automatización en el seguimiento de los procesos.</v>
      </c>
      <c r="D66" s="373">
        <v>3</v>
      </c>
      <c r="E66" s="19" t="str">
        <f t="shared" si="28"/>
        <v>POSIBLE</v>
      </c>
      <c r="F66" s="365"/>
      <c r="G66" s="366"/>
      <c r="H66" s="367"/>
      <c r="I66" s="16"/>
      <c r="J66" s="45" t="str">
        <f t="shared" si="29"/>
        <v>MODERADA</v>
      </c>
    </row>
    <row r="67" spans="1:10" ht="127.5" thickTop="1" thickBot="1" x14ac:dyDescent="0.25">
      <c r="A67" s="352" t="str">
        <f>IDENTIFICACIÓN!C65</f>
        <v>28C</v>
      </c>
      <c r="B67" s="353" t="str">
        <f>IF(IDENTIFICACIÓN!D65="","",IDENTIFICACIÓN!D65)</f>
        <v>Gestión del Talento Humano. Decisiones no ajustadas a la normatividad legal.</v>
      </c>
      <c r="C67" s="55" t="str">
        <f>IF(IDENTIFICACIÓN!B65="","",IDENTIFICACIÓN!B65)</f>
        <v>1. Omisión de procedimientos legales
2. Falta de definición de puntos de control
3. Bajo nivel de automatización en el seguimiento de los procesos.</v>
      </c>
      <c r="D67" s="373">
        <v>3</v>
      </c>
      <c r="E67" s="19" t="str">
        <f t="shared" ref="E67:E73" si="30">IF(D67=5,"CASI CERTEZA",IF(D67=3,"POSIBLE",""))</f>
        <v>POSIBLE</v>
      </c>
      <c r="F67" s="365"/>
      <c r="G67" s="366"/>
      <c r="H67" s="367"/>
      <c r="I67" s="16"/>
      <c r="J67" s="45" t="str">
        <f t="shared" ref="J67:J74" si="31">IF(D67=3,"MODERADA",IF(D67=5,"EXTREMA",""))</f>
        <v>MODERADA</v>
      </c>
    </row>
    <row r="68" spans="1:10" ht="143.25" thickTop="1" thickBot="1" x14ac:dyDescent="0.25">
      <c r="A68" s="352" t="str">
        <f>IDENTIFICACIÓN!C66</f>
        <v>29C</v>
      </c>
      <c r="B68" s="353" t="str">
        <f>IF(IDENTIFICACIÓN!D66="","",IDENTIFICACIÓN!D66)</f>
        <v>Gestión de Admisiones y Registro. Manipulación de resultados del examen  de admisión.</v>
      </c>
      <c r="C68" s="55" t="str">
        <f>IF(IDENTIFICACIÓN!B66="","",IDENTIFICACIÓN!B66)</f>
        <v>Ausencia Cultura de Buen Gobierno, Falta de control al poder, Baja visibilidad de las acciones, Asimetrías de la información, bajo nivel de automatización en el seguimiento de los procesos.</v>
      </c>
      <c r="D68" s="373">
        <v>3</v>
      </c>
      <c r="E68" s="19" t="str">
        <f t="shared" si="30"/>
        <v>POSIBLE</v>
      </c>
      <c r="F68" s="365"/>
      <c r="G68" s="366"/>
      <c r="H68" s="367"/>
      <c r="I68" s="16"/>
      <c r="J68" s="45" t="str">
        <f t="shared" si="31"/>
        <v>MODERADA</v>
      </c>
    </row>
    <row r="69" spans="1:10" ht="222" thickTop="1" thickBot="1" x14ac:dyDescent="0.25">
      <c r="A69" s="352" t="str">
        <f>IDENTIFICACIÓN!C67</f>
        <v>30C</v>
      </c>
      <c r="B69" s="353" t="str">
        <f>IF(IDENTIFICACIÓN!D67="","",IDENTIFICACIÓN!D67)</f>
        <v>Gestión de Admisiones y Registro. Alteración de notas de estudiantes.</v>
      </c>
      <c r="C69" s="55" t="str">
        <f>IF(IDENTIFICACIÓN!B67="","",IDENTIFICACIÓN!B67)</f>
        <v>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v>
      </c>
      <c r="D69" s="373">
        <v>3</v>
      </c>
      <c r="E69" s="19" t="str">
        <f t="shared" si="30"/>
        <v>POSIBLE</v>
      </c>
      <c r="F69" s="365"/>
      <c r="G69" s="366"/>
      <c r="H69" s="367"/>
      <c r="I69" s="16"/>
      <c r="J69" s="45" t="str">
        <f t="shared" si="31"/>
        <v>MODERADA</v>
      </c>
    </row>
    <row r="70" spans="1:10" ht="96" thickTop="1" thickBot="1" x14ac:dyDescent="0.25">
      <c r="A70" s="352" t="str">
        <f>IDENTIFICACIÓN!C68</f>
        <v>31C</v>
      </c>
      <c r="B70" s="353" t="str">
        <f>IF(IDENTIFICACIÓN!D68="","",IDENTIFICACIÓN!D68)</f>
        <v>Gestión y Rendición de Cuentas. Rendición de cuentas a la ciudadanía inadecuada, incompleta e inoportuna</v>
      </c>
      <c r="C70" s="55" t="str">
        <f>IF(IDENTIFICACIÓN!B68="","",IDENTIFICACIÓN!B68)</f>
        <v>* Desconocimiento de las funciones.
* Baja integridad de la información.
* Falta de cualificación del personal.</v>
      </c>
      <c r="D70" s="373">
        <v>3</v>
      </c>
      <c r="E70" s="19" t="str">
        <f t="shared" si="30"/>
        <v>POSIBLE</v>
      </c>
      <c r="F70" s="365"/>
      <c r="G70" s="366"/>
      <c r="H70" s="367"/>
      <c r="I70" s="16"/>
      <c r="J70" s="45" t="str">
        <f t="shared" si="31"/>
        <v>MODERADA</v>
      </c>
    </row>
    <row r="71" spans="1:10" ht="143.25" thickTop="1" thickBot="1" x14ac:dyDescent="0.25">
      <c r="A71" s="352" t="str">
        <f>IDENTIFICACIÓN!C69</f>
        <v>32C</v>
      </c>
      <c r="B71" s="353" t="str">
        <f>IF(IDENTIFICACIÓN!D69="","",IDENTIFICACIÓN!D69)</f>
        <v>Gestión y Rendición de Cuentas. Alteración de la información</v>
      </c>
      <c r="C71" s="55" t="str">
        <f>IF(IDENTIFICACIÓN!B69="","",IDENTIFICACIÓN!B69)</f>
        <v>* Falta de controles en el manejo de la información.
* Inadecuada infraestructura tecnológica.
* Presiones internas o externas.
* Ausencia de cultura de ética.</v>
      </c>
      <c r="D71" s="373">
        <v>3</v>
      </c>
      <c r="E71" s="19" t="str">
        <f t="shared" si="30"/>
        <v>POSIBLE</v>
      </c>
      <c r="F71" s="365"/>
      <c r="G71" s="366"/>
      <c r="H71" s="367"/>
      <c r="I71" s="16"/>
      <c r="J71" s="45" t="str">
        <f t="shared" si="31"/>
        <v>MODERADA</v>
      </c>
    </row>
    <row r="72" spans="1:10" ht="111.75" thickTop="1" thickBot="1" x14ac:dyDescent="0.25">
      <c r="A72" s="352" t="str">
        <f>IDENTIFICACIÓN!C70</f>
        <v>33C</v>
      </c>
      <c r="B72" s="353" t="str">
        <f>IF(IDENTIFICACIÓN!D70="","",IDENTIFICACIÓN!D70)</f>
        <v>Evaluación Independiente. Falta de Objetividad e Independencia en el proceso auditor, de evaluación y seguimiento</v>
      </c>
      <c r="C72" s="55" t="str">
        <f>IF(IDENTIFICACIÓN!B70="","",IDENTIFICACIÓN!B70)</f>
        <v>Inobservancia de Principios Eticos
No distribución de funciones o actividades de acuerdo a competencias
Deficientes puntos de control</v>
      </c>
      <c r="D72" s="373">
        <v>3</v>
      </c>
      <c r="E72" s="19" t="str">
        <f t="shared" si="30"/>
        <v>POSIBLE</v>
      </c>
      <c r="F72" s="365"/>
      <c r="G72" s="366"/>
      <c r="H72" s="367"/>
      <c r="I72" s="16"/>
      <c r="J72" s="45" t="str">
        <f t="shared" si="31"/>
        <v>MODERADA</v>
      </c>
    </row>
    <row r="73" spans="1:10" ht="96" thickTop="1" thickBot="1" x14ac:dyDescent="0.25">
      <c r="A73" s="352" t="str">
        <f>IDENTIFICACIÓN!C71</f>
        <v>34C</v>
      </c>
      <c r="B73" s="353" t="str">
        <f>IF(IDENTIFICACIÓN!D71="","",IDENTIFICACIÓN!D71)</f>
        <v>Evaluación Independiente. No reportar posibles actos de corrupción e irregularidades</v>
      </c>
      <c r="C73" s="55" t="str">
        <f>IF(IDENTIFICACIÓN!B71="","",IDENTIFICACIÓN!B71)</f>
        <v xml:space="preserve">Inobservancia de Principios Eticos
Desconocimiento u omisión de las funciones o normativa
</v>
      </c>
      <c r="D73" s="373">
        <v>3</v>
      </c>
      <c r="E73" s="19" t="str">
        <f t="shared" si="30"/>
        <v>POSIBLE</v>
      </c>
      <c r="F73" s="368"/>
      <c r="G73" s="369"/>
      <c r="H73" s="370"/>
      <c r="I73" s="16"/>
      <c r="J73" s="45" t="str">
        <f t="shared" si="31"/>
        <v>MODERADA</v>
      </c>
    </row>
    <row r="74" spans="1:10" ht="16.5" thickTop="1" x14ac:dyDescent="0.2">
      <c r="J74" s="5" t="str">
        <f t="shared" si="31"/>
        <v/>
      </c>
    </row>
  </sheetData>
  <sheetProtection algorithmName="SHA-512" hashValue="WYK1TVTFvqEV0sjAtlP8Rp2GaUQERx1M7/FkXco/U6N1oytMR5Ypiwc06sDy8igboT7ZEkvbqvZMZmJku6s8Cg==" saltValue="qbydA0uGpyLs0ePPAV+PYg==" spinCount="100000" sheet="1" objects="1" scenarios="1" formatCells="0" formatRows="0" selectLockedCells="1"/>
  <mergeCells count="15">
    <mergeCell ref="A39:J39"/>
    <mergeCell ref="C8:J8"/>
    <mergeCell ref="C9:H9"/>
    <mergeCell ref="C1:H3"/>
    <mergeCell ref="A1:B3"/>
    <mergeCell ref="G10:H10"/>
    <mergeCell ref="A5:J5"/>
    <mergeCell ref="A8:A10"/>
    <mergeCell ref="J9:J10"/>
    <mergeCell ref="A7:B7"/>
    <mergeCell ref="A6:B6"/>
    <mergeCell ref="B8:B10"/>
    <mergeCell ref="D10:E10"/>
    <mergeCell ref="C6:J6"/>
    <mergeCell ref="C7:J7"/>
  </mergeCells>
  <phoneticPr fontId="5" type="noConversion"/>
  <conditionalFormatting sqref="E12:E38 H11:H38">
    <cfRule type="containsText" dxfId="528" priority="151" stopIfTrue="1" operator="containsText" text="ALTA">
      <formula>NOT(ISERROR(SEARCH("ALTA",E11)))</formula>
    </cfRule>
    <cfRule type="containsText" dxfId="527" priority="152" stopIfTrue="1" operator="containsText" text="MEDIA">
      <formula>NOT(ISERROR(SEARCH("MEDIA",E11)))</formula>
    </cfRule>
    <cfRule type="containsText" dxfId="526" priority="153" stopIfTrue="1" operator="containsText" text="BAJA">
      <formula>NOT(ISERROR(SEARCH("BAJA",E11)))</formula>
    </cfRule>
  </conditionalFormatting>
  <conditionalFormatting sqref="H11:H38">
    <cfRule type="containsText" dxfId="525" priority="143" stopIfTrue="1" operator="containsText" text="ALTO">
      <formula>NOT(ISERROR(SEARCH("ALTO",H11)))</formula>
    </cfRule>
    <cfRule type="containsText" dxfId="524" priority="144" stopIfTrue="1" operator="containsText" text="ALTO">
      <formula>NOT(ISERROR(SEARCH("ALTO",H11)))</formula>
    </cfRule>
    <cfRule type="containsText" dxfId="523" priority="145" stopIfTrue="1" operator="containsText" text="MEDIO">
      <formula>NOT(ISERROR(SEARCH("MEDIO",H11)))</formula>
    </cfRule>
    <cfRule type="containsText" dxfId="522" priority="146" stopIfTrue="1" operator="containsText" text="MEDIO">
      <formula>NOT(ISERROR(SEARCH("MEDIO",H11)))</formula>
    </cfRule>
    <cfRule type="containsText" dxfId="521" priority="147" stopIfTrue="1" operator="containsText" text="BAJO">
      <formula>NOT(ISERROR(SEARCH("BAJO",H11)))</formula>
    </cfRule>
  </conditionalFormatting>
  <conditionalFormatting sqref="E11:E38">
    <cfRule type="cellIs" dxfId="520" priority="127" operator="equal">
      <formula>"RARO"</formula>
    </cfRule>
    <cfRule type="cellIs" dxfId="519" priority="128" operator="equal">
      <formula>"IMPROBABLE"</formula>
    </cfRule>
    <cfRule type="cellIs" dxfId="518" priority="129" operator="equal">
      <formula>"POSIBLE"</formula>
    </cfRule>
    <cfRule type="cellIs" dxfId="517" priority="130" operator="equal">
      <formula>"PROBABLE"</formula>
    </cfRule>
    <cfRule type="cellIs" dxfId="516" priority="131" operator="equal">
      <formula>"CASI CERTEZA"</formula>
    </cfRule>
  </conditionalFormatting>
  <conditionalFormatting sqref="E12:E38">
    <cfRule type="cellIs" dxfId="515" priority="122" operator="equal">
      <formula>"RARO"</formula>
    </cfRule>
    <cfRule type="cellIs" dxfId="514" priority="123" operator="equal">
      <formula>"IMPROBABLE"</formula>
    </cfRule>
    <cfRule type="cellIs" dxfId="513" priority="124" operator="equal">
      <formula>"POSIBLE"</formula>
    </cfRule>
    <cfRule type="cellIs" dxfId="512" priority="125" operator="equal">
      <formula>"PROBABLE"</formula>
    </cfRule>
    <cfRule type="cellIs" dxfId="511" priority="126" operator="equal">
      <formula>"CASI CERTEZA"</formula>
    </cfRule>
  </conditionalFormatting>
  <conditionalFormatting sqref="H11:H38">
    <cfRule type="cellIs" dxfId="510" priority="112" operator="equal">
      <formula>"INSIGNIFICANTE"</formula>
    </cfRule>
    <cfRule type="cellIs" dxfId="509" priority="113" operator="equal">
      <formula>"MENOR"</formula>
    </cfRule>
    <cfRule type="cellIs" dxfId="508" priority="114" operator="equal">
      <formula>"MODERADO"</formula>
    </cfRule>
    <cfRule type="cellIs" dxfId="507" priority="115" operator="equal">
      <formula>"MAYOR"</formula>
    </cfRule>
    <cfRule type="cellIs" dxfId="506" priority="116" operator="equal">
      <formula>"CATASTRÓFICO"</formula>
    </cfRule>
  </conditionalFormatting>
  <conditionalFormatting sqref="J11">
    <cfRule type="cellIs" dxfId="505" priority="82" operator="equal">
      <formula>"EXTREMA 5:5"</formula>
    </cfRule>
    <cfRule type="cellIs" dxfId="504" priority="83" operator="equal">
      <formula>"EXTREMA 4:5"</formula>
    </cfRule>
    <cfRule type="cellIs" dxfId="503" priority="84" operator="equal">
      <formula>"EXTREMA 3:5"</formula>
    </cfRule>
    <cfRule type="cellIs" dxfId="502" priority="85" operator="equal">
      <formula>"EXTREMA 2:5"</formula>
    </cfRule>
    <cfRule type="cellIs" dxfId="501" priority="86" operator="equal">
      <formula>"EXTREMA 5:4"</formula>
    </cfRule>
    <cfRule type="cellIs" dxfId="500" priority="87" operator="equal">
      <formula>"EXTREMA 4:4"</formula>
    </cfRule>
    <cfRule type="cellIs" dxfId="499" priority="88" operator="equal">
      <formula>"EXTREMA 3:4"</formula>
    </cfRule>
    <cfRule type="cellIs" dxfId="498" priority="89" operator="equal">
      <formula>"EXTREMA 5:3"</formula>
    </cfRule>
    <cfRule type="cellIs" dxfId="497" priority="90" operator="equal">
      <formula>"ALTA 1:5"</formula>
    </cfRule>
    <cfRule type="cellIs" dxfId="496" priority="91" operator="equal">
      <formula>"ALTA 2:4"</formula>
    </cfRule>
    <cfRule type="cellIs" dxfId="495" priority="92" operator="equal">
      <formula>"ALTA 1:4"</formula>
    </cfRule>
    <cfRule type="cellIs" dxfId="494" priority="93" operator="equal">
      <formula>"ALTA 4:3"</formula>
    </cfRule>
    <cfRule type="cellIs" dxfId="493" priority="94" operator="equal">
      <formula>"ALTA 3:3"</formula>
    </cfRule>
    <cfRule type="cellIs" dxfId="492" priority="95" operator="equal">
      <formula>"ALTA 5:2"</formula>
    </cfRule>
    <cfRule type="cellIs" dxfId="491" priority="96" operator="equal">
      <formula>"ALTA 4:2"</formula>
    </cfRule>
    <cfRule type="cellIs" dxfId="490" priority="97" operator="equal">
      <formula>"ALTA 5:1"</formula>
    </cfRule>
    <cfRule type="cellIs" dxfId="489" priority="98" operator="equal">
      <formula>"MODERADA 2:3"</formula>
    </cfRule>
    <cfRule type="cellIs" dxfId="488" priority="99" operator="equal">
      <formula>"MODERADA 1:3"</formula>
    </cfRule>
    <cfRule type="cellIs" dxfId="487" priority="100" operator="equal">
      <formula>"MODERADA 3:2"</formula>
    </cfRule>
    <cfRule type="cellIs" dxfId="486" priority="101" operator="equal">
      <formula>"MODERADA 4:1"</formula>
    </cfRule>
    <cfRule type="cellIs" dxfId="485" priority="102" operator="equal">
      <formula>"BAJA 2:2"</formula>
    </cfRule>
    <cfRule type="cellIs" dxfId="484" priority="103" operator="equal">
      <formula>"BAJA 1:2"</formula>
    </cfRule>
    <cfRule type="cellIs" dxfId="483" priority="104" operator="equal">
      <formula>"BAJA 3:1"</formula>
    </cfRule>
    <cfRule type="cellIs" dxfId="482" priority="105" operator="equal">
      <formula>"BAJA 2:1"</formula>
    </cfRule>
    <cfRule type="cellIs" dxfId="481" priority="106" operator="equal">
      <formula>"BAJA 1:1"</formula>
    </cfRule>
  </conditionalFormatting>
  <conditionalFormatting sqref="J12:J38">
    <cfRule type="cellIs" dxfId="480" priority="57" operator="equal">
      <formula>"EXTREMA 5:5"</formula>
    </cfRule>
    <cfRule type="cellIs" dxfId="479" priority="58" operator="equal">
      <formula>"EXTREMA 4:5"</formula>
    </cfRule>
    <cfRule type="cellIs" dxfId="478" priority="59" operator="equal">
      <formula>"EXTREMA 3:5"</formula>
    </cfRule>
    <cfRule type="cellIs" dxfId="477" priority="60" operator="equal">
      <formula>"EXTREMA 2:5"</formula>
    </cfRule>
    <cfRule type="cellIs" dxfId="476" priority="61" operator="equal">
      <formula>"EXTREMA 5:4"</formula>
    </cfRule>
    <cfRule type="cellIs" dxfId="475" priority="62" operator="equal">
      <formula>"EXTREMA 4:4"</formula>
    </cfRule>
    <cfRule type="cellIs" dxfId="474" priority="63" operator="equal">
      <formula>"EXTREMA 3:4"</formula>
    </cfRule>
    <cfRule type="cellIs" dxfId="473" priority="64" operator="equal">
      <formula>"EXTREMA 5:3"</formula>
    </cfRule>
    <cfRule type="cellIs" dxfId="472" priority="65" operator="equal">
      <formula>"ALTA 1:5"</formula>
    </cfRule>
    <cfRule type="cellIs" dxfId="471" priority="66" operator="equal">
      <formula>"ALTA 2:4"</formula>
    </cfRule>
    <cfRule type="cellIs" dxfId="470" priority="67" operator="equal">
      <formula>"ALTA 1:4"</formula>
    </cfRule>
    <cfRule type="cellIs" dxfId="469" priority="68" operator="equal">
      <formula>"ALTA 4:3"</formula>
    </cfRule>
    <cfRule type="cellIs" dxfId="468" priority="69" operator="equal">
      <formula>"ALTA 3:3"</formula>
    </cfRule>
    <cfRule type="cellIs" dxfId="467" priority="70" operator="equal">
      <formula>"ALTA 5:2"</formula>
    </cfRule>
    <cfRule type="cellIs" dxfId="466" priority="71" operator="equal">
      <formula>"ALTA 4:2"</formula>
    </cfRule>
    <cfRule type="cellIs" dxfId="465" priority="72" operator="equal">
      <formula>"ALTA 5:1"</formula>
    </cfRule>
    <cfRule type="cellIs" dxfId="464" priority="73" operator="equal">
      <formula>"MODERADA 2:3"</formula>
    </cfRule>
    <cfRule type="cellIs" dxfId="463" priority="74" operator="equal">
      <formula>"MODERADA 1:3"</formula>
    </cfRule>
    <cfRule type="cellIs" dxfId="462" priority="75" operator="equal">
      <formula>"MODERADA 3:2"</formula>
    </cfRule>
    <cfRule type="cellIs" dxfId="461" priority="76" operator="equal">
      <formula>"MODERADA 4:1"</formula>
    </cfRule>
    <cfRule type="cellIs" dxfId="460" priority="77" operator="equal">
      <formula>"BAJA 2:2"</formula>
    </cfRule>
    <cfRule type="cellIs" dxfId="459" priority="78" operator="equal">
      <formula>"BAJA 1:2"</formula>
    </cfRule>
    <cfRule type="cellIs" dxfId="458" priority="79" operator="equal">
      <formula>"BAJA 3:1"</formula>
    </cfRule>
    <cfRule type="cellIs" dxfId="457" priority="80" operator="equal">
      <formula>"BAJA 2:1"</formula>
    </cfRule>
    <cfRule type="cellIs" dxfId="456" priority="81" operator="equal">
      <formula>"BAJA 1:1"</formula>
    </cfRule>
  </conditionalFormatting>
  <conditionalFormatting sqref="J12">
    <cfRule type="cellIs" dxfId="455" priority="32" operator="equal">
      <formula>"EXTREMA 5:5"</formula>
    </cfRule>
    <cfRule type="cellIs" dxfId="454" priority="33" operator="equal">
      <formula>"EXTREMA 4:5"</formula>
    </cfRule>
    <cfRule type="cellIs" dxfId="453" priority="34" operator="equal">
      <formula>"EXTREMA 3:5"</formula>
    </cfRule>
    <cfRule type="cellIs" dxfId="452" priority="35" operator="equal">
      <formula>"EXTREMA 2:5"</formula>
    </cfRule>
    <cfRule type="cellIs" dxfId="451" priority="36" operator="equal">
      <formula>"EXTREMA 5:4"</formula>
    </cfRule>
    <cfRule type="cellIs" dxfId="450" priority="37" operator="equal">
      <formula>"EXTREMA 4:4"</formula>
    </cfRule>
    <cfRule type="cellIs" dxfId="449" priority="38" operator="equal">
      <formula>"EXTREMA 3:4"</formula>
    </cfRule>
    <cfRule type="cellIs" dxfId="448" priority="39" operator="equal">
      <formula>"EXTREMA 5:3"</formula>
    </cfRule>
    <cfRule type="cellIs" dxfId="447" priority="40" operator="equal">
      <formula>"ALTA 1:5"</formula>
    </cfRule>
    <cfRule type="cellIs" dxfId="446" priority="41" operator="equal">
      <formula>"ALTA 2:4"</formula>
    </cfRule>
    <cfRule type="cellIs" dxfId="445" priority="42" operator="equal">
      <formula>"ALTA 1:4"</formula>
    </cfRule>
    <cfRule type="cellIs" dxfId="444" priority="43" operator="equal">
      <formula>"ALTA 4:3"</formula>
    </cfRule>
    <cfRule type="cellIs" dxfId="443" priority="44" operator="equal">
      <formula>"ALTA 3:3"</formula>
    </cfRule>
    <cfRule type="cellIs" dxfId="442" priority="45" operator="equal">
      <formula>"ALTA 5:2"</formula>
    </cfRule>
    <cfRule type="cellIs" dxfId="441" priority="46" operator="equal">
      <formula>"ALTA 4:2"</formula>
    </cfRule>
    <cfRule type="cellIs" dxfId="440" priority="47" operator="equal">
      <formula>"ALTA 5:1"</formula>
    </cfRule>
    <cfRule type="cellIs" dxfId="439" priority="48" operator="equal">
      <formula>"MODERADA 2:3"</formula>
    </cfRule>
    <cfRule type="cellIs" dxfId="438" priority="49" operator="equal">
      <formula>"MODERADA 1:3"</formula>
    </cfRule>
    <cfRule type="cellIs" dxfId="437" priority="50" operator="equal">
      <formula>"MODERADA 3:2"</formula>
    </cfRule>
    <cfRule type="cellIs" dxfId="436" priority="51" operator="equal">
      <formula>"MODERADA 4:1"</formula>
    </cfRule>
    <cfRule type="cellIs" dxfId="435" priority="52" operator="equal">
      <formula>"BAJA 2:2"</formula>
    </cfRule>
    <cfRule type="cellIs" dxfId="434" priority="53" operator="equal">
      <formula>"BAJA 1:2"</formula>
    </cfRule>
    <cfRule type="cellIs" dxfId="433" priority="54" operator="equal">
      <formula>"BAJA 3:1"</formula>
    </cfRule>
    <cfRule type="cellIs" dxfId="432" priority="55" operator="equal">
      <formula>"BAJA 2:1"</formula>
    </cfRule>
    <cfRule type="cellIs" dxfId="431" priority="56" operator="equal">
      <formula>"BAJA 1:1"</formula>
    </cfRule>
  </conditionalFormatting>
  <conditionalFormatting sqref="C11:C38 C40:C73">
    <cfRule type="cellIs" dxfId="430" priority="30" operator="notEqual">
      <formula>$D$10</formula>
    </cfRule>
    <cfRule type="cellIs" dxfId="429" priority="31" operator="equal">
      <formula>$D$10</formula>
    </cfRule>
  </conditionalFormatting>
  <conditionalFormatting sqref="F40 F11:F38">
    <cfRule type="cellIs" dxfId="428" priority="28" operator="notEqual">
      <formula>$D$10</formula>
    </cfRule>
    <cfRule type="cellIs" dxfId="427" priority="29" operator="equal">
      <formula>$D$10</formula>
    </cfRule>
  </conditionalFormatting>
  <conditionalFormatting sqref="E40:E73">
    <cfRule type="containsText" dxfId="426" priority="26" operator="containsText" text="POSIBLE">
      <formula>NOT(ISERROR(SEARCH("POSIBLE",E40)))</formula>
    </cfRule>
    <cfRule type="containsText" dxfId="425" priority="27" operator="containsText" text="CASI CERTEZA">
      <formula>NOT(ISERROR(SEARCH("CASI CERTEZA",E40)))</formula>
    </cfRule>
  </conditionalFormatting>
  <conditionalFormatting sqref="J40:J73">
    <cfRule type="containsText" dxfId="424" priority="24" operator="containsText" text="EXTREMA">
      <formula>NOT(ISERROR(SEARCH("EXTREMA",J40)))</formula>
    </cfRule>
  </conditionalFormatting>
  <conditionalFormatting sqref="J40:J73">
    <cfRule type="containsText" dxfId="423" priority="23" operator="containsText" text="MODERADA">
      <formula>NOT(ISERROR(SEARCH("MODERADA",J40)))</formula>
    </cfRule>
  </conditionalFormatting>
  <conditionalFormatting sqref="G71:H73">
    <cfRule type="cellIs" dxfId="422" priority="1" operator="notEqual">
      <formula>$D$10</formula>
    </cfRule>
    <cfRule type="cellIs" dxfId="421" priority="2" operator="equal">
      <formula>$D$10</formula>
    </cfRule>
  </conditionalFormatting>
  <conditionalFormatting sqref="G40:H40">
    <cfRule type="cellIs" dxfId="420" priority="21" operator="notEqual">
      <formula>$D$10</formula>
    </cfRule>
    <cfRule type="cellIs" dxfId="419" priority="22" operator="equal">
      <formula>$D$10</formula>
    </cfRule>
  </conditionalFormatting>
  <conditionalFormatting sqref="F41">
    <cfRule type="cellIs" dxfId="418" priority="19" operator="notEqual">
      <formula>$D$10</formula>
    </cfRule>
    <cfRule type="cellIs" dxfId="417" priority="20" operator="equal">
      <formula>$D$10</formula>
    </cfRule>
  </conditionalFormatting>
  <conditionalFormatting sqref="G41:H41">
    <cfRule type="cellIs" dxfId="416" priority="17" operator="notEqual">
      <formula>$D$10</formula>
    </cfRule>
    <cfRule type="cellIs" dxfId="415" priority="18" operator="equal">
      <formula>$D$10</formula>
    </cfRule>
  </conditionalFormatting>
  <conditionalFormatting sqref="F42:F69">
    <cfRule type="cellIs" dxfId="414" priority="11" operator="notEqual">
      <formula>$D$10</formula>
    </cfRule>
    <cfRule type="cellIs" dxfId="413" priority="12" operator="equal">
      <formula>$D$10</formula>
    </cfRule>
  </conditionalFormatting>
  <conditionalFormatting sqref="G42:H69">
    <cfRule type="cellIs" dxfId="412" priority="9" operator="notEqual">
      <formula>$D$10</formula>
    </cfRule>
    <cfRule type="cellIs" dxfId="411" priority="10" operator="equal">
      <formula>$D$10</formula>
    </cfRule>
  </conditionalFormatting>
  <conditionalFormatting sqref="F70">
    <cfRule type="cellIs" dxfId="410" priority="7" operator="notEqual">
      <formula>$D$10</formula>
    </cfRule>
    <cfRule type="cellIs" dxfId="409" priority="8" operator="equal">
      <formula>$D$10</formula>
    </cfRule>
  </conditionalFormatting>
  <conditionalFormatting sqref="G70:H70">
    <cfRule type="cellIs" dxfId="408" priority="5" operator="notEqual">
      <formula>$D$10</formula>
    </cfRule>
    <cfRule type="cellIs" dxfId="407" priority="6" operator="equal">
      <formula>$D$10</formula>
    </cfRule>
  </conditionalFormatting>
  <conditionalFormatting sqref="F71:F73">
    <cfRule type="cellIs" dxfId="406" priority="3" operator="notEqual">
      <formula>$D$10</formula>
    </cfRule>
    <cfRule type="cellIs" dxfId="405" priority="4" operator="equal">
      <formula>$D$10</formula>
    </cfRule>
  </conditionalFormatting>
  <dataValidations xWindow="433" yWindow="656" count="5">
    <dataValidation allowBlank="1" promptTitle="CALIFIQUE" prompt="5 - LEVE_x000a_10 - MODERADO_x000a_20 - CATASTROFICO" sqref="I11:I38 I40:I73"/>
    <dataValidation errorStyle="warning" allowBlank="1" errorTitle="ERROR DE CALIFICACION" error="Califique:_x000a_1 para BAJO_x000a_2 para MEDIO_x000a_3 para ALTO" promptTitle="CALIFIQUE" prompt="1 - BAJO_x000a_2 - MEDIO_x000a_3 - ALTO" sqref="H11:H38 E11:E38 E40:E73"/>
    <dataValidation type="list" errorStyle="warning" allowBlank="1" showInputMessage="1" errorTitle="ERROR DE CALIFICACION" error="Califique:_x000a_1 para BAJO_x000a_2 para MEDIO_x000a_3 para ALTO" promptTitle="CALIFIQUE" prompt="1 - Raro_x000a_2 - Improbable_x000a_3 - Posible_x000a_4 - Probable_x000a_5 - Casi Certeza_x000a_" sqref="D11:D38">
      <formula1>IF($B11="",1,prob)</formula1>
    </dataValidation>
    <dataValidation type="list" allowBlank="1" showInputMessage="1" promptTitle="CALIFIQUE" prompt="1 - Insignificante_x000a_2 - Menor_x000a_3 - Moderado_x000a_4 - Mayor_x000a_5 - Catastrófico" sqref="G11:G38">
      <formula1>IF($B11="","",imp)</formula1>
    </dataValidation>
    <dataValidation type="list" errorStyle="warning" allowBlank="1" showInputMessage="1" errorTitle="ERROR DE CALIFICACION" error="Califique:_x000a_1 para BAJO_x000a_2 para MEDIO_x000a_3 para ALTO" promptTitle="CALIFIQUE" prompt="3 -Posible_x000a_5 -Casi Certeza_x000a_" sqref="D40:D73">
      <formula1>IF($B40="",1,poscorrup)</formula1>
    </dataValidation>
  </dataValidations>
  <pageMargins left="0.31" right="0.2" top="0.91" bottom="0.98425196850393704" header="0.6" footer="0"/>
  <pageSetup paperSize="9" scale="38" orientation="landscape" r:id="rId1"/>
  <headerFooter alignWithMargins="0">
    <oddHeader>&amp;C&amp;"Kredit,Normal"&amp;22M A P A   D E   R I E S G O S</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249977111117893"/>
  </sheetPr>
  <dimension ref="A1:BN197"/>
  <sheetViews>
    <sheetView zoomScale="80" zoomScaleNormal="80" workbookViewId="0">
      <pane xSplit="3" ySplit="9" topLeftCell="D10" activePane="bottomRight" state="frozen"/>
      <selection pane="topRight" activeCell="D1" sqref="D1"/>
      <selection pane="bottomLeft" activeCell="A9" sqref="A9"/>
      <selection pane="bottomRight" activeCell="D10" sqref="D10"/>
    </sheetView>
  </sheetViews>
  <sheetFormatPr baseColWidth="10" defaultRowHeight="15.75" x14ac:dyDescent="0.2"/>
  <cols>
    <col min="1" max="1" width="3.88671875" style="3" customWidth="1"/>
    <col min="2" max="2" width="21.44140625" style="3" customWidth="1"/>
    <col min="3" max="3" width="7.77734375" style="5" customWidth="1"/>
    <col min="4" max="4" width="6.33203125" style="39" customWidth="1"/>
    <col min="5" max="5" width="4.88671875" style="234" hidden="1" customWidth="1"/>
    <col min="6" max="6" width="25.109375" style="39" customWidth="1"/>
    <col min="7" max="7" width="2.5546875" style="52" hidden="1" customWidth="1"/>
    <col min="8" max="8" width="9" style="39" customWidth="1"/>
    <col min="9" max="9" width="3.33203125" style="52" hidden="1" customWidth="1"/>
    <col min="10" max="10" width="9.5546875" style="39" customWidth="1"/>
    <col min="11" max="11" width="13.109375" style="5" customWidth="1"/>
    <col min="12" max="12" width="3.21875" style="5" hidden="1" customWidth="1"/>
    <col min="13" max="13" width="13" style="5" customWidth="1"/>
    <col min="14" max="14" width="4" style="5" hidden="1" customWidth="1"/>
    <col min="15" max="15" width="13.109375" style="234" customWidth="1"/>
    <col min="16" max="16" width="4" style="234" hidden="1" customWidth="1"/>
    <col min="17" max="17" width="13" style="62" customWidth="1"/>
    <col min="18" max="18" width="3.21875" style="62" hidden="1" customWidth="1"/>
    <col min="19" max="19" width="13" style="62" customWidth="1"/>
    <col min="20" max="20" width="2.88671875" style="62" hidden="1" customWidth="1"/>
    <col min="21" max="21" width="13" style="234" customWidth="1"/>
    <col min="22" max="22" width="2.88671875" style="234" hidden="1" customWidth="1"/>
    <col min="23" max="23" width="4" style="67" hidden="1" customWidth="1"/>
    <col min="24" max="24" width="12.21875" style="5" customWidth="1"/>
    <col min="25" max="25" width="8.77734375" style="67" hidden="1" customWidth="1"/>
    <col min="26" max="26" width="10" style="5" hidden="1" customWidth="1"/>
    <col min="27" max="27" width="12.6640625" style="5" customWidth="1"/>
    <col min="28" max="28" width="12.6640625" style="39" hidden="1" customWidth="1"/>
    <col min="29" max="29" width="13.109375" style="3" hidden="1" customWidth="1"/>
    <col min="30" max="30" width="8.21875" style="3" hidden="1" customWidth="1"/>
    <col min="31" max="31" width="11.6640625" style="3" hidden="1" customWidth="1"/>
    <col min="32" max="32" width="8.21875" style="3" hidden="1" customWidth="1"/>
    <col min="33" max="33" width="26.6640625" style="3" hidden="1" customWidth="1"/>
    <col min="34" max="52" width="11.5546875" style="3" hidden="1" customWidth="1"/>
    <col min="53" max="53" width="14.33203125" style="3" hidden="1" customWidth="1"/>
    <col min="54" max="66" width="11.5546875" style="3" hidden="1" customWidth="1"/>
    <col min="67" max="77" width="11.5546875" style="3" customWidth="1"/>
    <col min="78" max="16384" width="11.5546875" style="3"/>
  </cols>
  <sheetData>
    <row r="1" spans="1:65" ht="23.25" customHeight="1" x14ac:dyDescent="0.2">
      <c r="A1" s="433" t="s">
        <v>145</v>
      </c>
      <c r="B1" s="433"/>
      <c r="C1" s="515" t="s">
        <v>142</v>
      </c>
      <c r="D1" s="516"/>
      <c r="E1" s="516"/>
      <c r="F1" s="516"/>
      <c r="G1" s="516"/>
      <c r="H1" s="516"/>
      <c r="I1" s="516"/>
      <c r="J1" s="516"/>
      <c r="K1" s="516"/>
      <c r="L1" s="516"/>
      <c r="M1" s="516"/>
      <c r="N1" s="516"/>
      <c r="O1" s="516"/>
      <c r="P1" s="516"/>
      <c r="Q1" s="516"/>
      <c r="R1" s="516"/>
      <c r="S1" s="516"/>
      <c r="T1" s="517"/>
      <c r="U1" s="510" t="s">
        <v>71</v>
      </c>
      <c r="V1" s="510"/>
      <c r="W1" s="510"/>
      <c r="X1" s="510"/>
      <c r="Y1" s="510"/>
      <c r="Z1" s="510"/>
      <c r="AA1" s="510"/>
      <c r="AB1" s="48"/>
    </row>
    <row r="2" spans="1:65" ht="23.25" customHeight="1" x14ac:dyDescent="0.2">
      <c r="A2" s="433"/>
      <c r="B2" s="433"/>
      <c r="C2" s="518"/>
      <c r="D2" s="519"/>
      <c r="E2" s="519"/>
      <c r="F2" s="519"/>
      <c r="G2" s="519"/>
      <c r="H2" s="519"/>
      <c r="I2" s="519"/>
      <c r="J2" s="519"/>
      <c r="K2" s="519"/>
      <c r="L2" s="519"/>
      <c r="M2" s="519"/>
      <c r="N2" s="519"/>
      <c r="O2" s="519"/>
      <c r="P2" s="519"/>
      <c r="Q2" s="519"/>
      <c r="R2" s="519"/>
      <c r="S2" s="519"/>
      <c r="T2" s="520"/>
      <c r="U2" s="510" t="s">
        <v>107</v>
      </c>
      <c r="V2" s="510"/>
      <c r="W2" s="510"/>
      <c r="X2" s="510"/>
      <c r="Y2" s="510"/>
      <c r="Z2" s="510"/>
      <c r="AA2" s="510"/>
      <c r="AB2" s="48"/>
      <c r="BB2" s="3" t="s">
        <v>258</v>
      </c>
      <c r="BC2" s="3" t="s">
        <v>259</v>
      </c>
      <c r="BD2" s="3" t="s">
        <v>287</v>
      </c>
    </row>
    <row r="3" spans="1:65" ht="23.25" customHeight="1" x14ac:dyDescent="0.2">
      <c r="A3" s="433"/>
      <c r="B3" s="433"/>
      <c r="C3" s="521"/>
      <c r="D3" s="522"/>
      <c r="E3" s="522"/>
      <c r="F3" s="522"/>
      <c r="G3" s="522"/>
      <c r="H3" s="522"/>
      <c r="I3" s="522"/>
      <c r="J3" s="522"/>
      <c r="K3" s="522"/>
      <c r="L3" s="522"/>
      <c r="M3" s="522"/>
      <c r="N3" s="522"/>
      <c r="O3" s="522"/>
      <c r="P3" s="522"/>
      <c r="Q3" s="522"/>
      <c r="R3" s="522"/>
      <c r="S3" s="522"/>
      <c r="T3" s="523"/>
      <c r="U3" s="510" t="s">
        <v>408</v>
      </c>
      <c r="V3" s="510"/>
      <c r="W3" s="510"/>
      <c r="X3" s="510"/>
      <c r="Y3" s="510"/>
      <c r="Z3" s="510"/>
      <c r="AA3" s="510"/>
      <c r="AB3" s="48"/>
      <c r="BB3" s="3">
        <f>COUNTIF($N$10:$N$93,30)</f>
        <v>50</v>
      </c>
      <c r="BC3" s="3">
        <f>COUNTIF($N$10:$N$93,0)</f>
        <v>6</v>
      </c>
      <c r="BD3" s="3">
        <f>COUNTA(IDENTIFICACIÓN!D9:D36)</f>
        <v>28</v>
      </c>
    </row>
    <row r="4" spans="1:65" ht="4.5" customHeight="1" x14ac:dyDescent="0.2">
      <c r="A4" s="33"/>
      <c r="B4" s="34"/>
      <c r="C4" s="35"/>
      <c r="D4" s="35"/>
      <c r="E4" s="233"/>
      <c r="F4" s="35"/>
      <c r="G4" s="35"/>
      <c r="H4" s="35"/>
      <c r="I4" s="35"/>
      <c r="J4" s="35"/>
      <c r="K4" s="35"/>
      <c r="L4" s="35"/>
      <c r="M4" s="38"/>
      <c r="N4" s="58"/>
      <c r="O4" s="232"/>
      <c r="P4" s="58"/>
      <c r="Q4" s="35"/>
      <c r="R4" s="35"/>
      <c r="S4" s="35"/>
      <c r="T4" s="35"/>
      <c r="U4" s="233"/>
      <c r="V4" s="233"/>
      <c r="W4" s="38"/>
      <c r="X4" s="49"/>
      <c r="Y4" s="49"/>
      <c r="Z4" s="49"/>
      <c r="AA4" s="49"/>
      <c r="AB4" s="49"/>
    </row>
    <row r="5" spans="1:65" ht="28.5" customHeight="1" x14ac:dyDescent="0.2">
      <c r="A5" s="435" t="s">
        <v>78</v>
      </c>
      <c r="B5" s="435"/>
      <c r="C5" s="435"/>
      <c r="D5" s="435"/>
      <c r="E5" s="435"/>
      <c r="F5" s="435"/>
      <c r="G5" s="435"/>
      <c r="H5" s="435"/>
      <c r="I5" s="435"/>
      <c r="J5" s="435"/>
      <c r="K5" s="435"/>
      <c r="L5" s="435"/>
      <c r="M5" s="514"/>
      <c r="N5" s="514"/>
      <c r="O5" s="514"/>
      <c r="P5" s="514"/>
      <c r="Q5" s="514"/>
      <c r="R5" s="514"/>
      <c r="S5" s="514"/>
      <c r="T5" s="514"/>
      <c r="U5" s="514"/>
      <c r="V5" s="514"/>
      <c r="W5" s="514"/>
      <c r="X5" s="514"/>
      <c r="Y5" s="514"/>
      <c r="Z5" s="514"/>
      <c r="AA5" s="514"/>
      <c r="AB5" s="50"/>
      <c r="AH5" s="3" t="s">
        <v>103</v>
      </c>
      <c r="AI5" s="3" t="s">
        <v>104</v>
      </c>
      <c r="AJ5" s="3" t="s">
        <v>128</v>
      </c>
      <c r="AK5" s="3" t="s">
        <v>105</v>
      </c>
      <c r="AL5" s="3" t="s">
        <v>106</v>
      </c>
      <c r="BB5" s="3" t="s">
        <v>262</v>
      </c>
      <c r="BC5" s="3" t="s">
        <v>263</v>
      </c>
      <c r="BD5" s="3" t="s">
        <v>266</v>
      </c>
      <c r="BE5" s="3" t="s">
        <v>267</v>
      </c>
      <c r="BF5" s="3" t="s">
        <v>272</v>
      </c>
      <c r="BG5" s="3" t="s">
        <v>273</v>
      </c>
      <c r="BH5" s="3" t="s">
        <v>278</v>
      </c>
      <c r="BI5" s="3" t="s">
        <v>281</v>
      </c>
      <c r="BJ5" s="3" t="s">
        <v>335</v>
      </c>
      <c r="BK5" s="3" t="s">
        <v>337</v>
      </c>
      <c r="BL5" s="3" t="s">
        <v>272</v>
      </c>
      <c r="BM5" s="3" t="s">
        <v>273</v>
      </c>
    </row>
    <row r="6" spans="1:65" x14ac:dyDescent="0.2">
      <c r="A6" s="489" t="str">
        <f>'CONTEXTO ESTRATEGICO'!A7</f>
        <v>INSTITUCIONAL</v>
      </c>
      <c r="B6" s="489"/>
      <c r="C6" s="496" t="str">
        <f>'CONTEXTO ESTRATEGICO'!B7</f>
        <v>Mapa de Riesgo Institucional</v>
      </c>
      <c r="D6" s="496"/>
      <c r="E6" s="496"/>
      <c r="F6" s="496"/>
      <c r="G6" s="496"/>
      <c r="H6" s="496"/>
      <c r="I6" s="496"/>
      <c r="J6" s="496"/>
      <c r="K6" s="496"/>
      <c r="L6" s="496"/>
      <c r="M6" s="496"/>
      <c r="N6" s="496"/>
      <c r="O6" s="496"/>
      <c r="P6" s="496"/>
      <c r="Q6" s="496"/>
      <c r="R6" s="496"/>
      <c r="S6" s="496"/>
      <c r="T6" s="496"/>
      <c r="U6" s="496"/>
      <c r="V6" s="496"/>
      <c r="W6" s="496"/>
      <c r="X6" s="496"/>
      <c r="Y6" s="496"/>
      <c r="Z6" s="496"/>
      <c r="AA6" s="496"/>
      <c r="AB6" s="51"/>
      <c r="BB6" s="3">
        <f>COUNTIF($BB$10:$BB$93,"SI")</f>
        <v>48</v>
      </c>
      <c r="BC6" s="3">
        <f>COUNTIF($BC$10:$BC$93,"SI")</f>
        <v>3</v>
      </c>
      <c r="BD6" s="3">
        <f>COUNTIF($BD$10:$BD$93,"SI")</f>
        <v>50</v>
      </c>
      <c r="BE6" s="3">
        <f>COUNTIF($BE$10:$BE$93,"SI")</f>
        <v>5</v>
      </c>
      <c r="BF6" s="3">
        <f>COUNTIF($BF$10:$BF$93,"SI")</f>
        <v>45</v>
      </c>
      <c r="BG6" s="3">
        <f>COUNTIF($BG$10:$BG$93,"SI")</f>
        <v>1</v>
      </c>
      <c r="BH6" s="3">
        <f>COUNTIF($BH$10:$BH$93,"P")</f>
        <v>48</v>
      </c>
      <c r="BI6" s="3">
        <f>COUNTIF($BI$10:$BI$93,"P")</f>
        <v>6</v>
      </c>
      <c r="BJ6" s="3">
        <f>COUNTIF($BJ$10:$BJ$93,"A")</f>
        <v>2</v>
      </c>
      <c r="BK6" s="3">
        <f>COUNTIF($BK$10:$BK$93,"A")</f>
        <v>1</v>
      </c>
      <c r="BL6" s="3">
        <f>COUNTIF($BL$10:$BL$93,"SI")</f>
        <v>50</v>
      </c>
      <c r="BM6" s="3">
        <f>COUNTIF($BM$10:$BM$93,"SI")</f>
        <v>4</v>
      </c>
    </row>
    <row r="7" spans="1:65" ht="30.75" customHeight="1" x14ac:dyDescent="0.2">
      <c r="A7" s="489" t="str">
        <f>'CONTEXTO ESTRATEGICO'!A8</f>
        <v>MISION</v>
      </c>
      <c r="B7" s="489"/>
      <c r="C7" s="496"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6"/>
      <c r="E7" s="496"/>
      <c r="F7" s="496"/>
      <c r="G7" s="496"/>
      <c r="H7" s="496"/>
      <c r="I7" s="496"/>
      <c r="J7" s="496"/>
      <c r="K7" s="496"/>
      <c r="L7" s="496"/>
      <c r="M7" s="496"/>
      <c r="N7" s="496"/>
      <c r="O7" s="496"/>
      <c r="P7" s="496"/>
      <c r="Q7" s="496"/>
      <c r="R7" s="496"/>
      <c r="S7" s="496"/>
      <c r="T7" s="496"/>
      <c r="U7" s="496"/>
      <c r="V7" s="496"/>
      <c r="W7" s="496"/>
      <c r="X7" s="496"/>
      <c r="Y7" s="496"/>
      <c r="Z7" s="496"/>
      <c r="AA7" s="496"/>
      <c r="AB7" s="51"/>
      <c r="BB7" s="3" t="s">
        <v>264</v>
      </c>
      <c r="BC7" s="3" t="s">
        <v>265</v>
      </c>
      <c r="BD7" s="3" t="s">
        <v>268</v>
      </c>
      <c r="BE7" s="3" t="s">
        <v>269</v>
      </c>
      <c r="BF7" s="3" t="s">
        <v>274</v>
      </c>
      <c r="BG7" s="3" t="s">
        <v>275</v>
      </c>
      <c r="BH7" s="3" t="s">
        <v>279</v>
      </c>
      <c r="BI7" s="3" t="s">
        <v>282</v>
      </c>
      <c r="BJ7" s="3" t="s">
        <v>336</v>
      </c>
      <c r="BK7" s="3" t="s">
        <v>338</v>
      </c>
      <c r="BL7" s="3" t="s">
        <v>274</v>
      </c>
      <c r="BM7" s="3" t="s">
        <v>275</v>
      </c>
    </row>
    <row r="8" spans="1:65" ht="25.5" customHeight="1" x14ac:dyDescent="0.2">
      <c r="A8" s="485" t="s">
        <v>22</v>
      </c>
      <c r="B8" s="485" t="s">
        <v>28</v>
      </c>
      <c r="C8" s="505" t="s">
        <v>29</v>
      </c>
      <c r="D8" s="506" t="s">
        <v>94</v>
      </c>
      <c r="E8" s="507"/>
      <c r="F8" s="507"/>
      <c r="G8" s="507"/>
      <c r="H8" s="507"/>
      <c r="I8" s="507"/>
      <c r="J8" s="508"/>
      <c r="K8" s="511" t="s">
        <v>111</v>
      </c>
      <c r="L8" s="512"/>
      <c r="M8" s="512"/>
      <c r="N8" s="512"/>
      <c r="O8" s="512"/>
      <c r="P8" s="513"/>
      <c r="Q8" s="511" t="s">
        <v>324</v>
      </c>
      <c r="R8" s="512"/>
      <c r="S8" s="512"/>
      <c r="T8" s="512"/>
      <c r="U8" s="512"/>
      <c r="V8" s="235"/>
      <c r="W8" s="66"/>
      <c r="X8" s="509" t="s">
        <v>23</v>
      </c>
      <c r="Y8" s="64"/>
      <c r="Z8" s="30"/>
      <c r="AA8" s="509" t="s">
        <v>30</v>
      </c>
      <c r="AB8" s="504" t="s">
        <v>98</v>
      </c>
      <c r="AC8" s="501" t="s">
        <v>127</v>
      </c>
      <c r="AD8" s="501" t="s">
        <v>99</v>
      </c>
      <c r="AE8" s="501" t="s">
        <v>101</v>
      </c>
      <c r="AF8" s="501" t="s">
        <v>100</v>
      </c>
      <c r="AG8" s="501" t="s">
        <v>102</v>
      </c>
      <c r="AM8" s="3" t="s">
        <v>224</v>
      </c>
      <c r="AN8" s="3" t="s">
        <v>225</v>
      </c>
      <c r="AO8" s="3" t="s">
        <v>226</v>
      </c>
      <c r="AP8" s="3" t="s">
        <v>328</v>
      </c>
      <c r="BA8" s="3" t="s">
        <v>205</v>
      </c>
      <c r="BB8" s="3">
        <f>COUNTIF($BB$10:$BB$93,"NO")</f>
        <v>2</v>
      </c>
      <c r="BC8" s="3">
        <f>COUNTIF($BC$10:$BC$93,"NO")</f>
        <v>3</v>
      </c>
      <c r="BD8" s="3">
        <f>COUNTIF($BD$10:$BD$93,"NO")</f>
        <v>0</v>
      </c>
      <c r="BE8" s="3">
        <f>COUNTIF($BE$10:$BE$93,"NO")</f>
        <v>1</v>
      </c>
      <c r="BF8" s="3">
        <f>COUNTIF($BF$10:$BF$93,"NO")</f>
        <v>5</v>
      </c>
      <c r="BG8" s="3">
        <f>COUNTIF($BG$10:$BG$93,"NO")</f>
        <v>5</v>
      </c>
      <c r="BH8" s="3">
        <f>COUNTIF($BH$10:$BH$93,"C")</f>
        <v>2</v>
      </c>
      <c r="BI8" s="3">
        <f>COUNTIF($BI$10:$BI$93,"C")</f>
        <v>0</v>
      </c>
      <c r="BJ8" s="3">
        <f>COUNTIF($BJ$10:$BJ$93,"M")</f>
        <v>48</v>
      </c>
      <c r="BK8" s="3">
        <f>COUNTIF($BK$10:$BK$93,"M")</f>
        <v>5</v>
      </c>
      <c r="BL8" s="3">
        <f>COUNTIF($BL$10:$BL$93,"NO")</f>
        <v>0</v>
      </c>
      <c r="BM8" s="3">
        <f>COUNTIF($BM$10:$BM$93,"NO")</f>
        <v>2</v>
      </c>
    </row>
    <row r="9" spans="1:65" ht="39" customHeight="1" x14ac:dyDescent="0.2">
      <c r="A9" s="485"/>
      <c r="B9" s="485"/>
      <c r="C9" s="505"/>
      <c r="D9" s="47" t="s">
        <v>95</v>
      </c>
      <c r="E9" s="47"/>
      <c r="F9" s="47" t="s">
        <v>12</v>
      </c>
      <c r="G9" s="10" t="s">
        <v>15</v>
      </c>
      <c r="H9" s="47" t="s">
        <v>8</v>
      </c>
      <c r="I9" s="10" t="s">
        <v>15</v>
      </c>
      <c r="J9" s="47" t="s">
        <v>72</v>
      </c>
      <c r="K9" s="511" t="s">
        <v>13</v>
      </c>
      <c r="L9" s="512"/>
      <c r="M9" s="511" t="s">
        <v>14</v>
      </c>
      <c r="N9" s="512"/>
      <c r="O9" s="511" t="s">
        <v>327</v>
      </c>
      <c r="P9" s="512"/>
      <c r="Q9" s="511" t="s">
        <v>325</v>
      </c>
      <c r="R9" s="512"/>
      <c r="S9" s="511" t="s">
        <v>112</v>
      </c>
      <c r="T9" s="512"/>
      <c r="U9" s="511" t="s">
        <v>326</v>
      </c>
      <c r="V9" s="512"/>
      <c r="W9" s="26"/>
      <c r="X9" s="509"/>
      <c r="Y9" s="64" t="s">
        <v>125</v>
      </c>
      <c r="Z9" s="64" t="s">
        <v>126</v>
      </c>
      <c r="AA9" s="509"/>
      <c r="AB9" s="504"/>
      <c r="AC9" s="501"/>
      <c r="AD9" s="501"/>
      <c r="AE9" s="501"/>
      <c r="AF9" s="501"/>
      <c r="AG9" s="501"/>
      <c r="AH9" s="46" t="s">
        <v>88</v>
      </c>
      <c r="AI9" s="46" t="s">
        <v>89</v>
      </c>
      <c r="AJ9" s="46" t="s">
        <v>90</v>
      </c>
      <c r="AK9" s="46" t="s">
        <v>91</v>
      </c>
      <c r="AL9" s="46" t="s">
        <v>92</v>
      </c>
      <c r="AM9" s="3" t="s">
        <v>213</v>
      </c>
      <c r="AN9" s="3" t="s">
        <v>214</v>
      </c>
      <c r="AO9" s="3" t="s">
        <v>215</v>
      </c>
      <c r="AP9" s="3" t="s">
        <v>329</v>
      </c>
      <c r="AQ9" s="3" t="s">
        <v>217</v>
      </c>
      <c r="AR9" s="3" t="s">
        <v>218</v>
      </c>
      <c r="AS9" s="3" t="s">
        <v>223</v>
      </c>
      <c r="AT9" s="3" t="s">
        <v>219</v>
      </c>
      <c r="AU9" s="3" t="s">
        <v>331</v>
      </c>
      <c r="AV9" s="3" t="s">
        <v>330</v>
      </c>
      <c r="AW9" s="3" t="s">
        <v>332</v>
      </c>
      <c r="AX9" s="3" t="s">
        <v>221</v>
      </c>
      <c r="AY9" s="3" t="s">
        <v>220</v>
      </c>
      <c r="AZ9" s="3" t="s">
        <v>222</v>
      </c>
      <c r="BA9" s="3" t="s">
        <v>216</v>
      </c>
      <c r="BB9" s="3" t="s">
        <v>260</v>
      </c>
      <c r="BC9" s="3" t="s">
        <v>261</v>
      </c>
      <c r="BD9" s="3" t="s">
        <v>270</v>
      </c>
      <c r="BE9" s="3" t="s">
        <v>271</v>
      </c>
      <c r="BF9" s="3" t="s">
        <v>276</v>
      </c>
      <c r="BG9" s="3" t="s">
        <v>277</v>
      </c>
      <c r="BH9" s="3" t="s">
        <v>280</v>
      </c>
      <c r="BI9" s="3" t="s">
        <v>283</v>
      </c>
      <c r="BJ9" s="3" t="s">
        <v>333</v>
      </c>
      <c r="BK9" s="3" t="s">
        <v>334</v>
      </c>
      <c r="BL9" s="3" t="s">
        <v>339</v>
      </c>
      <c r="BM9" s="3" t="s">
        <v>340</v>
      </c>
    </row>
    <row r="10" spans="1:65" ht="36" customHeight="1" x14ac:dyDescent="0.2">
      <c r="A10" s="503" t="str">
        <f>IDENTIFICACIÓN!C9</f>
        <v>1G</v>
      </c>
      <c r="B10" s="496" t="str">
        <f>IF(IDENTIFICACIÓN!D9="","",IDENTIFICACIÓN!D9)</f>
        <v>Relaciones Interinstitucionales. Concentrar labores múltiples en poco personal</v>
      </c>
      <c r="C10" s="20">
        <v>1</v>
      </c>
      <c r="D10" s="56" t="s">
        <v>10</v>
      </c>
      <c r="E10" s="240">
        <f>IF($D10="","",IF($D10="SI",10,0))</f>
        <v>0</v>
      </c>
      <c r="F10" s="44"/>
      <c r="G10" s="18" t="str">
        <f t="shared" ref="G10:G39" si="0">IF($D10="SI",IF(ISBLANK(F10),"Decripcion",""),"")</f>
        <v/>
      </c>
      <c r="H10" s="44"/>
      <c r="I10" s="18" t="str">
        <f>IF($D10="SI",IF(ISBLANK(H10),"Tipo",""),"")</f>
        <v/>
      </c>
      <c r="J10" s="55" t="str">
        <f>IF(H10="Preventivo","Posibilidad",IF(H10="Correctivo","Impacto",""))</f>
        <v/>
      </c>
      <c r="K10" s="29"/>
      <c r="L10" s="18" t="str">
        <f>IF($D10="SI",IF(K10="SI",15,IF(K10="NO",0,"P1")),"")</f>
        <v/>
      </c>
      <c r="M10" s="41"/>
      <c r="N10" s="18" t="str">
        <f>IF($D10="SI",IF(M10="SI",30,IF(M10="NO",0,"P2")),"")</f>
        <v/>
      </c>
      <c r="O10" s="43"/>
      <c r="P10" s="18" t="str">
        <f>IF($D10="SI",IF(O10="Automático",15,IF(O10="Manual",10,"P3")),"")</f>
        <v/>
      </c>
      <c r="Q10" s="43"/>
      <c r="R10" s="18" t="str">
        <f>IF($D10="SI",IF(Q10="SI",5,IF(Q10="NO",0,"P4")),"")</f>
        <v/>
      </c>
      <c r="S10" s="43"/>
      <c r="T10" s="18" t="str">
        <f>IF($D10="SI",IF(S10="SI",15,IF(S10="NO",0,"P5")),"")</f>
        <v/>
      </c>
      <c r="U10" s="43"/>
      <c r="V10" s="18" t="str">
        <f>IF($D10="SI",IF(U10="SI",10,IF(U10="NO",0,"P6")),"")</f>
        <v/>
      </c>
      <c r="W10" s="18">
        <f>IF(D10="SI",E10+L10+N10+P10+R10+T10+V10,0)</f>
        <v>0</v>
      </c>
      <c r="X10" s="57">
        <f t="shared" ref="X10:X39" si="1">IF(ISBLANK(D10),"",IF(D10="NO",0,IF(D10="SI",IF(OR(G10="Decripcion",I10="Tipo",L10="P1",N10="P2",P10="P3",R10="P4",T10="P5",V10="P6"),CONCATENATE("Falta diligenciar: ",G10," ",I10,IF(L10="P1"," Preg 1",),IF(N10="P2"," Preg 2",),IF(P10="P3"," Preg 3",),IF(R10="P4"," Preg 4",),IF(T10="P5"," Preg 5",),IF(V10="P6"," Preg 6",)),IF(W10&gt;76,CONCATENATE(W10,"                           Disminuye max 2 en ",J10),IF(AND(W10&gt;50,W10&lt;76),CONCATENATE(W10,"                           Disminuye max 1 en ", J10),W10))))))</f>
        <v>0</v>
      </c>
      <c r="Y10" s="57">
        <f>IF(AND(W10&gt;50,W10&lt;76,J10="Posibilidad"),1,IF(AND(W10&gt;75,W10&lt;101,J10="Posibilidad"),2,0))</f>
        <v>0</v>
      </c>
      <c r="Z10" s="65">
        <f>IF(AND(W10&gt;50,W10&lt;76,J10="Impacto"),1,IF(AND(W10&gt;75,W10&lt;101,J10="Impacto"),2,0))</f>
        <v>0</v>
      </c>
      <c r="AA10" s="497" t="str">
        <f>IF(AB10=0,"",(ROUND((SUM(W10:W12)/AB10),0)))</f>
        <v/>
      </c>
      <c r="AB10" s="500">
        <f>COUNT(T10:T12)</f>
        <v>0</v>
      </c>
      <c r="AC10" s="3">
        <f>SUM(Y10:Y12)</f>
        <v>0</v>
      </c>
      <c r="AD10" s="3">
        <f>ANALISIS!D11</f>
        <v>3</v>
      </c>
      <c r="AE10" s="3">
        <f>IF((AD10-AC10)&gt;=1,(AD10-AC10),1)</f>
        <v>3</v>
      </c>
      <c r="AF10" s="501">
        <f>(AE11*10)+AE10</f>
        <v>33</v>
      </c>
      <c r="AG10" s="42" t="str">
        <f>IF(AE11=1,AH10,IF(AE11=2,AI10,IF(AE11=3,AJ10,IF(AE11=4,AK10,AL10))))</f>
        <v>ALTA 3:3</v>
      </c>
      <c r="AH10" s="46" t="str">
        <f>IF($AF10=11,"BAJA 1:1",IF($AF10=12,"BAJA 2:1",IF($AF10=13,"BAJA 3:1",IF($AF10=14,"MODERADA 4:1","ALTA 5:1"))))</f>
        <v>ALTA 5:1</v>
      </c>
      <c r="AI10" s="46" t="str">
        <f>IF($AF10=21,"BAJA 1:2",IF($AF10=22,"BAJA 2:2",IF($AF10=23,"MODERADA 3:2",IF($AF10=24,"ALTA 4:2","ALTA 5:2"))))</f>
        <v>ALTA 5:2</v>
      </c>
      <c r="AJ10" s="46" t="str">
        <f>IF($AF10=31,"MODERADA 1:3",IF($AF10=32,"MODERADA 2:3",IF($AF10=33,"ALTA 3:3",IF($AF10=34,"ALTA 4:3","EXTREMA 5:3"))))</f>
        <v>ALTA 3:3</v>
      </c>
      <c r="AK10" s="46" t="str">
        <f>IF($AF10=41,"ALTA 1:4",IF($AF10=42,"ALTA 2:4",IF($AF10=43,"EXTREMA 3:4",IF($AF10=44,"EXTREMA 4:4","EXTREMA 5:4"))))</f>
        <v>EXTREMA 5:4</v>
      </c>
      <c r="AL10" s="46" t="str">
        <f>IF($AF10=51,"ALTA 1:5",IF($AF10=52,"EXTREMA 2:5",IF($AF10=53,"EXTREMA 3:5",IF($AF10=54,"EXTREMA 4:5","EXTREMA 5:5"))))</f>
        <v>EXTREMA 5:5</v>
      </c>
      <c r="AM10" s="3" t="str">
        <f>IF(AND(N10=30,L10=0),$AM$8,"")</f>
        <v/>
      </c>
      <c r="AN10" s="3" t="str">
        <f t="shared" ref="AN10:AN39" si="2">IF(AND(N10=30,R10=0),$AN$8,"")</f>
        <v/>
      </c>
      <c r="AO10" s="3" t="str">
        <f t="shared" ref="AO10:AO39" si="3">IF(AND(N10=30,T10=0),$AO$8,"")</f>
        <v/>
      </c>
      <c r="AP10" s="3" t="str">
        <f>IF(AND(N10=30,V10=0),$AP$8,"")</f>
        <v/>
      </c>
      <c r="AQ10" s="3" t="str">
        <f>AM10</f>
        <v/>
      </c>
      <c r="AR10" s="3" t="str">
        <f>AN10</f>
        <v/>
      </c>
      <c r="AT10" s="3" t="str">
        <f>AO10</f>
        <v/>
      </c>
      <c r="AV10" s="3" t="str">
        <f>AP10</f>
        <v/>
      </c>
      <c r="AX10" s="502" t="str">
        <f>IF(AW12="","",CONCATENATE(AW12," (de) el(los) control(es) Efectivo(s) "))</f>
        <v/>
      </c>
      <c r="AY10" s="502" t="str">
        <f>IF(CONCATENATE(N10:N12)="","",IF(AND(SUM(E10:E12)=10,SUM(N10:N12)&lt;30),"- Replantear control(es) NO efectivo(s) ",IF(AND(SUM(E10:E12)=20,SUM(N10:N12)&lt;60),"- Replantear control(es) NO efectivo(s) ",IF(AND(SUM(E10:E12)=30,SUM(N10:N12)&lt;90),"- Replantear control(es) NO efectivo(s) ",""))))</f>
        <v/>
      </c>
      <c r="AZ10" s="502" t="str">
        <f>IF(AND(AE10&gt;1,AE11&gt;1),"- Tomar Acciones Preventivas y Correctivas",IF(AE10&gt;1,"- Tomar Acciones Preventivas",IF(AE11&gt;1,"- Tomar Acciones Correctivas","")))</f>
        <v>- Tomar Acciones Preventivas y Correctivas</v>
      </c>
      <c r="BA10" s="502" t="str">
        <f>CONCATENATE(AX10,AY10,AZ10)</f>
        <v>- Tomar Acciones Preventivas y Correctivas</v>
      </c>
      <c r="BB10" s="3" t="str">
        <f>IF(AND($N10=30,L10=15),"SI",IF(AND($N10=30,L10=0),"NO",""))</f>
        <v/>
      </c>
      <c r="BC10" s="3" t="str">
        <f>IF(AND($N10=0,L10=15),"SI",IF(AND($N10=0,L10=0),"NO",""))</f>
        <v/>
      </c>
      <c r="BD10" s="3" t="str">
        <f>IF(AND($N10=30,R10=5),"SI",IF(AND($N10=30,R10=0),"NO",""))</f>
        <v/>
      </c>
      <c r="BE10" s="3" t="str">
        <f>IF(AND($N10=0,R10=5),"SI",IF(AND($N10=0,R10=0),"NO",""))</f>
        <v/>
      </c>
      <c r="BF10" s="3" t="str">
        <f>IF(AND($N10=30,T10=15),"SI",IF(AND($N10=30,T10=0),"NO",""))</f>
        <v/>
      </c>
      <c r="BG10" s="3" t="str">
        <f>IF(AND($N10=0,T10=15),"SI",IF(AND($N10=0,T10=0),"NO",""))</f>
        <v/>
      </c>
      <c r="BH10" s="3" t="str">
        <f>IF(AND($N10=30,$H10="Preventivo"),"P",IF(AND($N10=30,$H10="Correctivo"),"C",""))</f>
        <v/>
      </c>
      <c r="BI10" s="3" t="str">
        <f>IF(AND($N10=0,$H10="Preventivo"),"P",IF(AND($N10=0,$H10="Correctivo"),"C",""))</f>
        <v/>
      </c>
      <c r="BJ10" s="3" t="str">
        <f>IF(AND($N10=30,$O10="Automático"),"A",IF(AND($N10=30,$O10="Manual"),"M",""))</f>
        <v/>
      </c>
      <c r="BK10" s="3" t="str">
        <f>IF(AND($N10=0,$O10="Automático"),"A",IF(AND($N10=0,$O10="Manual"),"M",""))</f>
        <v/>
      </c>
      <c r="BL10" s="3" t="str">
        <f>IF(AND($N10=30,V10=10),"SI",IF(AND($N10=30,V10=0),"NO",""))</f>
        <v/>
      </c>
      <c r="BM10" s="3" t="str">
        <f>IF(AND($N10=0,V10=10),"SI",IF(AND($N10=0,V10=0),"NO",""))</f>
        <v/>
      </c>
    </row>
    <row r="11" spans="1:65" ht="35.25" customHeight="1" x14ac:dyDescent="0.2">
      <c r="A11" s="503"/>
      <c r="B11" s="496"/>
      <c r="C11" s="20">
        <v>2</v>
      </c>
      <c r="D11" s="56"/>
      <c r="E11" s="240" t="str">
        <f t="shared" ref="E11:E110" si="4">IF($D11="","",IF($D11="SI",10,0))</f>
        <v/>
      </c>
      <c r="F11" s="98"/>
      <c r="G11" s="18" t="str">
        <f t="shared" si="0"/>
        <v/>
      </c>
      <c r="H11" s="40"/>
      <c r="I11" s="18" t="str">
        <f t="shared" ref="I11:I39" si="5">IF($D11="SI",IF(ISBLANK(H11),"Tipo",""),"")</f>
        <v/>
      </c>
      <c r="J11" s="55" t="str">
        <f t="shared" ref="J11:J39" si="6">IF(H11="Preventivo","Posibilidad",IF(H11="Correctivo","Impacto",""))</f>
        <v/>
      </c>
      <c r="K11" s="43"/>
      <c r="L11" s="18" t="str">
        <f t="shared" ref="L11:L39" si="7">IF($D11="SI",IF(K11="SI",15,IF(K11="NO",0,"P1")),"")</f>
        <v/>
      </c>
      <c r="M11" s="43"/>
      <c r="N11" s="18" t="str">
        <f t="shared" ref="N11:N39" si="8">IF($D11="SI",IF(M11="SI",30,IF(M11="NO",0,"P2")),"")</f>
        <v/>
      </c>
      <c r="O11" s="43"/>
      <c r="P11" s="18" t="str">
        <f t="shared" ref="P11:P39" si="9">IF($D11="SI",IF(O11="Automático",15,IF(O11="Manual",10,"P3")),"")</f>
        <v/>
      </c>
      <c r="Q11" s="43"/>
      <c r="R11" s="18" t="str">
        <f t="shared" ref="R11:R39" si="10">IF($D11="SI",IF(Q11="SI",5,IF(Q11="NO",0,"P4")),"")</f>
        <v/>
      </c>
      <c r="S11" s="43"/>
      <c r="T11" s="18" t="str">
        <f t="shared" ref="T11:T39" si="11">IF($D11="SI",IF(S11="SI",15,IF(S11="NO",0,"P5")),"")</f>
        <v/>
      </c>
      <c r="U11" s="43"/>
      <c r="V11" s="18" t="str">
        <f t="shared" ref="V11:V39" si="12">IF($D11="SI",IF(U11="SI",10,IF(U11="NO",0,"P6")),"")</f>
        <v/>
      </c>
      <c r="W11" s="18">
        <f t="shared" ref="W11:W39" si="13">IF(D11="SI",E11+L11+N11+P11+R11+T11+V11,0)</f>
        <v>0</v>
      </c>
      <c r="X11" s="57" t="str">
        <f t="shared" si="1"/>
        <v/>
      </c>
      <c r="Y11" s="57">
        <f t="shared" ref="Y11:Y39" si="14">IF(AND(W11&gt;50,W11&lt;76,J11="Posibilidad"),1,IF(AND(W11&gt;75,W11&lt;101,J11="Posibilidad"),2,0))</f>
        <v>0</v>
      </c>
      <c r="Z11" s="65">
        <f t="shared" ref="Z11:Z39" si="15">IF(AND(W11&gt;50,W11&lt;76,J11="Impacto"),1,IF(AND(W11&gt;75,W11&lt;101,J11="Impacto"),2,0))</f>
        <v>0</v>
      </c>
      <c r="AA11" s="498"/>
      <c r="AB11" s="500"/>
      <c r="AC11" s="3">
        <f>SUM(Z10:Z12)</f>
        <v>0</v>
      </c>
      <c r="AD11" s="3">
        <f>ANALISIS!G11</f>
        <v>3</v>
      </c>
      <c r="AE11" s="3">
        <f>IF((AD11-AC11)&gt;=1,(AD11-AC11),1)</f>
        <v>3</v>
      </c>
      <c r="AF11" s="501"/>
      <c r="AG11" s="42" t="str">
        <f>IF(AE11=1,AH11,IF(AE11=2,AI11,IF(AE11=3,AJ11,IF(AE11=4,AK11,AL11))))</f>
        <v>- Evitar Posibilidad de Ocurrencia- Reducir el Riesgo- Compartir o Transferir el Riesgo</v>
      </c>
      <c r="AH11" s="46" t="str">
        <f>IF($AF10=11,"- Asumir el Riesgo",IF($AF10=12,"- Asumir el Riesgo- Evitar Posibilidad de Ocurrencia- Reducir el Riesgo",IF($AF10=13,"- Asumir el Riesgo- Evitar Posibilidad de Ocurrencia- Reducir el Riesgo",IF($AF10=14,"-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1" s="46" t="str">
        <f>IF($AF10=21,"- Asumir el Riesgo- Reducir el Riesgo",IF($AF10=22,"- Asumir el Riesgo- Evitar Posibilidad de Ocurrencia- Reducir el Riesgo",IF($AF10=23,"- Asumir el Riesgo- Evitar Posibilidad de Ocurrencia- Reducir el Riesgo- Compartir o Transferir el Riesgo",IF($AF10=24,"- Evitar Posibilidad de Ocurrencia- Reducir el Riesgo- Compartir o Transferir el Riesgo","- Evitar Posibilidad de Ocurrencia- Reducir el Riesgo- Compartir o Transferir el Riesgo"))))</f>
        <v>- Evitar Posibilidad de Ocurrencia- Reducir el Riesgo- Compartir o Transferir el Riesgo</v>
      </c>
      <c r="AJ11" s="46" t="str">
        <f>IF($AF10=31,"- Asumir el Riesgo- Reducir el Riesgo- Compartir o Transferir el Riesgo",IF($AF10=32,"- Asumir el Riesgo- Evitar Posibilidad de Ocurrencia- Reducir el Reducir- Compartir o Transferir el Riesgo",IF($AF10=33,"- Evitar Posibilidad de Ocurrencia- Reducir el Riesgo- Compartir o Transferir el Riesgo",IF($AF10=34,"- Evitar Posibilidad de Ocurrencia- Reducir el Riesgo- Compartir o Transferir el Riesgo","- Eliminar Causa(s)- Evitar Posibilidad de Ocurrencia- Reducir el Riesgo- Compartir o Transferir el Riesgo"))))</f>
        <v>- Evitar Posibilidad de Ocurrencia- Reducir el Riesgo- Compartir o Transferir el Riesgo</v>
      </c>
      <c r="AK11" s="46" t="str">
        <f>IF($AF10=41,"- Reducir el Riesgo- Compartir o Transferir el Riesgo",IF($AF10=42,"- Evitar Posibilidad de Ocurrencia- Reducir el Riesgo- Compartir o Transferir el Riesgo",IF($AF10=43,"- Eliminar Causa(s)- Evitar Posibilidad de Ocurrencia- Reducir el Riesgo- Compartir o Transferir el Riesgo",IF($AF10=44,"-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11" s="46" t="str">
        <f>IF($AF10=51,"- Reducir el Riesgo- Compartir o Transferir el Riesgo",IF($AF10=52,"- Eliminar Causa(s)- Evitar Posibilidad de Ocurrencia- Reducir el Riesgo- Compartir o Transferir el Riesgo",IF($AF10=53,"- Eliminar Causa(s)- Evitar Posibilidad de Ocurrencia- Reducir el Riesgo- Compartir o Transferir el Riesgo",IF($AF10=54,"-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1" s="3" t="str">
        <f t="shared" ref="AM11:AM39" si="16">IF(AND(N11=30,L11=0),$AM$8,"")</f>
        <v/>
      </c>
      <c r="AN11" s="3" t="str">
        <f t="shared" si="2"/>
        <v/>
      </c>
      <c r="AO11" s="3" t="str">
        <f t="shared" si="3"/>
        <v/>
      </c>
      <c r="AP11" s="3" t="str">
        <f t="shared" ref="AP11:AP39" si="17">IF(AND(N11=30,V11=0),$AP$8,"")</f>
        <v/>
      </c>
      <c r="AQ11" s="3" t="str">
        <f>IF(AQ10="Documentar",AQ10,AM11)</f>
        <v/>
      </c>
      <c r="AR11" s="3" t="str">
        <f>IF(AR10="Asignar responsable",AR10,AN11)</f>
        <v/>
      </c>
      <c r="AT11" s="3" t="str">
        <f>IF(AT10="Establecer periodos de seguimiento adecuados",AT10,AO11)</f>
        <v/>
      </c>
      <c r="AV11" s="3" t="str">
        <f>IF(AV10="Guardar Evidencias",AV10,AP11)</f>
        <v/>
      </c>
      <c r="AX11" s="502"/>
      <c r="AY11" s="502"/>
      <c r="AZ11" s="502"/>
      <c r="BA11" s="502"/>
      <c r="BB11" s="3" t="str">
        <f t="shared" ref="BB11:BB39" si="18">IF(AND($N11=30,L11=15),"SI",IF(AND($N11=30,L11=0),"NO",""))</f>
        <v/>
      </c>
      <c r="BC11" s="3" t="str">
        <f t="shared" ref="BC11:BC39" si="19">IF(AND($N11=0,L11=15),"SI",IF(AND($N11=0,L11=0),"NO",""))</f>
        <v/>
      </c>
      <c r="BD11" s="3" t="str">
        <f t="shared" ref="BD11:BD39" si="20">IF(AND($N11=30,R11=5),"SI",IF(AND($N11=30,R11=0),"NO",""))</f>
        <v/>
      </c>
      <c r="BE11" s="3" t="str">
        <f t="shared" ref="BE11:BE39" si="21">IF(AND($N11=0,R11=5),"SI",IF(AND($N11=0,R11=0),"NO",""))</f>
        <v/>
      </c>
      <c r="BF11" s="3" t="str">
        <f t="shared" ref="BF11:BF39" si="22">IF(AND($N11=30,T11=15),"SI",IF(AND($N11=30,T11=0),"NO",""))</f>
        <v/>
      </c>
      <c r="BG11" s="3" t="str">
        <f t="shared" ref="BG11:BG39" si="23">IF(AND($N11=0,T11=15),"SI",IF(AND($N11=0,T11=0),"NO",""))</f>
        <v/>
      </c>
      <c r="BH11" s="3" t="str">
        <f t="shared" ref="BH11:BH39" si="24">IF(AND($N11=30,H11="Preventivo"),"P",IF(AND($N11=30,H11="Correctivo"),"C",""))</f>
        <v/>
      </c>
      <c r="BI11" s="3" t="str">
        <f t="shared" ref="BI11:BI110" si="25">IF(AND($N11=0,$H11="Preventivo"),"P",IF(AND($N11=0,$H11="Correctivo"),"C",""))</f>
        <v/>
      </c>
      <c r="BJ11" s="3" t="str">
        <f t="shared" ref="BJ11:BJ110" si="26">IF(AND($N11=30,$O11="Automático"),"A",IF(AND($N11=30,$O11="Manual"),"M",""))</f>
        <v/>
      </c>
      <c r="BK11" s="3" t="str">
        <f t="shared" ref="BK11:BK110" si="27">IF(AND($N11=0,$O11="Automático"),"A",IF(AND($N11=0,$O11="Manual"),"M",""))</f>
        <v/>
      </c>
      <c r="BL11" s="3" t="str">
        <f t="shared" ref="BL11:BL39" si="28">IF(AND($N11=30,V11=10),"SI",IF(AND($N11=30,V11=0),"NO",""))</f>
        <v/>
      </c>
      <c r="BM11" s="3" t="str">
        <f t="shared" ref="BM11:BM39" si="29">IF(AND($N11=0,V11=10),"SI",IF(AND($N11=0,V11=0),"NO",""))</f>
        <v/>
      </c>
    </row>
    <row r="12" spans="1:65" ht="36" customHeight="1" x14ac:dyDescent="0.2">
      <c r="A12" s="503"/>
      <c r="B12" s="496"/>
      <c r="C12" s="20">
        <v>3</v>
      </c>
      <c r="D12" s="56"/>
      <c r="E12" s="240" t="str">
        <f t="shared" si="4"/>
        <v/>
      </c>
      <c r="F12" s="44"/>
      <c r="G12" s="18" t="str">
        <f t="shared" si="0"/>
        <v/>
      </c>
      <c r="H12" s="40"/>
      <c r="I12" s="18" t="str">
        <f t="shared" si="5"/>
        <v/>
      </c>
      <c r="J12" s="55" t="str">
        <f t="shared" si="6"/>
        <v/>
      </c>
      <c r="K12" s="43"/>
      <c r="L12" s="18" t="str">
        <f t="shared" si="7"/>
        <v/>
      </c>
      <c r="M12" s="43"/>
      <c r="N12" s="18" t="str">
        <f t="shared" si="8"/>
        <v/>
      </c>
      <c r="O12" s="43"/>
      <c r="P12" s="18" t="str">
        <f t="shared" si="9"/>
        <v/>
      </c>
      <c r="Q12" s="43"/>
      <c r="R12" s="18" t="str">
        <f t="shared" si="10"/>
        <v/>
      </c>
      <c r="S12" s="43"/>
      <c r="T12" s="18" t="str">
        <f t="shared" si="11"/>
        <v/>
      </c>
      <c r="U12" s="43"/>
      <c r="V12" s="18" t="str">
        <f t="shared" si="12"/>
        <v/>
      </c>
      <c r="W12" s="18">
        <f t="shared" si="13"/>
        <v>0</v>
      </c>
      <c r="X12" s="57" t="str">
        <f t="shared" si="1"/>
        <v/>
      </c>
      <c r="Y12" s="57">
        <f t="shared" si="14"/>
        <v>0</v>
      </c>
      <c r="Z12" s="65">
        <f t="shared" si="15"/>
        <v>0</v>
      </c>
      <c r="AA12" s="499"/>
      <c r="AB12" s="500"/>
      <c r="AM12" s="3" t="str">
        <f t="shared" si="16"/>
        <v/>
      </c>
      <c r="AN12" s="3" t="str">
        <f t="shared" si="2"/>
        <v/>
      </c>
      <c r="AO12" s="3" t="str">
        <f t="shared" si="3"/>
        <v/>
      </c>
      <c r="AP12" s="3" t="str">
        <f t="shared" si="17"/>
        <v/>
      </c>
      <c r="AQ12" s="3" t="str">
        <f>IF(AQ11="Documentar",AQ11,AM12)</f>
        <v/>
      </c>
      <c r="AR12" s="3" t="str">
        <f>IF(AR11="Asignar responsable",AR11,AN12)</f>
        <v/>
      </c>
      <c r="AS12" s="3" t="str">
        <f>IF(AND(AQ12="Documentar",AR12="Asignar responsable"),CONCATENATE("- ",AQ12,", ",AR12),IF(AQ12="Documentar",CONCATENATE("- ",AQ12),IF(AR12="Asignar responsable",CONCATENATE("- ",AR12),"")))</f>
        <v/>
      </c>
      <c r="AT12" s="3" t="str">
        <f>IF(AT11="Establecer periodos de seguimiento adecuados",AT11,AO12)</f>
        <v/>
      </c>
      <c r="AU12" s="3" t="str">
        <f>IF(AT12="",AS12,IF(AS12="",CONCATENATE("- ",AT12),CONCATENATE(AS12,", ",AT12)))</f>
        <v/>
      </c>
      <c r="AV12" s="3" t="str">
        <f>IF(AV11="Guardar Evidencias",AV11,AP12)</f>
        <v/>
      </c>
      <c r="AW12" s="3" t="str">
        <f>IF(AV12="",AU12,IF(AU12="",CONCATENATE("- ",AV12),CONCATENATE(AU12,", ",AV12)))</f>
        <v/>
      </c>
      <c r="AX12" s="502"/>
      <c r="AY12" s="502"/>
      <c r="AZ12" s="502"/>
      <c r="BA12" s="502"/>
      <c r="BB12" s="3" t="str">
        <f t="shared" si="18"/>
        <v/>
      </c>
      <c r="BC12" s="3" t="str">
        <f t="shared" si="19"/>
        <v/>
      </c>
      <c r="BD12" s="3" t="str">
        <f t="shared" si="20"/>
        <v/>
      </c>
      <c r="BE12" s="3" t="str">
        <f t="shared" si="21"/>
        <v/>
      </c>
      <c r="BF12" s="3" t="str">
        <f t="shared" si="22"/>
        <v/>
      </c>
      <c r="BG12" s="3" t="str">
        <f t="shared" si="23"/>
        <v/>
      </c>
      <c r="BH12" s="3" t="str">
        <f t="shared" si="24"/>
        <v/>
      </c>
      <c r="BI12" s="3" t="str">
        <f t="shared" si="25"/>
        <v/>
      </c>
      <c r="BJ12" s="3" t="str">
        <f t="shared" si="26"/>
        <v/>
      </c>
      <c r="BK12" s="3" t="str">
        <f t="shared" si="27"/>
        <v/>
      </c>
      <c r="BL12" s="3" t="str">
        <f t="shared" si="28"/>
        <v/>
      </c>
      <c r="BM12" s="3" t="str">
        <f t="shared" si="29"/>
        <v/>
      </c>
    </row>
    <row r="13" spans="1:65" ht="36" customHeight="1" x14ac:dyDescent="0.2">
      <c r="A13" s="503" t="str">
        <f>IDENTIFICACIÓN!C10</f>
        <v>2G</v>
      </c>
      <c r="B13" s="496" t="str">
        <f>IF(IDENTIFICACIÓN!D10="","",IDENTIFICACIÓN!D10)</f>
        <v xml:space="preserve">Relaciones Interinstitucionales. Escaso registro y control de la movilidad internacional entrante y saliente. </v>
      </c>
      <c r="C13" s="20">
        <v>1</v>
      </c>
      <c r="D13" s="56" t="s">
        <v>11</v>
      </c>
      <c r="E13" s="240">
        <f t="shared" si="4"/>
        <v>10</v>
      </c>
      <c r="F13" s="44" t="s">
        <v>563</v>
      </c>
      <c r="G13" s="18" t="str">
        <f t="shared" si="0"/>
        <v/>
      </c>
      <c r="H13" s="44" t="s">
        <v>20</v>
      </c>
      <c r="I13" s="18" t="str">
        <f t="shared" si="5"/>
        <v/>
      </c>
      <c r="J13" s="55" t="str">
        <f t="shared" si="6"/>
        <v>Posibilidad</v>
      </c>
      <c r="K13" s="43" t="s">
        <v>11</v>
      </c>
      <c r="L13" s="18">
        <f t="shared" si="7"/>
        <v>15</v>
      </c>
      <c r="M13" s="43" t="s">
        <v>11</v>
      </c>
      <c r="N13" s="18">
        <f t="shared" si="8"/>
        <v>30</v>
      </c>
      <c r="O13" s="43" t="s">
        <v>323</v>
      </c>
      <c r="P13" s="18">
        <f t="shared" si="9"/>
        <v>10</v>
      </c>
      <c r="Q13" s="43" t="s">
        <v>11</v>
      </c>
      <c r="R13" s="18">
        <f t="shared" si="10"/>
        <v>5</v>
      </c>
      <c r="S13" s="43" t="s">
        <v>11</v>
      </c>
      <c r="T13" s="18">
        <f t="shared" si="11"/>
        <v>15</v>
      </c>
      <c r="U13" s="43" t="s">
        <v>11</v>
      </c>
      <c r="V13" s="18">
        <f t="shared" si="12"/>
        <v>10</v>
      </c>
      <c r="W13" s="18">
        <f t="shared" si="13"/>
        <v>95</v>
      </c>
      <c r="X13" s="57" t="str">
        <f t="shared" si="1"/>
        <v>95                           Disminuye max 2 en Posibilidad</v>
      </c>
      <c r="Y13" s="57">
        <f t="shared" si="14"/>
        <v>2</v>
      </c>
      <c r="Z13" s="65">
        <f t="shared" si="15"/>
        <v>0</v>
      </c>
      <c r="AA13" s="497">
        <f>IF(AB13=0,"",(ROUND((SUM(W13:W15)/AB13),0)))</f>
        <v>95</v>
      </c>
      <c r="AB13" s="500">
        <f>COUNT(T13:T15)</f>
        <v>3</v>
      </c>
      <c r="AC13" s="3">
        <f>SUM(Y13:Y15)</f>
        <v>6</v>
      </c>
      <c r="AD13" s="3">
        <f>ANALISIS!D12</f>
        <v>3</v>
      </c>
      <c r="AE13" s="3">
        <f>IF((AD13-AC13)&gt;=1,(AD13-AC13),1)</f>
        <v>1</v>
      </c>
      <c r="AF13" s="501">
        <f>(AE14*10)+AE13</f>
        <v>41</v>
      </c>
      <c r="AG13" s="42" t="str">
        <f>IF(AE14=1,AH13,IF(AE14=2,AI13,IF(AE14=3,AJ13,IF(AE14=4,AK13,AL13))))</f>
        <v>ALTA 1:4</v>
      </c>
      <c r="AH13" s="46" t="str">
        <f>IF($AF13=11,"BAJA 1:1",IF($AF13=12,"BAJA 2:1",IF($AF13=13,"BAJA 3:1",IF($AF13=14,"MODERADA 4:1","ALTA 5:1"))))</f>
        <v>ALTA 5:1</v>
      </c>
      <c r="AI13" s="46" t="str">
        <f>IF($AF13=21,"BAJA 1:2",IF($AF13=22,"BAJA 2:2",IF($AF13=23,"MODERADA 3:2",IF($AF13=24,"ALTA 4:2","ALTA 5:2"))))</f>
        <v>ALTA 5:2</v>
      </c>
      <c r="AJ13" s="46" t="str">
        <f>IF($AF13=31,"MODERADA 1:3",IF($AF13=32,"MODERADA 2:3",IF($AF13=33,"ALTA 3:3",IF($AF13=34,"ALTA 4:3","EXTREMA 5:3"))))</f>
        <v>EXTREMA 5:3</v>
      </c>
      <c r="AK13" s="46" t="str">
        <f>IF($AF13=41,"ALTA 1:4",IF($AF13=42,"ALTA 2:4",IF($AF13=43,"EXTREMA 3:4",IF($AF13=44,"EXTREMA 4:4","EXTREMA 5:4"))))</f>
        <v>ALTA 1:4</v>
      </c>
      <c r="AL13" s="46" t="str">
        <f>IF($AF13=51,"ALTA 1:5",IF($AF13=52,"EXTREMA 2:5",IF($AF13=53,"EXTREMA 3:5",IF($AF13=54,"EXTREMA 4:5","EXTREMA 5:5"))))</f>
        <v>EXTREMA 5:5</v>
      </c>
      <c r="AM13" s="3" t="str">
        <f t="shared" si="16"/>
        <v/>
      </c>
      <c r="AN13" s="3" t="str">
        <f t="shared" si="2"/>
        <v/>
      </c>
      <c r="AO13" s="3" t="str">
        <f t="shared" si="3"/>
        <v/>
      </c>
      <c r="AP13" s="3" t="str">
        <f t="shared" si="17"/>
        <v/>
      </c>
      <c r="AQ13" s="3" t="str">
        <f>AM13</f>
        <v/>
      </c>
      <c r="AR13" s="3" t="str">
        <f t="shared" ref="AR13" si="30">AN13</f>
        <v/>
      </c>
      <c r="AT13" s="3" t="str">
        <f t="shared" ref="AT13" si="31">AO13</f>
        <v/>
      </c>
      <c r="AV13" s="3" t="str">
        <f t="shared" ref="AV13" si="32">AP13</f>
        <v/>
      </c>
      <c r="AX13" s="502" t="str">
        <f>IF(AW15="","",CONCATENATE(AW15," (de) el(los) control(es) Efectivo(s) "))</f>
        <v/>
      </c>
      <c r="AY13" s="502" t="str">
        <f t="shared" ref="AY13" si="33">IF(CONCATENATE(N13:N15)="","",IF(AND(SUM(E13:E15)=10,SUM(N13:N15)&lt;30),"- Replantear control(es) NO efectivo(s) ",IF(AND(SUM(E13:E15)=20,SUM(N13:N15)&lt;60),"- Replantear control(es) NO efectivo(s) ",IF(AND(SUM(E13:E15)=30,SUM(N13:N15)&lt;90),"- Replantear control(es) NO efectivo(s) ",""))))</f>
        <v/>
      </c>
      <c r="AZ13" s="502" t="str">
        <f>IF(AND(AE13&gt;1,AE14&gt;1),"- Tomar Acciones Preventivas y Correctivas",IF(AE13&gt;1,"- Tomar Acciones Preventivas",IF(AE14&gt;1,"- Tomar Acciones Correctivas","")))</f>
        <v>- Tomar Acciones Correctivas</v>
      </c>
      <c r="BA13" s="502" t="str">
        <f t="shared" ref="BA13" si="34">CONCATENATE(AX13,AY13,AZ13)</f>
        <v>- Tomar Acciones Correctivas</v>
      </c>
      <c r="BB13" s="3" t="str">
        <f t="shared" si="18"/>
        <v>SI</v>
      </c>
      <c r="BC13" s="3" t="str">
        <f t="shared" si="19"/>
        <v/>
      </c>
      <c r="BD13" s="3" t="str">
        <f t="shared" si="20"/>
        <v>SI</v>
      </c>
      <c r="BE13" s="3" t="str">
        <f t="shared" si="21"/>
        <v/>
      </c>
      <c r="BF13" s="3" t="str">
        <f t="shared" si="22"/>
        <v>SI</v>
      </c>
      <c r="BG13" s="3" t="str">
        <f t="shared" si="23"/>
        <v/>
      </c>
      <c r="BH13" s="3" t="str">
        <f t="shared" si="24"/>
        <v>P</v>
      </c>
      <c r="BI13" s="3" t="str">
        <f t="shared" si="25"/>
        <v/>
      </c>
      <c r="BJ13" s="3" t="str">
        <f t="shared" si="26"/>
        <v>M</v>
      </c>
      <c r="BK13" s="3" t="str">
        <f t="shared" si="27"/>
        <v/>
      </c>
      <c r="BL13" s="3" t="str">
        <f t="shared" si="28"/>
        <v>SI</v>
      </c>
      <c r="BM13" s="3" t="str">
        <f t="shared" si="29"/>
        <v/>
      </c>
    </row>
    <row r="14" spans="1:65" ht="36" customHeight="1" x14ac:dyDescent="0.2">
      <c r="A14" s="503"/>
      <c r="B14" s="496"/>
      <c r="C14" s="20">
        <v>2</v>
      </c>
      <c r="D14" s="56" t="s">
        <v>11</v>
      </c>
      <c r="E14" s="240">
        <f t="shared" si="4"/>
        <v>10</v>
      </c>
      <c r="F14" s="44" t="s">
        <v>564</v>
      </c>
      <c r="G14" s="18" t="str">
        <f t="shared" si="0"/>
        <v/>
      </c>
      <c r="H14" s="44" t="s">
        <v>20</v>
      </c>
      <c r="I14" s="18" t="str">
        <f t="shared" si="5"/>
        <v/>
      </c>
      <c r="J14" s="55" t="str">
        <f t="shared" si="6"/>
        <v>Posibilidad</v>
      </c>
      <c r="K14" s="43" t="s">
        <v>11</v>
      </c>
      <c r="L14" s="18">
        <f t="shared" si="7"/>
        <v>15</v>
      </c>
      <c r="M14" s="43" t="s">
        <v>11</v>
      </c>
      <c r="N14" s="18">
        <f t="shared" si="8"/>
        <v>30</v>
      </c>
      <c r="O14" s="43" t="s">
        <v>323</v>
      </c>
      <c r="P14" s="18">
        <f t="shared" si="9"/>
        <v>10</v>
      </c>
      <c r="Q14" s="43" t="s">
        <v>11</v>
      </c>
      <c r="R14" s="18">
        <f t="shared" si="10"/>
        <v>5</v>
      </c>
      <c r="S14" s="43" t="s">
        <v>11</v>
      </c>
      <c r="T14" s="18">
        <f t="shared" si="11"/>
        <v>15</v>
      </c>
      <c r="U14" s="43" t="s">
        <v>11</v>
      </c>
      <c r="V14" s="18">
        <f t="shared" si="12"/>
        <v>10</v>
      </c>
      <c r="W14" s="18">
        <f t="shared" si="13"/>
        <v>95</v>
      </c>
      <c r="X14" s="57" t="str">
        <f t="shared" si="1"/>
        <v>95                           Disminuye max 2 en Posibilidad</v>
      </c>
      <c r="Y14" s="57">
        <f t="shared" si="14"/>
        <v>2</v>
      </c>
      <c r="Z14" s="65">
        <f t="shared" si="15"/>
        <v>0</v>
      </c>
      <c r="AA14" s="498"/>
      <c r="AB14" s="500"/>
      <c r="AC14" s="3">
        <f>SUM(Z13:Z15)</f>
        <v>0</v>
      </c>
      <c r="AD14" s="3">
        <f>ANALISIS!G12</f>
        <v>4</v>
      </c>
      <c r="AE14" s="3">
        <f>IF((AD14-AC14)&gt;=1,(AD14-AC14),1)</f>
        <v>4</v>
      </c>
      <c r="AF14" s="501"/>
      <c r="AG14" s="42" t="str">
        <f>IF(AE14=1,AH14,IF(AE14=2,AI14,IF(AE14=3,AJ14,IF(AE14=4,AK14,AL14))))</f>
        <v>- Reducir el Riesgo- Compartir o Transferir el Riesgo</v>
      </c>
      <c r="AH14" s="46" t="str">
        <f>IF($AF13=11,"- Asumir el Riesgo",IF($AF13=12,"- Asumir el Riesgo- Evitar Posibilidad de Ocurrencia- Reducir el Riesgo",IF($AF13=13,"- Asumir el Riesgo- Evitar Posibilidad de Ocurrencia- Reducir el Riesgo",IF($AF13=14,"-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4" s="46" t="str">
        <f>IF($AF13=21,"- Asumir el Riesgo- Reducir el Riesgo",IF($AF13=22,"- Asumir el Riesgo- Evitar Posibilidad de Ocurrencia- Reducir el Riesgo",IF($AF13=23,"- Asumir el Riesgo- Evitar Posibilidad de Ocurrencia- Reducir el Riesgo- Compartir o Transferir el Riesgo",IF($AF13=24,"- Evitar Posibilidad de Ocurrencia- Reducir el Riesgo- Compartir o Transferir el Riesgo","- Evitar Posibilidad de Ocurrencia- Reducir el Riesgo- Compartir o Transferir el Riesgo"))))</f>
        <v>- Evitar Posibilidad de Ocurrencia- Reducir el Riesgo- Compartir o Transferir el Riesgo</v>
      </c>
      <c r="AJ14" s="46" t="str">
        <f>IF($AF13=31,"- Asumir el Riesgo- Reducir el Riesgo- Compartir o Transferir el Riesgo",IF($AF13=32,"- Asumir el Riesgo- Evitar Posibilidad de Ocurrencia- Reducir el Reducir- Compartir o Transferir el Riesgo",IF($AF13=33,"- Evitar Posibilidad de Ocurrencia- Reducir el Riesgo- Compartir o Transferir el Riesgo",IF($AF13=34,"-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14" s="46" t="str">
        <f>IF($AF13=41,"- Reducir el Riesgo- Compartir o Transferir el Riesgo",IF($AF13=42,"- Evitar Posibilidad de Ocurrencia- Reducir el Riesgo- Compartir o Transferir el Riesgo",IF($AF13=43,"- Eliminar Causa(s)- Evitar Posibilidad de Ocurrencia- Reducir el Riesgo- Compartir o Transferir el Riesgo",IF($AF13=44,"- Eliminar Causa(s)- Evitar Posibilidad de Ocurrencia- Reducir el Riesgo- Compartir o Transferir el Riesgo","- Eliminar Causa(s)- Evitar Posibilidad de Ocurrencia- Reducir el Riesgo- Compartir o Transferir el Riesgo"))))</f>
        <v>- Reducir el Riesgo- Compartir o Transferir el Riesgo</v>
      </c>
      <c r="AL14" s="46" t="str">
        <f>IF($AF13=51,"- Reducir el Riesgo- Compartir o Transferir el Riesgo",IF($AF13=52,"- Eliminar Causa(s)- Evitar Posibilidad de Ocurrencia- Reducir el Riesgo- Compartir o Transferir el Riesgo",IF($AF13=53,"- Eliminar Causa(s)- Evitar Posibilidad de Ocurrencia- Reducir el Riesgo- Compartir o Transferir el Riesgo",IF($AF13=54,"-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4" s="3" t="str">
        <f t="shared" si="16"/>
        <v/>
      </c>
      <c r="AN14" s="3" t="str">
        <f t="shared" si="2"/>
        <v/>
      </c>
      <c r="AO14" s="3" t="str">
        <f t="shared" si="3"/>
        <v/>
      </c>
      <c r="AP14" s="3" t="str">
        <f t="shared" si="17"/>
        <v/>
      </c>
      <c r="AQ14" s="3" t="str">
        <f>IF(AQ13="Documentar",AQ13,AM14)</f>
        <v/>
      </c>
      <c r="AR14" s="3" t="str">
        <f t="shared" ref="AR14:AR15" si="35">IF(AR13="Asignar responsable",AR13,AN14)</f>
        <v/>
      </c>
      <c r="AT14" s="3" t="str">
        <f t="shared" ref="AT14:AT15" si="36">IF(AT13="Establecer periodos de seguimiento adecuados",AT13,AO14)</f>
        <v/>
      </c>
      <c r="AV14" s="3" t="str">
        <f t="shared" ref="AV14:AV15" si="37">IF(AV13="Guardar Evidencias",AV13,AP14)</f>
        <v/>
      </c>
      <c r="AX14" s="502"/>
      <c r="AY14" s="502"/>
      <c r="AZ14" s="502"/>
      <c r="BA14" s="502"/>
      <c r="BB14" s="3" t="str">
        <f t="shared" si="18"/>
        <v>SI</v>
      </c>
      <c r="BC14" s="3" t="str">
        <f t="shared" si="19"/>
        <v/>
      </c>
      <c r="BD14" s="3" t="str">
        <f t="shared" si="20"/>
        <v>SI</v>
      </c>
      <c r="BE14" s="3" t="str">
        <f t="shared" si="21"/>
        <v/>
      </c>
      <c r="BF14" s="3" t="str">
        <f t="shared" si="22"/>
        <v>SI</v>
      </c>
      <c r="BG14" s="3" t="str">
        <f t="shared" si="23"/>
        <v/>
      </c>
      <c r="BH14" s="3" t="str">
        <f t="shared" si="24"/>
        <v>P</v>
      </c>
      <c r="BI14" s="3" t="str">
        <f t="shared" si="25"/>
        <v/>
      </c>
      <c r="BJ14" s="3" t="str">
        <f t="shared" si="26"/>
        <v>M</v>
      </c>
      <c r="BK14" s="3" t="str">
        <f t="shared" si="27"/>
        <v/>
      </c>
      <c r="BL14" s="3" t="str">
        <f t="shared" si="28"/>
        <v>SI</v>
      </c>
      <c r="BM14" s="3" t="str">
        <f t="shared" si="29"/>
        <v/>
      </c>
    </row>
    <row r="15" spans="1:65" ht="36" customHeight="1" x14ac:dyDescent="0.2">
      <c r="A15" s="503"/>
      <c r="B15" s="496"/>
      <c r="C15" s="20">
        <v>3</v>
      </c>
      <c r="D15" s="56" t="s">
        <v>11</v>
      </c>
      <c r="E15" s="240">
        <f t="shared" si="4"/>
        <v>10</v>
      </c>
      <c r="F15" s="44" t="s">
        <v>565</v>
      </c>
      <c r="G15" s="18" t="str">
        <f t="shared" si="0"/>
        <v/>
      </c>
      <c r="H15" s="44" t="s">
        <v>20</v>
      </c>
      <c r="I15" s="18" t="str">
        <f t="shared" si="5"/>
        <v/>
      </c>
      <c r="J15" s="55" t="str">
        <f t="shared" si="6"/>
        <v>Posibilidad</v>
      </c>
      <c r="K15" s="43" t="s">
        <v>11</v>
      </c>
      <c r="L15" s="18">
        <f t="shared" si="7"/>
        <v>15</v>
      </c>
      <c r="M15" s="43" t="s">
        <v>11</v>
      </c>
      <c r="N15" s="18">
        <f t="shared" si="8"/>
        <v>30</v>
      </c>
      <c r="O15" s="43" t="s">
        <v>323</v>
      </c>
      <c r="P15" s="18">
        <f t="shared" si="9"/>
        <v>10</v>
      </c>
      <c r="Q15" s="43" t="s">
        <v>11</v>
      </c>
      <c r="R15" s="18">
        <f t="shared" si="10"/>
        <v>5</v>
      </c>
      <c r="S15" s="43" t="s">
        <v>11</v>
      </c>
      <c r="T15" s="18">
        <f t="shared" si="11"/>
        <v>15</v>
      </c>
      <c r="U15" s="43" t="s">
        <v>11</v>
      </c>
      <c r="V15" s="18">
        <f t="shared" si="12"/>
        <v>10</v>
      </c>
      <c r="W15" s="18">
        <f t="shared" si="13"/>
        <v>95</v>
      </c>
      <c r="X15" s="57" t="str">
        <f t="shared" si="1"/>
        <v>95                           Disminuye max 2 en Posibilidad</v>
      </c>
      <c r="Y15" s="57">
        <f t="shared" si="14"/>
        <v>2</v>
      </c>
      <c r="Z15" s="65">
        <f t="shared" si="15"/>
        <v>0</v>
      </c>
      <c r="AA15" s="499"/>
      <c r="AB15" s="500"/>
      <c r="AM15" s="3" t="str">
        <f t="shared" si="16"/>
        <v/>
      </c>
      <c r="AN15" s="3" t="str">
        <f t="shared" si="2"/>
        <v/>
      </c>
      <c r="AO15" s="3" t="str">
        <f t="shared" si="3"/>
        <v/>
      </c>
      <c r="AP15" s="3" t="str">
        <f t="shared" si="17"/>
        <v/>
      </c>
      <c r="AQ15" s="3" t="str">
        <f>IF(AQ14="Documentar",AQ14,AM15)</f>
        <v/>
      </c>
      <c r="AR15" s="3" t="str">
        <f t="shared" si="35"/>
        <v/>
      </c>
      <c r="AS15" s="3" t="str">
        <f>IF(AND(AQ15="Documentar",AR15="Asignar responsable"),CONCATENATE("- ",AQ15,", ",AR15),IF(AQ15="Documentar",CONCATENATE("- ",AQ15),IF(AR15="Asignar responsable",CONCATENATE("- ",AR15),"")))</f>
        <v/>
      </c>
      <c r="AT15" s="3" t="str">
        <f t="shared" si="36"/>
        <v/>
      </c>
      <c r="AU15" s="3" t="str">
        <f t="shared" ref="AU15" si="38">IF(AT15="",AS15,IF(AS15="",CONCATENATE("- ",AT15),CONCATENATE(AS15,", ",AT15)))</f>
        <v/>
      </c>
      <c r="AV15" s="3" t="str">
        <f t="shared" si="37"/>
        <v/>
      </c>
      <c r="AW15" s="3" t="str">
        <f t="shared" ref="AW15" si="39">IF(AV15="",AU15,IF(AU15="",CONCATENATE("- ",AV15),CONCATENATE(AU15,", ",AV15)))</f>
        <v/>
      </c>
      <c r="AX15" s="502"/>
      <c r="AY15" s="502"/>
      <c r="AZ15" s="502"/>
      <c r="BA15" s="502"/>
      <c r="BB15" s="3" t="str">
        <f t="shared" si="18"/>
        <v>SI</v>
      </c>
      <c r="BC15" s="3" t="str">
        <f t="shared" si="19"/>
        <v/>
      </c>
      <c r="BD15" s="3" t="str">
        <f t="shared" si="20"/>
        <v>SI</v>
      </c>
      <c r="BE15" s="3" t="str">
        <f t="shared" si="21"/>
        <v/>
      </c>
      <c r="BF15" s="3" t="str">
        <f t="shared" si="22"/>
        <v>SI</v>
      </c>
      <c r="BG15" s="3" t="str">
        <f t="shared" si="23"/>
        <v/>
      </c>
      <c r="BH15" s="3" t="str">
        <f t="shared" si="24"/>
        <v>P</v>
      </c>
      <c r="BI15" s="3" t="str">
        <f t="shared" si="25"/>
        <v/>
      </c>
      <c r="BJ15" s="3" t="str">
        <f t="shared" si="26"/>
        <v>M</v>
      </c>
      <c r="BK15" s="3" t="str">
        <f t="shared" si="27"/>
        <v/>
      </c>
      <c r="BL15" s="3" t="str">
        <f t="shared" si="28"/>
        <v>SI</v>
      </c>
      <c r="BM15" s="3" t="str">
        <f t="shared" si="29"/>
        <v/>
      </c>
    </row>
    <row r="16" spans="1:65" ht="36" customHeight="1" x14ac:dyDescent="0.2">
      <c r="A16" s="503" t="str">
        <f>IDENTIFICACIÓN!C11</f>
        <v>3G</v>
      </c>
      <c r="B16" s="496" t="str">
        <f>IF(IDENTIFICACIÓN!D11="","",IDENTIFICACIÓN!D11)</f>
        <v>Relaciones Interinstitucionales. Gestionar la movilidad internacional sin requisitos legales</v>
      </c>
      <c r="C16" s="20">
        <v>1</v>
      </c>
      <c r="D16" s="56" t="s">
        <v>11</v>
      </c>
      <c r="E16" s="240">
        <f t="shared" si="4"/>
        <v>10</v>
      </c>
      <c r="F16" s="44" t="s">
        <v>563</v>
      </c>
      <c r="G16" s="18" t="str">
        <f t="shared" si="0"/>
        <v/>
      </c>
      <c r="H16" s="44" t="s">
        <v>20</v>
      </c>
      <c r="I16" s="18" t="str">
        <f t="shared" si="5"/>
        <v/>
      </c>
      <c r="J16" s="55" t="str">
        <f t="shared" si="6"/>
        <v>Posibilidad</v>
      </c>
      <c r="K16" s="43" t="s">
        <v>11</v>
      </c>
      <c r="L16" s="18">
        <f t="shared" si="7"/>
        <v>15</v>
      </c>
      <c r="M16" s="43" t="s">
        <v>11</v>
      </c>
      <c r="N16" s="18">
        <f t="shared" si="8"/>
        <v>30</v>
      </c>
      <c r="O16" s="43" t="s">
        <v>323</v>
      </c>
      <c r="P16" s="18">
        <f t="shared" si="9"/>
        <v>10</v>
      </c>
      <c r="Q16" s="43" t="s">
        <v>11</v>
      </c>
      <c r="R16" s="18">
        <f t="shared" si="10"/>
        <v>5</v>
      </c>
      <c r="S16" s="43" t="s">
        <v>11</v>
      </c>
      <c r="T16" s="18">
        <f t="shared" si="11"/>
        <v>15</v>
      </c>
      <c r="U16" s="43" t="s">
        <v>11</v>
      </c>
      <c r="V16" s="18">
        <f t="shared" si="12"/>
        <v>10</v>
      </c>
      <c r="W16" s="18">
        <f t="shared" si="13"/>
        <v>95</v>
      </c>
      <c r="X16" s="57" t="str">
        <f t="shared" si="1"/>
        <v>95                           Disminuye max 2 en Posibilidad</v>
      </c>
      <c r="Y16" s="57">
        <f t="shared" si="14"/>
        <v>2</v>
      </c>
      <c r="Z16" s="65">
        <f t="shared" si="15"/>
        <v>0</v>
      </c>
      <c r="AA16" s="497">
        <f>IF(AB16=0,"",(ROUND((SUM(W16:W18)/AB16),0)))</f>
        <v>95</v>
      </c>
      <c r="AB16" s="500">
        <f>COUNT(T16:T18)</f>
        <v>1</v>
      </c>
      <c r="AC16" s="3">
        <f>SUM(Y16:Y18)</f>
        <v>2</v>
      </c>
      <c r="AD16" s="3">
        <f>ANALISIS!D13</f>
        <v>2</v>
      </c>
      <c r="AE16" s="3">
        <f>IF((AD16-AC16)&gt;=1,(AD16-AC16),1)</f>
        <v>1</v>
      </c>
      <c r="AF16" s="501">
        <f>(AE17*10)+AE16</f>
        <v>41</v>
      </c>
      <c r="AG16" s="42" t="str">
        <f>IF(AE17=1,AH16,IF(AE17=2,AI16,IF(AE17=3,AJ16,IF(AE17=4,AK16,AL16))))</f>
        <v>ALTA 1:4</v>
      </c>
      <c r="AH16" s="46" t="str">
        <f>IF($AF16=11,"BAJA 1:1",IF($AF16=12,"BAJA 2:1",IF($AF16=13,"BAJA 3:1",IF($AF16=14,"MODERADA 4:1","ALTA 5:1"))))</f>
        <v>ALTA 5:1</v>
      </c>
      <c r="AI16" s="46" t="str">
        <f>IF($AF16=21,"BAJA 1:2",IF($AF16=22,"BAJA 2:2",IF($AF16=23,"MODERADA 3:2",IF($AF16=24,"ALTA 4:2","ALTA 5:2"))))</f>
        <v>ALTA 5:2</v>
      </c>
      <c r="AJ16" s="46" t="str">
        <f>IF($AF16=31,"MODERADA 1:3",IF($AF16=32,"MODERADA 2:3",IF($AF16=33,"ALTA 3:3",IF($AF16=34,"ALTA 4:3","EXTREMA 5:3"))))</f>
        <v>EXTREMA 5:3</v>
      </c>
      <c r="AK16" s="46" t="str">
        <f>IF($AF16=41,"ALTA 1:4",IF($AF16=42,"ALTA 2:4",IF($AF16=43,"EXTREMA 3:4",IF($AF16=44,"EXTREMA 4:4","EXTREMA 5:4"))))</f>
        <v>ALTA 1:4</v>
      </c>
      <c r="AL16" s="46" t="str">
        <f>IF($AF16=51,"ALTA 1:5",IF($AF16=52,"EXTREMA 2:5",IF($AF16=53,"EXTREMA 3:5",IF($AF16=54,"EXTREMA 4:5","EXTREMA 5:5"))))</f>
        <v>EXTREMA 5:5</v>
      </c>
      <c r="AM16" s="3" t="str">
        <f t="shared" si="16"/>
        <v/>
      </c>
      <c r="AN16" s="3" t="str">
        <f t="shared" si="2"/>
        <v/>
      </c>
      <c r="AO16" s="3" t="str">
        <f t="shared" si="3"/>
        <v/>
      </c>
      <c r="AP16" s="3" t="str">
        <f t="shared" si="17"/>
        <v/>
      </c>
      <c r="AQ16" s="3" t="str">
        <f>AM16</f>
        <v/>
      </c>
      <c r="AR16" s="3" t="str">
        <f t="shared" ref="AR16" si="40">AN16</f>
        <v/>
      </c>
      <c r="AT16" s="3" t="str">
        <f t="shared" ref="AT16" si="41">AO16</f>
        <v/>
      </c>
      <c r="AV16" s="3" t="str">
        <f t="shared" ref="AV16" si="42">AP16</f>
        <v/>
      </c>
      <c r="AX16" s="502" t="str">
        <f t="shared" ref="AX16" si="43">IF(AW18="","",CONCATENATE(AW18," (de) el(los) control(es) Efectivo(s) "))</f>
        <v/>
      </c>
      <c r="AY16" s="502" t="str">
        <f t="shared" ref="AY16" si="44">IF(CONCATENATE(N16:N18)="","",IF(AND(SUM(E16:E18)=10,SUM(N16:N18)&lt;30),"- Replantear control(es) NO efectivo(s) ",IF(AND(SUM(E16:E18)=20,SUM(N16:N18)&lt;60),"- Replantear control(es) NO efectivo(s) ",IF(AND(SUM(E16:E18)=30,SUM(N16:N18)&lt;90),"- Replantear control(es) NO efectivo(s) ",""))))</f>
        <v/>
      </c>
      <c r="AZ16" s="502" t="str">
        <f>IF(AND(AE16&gt;1,AE17&gt;1),"- Tomar Acciones Preventivas y Correctivas",IF(AE16&gt;1,"- Tomar Acciones Preventivas",IF(AE17&gt;1,"- Tomar Acciones Correctivas","")))</f>
        <v>- Tomar Acciones Correctivas</v>
      </c>
      <c r="BA16" s="502" t="str">
        <f t="shared" ref="BA16" si="45">CONCATENATE(AX16,AY16,AZ16)</f>
        <v>- Tomar Acciones Correctivas</v>
      </c>
      <c r="BB16" s="3" t="str">
        <f t="shared" si="18"/>
        <v>SI</v>
      </c>
      <c r="BC16" s="3" t="str">
        <f t="shared" si="19"/>
        <v/>
      </c>
      <c r="BD16" s="3" t="str">
        <f t="shared" si="20"/>
        <v>SI</v>
      </c>
      <c r="BE16" s="3" t="str">
        <f t="shared" si="21"/>
        <v/>
      </c>
      <c r="BF16" s="3" t="str">
        <f t="shared" si="22"/>
        <v>SI</v>
      </c>
      <c r="BG16" s="3" t="str">
        <f t="shared" si="23"/>
        <v/>
      </c>
      <c r="BH16" s="3" t="str">
        <f t="shared" si="24"/>
        <v>P</v>
      </c>
      <c r="BI16" s="3" t="str">
        <f t="shared" si="25"/>
        <v/>
      </c>
      <c r="BJ16" s="3" t="str">
        <f t="shared" si="26"/>
        <v>M</v>
      </c>
      <c r="BK16" s="3" t="str">
        <f t="shared" si="27"/>
        <v/>
      </c>
      <c r="BL16" s="3" t="str">
        <f t="shared" si="28"/>
        <v>SI</v>
      </c>
      <c r="BM16" s="3" t="str">
        <f t="shared" si="29"/>
        <v/>
      </c>
    </row>
    <row r="17" spans="1:65" ht="36" customHeight="1" x14ac:dyDescent="0.2">
      <c r="A17" s="503"/>
      <c r="B17" s="496"/>
      <c r="C17" s="20">
        <v>2</v>
      </c>
      <c r="D17" s="56"/>
      <c r="E17" s="240" t="str">
        <f t="shared" si="4"/>
        <v/>
      </c>
      <c r="F17" s="44"/>
      <c r="G17" s="18" t="str">
        <f t="shared" si="0"/>
        <v/>
      </c>
      <c r="H17" s="44"/>
      <c r="I17" s="18" t="str">
        <f t="shared" si="5"/>
        <v/>
      </c>
      <c r="J17" s="55" t="str">
        <f t="shared" si="6"/>
        <v/>
      </c>
      <c r="K17" s="43"/>
      <c r="L17" s="18" t="str">
        <f t="shared" si="7"/>
        <v/>
      </c>
      <c r="M17" s="43"/>
      <c r="N17" s="18" t="str">
        <f t="shared" si="8"/>
        <v/>
      </c>
      <c r="O17" s="43"/>
      <c r="P17" s="18" t="str">
        <f t="shared" si="9"/>
        <v/>
      </c>
      <c r="Q17" s="43"/>
      <c r="R17" s="18" t="str">
        <f t="shared" si="10"/>
        <v/>
      </c>
      <c r="S17" s="43"/>
      <c r="T17" s="18" t="str">
        <f t="shared" si="11"/>
        <v/>
      </c>
      <c r="U17" s="43"/>
      <c r="V17" s="18" t="str">
        <f t="shared" si="12"/>
        <v/>
      </c>
      <c r="W17" s="18">
        <f t="shared" si="13"/>
        <v>0</v>
      </c>
      <c r="X17" s="57" t="str">
        <f t="shared" si="1"/>
        <v/>
      </c>
      <c r="Y17" s="57">
        <f t="shared" si="14"/>
        <v>0</v>
      </c>
      <c r="Z17" s="65">
        <f t="shared" si="15"/>
        <v>0</v>
      </c>
      <c r="AA17" s="498"/>
      <c r="AB17" s="500"/>
      <c r="AC17" s="3">
        <f>SUM(Z16:Z18)</f>
        <v>0</v>
      </c>
      <c r="AD17" s="3">
        <f>ANALISIS!G13</f>
        <v>4</v>
      </c>
      <c r="AE17" s="3">
        <f>IF((AD17-AC17)&gt;=1,(AD17-AC17),1)</f>
        <v>4</v>
      </c>
      <c r="AF17" s="501"/>
      <c r="AG17" s="42" t="str">
        <f>IF(AE17=1,AH17,IF(AE17=2,AI17,IF(AE17=3,AJ17,IF(AE17=4,AK17,AL17))))</f>
        <v>- Reducir el Riesgo- Compartir o Transferir el Riesgo</v>
      </c>
      <c r="AH17" s="46" t="str">
        <f>IF($AF16=11,"- Asumir el Riesgo",IF($AF16=12,"- Asumir el Riesgo- Evitar Posibilidad de Ocurrencia- Reducir el Riesgo",IF($AF16=13,"- Asumir el Riesgo- Evitar Posibilidad de Ocurrencia- Reducir el Riesgo",IF($AF16=14,"-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7" s="46" t="str">
        <f>IF($AF16=21,"- Asumir el Riesgo- Reducir el Riesgo",IF($AF16=22,"- Asumir el Riesgo- Evitar Posibilidad de Ocurrencia- Reducir el Riesgo",IF($AF16=23,"- Asumir el Riesgo- Evitar Posibilidad de Ocurrencia- Reducir el Riesgo- Compartir o Transferir el Riesgo",IF($AF16=24,"- Evitar Posibilidad de Ocurrencia- Reducir el Riesgo- Compartir o Transferir el Riesgo","- Evitar Posibilidad de Ocurrencia- Reducir el Riesgo- Compartir o Transferir el Riesgo"))))</f>
        <v>- Evitar Posibilidad de Ocurrencia- Reducir el Riesgo- Compartir o Transferir el Riesgo</v>
      </c>
      <c r="AJ17" s="46" t="str">
        <f>IF($AF16=31,"- Asumir el Riesgo- Reducir el Riesgo- Compartir o Transferir el Riesgo",IF($AF16=32,"- Asumir el Riesgo- Evitar Posibilidad de Ocurrencia- Reducir el Reducir- Compartir o Transferir el Riesgo",IF($AF16=33,"- Evitar Posibilidad de Ocurrencia- Reducir el Riesgo- Compartir o Transferir el Riesgo",IF($AF16=34,"-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17" s="46" t="str">
        <f>IF($AF16=41,"- Reducir el Riesgo- Compartir o Transferir el Riesgo",IF($AF16=42,"- Evitar Posibilidad de Ocurrencia- Reducir el Riesgo- Compartir o Transferir el Riesgo",IF($AF16=43,"- Eliminar Causa(s)- Evitar Posibilidad de Ocurrencia- Reducir el Riesgo- Compartir o Transferir el Riesgo",IF($AF16=44,"- Eliminar Causa(s)- Evitar Posibilidad de Ocurrencia- Reducir el Riesgo- Compartir o Transferir el Riesgo","- Eliminar Causa(s)- Evitar Posibilidad de Ocurrencia- Reducir el Riesgo- Compartir o Transferir el Riesgo"))))</f>
        <v>- Reducir el Riesgo- Compartir o Transferir el Riesgo</v>
      </c>
      <c r="AL17" s="46" t="str">
        <f>IF($AF16=51,"- Reducir el Riesgo- Compartir o Transferir el Riesgo",IF($AF16=52,"- Eliminar Causa(s)- Evitar Posibilidad de Ocurrencia- Reducir el Riesgo- Compartir o Transferir el Riesgo",IF($AF16=53,"- Eliminar Causa(s)- Evitar Posibilidad de Ocurrencia- Reducir el Riesgo- Compartir o Transferir el Riesgo",IF($AF16=54,"-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7" s="3" t="str">
        <f t="shared" si="16"/>
        <v/>
      </c>
      <c r="AN17" s="3" t="str">
        <f t="shared" si="2"/>
        <v/>
      </c>
      <c r="AO17" s="3" t="str">
        <f t="shared" si="3"/>
        <v/>
      </c>
      <c r="AP17" s="3" t="str">
        <f t="shared" si="17"/>
        <v/>
      </c>
      <c r="AQ17" s="3" t="str">
        <f>IF(AQ16="Documentar",AQ16,AM17)</f>
        <v/>
      </c>
      <c r="AR17" s="3" t="str">
        <f t="shared" ref="AR17:AR18" si="46">IF(AR16="Asignar responsable",AR16,AN17)</f>
        <v/>
      </c>
      <c r="AT17" s="3" t="str">
        <f t="shared" ref="AT17:AT18" si="47">IF(AT16="Establecer periodos de seguimiento adecuados",AT16,AO17)</f>
        <v/>
      </c>
      <c r="AV17" s="3" t="str">
        <f t="shared" ref="AV17:AV18" si="48">IF(AV16="Guardar Evidencias",AV16,AP17)</f>
        <v/>
      </c>
      <c r="AX17" s="502"/>
      <c r="AY17" s="502"/>
      <c r="AZ17" s="502"/>
      <c r="BA17" s="502"/>
      <c r="BB17" s="3" t="str">
        <f t="shared" si="18"/>
        <v/>
      </c>
      <c r="BC17" s="3" t="str">
        <f t="shared" si="19"/>
        <v/>
      </c>
      <c r="BD17" s="3" t="str">
        <f t="shared" si="20"/>
        <v/>
      </c>
      <c r="BE17" s="3" t="str">
        <f t="shared" si="21"/>
        <v/>
      </c>
      <c r="BF17" s="3" t="str">
        <f t="shared" si="22"/>
        <v/>
      </c>
      <c r="BG17" s="3" t="str">
        <f t="shared" si="23"/>
        <v/>
      </c>
      <c r="BH17" s="3" t="str">
        <f t="shared" si="24"/>
        <v/>
      </c>
      <c r="BI17" s="3" t="str">
        <f t="shared" si="25"/>
        <v/>
      </c>
      <c r="BJ17" s="3" t="str">
        <f t="shared" si="26"/>
        <v/>
      </c>
      <c r="BK17" s="3" t="str">
        <f t="shared" si="27"/>
        <v/>
      </c>
      <c r="BL17" s="3" t="str">
        <f t="shared" si="28"/>
        <v/>
      </c>
      <c r="BM17" s="3" t="str">
        <f t="shared" si="29"/>
        <v/>
      </c>
    </row>
    <row r="18" spans="1:65" ht="36" customHeight="1" x14ac:dyDescent="0.2">
      <c r="A18" s="503"/>
      <c r="B18" s="496"/>
      <c r="C18" s="20">
        <v>3</v>
      </c>
      <c r="D18" s="56"/>
      <c r="E18" s="240" t="str">
        <f t="shared" si="4"/>
        <v/>
      </c>
      <c r="F18" s="44"/>
      <c r="G18" s="18" t="str">
        <f t="shared" si="0"/>
        <v/>
      </c>
      <c r="H18" s="44"/>
      <c r="I18" s="18" t="str">
        <f t="shared" si="5"/>
        <v/>
      </c>
      <c r="J18" s="55" t="str">
        <f t="shared" si="6"/>
        <v/>
      </c>
      <c r="K18" s="43"/>
      <c r="L18" s="18" t="str">
        <f t="shared" si="7"/>
        <v/>
      </c>
      <c r="M18" s="43"/>
      <c r="N18" s="18" t="str">
        <f t="shared" si="8"/>
        <v/>
      </c>
      <c r="O18" s="43"/>
      <c r="P18" s="18" t="str">
        <f t="shared" si="9"/>
        <v/>
      </c>
      <c r="Q18" s="43"/>
      <c r="R18" s="18" t="str">
        <f t="shared" si="10"/>
        <v/>
      </c>
      <c r="S18" s="43"/>
      <c r="T18" s="18" t="str">
        <f t="shared" si="11"/>
        <v/>
      </c>
      <c r="U18" s="43"/>
      <c r="V18" s="18" t="str">
        <f t="shared" si="12"/>
        <v/>
      </c>
      <c r="W18" s="18">
        <f t="shared" si="13"/>
        <v>0</v>
      </c>
      <c r="X18" s="57" t="str">
        <f t="shared" si="1"/>
        <v/>
      </c>
      <c r="Y18" s="57">
        <f t="shared" si="14"/>
        <v>0</v>
      </c>
      <c r="Z18" s="65">
        <f t="shared" si="15"/>
        <v>0</v>
      </c>
      <c r="AA18" s="499"/>
      <c r="AB18" s="500"/>
      <c r="AM18" s="3" t="str">
        <f t="shared" si="16"/>
        <v/>
      </c>
      <c r="AN18" s="3" t="str">
        <f t="shared" si="2"/>
        <v/>
      </c>
      <c r="AO18" s="3" t="str">
        <f t="shared" si="3"/>
        <v/>
      </c>
      <c r="AP18" s="3" t="str">
        <f t="shared" si="17"/>
        <v/>
      </c>
      <c r="AQ18" s="3" t="str">
        <f>IF(AQ17="Documentar",AQ17,AM18)</f>
        <v/>
      </c>
      <c r="AR18" s="3" t="str">
        <f t="shared" si="46"/>
        <v/>
      </c>
      <c r="AS18" s="3" t="str">
        <f>IF(AND(AQ18="Documentar",AR18="Asignar responsable"),CONCATENATE("- ",AQ18,", ",AR18),IF(AQ18="Documentar",CONCATENATE("- ",AQ18),IF(AR18="Asignar responsable",CONCATENATE("- ",AR18),"")))</f>
        <v/>
      </c>
      <c r="AT18" s="3" t="str">
        <f t="shared" si="47"/>
        <v/>
      </c>
      <c r="AU18" s="3" t="str">
        <f t="shared" ref="AU18" si="49">IF(AT18="",AS18,IF(AS18="",CONCATENATE("- ",AT18),CONCATENATE(AS18,", ",AT18)))</f>
        <v/>
      </c>
      <c r="AV18" s="3" t="str">
        <f t="shared" si="48"/>
        <v/>
      </c>
      <c r="AW18" s="3" t="str">
        <f t="shared" ref="AW18" si="50">IF(AV18="",AU18,IF(AU18="",CONCATENATE("- ",AV18),CONCATENATE(AU18,", ",AV18)))</f>
        <v/>
      </c>
      <c r="AX18" s="502"/>
      <c r="AY18" s="502"/>
      <c r="AZ18" s="502"/>
      <c r="BA18" s="502"/>
      <c r="BB18" s="3" t="str">
        <f t="shared" si="18"/>
        <v/>
      </c>
      <c r="BC18" s="3" t="str">
        <f t="shared" si="19"/>
        <v/>
      </c>
      <c r="BD18" s="3" t="str">
        <f t="shared" si="20"/>
        <v/>
      </c>
      <c r="BE18" s="3" t="str">
        <f t="shared" si="21"/>
        <v/>
      </c>
      <c r="BF18" s="3" t="str">
        <f t="shared" si="22"/>
        <v/>
      </c>
      <c r="BG18" s="3" t="str">
        <f t="shared" si="23"/>
        <v/>
      </c>
      <c r="BH18" s="3" t="str">
        <f t="shared" si="24"/>
        <v/>
      </c>
      <c r="BI18" s="3" t="str">
        <f t="shared" si="25"/>
        <v/>
      </c>
      <c r="BJ18" s="3" t="str">
        <f t="shared" si="26"/>
        <v/>
      </c>
      <c r="BK18" s="3" t="str">
        <f t="shared" si="27"/>
        <v/>
      </c>
      <c r="BL18" s="3" t="str">
        <f t="shared" si="28"/>
        <v/>
      </c>
      <c r="BM18" s="3" t="str">
        <f t="shared" si="29"/>
        <v/>
      </c>
    </row>
    <row r="19" spans="1:65" ht="36" customHeight="1" x14ac:dyDescent="0.2">
      <c r="A19" s="503" t="str">
        <f>IDENTIFICACIÓN!C12</f>
        <v>4G</v>
      </c>
      <c r="B19" s="496" t="str">
        <f>IF(IDENTIFICACIÓN!D12="","",IDENTIFICACIÓN!D12)</f>
        <v>Acreditación. Insuficiente Implementación de la Política Institucional de Autoevaluación, Acreditación y Aseguramiento de la calidad</v>
      </c>
      <c r="C19" s="20">
        <v>1</v>
      </c>
      <c r="D19" s="56" t="s">
        <v>11</v>
      </c>
      <c r="E19" s="240">
        <f t="shared" si="4"/>
        <v>10</v>
      </c>
      <c r="F19" s="44" t="s">
        <v>566</v>
      </c>
      <c r="G19" s="18" t="str">
        <f t="shared" si="0"/>
        <v/>
      </c>
      <c r="H19" s="44" t="s">
        <v>20</v>
      </c>
      <c r="I19" s="18" t="str">
        <f t="shared" si="5"/>
        <v/>
      </c>
      <c r="J19" s="55" t="str">
        <f t="shared" si="6"/>
        <v>Posibilidad</v>
      </c>
      <c r="K19" s="43" t="s">
        <v>11</v>
      </c>
      <c r="L19" s="18">
        <f t="shared" si="7"/>
        <v>15</v>
      </c>
      <c r="M19" s="43" t="s">
        <v>11</v>
      </c>
      <c r="N19" s="18">
        <f t="shared" si="8"/>
        <v>30</v>
      </c>
      <c r="O19" s="43" t="s">
        <v>323</v>
      </c>
      <c r="P19" s="18">
        <f t="shared" si="9"/>
        <v>10</v>
      </c>
      <c r="Q19" s="43" t="s">
        <v>11</v>
      </c>
      <c r="R19" s="18">
        <f t="shared" si="10"/>
        <v>5</v>
      </c>
      <c r="S19" s="43" t="s">
        <v>11</v>
      </c>
      <c r="T19" s="18">
        <f t="shared" si="11"/>
        <v>15</v>
      </c>
      <c r="U19" s="43" t="s">
        <v>11</v>
      </c>
      <c r="V19" s="18">
        <f t="shared" si="12"/>
        <v>10</v>
      </c>
      <c r="W19" s="18">
        <f t="shared" si="13"/>
        <v>95</v>
      </c>
      <c r="X19" s="57" t="str">
        <f t="shared" si="1"/>
        <v>95                           Disminuye max 2 en Posibilidad</v>
      </c>
      <c r="Y19" s="57">
        <f t="shared" si="14"/>
        <v>2</v>
      </c>
      <c r="Z19" s="65">
        <f t="shared" si="15"/>
        <v>0</v>
      </c>
      <c r="AA19" s="497">
        <f>IF(AB19=0,"",(ROUND((SUM(W19:W21)/AB19),0)))</f>
        <v>95</v>
      </c>
      <c r="AB19" s="500">
        <f>COUNT(T19:T21)</f>
        <v>3</v>
      </c>
      <c r="AC19" s="3">
        <f>SUM(Y19:Y21)</f>
        <v>6</v>
      </c>
      <c r="AD19" s="3">
        <f>ANALISIS!D14</f>
        <v>3</v>
      </c>
      <c r="AE19" s="3">
        <f>IF((AD19-AC19)&gt;=1,(AD19-AC19),1)</f>
        <v>1</v>
      </c>
      <c r="AF19" s="501">
        <f>(AE20*10)+AE19</f>
        <v>41</v>
      </c>
      <c r="AG19" s="42" t="str">
        <f>IF(AE20=1,AH19,IF(AE20=2,AI19,IF(AE20=3,AJ19,IF(AE20=4,AK19,AL19))))</f>
        <v>ALTA 1:4</v>
      </c>
      <c r="AH19" s="46" t="str">
        <f>IF($AF19=11,"BAJA 1:1",IF($AF19=12,"BAJA 2:1",IF($AF19=13,"BAJA 3:1",IF($AF19=14,"MODERADA 4:1","ALTA 5:1"))))</f>
        <v>ALTA 5:1</v>
      </c>
      <c r="AI19" s="46" t="str">
        <f>IF($AF19=21,"BAJA 1:2",IF($AF19=22,"BAJA 2:2",IF($AF19=23,"MODERADA 3:2",IF($AF19=24,"ALTA 4:2","ALTA 5:2"))))</f>
        <v>ALTA 5:2</v>
      </c>
      <c r="AJ19" s="46" t="str">
        <f>IF($AF19=31,"MODERADA 1:3",IF($AF19=32,"MODERADA 2:3",IF($AF19=33,"ALTA 3:3",IF($AF19=34,"ALTA 4:3","EXTREMA 5:3"))))</f>
        <v>EXTREMA 5:3</v>
      </c>
      <c r="AK19" s="46" t="str">
        <f>IF($AF19=41,"ALTA 1:4",IF($AF19=42,"ALTA 2:4",IF($AF19=43,"EXTREMA 3:4",IF($AF19=44,"EXTREMA 4:4","EXTREMA 5:4"))))</f>
        <v>ALTA 1:4</v>
      </c>
      <c r="AL19" s="46" t="str">
        <f>IF($AF19=51,"ALTA 1:5",IF($AF19=52,"EXTREMA 2:5",IF($AF19=53,"EXTREMA 3:5",IF($AF19=54,"EXTREMA 4:5","EXTREMA 5:5"))))</f>
        <v>EXTREMA 5:5</v>
      </c>
      <c r="AM19" s="3" t="str">
        <f t="shared" si="16"/>
        <v/>
      </c>
      <c r="AN19" s="3" t="str">
        <f t="shared" si="2"/>
        <v/>
      </c>
      <c r="AO19" s="3" t="str">
        <f t="shared" si="3"/>
        <v/>
      </c>
      <c r="AP19" s="3" t="str">
        <f t="shared" si="17"/>
        <v/>
      </c>
      <c r="AQ19" s="3" t="str">
        <f>AM19</f>
        <v/>
      </c>
      <c r="AR19" s="3" t="str">
        <f t="shared" ref="AR19" si="51">AN19</f>
        <v/>
      </c>
      <c r="AT19" s="3" t="str">
        <f t="shared" ref="AT19" si="52">AO19</f>
        <v/>
      </c>
      <c r="AV19" s="3" t="str">
        <f t="shared" ref="AV19" si="53">AP19</f>
        <v/>
      </c>
      <c r="AX19" s="502" t="str">
        <f t="shared" ref="AX19" si="54">IF(AW21="","",CONCATENATE(AW21," (de) el(los) control(es) Efectivo(s) "))</f>
        <v/>
      </c>
      <c r="AY19" s="502" t="str">
        <f t="shared" ref="AY19" si="55">IF(CONCATENATE(N19:N21)="","",IF(AND(SUM(E19:E21)=10,SUM(N19:N21)&lt;30),"- Replantear control(es) NO efectivo(s) ",IF(AND(SUM(E19:E21)=20,SUM(N19:N21)&lt;60),"- Replantear control(es) NO efectivo(s) ",IF(AND(SUM(E19:E21)=30,SUM(N19:N21)&lt;90),"- Replantear control(es) NO efectivo(s) ",""))))</f>
        <v/>
      </c>
      <c r="AZ19" s="502" t="str">
        <f>IF(AND(AE19&gt;1,AE20&gt;1),"- Tomar Acciones Preventivas y Correctivas",IF(AE19&gt;1,"- Tomar Acciones Preventivas",IF(AE20&gt;1,"- Tomar Acciones Correctivas","")))</f>
        <v>- Tomar Acciones Correctivas</v>
      </c>
      <c r="BA19" s="502" t="str">
        <f t="shared" ref="BA19" si="56">CONCATENATE(AX19,AY19,AZ19)</f>
        <v>- Tomar Acciones Correctivas</v>
      </c>
      <c r="BB19" s="3" t="str">
        <f t="shared" si="18"/>
        <v>SI</v>
      </c>
      <c r="BC19" s="3" t="str">
        <f t="shared" si="19"/>
        <v/>
      </c>
      <c r="BD19" s="3" t="str">
        <f t="shared" si="20"/>
        <v>SI</v>
      </c>
      <c r="BE19" s="3" t="str">
        <f t="shared" si="21"/>
        <v/>
      </c>
      <c r="BF19" s="3" t="str">
        <f t="shared" si="22"/>
        <v>SI</v>
      </c>
      <c r="BG19" s="3" t="str">
        <f t="shared" si="23"/>
        <v/>
      </c>
      <c r="BH19" s="3" t="str">
        <f t="shared" si="24"/>
        <v>P</v>
      </c>
      <c r="BI19" s="3" t="str">
        <f t="shared" si="25"/>
        <v/>
      </c>
      <c r="BJ19" s="3" t="str">
        <f t="shared" si="26"/>
        <v>M</v>
      </c>
      <c r="BK19" s="3" t="str">
        <f t="shared" si="27"/>
        <v/>
      </c>
      <c r="BL19" s="3" t="str">
        <f t="shared" si="28"/>
        <v>SI</v>
      </c>
      <c r="BM19" s="3" t="str">
        <f t="shared" si="29"/>
        <v/>
      </c>
    </row>
    <row r="20" spans="1:65" ht="36" customHeight="1" x14ac:dyDescent="0.2">
      <c r="A20" s="503"/>
      <c r="B20" s="496"/>
      <c r="C20" s="20">
        <v>2</v>
      </c>
      <c r="D20" s="56" t="s">
        <v>11</v>
      </c>
      <c r="E20" s="240">
        <f t="shared" si="4"/>
        <v>10</v>
      </c>
      <c r="F20" s="44" t="s">
        <v>567</v>
      </c>
      <c r="G20" s="18" t="str">
        <f t="shared" si="0"/>
        <v/>
      </c>
      <c r="H20" s="44" t="s">
        <v>20</v>
      </c>
      <c r="I20" s="18" t="str">
        <f t="shared" si="5"/>
        <v/>
      </c>
      <c r="J20" s="55" t="str">
        <f t="shared" si="6"/>
        <v>Posibilidad</v>
      </c>
      <c r="K20" s="43" t="s">
        <v>11</v>
      </c>
      <c r="L20" s="18">
        <f t="shared" si="7"/>
        <v>15</v>
      </c>
      <c r="M20" s="43" t="s">
        <v>11</v>
      </c>
      <c r="N20" s="18">
        <f t="shared" si="8"/>
        <v>30</v>
      </c>
      <c r="O20" s="43" t="s">
        <v>323</v>
      </c>
      <c r="P20" s="18">
        <f t="shared" si="9"/>
        <v>10</v>
      </c>
      <c r="Q20" s="43" t="s">
        <v>11</v>
      </c>
      <c r="R20" s="18">
        <f t="shared" si="10"/>
        <v>5</v>
      </c>
      <c r="S20" s="43" t="s">
        <v>11</v>
      </c>
      <c r="T20" s="18">
        <f t="shared" si="11"/>
        <v>15</v>
      </c>
      <c r="U20" s="43" t="s">
        <v>11</v>
      </c>
      <c r="V20" s="18">
        <f t="shared" si="12"/>
        <v>10</v>
      </c>
      <c r="W20" s="18">
        <f t="shared" si="13"/>
        <v>95</v>
      </c>
      <c r="X20" s="57" t="str">
        <f t="shared" si="1"/>
        <v>95                           Disminuye max 2 en Posibilidad</v>
      </c>
      <c r="Y20" s="57">
        <f t="shared" si="14"/>
        <v>2</v>
      </c>
      <c r="Z20" s="65">
        <f t="shared" si="15"/>
        <v>0</v>
      </c>
      <c r="AA20" s="498"/>
      <c r="AB20" s="500"/>
      <c r="AC20" s="3">
        <f>SUM(Z19:Z21)</f>
        <v>0</v>
      </c>
      <c r="AD20" s="3">
        <f>ANALISIS!G14</f>
        <v>4</v>
      </c>
      <c r="AE20" s="3">
        <f>IF((AD20-AC20)&gt;=1,(AD20-AC20),1)</f>
        <v>4</v>
      </c>
      <c r="AF20" s="501"/>
      <c r="AG20" s="42" t="str">
        <f>IF(AE20=1,AH20,IF(AE20=2,AI20,IF(AE20=3,AJ20,IF(AE20=4,AK20,AL20))))</f>
        <v>- Reducir el Riesgo- Compartir o Transferir el Riesgo</v>
      </c>
      <c r="AH20" s="46" t="str">
        <f>IF($AF19=11,"- Asumir el Riesgo",IF($AF19=12,"- Asumir el Riesgo- Evitar Posibilidad de Ocurrencia- Reducir el Riesgo",IF($AF19=13,"- Asumir el Riesgo- Evitar Posibilidad de Ocurrencia- Reducir el Riesgo",IF($AF19=14,"-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0" s="46" t="str">
        <f>IF($AF19=21,"- Asumir el Riesgo- Reducir el Riesgo",IF($AF19=22,"- Asumir el Riesgo- Evitar Posibilidad de Ocurrencia- Reducir el Riesgo",IF($AF19=23,"- Asumir el Riesgo- Evitar Posibilidad de Ocurrencia- Reducir el Riesgo- Compartir o Transferir el Riesgo",IF($AF19=24,"- Evitar Posibilidad de Ocurrencia- Reducir el Riesgo- Compartir o Transferir el Riesgo","- Evitar Posibilidad de Ocurrencia- Reducir el Riesgo- Compartir o Transferir el Riesgo"))))</f>
        <v>- Evitar Posibilidad de Ocurrencia- Reducir el Riesgo- Compartir o Transferir el Riesgo</v>
      </c>
      <c r="AJ20" s="46" t="str">
        <f>IF($AF19=31,"- Asumir el Riesgo- Reducir el Riesgo- Compartir o Transferir el Riesgo",IF($AF19=32,"- Asumir el Riesgo- Evitar Posibilidad de Ocurrencia- Reducir el Reducir- Compartir o Transferir el Riesgo",IF($AF19=33,"- Evitar Posibilidad de Ocurrencia- Reducir el Riesgo- Compartir o Transferir el Riesgo",IF($AF19=34,"-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0" s="46" t="str">
        <f>IF($AF19=41,"- Reducir el Riesgo- Compartir o Transferir el Riesgo",IF($AF19=42,"- Evitar Posibilidad de Ocurrencia- Reducir el Riesgo- Compartir o Transferir el Riesgo",IF($AF19=43,"- Eliminar Causa(s)- Evitar Posibilidad de Ocurrencia- Reducir el Riesgo- Compartir o Transferir el Riesgo",IF($AF19=44,"- Eliminar Causa(s)- Evitar Posibilidad de Ocurrencia- Reducir el Riesgo- Compartir o Transferir el Riesgo","- Eliminar Causa(s)- Evitar Posibilidad de Ocurrencia- Reducir el Riesgo- Compartir o Transferir el Riesgo"))))</f>
        <v>- Reducir el Riesgo- Compartir o Transferir el Riesgo</v>
      </c>
      <c r="AL20" s="46" t="str">
        <f>IF($AF19=51,"- Reducir el Riesgo- Compartir o Transferir el Riesgo",IF($AF19=52,"- Eliminar Causa(s)- Evitar Posibilidad de Ocurrencia- Reducir el Riesgo- Compartir o Transferir el Riesgo",IF($AF19=53,"- Eliminar Causa(s)- Evitar Posibilidad de Ocurrencia- Reducir el Riesgo- Compartir o Transferir el Riesgo",IF($AF19=54,"-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0" s="3" t="str">
        <f t="shared" si="16"/>
        <v/>
      </c>
      <c r="AN20" s="3" t="str">
        <f t="shared" si="2"/>
        <v/>
      </c>
      <c r="AO20" s="3" t="str">
        <f t="shared" si="3"/>
        <v/>
      </c>
      <c r="AP20" s="3" t="str">
        <f t="shared" si="17"/>
        <v/>
      </c>
      <c r="AQ20" s="3" t="str">
        <f>IF(AQ19="Documentar",AQ19,AM20)</f>
        <v/>
      </c>
      <c r="AR20" s="3" t="str">
        <f t="shared" ref="AR20:AR21" si="57">IF(AR19="Asignar responsable",AR19,AN20)</f>
        <v/>
      </c>
      <c r="AT20" s="3" t="str">
        <f t="shared" ref="AT20:AT21" si="58">IF(AT19="Establecer periodos de seguimiento adecuados",AT19,AO20)</f>
        <v/>
      </c>
      <c r="AV20" s="3" t="str">
        <f t="shared" ref="AV20:AV21" si="59">IF(AV19="Guardar Evidencias",AV19,AP20)</f>
        <v/>
      </c>
      <c r="AX20" s="502"/>
      <c r="AY20" s="502"/>
      <c r="AZ20" s="502"/>
      <c r="BA20" s="502"/>
      <c r="BB20" s="3" t="str">
        <f t="shared" si="18"/>
        <v>SI</v>
      </c>
      <c r="BC20" s="3" t="str">
        <f t="shared" si="19"/>
        <v/>
      </c>
      <c r="BD20" s="3" t="str">
        <f t="shared" si="20"/>
        <v>SI</v>
      </c>
      <c r="BE20" s="3" t="str">
        <f t="shared" si="21"/>
        <v/>
      </c>
      <c r="BF20" s="3" t="str">
        <f t="shared" si="22"/>
        <v>SI</v>
      </c>
      <c r="BG20" s="3" t="str">
        <f t="shared" si="23"/>
        <v/>
      </c>
      <c r="BH20" s="3" t="str">
        <f t="shared" si="24"/>
        <v>P</v>
      </c>
      <c r="BI20" s="3" t="str">
        <f t="shared" si="25"/>
        <v/>
      </c>
      <c r="BJ20" s="3" t="str">
        <f t="shared" si="26"/>
        <v>M</v>
      </c>
      <c r="BK20" s="3" t="str">
        <f t="shared" si="27"/>
        <v/>
      </c>
      <c r="BL20" s="3" t="str">
        <f t="shared" si="28"/>
        <v>SI</v>
      </c>
      <c r="BM20" s="3" t="str">
        <f t="shared" si="29"/>
        <v/>
      </c>
    </row>
    <row r="21" spans="1:65" ht="36" customHeight="1" x14ac:dyDescent="0.2">
      <c r="A21" s="503"/>
      <c r="B21" s="496"/>
      <c r="C21" s="20">
        <v>3</v>
      </c>
      <c r="D21" s="56" t="s">
        <v>11</v>
      </c>
      <c r="E21" s="240">
        <f t="shared" si="4"/>
        <v>10</v>
      </c>
      <c r="F21" s="44" t="s">
        <v>568</v>
      </c>
      <c r="G21" s="18" t="str">
        <f t="shared" si="0"/>
        <v/>
      </c>
      <c r="H21" s="44" t="s">
        <v>20</v>
      </c>
      <c r="I21" s="18" t="str">
        <f t="shared" si="5"/>
        <v/>
      </c>
      <c r="J21" s="55" t="str">
        <f t="shared" si="6"/>
        <v>Posibilidad</v>
      </c>
      <c r="K21" s="43" t="s">
        <v>11</v>
      </c>
      <c r="L21" s="18">
        <f t="shared" si="7"/>
        <v>15</v>
      </c>
      <c r="M21" s="43" t="s">
        <v>11</v>
      </c>
      <c r="N21" s="18">
        <f t="shared" si="8"/>
        <v>30</v>
      </c>
      <c r="O21" s="43" t="s">
        <v>323</v>
      </c>
      <c r="P21" s="18">
        <f t="shared" si="9"/>
        <v>10</v>
      </c>
      <c r="Q21" s="43" t="s">
        <v>11</v>
      </c>
      <c r="R21" s="18">
        <f t="shared" si="10"/>
        <v>5</v>
      </c>
      <c r="S21" s="43" t="s">
        <v>11</v>
      </c>
      <c r="T21" s="18">
        <f t="shared" si="11"/>
        <v>15</v>
      </c>
      <c r="U21" s="43" t="s">
        <v>11</v>
      </c>
      <c r="V21" s="18">
        <f t="shared" si="12"/>
        <v>10</v>
      </c>
      <c r="W21" s="18">
        <f t="shared" si="13"/>
        <v>95</v>
      </c>
      <c r="X21" s="57" t="str">
        <f t="shared" si="1"/>
        <v>95                           Disminuye max 2 en Posibilidad</v>
      </c>
      <c r="Y21" s="57">
        <f t="shared" si="14"/>
        <v>2</v>
      </c>
      <c r="Z21" s="65">
        <f t="shared" si="15"/>
        <v>0</v>
      </c>
      <c r="AA21" s="499"/>
      <c r="AB21" s="500"/>
      <c r="AM21" s="3" t="str">
        <f t="shared" si="16"/>
        <v/>
      </c>
      <c r="AN21" s="3" t="str">
        <f t="shared" si="2"/>
        <v/>
      </c>
      <c r="AO21" s="3" t="str">
        <f t="shared" si="3"/>
        <v/>
      </c>
      <c r="AP21" s="3" t="str">
        <f t="shared" si="17"/>
        <v/>
      </c>
      <c r="AQ21" s="3" t="str">
        <f>IF(AQ20="Documentar",AQ20,AM21)</f>
        <v/>
      </c>
      <c r="AR21" s="3" t="str">
        <f t="shared" si="57"/>
        <v/>
      </c>
      <c r="AS21" s="3" t="str">
        <f>IF(AND(AQ21="Documentar",AR21="Asignar responsable"),CONCATENATE("- ",AQ21,", ",AR21),IF(AQ21="Documentar",CONCATENATE("- ",AQ21),IF(AR21="Asignar responsable",CONCATENATE("- ",AR21),"")))</f>
        <v/>
      </c>
      <c r="AT21" s="3" t="str">
        <f t="shared" si="58"/>
        <v/>
      </c>
      <c r="AU21" s="3" t="str">
        <f t="shared" ref="AU21" si="60">IF(AT21="",AS21,IF(AS21="",CONCATENATE("- ",AT21),CONCATENATE(AS21,", ",AT21)))</f>
        <v/>
      </c>
      <c r="AV21" s="3" t="str">
        <f t="shared" si="59"/>
        <v/>
      </c>
      <c r="AW21" s="3" t="str">
        <f t="shared" ref="AW21" si="61">IF(AV21="",AU21,IF(AU21="",CONCATENATE("- ",AV21),CONCATENATE(AU21,", ",AV21)))</f>
        <v/>
      </c>
      <c r="AX21" s="502"/>
      <c r="AY21" s="502"/>
      <c r="AZ21" s="502"/>
      <c r="BA21" s="502"/>
      <c r="BB21" s="3" t="str">
        <f t="shared" si="18"/>
        <v>SI</v>
      </c>
      <c r="BC21" s="3" t="str">
        <f t="shared" si="19"/>
        <v/>
      </c>
      <c r="BD21" s="3" t="str">
        <f t="shared" si="20"/>
        <v>SI</v>
      </c>
      <c r="BE21" s="3" t="str">
        <f t="shared" si="21"/>
        <v/>
      </c>
      <c r="BF21" s="3" t="str">
        <f t="shared" si="22"/>
        <v>SI</v>
      </c>
      <c r="BG21" s="3" t="str">
        <f t="shared" si="23"/>
        <v/>
      </c>
      <c r="BH21" s="3" t="str">
        <f t="shared" si="24"/>
        <v>P</v>
      </c>
      <c r="BI21" s="3" t="str">
        <f t="shared" si="25"/>
        <v/>
      </c>
      <c r="BJ21" s="3" t="str">
        <f t="shared" si="26"/>
        <v>M</v>
      </c>
      <c r="BK21" s="3" t="str">
        <f t="shared" si="27"/>
        <v/>
      </c>
      <c r="BL21" s="3" t="str">
        <f t="shared" si="28"/>
        <v>SI</v>
      </c>
      <c r="BM21" s="3" t="str">
        <f t="shared" si="29"/>
        <v/>
      </c>
    </row>
    <row r="22" spans="1:65" ht="36" customHeight="1" x14ac:dyDescent="0.2">
      <c r="A22" s="503" t="str">
        <f>IDENTIFICACIÓN!C13</f>
        <v>5G</v>
      </c>
      <c r="B22" s="496" t="str">
        <f>IF(IDENTIFICACIÓN!D13="","",IDENTIFICACIÓN!D13)</f>
        <v xml:space="preserve">Acreditación. Deficiencia en la calidad técnica de los informes </v>
      </c>
      <c r="C22" s="20">
        <v>1</v>
      </c>
      <c r="D22" s="56" t="s">
        <v>11</v>
      </c>
      <c r="E22" s="240">
        <f t="shared" si="4"/>
        <v>10</v>
      </c>
      <c r="F22" s="44" t="s">
        <v>568</v>
      </c>
      <c r="G22" s="18" t="str">
        <f t="shared" si="0"/>
        <v/>
      </c>
      <c r="H22" s="44" t="s">
        <v>20</v>
      </c>
      <c r="I22" s="18" t="str">
        <f t="shared" si="5"/>
        <v/>
      </c>
      <c r="J22" s="55" t="str">
        <f t="shared" si="6"/>
        <v>Posibilidad</v>
      </c>
      <c r="K22" s="43" t="s">
        <v>11</v>
      </c>
      <c r="L22" s="18">
        <f t="shared" si="7"/>
        <v>15</v>
      </c>
      <c r="M22" s="43" t="s">
        <v>11</v>
      </c>
      <c r="N22" s="18">
        <f t="shared" si="8"/>
        <v>30</v>
      </c>
      <c r="O22" s="43" t="s">
        <v>323</v>
      </c>
      <c r="P22" s="18">
        <f t="shared" si="9"/>
        <v>10</v>
      </c>
      <c r="Q22" s="43" t="s">
        <v>11</v>
      </c>
      <c r="R22" s="18">
        <f t="shared" si="10"/>
        <v>5</v>
      </c>
      <c r="S22" s="43" t="s">
        <v>11</v>
      </c>
      <c r="T22" s="18">
        <f t="shared" si="11"/>
        <v>15</v>
      </c>
      <c r="U22" s="43" t="s">
        <v>11</v>
      </c>
      <c r="V22" s="18">
        <f t="shared" si="12"/>
        <v>10</v>
      </c>
      <c r="W22" s="18">
        <f t="shared" si="13"/>
        <v>95</v>
      </c>
      <c r="X22" s="57" t="str">
        <f t="shared" si="1"/>
        <v>95                           Disminuye max 2 en Posibilidad</v>
      </c>
      <c r="Y22" s="57">
        <f t="shared" si="14"/>
        <v>2</v>
      </c>
      <c r="Z22" s="65">
        <f t="shared" si="15"/>
        <v>0</v>
      </c>
      <c r="AA22" s="497">
        <f>IF(AB22=0,"",(ROUND((SUM(W22:W24)/AB22),0)))</f>
        <v>95</v>
      </c>
      <c r="AB22" s="500">
        <f>COUNT(T22:T24)</f>
        <v>3</v>
      </c>
      <c r="AC22" s="3">
        <f>SUM(Y22:Y24)</f>
        <v>6</v>
      </c>
      <c r="AD22" s="3">
        <f>ANALISIS!D15</f>
        <v>1</v>
      </c>
      <c r="AE22" s="3">
        <f>IF((AD22-AC22)&gt;=1,(AD22-AC22),1)</f>
        <v>1</v>
      </c>
      <c r="AF22" s="501">
        <f>(AE23*10)+AE22</f>
        <v>41</v>
      </c>
      <c r="AG22" s="42" t="str">
        <f>IF(AE23=1,AH22,IF(AE23=2,AI22,IF(AE23=3,AJ22,IF(AE23=4,AK22,AL22))))</f>
        <v>ALTA 1:4</v>
      </c>
      <c r="AH22" s="46" t="str">
        <f>IF($AF22=11,"BAJA 1:1",IF($AF22=12,"BAJA 2:1",IF($AF22=13,"BAJA 3:1",IF($AF22=14,"MODERADA 4:1","ALTA 5:1"))))</f>
        <v>ALTA 5:1</v>
      </c>
      <c r="AI22" s="46" t="str">
        <f>IF($AF22=21,"BAJA 1:2",IF($AF22=22,"BAJA 2:2",IF($AF22=23,"MODERADA 3:2",IF($AF22=24,"ALTA 4:2","ALTA 5:2"))))</f>
        <v>ALTA 5:2</v>
      </c>
      <c r="AJ22" s="46" t="str">
        <f>IF($AF22=31,"MODERADA 1:3",IF($AF22=32,"MODERADA 2:3",IF($AF22=33,"ALTA 3:3",IF($AF22=34,"ALTA 4:3","EXTREMA 5:3"))))</f>
        <v>EXTREMA 5:3</v>
      </c>
      <c r="AK22" s="46" t="str">
        <f>IF($AF22=41,"ALTA 1:4",IF($AF22=42,"ALTA 2:4",IF($AF22=43,"EXTREMA 3:4",IF($AF22=44,"EXTREMA 4:4","EXTREMA 5:4"))))</f>
        <v>ALTA 1:4</v>
      </c>
      <c r="AL22" s="46" t="str">
        <f>IF($AF22=51,"ALTA 1:5",IF($AF22=52,"EXTREMA 2:5",IF($AF22=53,"EXTREMA 3:5",IF($AF22=54,"EXTREMA 4:5","EXTREMA 5:5"))))</f>
        <v>EXTREMA 5:5</v>
      </c>
      <c r="AM22" s="3" t="str">
        <f t="shared" si="16"/>
        <v/>
      </c>
      <c r="AN22" s="3" t="str">
        <f t="shared" si="2"/>
        <v/>
      </c>
      <c r="AO22" s="3" t="str">
        <f t="shared" si="3"/>
        <v/>
      </c>
      <c r="AP22" s="3" t="str">
        <f t="shared" si="17"/>
        <v/>
      </c>
      <c r="AQ22" s="3" t="str">
        <f>AM22</f>
        <v/>
      </c>
      <c r="AR22" s="3" t="str">
        <f t="shared" ref="AR22" si="62">AN22</f>
        <v/>
      </c>
      <c r="AT22" s="3" t="str">
        <f t="shared" ref="AT22" si="63">AO22</f>
        <v/>
      </c>
      <c r="AV22" s="3" t="str">
        <f t="shared" ref="AV22" si="64">AP22</f>
        <v/>
      </c>
      <c r="AX22" s="502" t="str">
        <f t="shared" ref="AX22" si="65">IF(AW24="","",CONCATENATE(AW24," (de) el(los) control(es) Efectivo(s) "))</f>
        <v/>
      </c>
      <c r="AY22" s="502" t="str">
        <f t="shared" ref="AY22" si="66">IF(CONCATENATE(N22:N24)="","",IF(AND(SUM(E22:E24)=10,SUM(N22:N24)&lt;30),"- Replantear control(es) NO efectivo(s) ",IF(AND(SUM(E22:E24)=20,SUM(N22:N24)&lt;60),"- Replantear control(es) NO efectivo(s) ",IF(AND(SUM(E22:E24)=30,SUM(N22:N24)&lt;90),"- Replantear control(es) NO efectivo(s) ",""))))</f>
        <v/>
      </c>
      <c r="AZ22" s="502" t="str">
        <f>IF(AND(AE22&gt;1,AE23&gt;1),"- Tomar Acciones Preventivas y Correctivas",IF(AE22&gt;1,"- Tomar Acciones Preventivas",IF(AE23&gt;1,"- Tomar Acciones Correctivas","")))</f>
        <v>- Tomar Acciones Correctivas</v>
      </c>
      <c r="BA22" s="502" t="str">
        <f t="shared" ref="BA22" si="67">CONCATENATE(AX22,AY22,AZ22)</f>
        <v>- Tomar Acciones Correctivas</v>
      </c>
      <c r="BB22" s="3" t="str">
        <f t="shared" si="18"/>
        <v>SI</v>
      </c>
      <c r="BC22" s="3" t="str">
        <f t="shared" si="19"/>
        <v/>
      </c>
      <c r="BD22" s="3" t="str">
        <f t="shared" si="20"/>
        <v>SI</v>
      </c>
      <c r="BE22" s="3" t="str">
        <f t="shared" si="21"/>
        <v/>
      </c>
      <c r="BF22" s="3" t="str">
        <f t="shared" si="22"/>
        <v>SI</v>
      </c>
      <c r="BG22" s="3" t="str">
        <f t="shared" si="23"/>
        <v/>
      </c>
      <c r="BH22" s="3" t="str">
        <f t="shared" si="24"/>
        <v>P</v>
      </c>
      <c r="BI22" s="3" t="str">
        <f t="shared" si="25"/>
        <v/>
      </c>
      <c r="BJ22" s="3" t="str">
        <f t="shared" si="26"/>
        <v>M</v>
      </c>
      <c r="BK22" s="3" t="str">
        <f t="shared" si="27"/>
        <v/>
      </c>
      <c r="BL22" s="3" t="str">
        <f t="shared" si="28"/>
        <v>SI</v>
      </c>
      <c r="BM22" s="3" t="str">
        <f t="shared" si="29"/>
        <v/>
      </c>
    </row>
    <row r="23" spans="1:65" ht="36" customHeight="1" x14ac:dyDescent="0.2">
      <c r="A23" s="503"/>
      <c r="B23" s="496"/>
      <c r="C23" s="20">
        <v>2</v>
      </c>
      <c r="D23" s="56" t="s">
        <v>11</v>
      </c>
      <c r="E23" s="240">
        <f t="shared" si="4"/>
        <v>10</v>
      </c>
      <c r="F23" s="44" t="s">
        <v>567</v>
      </c>
      <c r="G23" s="18" t="str">
        <f t="shared" si="0"/>
        <v/>
      </c>
      <c r="H23" s="44" t="s">
        <v>20</v>
      </c>
      <c r="I23" s="18" t="str">
        <f t="shared" si="5"/>
        <v/>
      </c>
      <c r="J23" s="55" t="str">
        <f t="shared" si="6"/>
        <v>Posibilidad</v>
      </c>
      <c r="K23" s="43" t="s">
        <v>11</v>
      </c>
      <c r="L23" s="18">
        <f t="shared" si="7"/>
        <v>15</v>
      </c>
      <c r="M23" s="43" t="s">
        <v>11</v>
      </c>
      <c r="N23" s="18">
        <f t="shared" si="8"/>
        <v>30</v>
      </c>
      <c r="O23" s="43" t="s">
        <v>323</v>
      </c>
      <c r="P23" s="18">
        <f t="shared" si="9"/>
        <v>10</v>
      </c>
      <c r="Q23" s="43" t="s">
        <v>11</v>
      </c>
      <c r="R23" s="18">
        <f t="shared" si="10"/>
        <v>5</v>
      </c>
      <c r="S23" s="43" t="s">
        <v>11</v>
      </c>
      <c r="T23" s="18">
        <f t="shared" si="11"/>
        <v>15</v>
      </c>
      <c r="U23" s="43" t="s">
        <v>11</v>
      </c>
      <c r="V23" s="18">
        <f t="shared" si="12"/>
        <v>10</v>
      </c>
      <c r="W23" s="18">
        <f t="shared" si="13"/>
        <v>95</v>
      </c>
      <c r="X23" s="57" t="str">
        <f t="shared" si="1"/>
        <v>95                           Disminuye max 2 en Posibilidad</v>
      </c>
      <c r="Y23" s="57">
        <f t="shared" si="14"/>
        <v>2</v>
      </c>
      <c r="Z23" s="65">
        <f t="shared" si="15"/>
        <v>0</v>
      </c>
      <c r="AA23" s="498"/>
      <c r="AB23" s="500"/>
      <c r="AC23" s="3">
        <f>SUM(Z22:Z24)</f>
        <v>0</v>
      </c>
      <c r="AD23" s="3">
        <f>ANALISIS!G15</f>
        <v>4</v>
      </c>
      <c r="AE23" s="3">
        <f>IF((AD23-AC23)&gt;=1,(AD23-AC23),1)</f>
        <v>4</v>
      </c>
      <c r="AF23" s="501"/>
      <c r="AG23" s="42" t="str">
        <f>IF(AE23=1,AH23,IF(AE23=2,AI23,IF(AE23=3,AJ23,IF(AE23=4,AK23,AL23))))</f>
        <v>- Reducir el Riesgo- Compartir o Transferir el Riesgo</v>
      </c>
      <c r="AH23" s="46" t="str">
        <f>IF($AF22=11,"- Asumir el Riesgo",IF($AF22=12,"- Asumir el Riesgo- Evitar Posibilidad de Ocurrencia- Reducir el Riesgo",IF($AF22=13,"- Asumir el Riesgo- Evitar Posibilidad de Ocurrencia- Reducir el Riesgo",IF($AF22=14,"-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3" s="46" t="str">
        <f>IF($AF22=21,"- Asumir el Riesgo- Reducir el Riesgo",IF($AF22=22,"- Asumir el Riesgo- Evitar Posibilidad de Ocurrencia- Reducir el Riesgo",IF($AF22=23,"- Asumir el Riesgo- Evitar Posibilidad de Ocurrencia- Reducir el Riesgo- Compartir o Transferir el Riesgo",IF($AF22=24,"- Evitar Posibilidad de Ocurrencia- Reducir el Riesgo- Compartir o Transferir el Riesgo","- Evitar Posibilidad de Ocurrencia- Reducir el Riesgo- Compartir o Transferir el Riesgo"))))</f>
        <v>- Evitar Posibilidad de Ocurrencia- Reducir el Riesgo- Compartir o Transferir el Riesgo</v>
      </c>
      <c r="AJ23" s="46" t="str">
        <f>IF($AF22=31,"- Asumir el Riesgo- Reducir el Riesgo- Compartir o Transferir el Riesgo",IF($AF22=32,"- Asumir el Riesgo- Evitar Posibilidad de Ocurrencia- Reducir el Reducir- Compartir o Transferir el Riesgo",IF($AF22=33,"- Evitar Posibilidad de Ocurrencia- Reducir el Riesgo- Compartir o Transferir el Riesgo",IF($AF22=34,"-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3" s="46" t="str">
        <f>IF($AF22=41,"- Reducir el Riesgo- Compartir o Transferir el Riesgo",IF($AF22=42,"- Evitar Posibilidad de Ocurrencia- Reducir el Riesgo- Compartir o Transferir el Riesgo",IF($AF22=43,"- Eliminar Causa(s)- Evitar Posibilidad de Ocurrencia- Reducir el Riesgo- Compartir o Transferir el Riesgo",IF($AF22=44,"- Eliminar Causa(s)- Evitar Posibilidad de Ocurrencia- Reducir el Riesgo- Compartir o Transferir el Riesgo","- Eliminar Causa(s)- Evitar Posibilidad de Ocurrencia- Reducir el Riesgo- Compartir o Transferir el Riesgo"))))</f>
        <v>- Reducir el Riesgo- Compartir o Transferir el Riesgo</v>
      </c>
      <c r="AL23" s="46" t="str">
        <f>IF($AF22=51,"- Reducir el Riesgo- Compartir o Transferir el Riesgo",IF($AF22=52,"- Eliminar Causa(s)- Evitar Posibilidad de Ocurrencia- Reducir el Riesgo- Compartir o Transferir el Riesgo",IF($AF22=53,"- Eliminar Causa(s)- Evitar Posibilidad de Ocurrencia- Reducir el Riesgo- Compartir o Transferir el Riesgo",IF($AF22=54,"-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3" s="3" t="str">
        <f t="shared" si="16"/>
        <v/>
      </c>
      <c r="AN23" s="3" t="str">
        <f t="shared" si="2"/>
        <v/>
      </c>
      <c r="AO23" s="3" t="str">
        <f t="shared" si="3"/>
        <v/>
      </c>
      <c r="AP23" s="3" t="str">
        <f t="shared" si="17"/>
        <v/>
      </c>
      <c r="AQ23" s="3" t="str">
        <f>IF(AQ22="Documentar",AQ22,AM23)</f>
        <v/>
      </c>
      <c r="AR23" s="3" t="str">
        <f t="shared" ref="AR23:AR24" si="68">IF(AR22="Asignar responsable",AR22,AN23)</f>
        <v/>
      </c>
      <c r="AT23" s="3" t="str">
        <f t="shared" ref="AT23:AT24" si="69">IF(AT22="Establecer periodos de seguimiento adecuados",AT22,AO23)</f>
        <v/>
      </c>
      <c r="AV23" s="3" t="str">
        <f t="shared" ref="AV23:AV24" si="70">IF(AV22="Guardar Evidencias",AV22,AP23)</f>
        <v/>
      </c>
      <c r="AX23" s="502"/>
      <c r="AY23" s="502"/>
      <c r="AZ23" s="502"/>
      <c r="BA23" s="502"/>
      <c r="BB23" s="3" t="str">
        <f t="shared" si="18"/>
        <v>SI</v>
      </c>
      <c r="BC23" s="3" t="str">
        <f t="shared" si="19"/>
        <v/>
      </c>
      <c r="BD23" s="3" t="str">
        <f t="shared" si="20"/>
        <v>SI</v>
      </c>
      <c r="BE23" s="3" t="str">
        <f t="shared" si="21"/>
        <v/>
      </c>
      <c r="BF23" s="3" t="str">
        <f t="shared" si="22"/>
        <v>SI</v>
      </c>
      <c r="BG23" s="3" t="str">
        <f t="shared" si="23"/>
        <v/>
      </c>
      <c r="BH23" s="3" t="str">
        <f t="shared" si="24"/>
        <v>P</v>
      </c>
      <c r="BI23" s="3" t="str">
        <f t="shared" si="25"/>
        <v/>
      </c>
      <c r="BJ23" s="3" t="str">
        <f t="shared" si="26"/>
        <v>M</v>
      </c>
      <c r="BK23" s="3" t="str">
        <f t="shared" si="27"/>
        <v/>
      </c>
      <c r="BL23" s="3" t="str">
        <f t="shared" si="28"/>
        <v>SI</v>
      </c>
      <c r="BM23" s="3" t="str">
        <f t="shared" si="29"/>
        <v/>
      </c>
    </row>
    <row r="24" spans="1:65" ht="36" customHeight="1" x14ac:dyDescent="0.2">
      <c r="A24" s="503"/>
      <c r="B24" s="496"/>
      <c r="C24" s="20">
        <v>3</v>
      </c>
      <c r="D24" s="56" t="s">
        <v>11</v>
      </c>
      <c r="E24" s="240">
        <f t="shared" si="4"/>
        <v>10</v>
      </c>
      <c r="F24" s="44" t="s">
        <v>569</v>
      </c>
      <c r="G24" s="18" t="str">
        <f t="shared" si="0"/>
        <v/>
      </c>
      <c r="H24" s="44" t="s">
        <v>20</v>
      </c>
      <c r="I24" s="18" t="str">
        <f t="shared" si="5"/>
        <v/>
      </c>
      <c r="J24" s="55" t="str">
        <f t="shared" si="6"/>
        <v>Posibilidad</v>
      </c>
      <c r="K24" s="43" t="s">
        <v>11</v>
      </c>
      <c r="L24" s="18">
        <f t="shared" si="7"/>
        <v>15</v>
      </c>
      <c r="M24" s="43" t="s">
        <v>11</v>
      </c>
      <c r="N24" s="18">
        <f t="shared" si="8"/>
        <v>30</v>
      </c>
      <c r="O24" s="43" t="s">
        <v>323</v>
      </c>
      <c r="P24" s="18">
        <f t="shared" si="9"/>
        <v>10</v>
      </c>
      <c r="Q24" s="43" t="s">
        <v>11</v>
      </c>
      <c r="R24" s="18">
        <f t="shared" si="10"/>
        <v>5</v>
      </c>
      <c r="S24" s="43" t="s">
        <v>11</v>
      </c>
      <c r="T24" s="18">
        <f t="shared" si="11"/>
        <v>15</v>
      </c>
      <c r="U24" s="43" t="s">
        <v>11</v>
      </c>
      <c r="V24" s="18">
        <f t="shared" si="12"/>
        <v>10</v>
      </c>
      <c r="W24" s="18">
        <f t="shared" si="13"/>
        <v>95</v>
      </c>
      <c r="X24" s="57" t="str">
        <f t="shared" si="1"/>
        <v>95                           Disminuye max 2 en Posibilidad</v>
      </c>
      <c r="Y24" s="57">
        <f t="shared" si="14"/>
        <v>2</v>
      </c>
      <c r="Z24" s="65">
        <f t="shared" si="15"/>
        <v>0</v>
      </c>
      <c r="AA24" s="499"/>
      <c r="AB24" s="500"/>
      <c r="AM24" s="3" t="str">
        <f t="shared" si="16"/>
        <v/>
      </c>
      <c r="AN24" s="3" t="str">
        <f t="shared" si="2"/>
        <v/>
      </c>
      <c r="AO24" s="3" t="str">
        <f t="shared" si="3"/>
        <v/>
      </c>
      <c r="AP24" s="3" t="str">
        <f t="shared" si="17"/>
        <v/>
      </c>
      <c r="AQ24" s="3" t="str">
        <f>IF(AQ23="Documentar",AQ23,AM24)</f>
        <v/>
      </c>
      <c r="AR24" s="3" t="str">
        <f t="shared" si="68"/>
        <v/>
      </c>
      <c r="AS24" s="3" t="str">
        <f>IF(AND(AQ24="Documentar",AR24="Asignar responsable"),CONCATENATE("- ",AQ24,", ",AR24),IF(AQ24="Documentar",CONCATENATE("- ",AQ24),IF(AR24="Asignar responsable",CONCATENATE("- ",AR24),"")))</f>
        <v/>
      </c>
      <c r="AT24" s="3" t="str">
        <f t="shared" si="69"/>
        <v/>
      </c>
      <c r="AU24" s="3" t="str">
        <f t="shared" ref="AU24" si="71">IF(AT24="",AS24,IF(AS24="",CONCATENATE("- ",AT24),CONCATENATE(AS24,", ",AT24)))</f>
        <v/>
      </c>
      <c r="AV24" s="3" t="str">
        <f t="shared" si="70"/>
        <v/>
      </c>
      <c r="AW24" s="3" t="str">
        <f t="shared" ref="AW24" si="72">IF(AV24="",AU24,IF(AU24="",CONCATENATE("- ",AV24),CONCATENATE(AU24,", ",AV24)))</f>
        <v/>
      </c>
      <c r="AX24" s="502"/>
      <c r="AY24" s="502"/>
      <c r="AZ24" s="502"/>
      <c r="BA24" s="502"/>
      <c r="BB24" s="3" t="str">
        <f t="shared" si="18"/>
        <v>SI</v>
      </c>
      <c r="BC24" s="3" t="str">
        <f t="shared" si="19"/>
        <v/>
      </c>
      <c r="BD24" s="3" t="str">
        <f t="shared" si="20"/>
        <v>SI</v>
      </c>
      <c r="BE24" s="3" t="str">
        <f t="shared" si="21"/>
        <v/>
      </c>
      <c r="BF24" s="3" t="str">
        <f t="shared" si="22"/>
        <v>SI</v>
      </c>
      <c r="BG24" s="3" t="str">
        <f t="shared" si="23"/>
        <v/>
      </c>
      <c r="BH24" s="3" t="str">
        <f t="shared" si="24"/>
        <v>P</v>
      </c>
      <c r="BI24" s="3" t="str">
        <f t="shared" si="25"/>
        <v/>
      </c>
      <c r="BJ24" s="3" t="str">
        <f t="shared" si="26"/>
        <v>M</v>
      </c>
      <c r="BK24" s="3" t="str">
        <f t="shared" si="27"/>
        <v/>
      </c>
      <c r="BL24" s="3" t="str">
        <f t="shared" si="28"/>
        <v>SI</v>
      </c>
      <c r="BM24" s="3" t="str">
        <f t="shared" si="29"/>
        <v/>
      </c>
    </row>
    <row r="25" spans="1:65" ht="36" customHeight="1" x14ac:dyDescent="0.2">
      <c r="A25" s="503" t="str">
        <f>IDENTIFICACIÓN!C14</f>
        <v>6G</v>
      </c>
      <c r="B25" s="496" t="str">
        <f>IF(IDENTIFICACIÓN!D14="","",IDENTIFICACIÓN!D14)</f>
        <v>Acreditación. Negación de la acreditación o de la renovación de registro calificado</v>
      </c>
      <c r="C25" s="20">
        <v>1</v>
      </c>
      <c r="D25" s="56" t="s">
        <v>11</v>
      </c>
      <c r="E25" s="240">
        <f t="shared" si="4"/>
        <v>10</v>
      </c>
      <c r="F25" s="44" t="s">
        <v>570</v>
      </c>
      <c r="G25" s="18" t="str">
        <f t="shared" si="0"/>
        <v/>
      </c>
      <c r="H25" s="44" t="s">
        <v>20</v>
      </c>
      <c r="I25" s="18" t="str">
        <f t="shared" si="5"/>
        <v/>
      </c>
      <c r="J25" s="55" t="str">
        <f t="shared" si="6"/>
        <v>Posibilidad</v>
      </c>
      <c r="K25" s="43" t="s">
        <v>11</v>
      </c>
      <c r="L25" s="18">
        <f t="shared" si="7"/>
        <v>15</v>
      </c>
      <c r="M25" s="43" t="s">
        <v>11</v>
      </c>
      <c r="N25" s="18">
        <f t="shared" si="8"/>
        <v>30</v>
      </c>
      <c r="O25" s="43" t="s">
        <v>323</v>
      </c>
      <c r="P25" s="18">
        <f t="shared" si="9"/>
        <v>10</v>
      </c>
      <c r="Q25" s="43" t="s">
        <v>11</v>
      </c>
      <c r="R25" s="18">
        <f t="shared" si="10"/>
        <v>5</v>
      </c>
      <c r="S25" s="43" t="s">
        <v>11</v>
      </c>
      <c r="T25" s="18">
        <f t="shared" si="11"/>
        <v>15</v>
      </c>
      <c r="U25" s="43" t="s">
        <v>11</v>
      </c>
      <c r="V25" s="18">
        <f t="shared" si="12"/>
        <v>10</v>
      </c>
      <c r="W25" s="18">
        <f t="shared" si="13"/>
        <v>95</v>
      </c>
      <c r="X25" s="57" t="str">
        <f t="shared" si="1"/>
        <v>95                           Disminuye max 2 en Posibilidad</v>
      </c>
      <c r="Y25" s="57">
        <f t="shared" si="14"/>
        <v>2</v>
      </c>
      <c r="Z25" s="65">
        <f t="shared" si="15"/>
        <v>0</v>
      </c>
      <c r="AA25" s="497">
        <f>IF(AB25=0,"",(ROUND((SUM(W25:W27)/AB25),0)))</f>
        <v>95</v>
      </c>
      <c r="AB25" s="500">
        <f>COUNT(T25:T27)</f>
        <v>3</v>
      </c>
      <c r="AC25" s="3">
        <f>SUM(Y25:Y27)</f>
        <v>6</v>
      </c>
      <c r="AD25" s="3">
        <f>ANALISIS!D16</f>
        <v>3</v>
      </c>
      <c r="AE25" s="3">
        <f>IF((AD25-AC25)&gt;=1,(AD25-AC25),1)</f>
        <v>1</v>
      </c>
      <c r="AF25" s="501">
        <f>(AE26*10)+AE25</f>
        <v>41</v>
      </c>
      <c r="AG25" s="42" t="str">
        <f>IF(AE26=1,AH25,IF(AE26=2,AI25,IF(AE26=3,AJ25,IF(AE26=4,AK25,AL25))))</f>
        <v>ALTA 1:4</v>
      </c>
      <c r="AH25" s="46" t="str">
        <f>IF($AF25=11,"BAJA 1:1",IF($AF25=12,"BAJA 2:1",IF($AF25=13,"BAJA 3:1",IF($AF25=14,"MODERADA 4:1","ALTA 5:1"))))</f>
        <v>ALTA 5:1</v>
      </c>
      <c r="AI25" s="46" t="str">
        <f>IF($AF25=21,"BAJA 1:2",IF($AF25=22,"BAJA 2:2",IF($AF25=23,"MODERADA 3:2",IF($AF25=24,"ALTA 4:2","ALTA 5:2"))))</f>
        <v>ALTA 5:2</v>
      </c>
      <c r="AJ25" s="46" t="str">
        <f>IF($AF25=31,"MODERADA 1:3",IF($AF25=32,"MODERADA 2:3",IF($AF25=33,"ALTA 3:3",IF($AF25=34,"ALTA 4:3","EXTREMA 5:3"))))</f>
        <v>EXTREMA 5:3</v>
      </c>
      <c r="AK25" s="46" t="str">
        <f>IF($AF25=41,"ALTA 1:4",IF($AF25=42,"ALTA 2:4",IF($AF25=43,"EXTREMA 3:4",IF($AF25=44,"EXTREMA 4:4","EXTREMA 5:4"))))</f>
        <v>ALTA 1:4</v>
      </c>
      <c r="AL25" s="46" t="str">
        <f>IF($AF25=51,"ALTA 1:5",IF($AF25=52,"EXTREMA 2:5",IF($AF25=53,"EXTREMA 3:5",IF($AF25=54,"EXTREMA 4:5","EXTREMA 5:5"))))</f>
        <v>EXTREMA 5:5</v>
      </c>
      <c r="AM25" s="3" t="str">
        <f t="shared" si="16"/>
        <v/>
      </c>
      <c r="AN25" s="3" t="str">
        <f t="shared" si="2"/>
        <v/>
      </c>
      <c r="AO25" s="3" t="str">
        <f t="shared" si="3"/>
        <v/>
      </c>
      <c r="AP25" s="3" t="str">
        <f t="shared" si="17"/>
        <v/>
      </c>
      <c r="AQ25" s="3" t="str">
        <f>AM25</f>
        <v/>
      </c>
      <c r="AR25" s="3" t="str">
        <f t="shared" ref="AR25" si="73">AN25</f>
        <v/>
      </c>
      <c r="AT25" s="3" t="str">
        <f t="shared" ref="AT25" si="74">AO25</f>
        <v/>
      </c>
      <c r="AV25" s="3" t="str">
        <f t="shared" ref="AV25" si="75">AP25</f>
        <v/>
      </c>
      <c r="AX25" s="502" t="str">
        <f t="shared" ref="AX25" si="76">IF(AW27="","",CONCATENATE(AW27," (de) el(los) control(es) Efectivo(s) "))</f>
        <v/>
      </c>
      <c r="AY25" s="502" t="str">
        <f t="shared" ref="AY25" si="77">IF(CONCATENATE(N25:N27)="","",IF(AND(SUM(E25:E27)=10,SUM(N25:N27)&lt;30),"- Replantear control(es) NO efectivo(s) ",IF(AND(SUM(E25:E27)=20,SUM(N25:N27)&lt;60),"- Replantear control(es) NO efectivo(s) ",IF(AND(SUM(E25:E27)=30,SUM(N25:N27)&lt;90),"- Replantear control(es) NO efectivo(s) ",""))))</f>
        <v/>
      </c>
      <c r="AZ25" s="502" t="str">
        <f>IF(AND(AE25&gt;1,AE26&gt;1),"- Tomar Acciones Preventivas y Correctivas",IF(AE25&gt;1,"- Tomar Acciones Preventivas",IF(AE26&gt;1,"- Tomar Acciones Correctivas","")))</f>
        <v>- Tomar Acciones Correctivas</v>
      </c>
      <c r="BA25" s="502" t="str">
        <f t="shared" ref="BA25" si="78">CONCATENATE(AX25,AY25,AZ25)</f>
        <v>- Tomar Acciones Correctivas</v>
      </c>
      <c r="BB25" s="3" t="str">
        <f t="shared" si="18"/>
        <v>SI</v>
      </c>
      <c r="BC25" s="3" t="str">
        <f t="shared" si="19"/>
        <v/>
      </c>
      <c r="BD25" s="3" t="str">
        <f t="shared" si="20"/>
        <v>SI</v>
      </c>
      <c r="BE25" s="3" t="str">
        <f t="shared" si="21"/>
        <v/>
      </c>
      <c r="BF25" s="3" t="str">
        <f t="shared" si="22"/>
        <v>SI</v>
      </c>
      <c r="BG25" s="3" t="str">
        <f t="shared" si="23"/>
        <v/>
      </c>
      <c r="BH25" s="3" t="str">
        <f t="shared" si="24"/>
        <v>P</v>
      </c>
      <c r="BI25" s="3" t="str">
        <f t="shared" si="25"/>
        <v/>
      </c>
      <c r="BJ25" s="3" t="str">
        <f t="shared" si="26"/>
        <v>M</v>
      </c>
      <c r="BK25" s="3" t="str">
        <f t="shared" si="27"/>
        <v/>
      </c>
      <c r="BL25" s="3" t="str">
        <f t="shared" si="28"/>
        <v>SI</v>
      </c>
      <c r="BM25" s="3" t="str">
        <f t="shared" si="29"/>
        <v/>
      </c>
    </row>
    <row r="26" spans="1:65" ht="36" customHeight="1" x14ac:dyDescent="0.2">
      <c r="A26" s="503"/>
      <c r="B26" s="496"/>
      <c r="C26" s="20">
        <v>2</v>
      </c>
      <c r="D26" s="56" t="s">
        <v>11</v>
      </c>
      <c r="E26" s="240">
        <f t="shared" si="4"/>
        <v>10</v>
      </c>
      <c r="F26" s="44" t="s">
        <v>571</v>
      </c>
      <c r="G26" s="18" t="str">
        <f t="shared" si="0"/>
        <v/>
      </c>
      <c r="H26" s="44" t="s">
        <v>20</v>
      </c>
      <c r="I26" s="18" t="str">
        <f t="shared" si="5"/>
        <v/>
      </c>
      <c r="J26" s="55" t="str">
        <f t="shared" si="6"/>
        <v>Posibilidad</v>
      </c>
      <c r="K26" s="43" t="s">
        <v>11</v>
      </c>
      <c r="L26" s="18">
        <f t="shared" si="7"/>
        <v>15</v>
      </c>
      <c r="M26" s="43" t="s">
        <v>11</v>
      </c>
      <c r="N26" s="18">
        <f t="shared" si="8"/>
        <v>30</v>
      </c>
      <c r="O26" s="43" t="s">
        <v>323</v>
      </c>
      <c r="P26" s="18">
        <f t="shared" si="9"/>
        <v>10</v>
      </c>
      <c r="Q26" s="43" t="s">
        <v>11</v>
      </c>
      <c r="R26" s="18">
        <f t="shared" si="10"/>
        <v>5</v>
      </c>
      <c r="S26" s="43" t="s">
        <v>11</v>
      </c>
      <c r="T26" s="18">
        <f t="shared" si="11"/>
        <v>15</v>
      </c>
      <c r="U26" s="43" t="s">
        <v>11</v>
      </c>
      <c r="V26" s="18">
        <f t="shared" si="12"/>
        <v>10</v>
      </c>
      <c r="W26" s="18">
        <f t="shared" si="13"/>
        <v>95</v>
      </c>
      <c r="X26" s="57" t="str">
        <f t="shared" si="1"/>
        <v>95                           Disminuye max 2 en Posibilidad</v>
      </c>
      <c r="Y26" s="57">
        <f t="shared" si="14"/>
        <v>2</v>
      </c>
      <c r="Z26" s="65">
        <f t="shared" si="15"/>
        <v>0</v>
      </c>
      <c r="AA26" s="498"/>
      <c r="AB26" s="500"/>
      <c r="AC26" s="3">
        <f>SUM(Z25:Z27)</f>
        <v>0</v>
      </c>
      <c r="AD26" s="3">
        <f>ANALISIS!G16</f>
        <v>4</v>
      </c>
      <c r="AE26" s="3">
        <f>IF((AD26-AC26)&gt;=1,(AD26-AC26),1)</f>
        <v>4</v>
      </c>
      <c r="AF26" s="501"/>
      <c r="AG26" s="42" t="str">
        <f>IF(AE26=1,AH26,IF(AE26=2,AI26,IF(AE26=3,AJ26,IF(AE26=4,AK26,AL26))))</f>
        <v>- Reducir el Riesgo- Compartir o Transferir el Riesgo</v>
      </c>
      <c r="AH26" s="46" t="str">
        <f>IF($AF25=11,"- Asumir el Riesgo",IF($AF25=12,"- Asumir el Riesgo- Evitar Posibilidad de Ocurrencia- Reducir el Riesgo",IF($AF25=13,"- Asumir el Riesgo- Evitar Posibilidad de Ocurrencia- Reducir el Riesgo",IF($AF25=14,"-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6" s="46" t="str">
        <f>IF($AF25=21,"- Asumir el Riesgo- Reducir el Riesgo",IF($AF25=22,"- Asumir el Riesgo- Evitar Posibilidad de Ocurrencia- Reducir el Riesgo",IF($AF25=23,"- Asumir el Riesgo- Evitar Posibilidad de Ocurrencia- Reducir el Riesgo- Compartir o Transferir el Riesgo",IF($AF25=24,"- Evitar Posibilidad de Ocurrencia- Reducir el Riesgo- Compartir o Transferir el Riesgo","- Evitar Posibilidad de Ocurrencia- Reducir el Riesgo- Compartir o Transferir el Riesgo"))))</f>
        <v>- Evitar Posibilidad de Ocurrencia- Reducir el Riesgo- Compartir o Transferir el Riesgo</v>
      </c>
      <c r="AJ26" s="46" t="str">
        <f>IF($AF25=31,"- Asumir el Riesgo- Reducir el Riesgo- Compartir o Transferir el Riesgo",IF($AF25=32,"- Asumir el Riesgo- Evitar Posibilidad de Ocurrencia- Reducir el Reducir- Compartir o Transferir el Riesgo",IF($AF25=33,"- Evitar Posibilidad de Ocurrencia- Reducir el Riesgo- Compartir o Transferir el Riesgo",IF($AF25=34,"-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6" s="46" t="str">
        <f>IF($AF25=41,"- Reducir el Riesgo- Compartir o Transferir el Riesgo",IF($AF25=42,"- Evitar Posibilidad de Ocurrencia- Reducir el Riesgo- Compartir o Transferir el Riesgo",IF($AF25=43,"- Eliminar Causa(s)- Evitar Posibilidad de Ocurrencia- Reducir el Riesgo- Compartir o Transferir el Riesgo",IF($AF25=44,"- Eliminar Causa(s)- Evitar Posibilidad de Ocurrencia- Reducir el Riesgo- Compartir o Transferir el Riesgo","- Eliminar Causa(s)- Evitar Posibilidad de Ocurrencia- Reducir el Riesgo- Compartir o Transferir el Riesgo"))))</f>
        <v>- Reducir el Riesgo- Compartir o Transferir el Riesgo</v>
      </c>
      <c r="AL26" s="46" t="str">
        <f>IF($AF25=51,"- Reducir el Riesgo- Compartir o Transferir el Riesgo",IF($AF25=52,"- Eliminar Causa(s)- Evitar Posibilidad de Ocurrencia- Reducir el Riesgo- Compartir o Transferir el Riesgo",IF($AF25=53,"- Eliminar Causa(s)- Evitar Posibilidad de Ocurrencia- Reducir el Riesgo- Compartir o Transferir el Riesgo",IF($AF25=54,"-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6" s="3" t="str">
        <f t="shared" si="16"/>
        <v/>
      </c>
      <c r="AN26" s="3" t="str">
        <f t="shared" si="2"/>
        <v/>
      </c>
      <c r="AO26" s="3" t="str">
        <f t="shared" si="3"/>
        <v/>
      </c>
      <c r="AP26" s="3" t="str">
        <f t="shared" si="17"/>
        <v/>
      </c>
      <c r="AQ26" s="3" t="str">
        <f>IF(AQ25="Documentar",AQ25,AM26)</f>
        <v/>
      </c>
      <c r="AR26" s="3" t="str">
        <f t="shared" ref="AR26:AR27" si="79">IF(AR25="Asignar responsable",AR25,AN26)</f>
        <v/>
      </c>
      <c r="AT26" s="3" t="str">
        <f t="shared" ref="AT26:AT27" si="80">IF(AT25="Establecer periodos de seguimiento adecuados",AT25,AO26)</f>
        <v/>
      </c>
      <c r="AV26" s="3" t="str">
        <f t="shared" ref="AV26:AV27" si="81">IF(AV25="Guardar Evidencias",AV25,AP26)</f>
        <v/>
      </c>
      <c r="AX26" s="502"/>
      <c r="AY26" s="502"/>
      <c r="AZ26" s="502"/>
      <c r="BA26" s="502"/>
      <c r="BB26" s="3" t="str">
        <f t="shared" si="18"/>
        <v>SI</v>
      </c>
      <c r="BC26" s="3" t="str">
        <f t="shared" si="19"/>
        <v/>
      </c>
      <c r="BD26" s="3" t="str">
        <f t="shared" si="20"/>
        <v>SI</v>
      </c>
      <c r="BE26" s="3" t="str">
        <f t="shared" si="21"/>
        <v/>
      </c>
      <c r="BF26" s="3" t="str">
        <f t="shared" si="22"/>
        <v>SI</v>
      </c>
      <c r="BG26" s="3" t="str">
        <f t="shared" si="23"/>
        <v/>
      </c>
      <c r="BH26" s="3" t="str">
        <f t="shared" si="24"/>
        <v>P</v>
      </c>
      <c r="BI26" s="3" t="str">
        <f t="shared" si="25"/>
        <v/>
      </c>
      <c r="BJ26" s="3" t="str">
        <f t="shared" si="26"/>
        <v>M</v>
      </c>
      <c r="BK26" s="3" t="str">
        <f t="shared" si="27"/>
        <v/>
      </c>
      <c r="BL26" s="3" t="str">
        <f t="shared" si="28"/>
        <v>SI</v>
      </c>
      <c r="BM26" s="3" t="str">
        <f t="shared" si="29"/>
        <v/>
      </c>
    </row>
    <row r="27" spans="1:65" ht="36" customHeight="1" x14ac:dyDescent="0.2">
      <c r="A27" s="503"/>
      <c r="B27" s="496"/>
      <c r="C27" s="20">
        <v>3</v>
      </c>
      <c r="D27" s="56" t="s">
        <v>11</v>
      </c>
      <c r="E27" s="240">
        <f t="shared" si="4"/>
        <v>10</v>
      </c>
      <c r="F27" s="44" t="s">
        <v>572</v>
      </c>
      <c r="G27" s="18" t="str">
        <f t="shared" si="0"/>
        <v/>
      </c>
      <c r="H27" s="44" t="s">
        <v>20</v>
      </c>
      <c r="I27" s="18" t="str">
        <f t="shared" si="5"/>
        <v/>
      </c>
      <c r="J27" s="55" t="str">
        <f t="shared" si="6"/>
        <v>Posibilidad</v>
      </c>
      <c r="K27" s="43" t="s">
        <v>11</v>
      </c>
      <c r="L27" s="18">
        <f t="shared" si="7"/>
        <v>15</v>
      </c>
      <c r="M27" s="43" t="s">
        <v>11</v>
      </c>
      <c r="N27" s="18">
        <f t="shared" si="8"/>
        <v>30</v>
      </c>
      <c r="O27" s="43" t="s">
        <v>323</v>
      </c>
      <c r="P27" s="18">
        <f t="shared" si="9"/>
        <v>10</v>
      </c>
      <c r="Q27" s="43" t="s">
        <v>11</v>
      </c>
      <c r="R27" s="18">
        <f t="shared" si="10"/>
        <v>5</v>
      </c>
      <c r="S27" s="43" t="s">
        <v>11</v>
      </c>
      <c r="T27" s="18">
        <f t="shared" si="11"/>
        <v>15</v>
      </c>
      <c r="U27" s="43" t="s">
        <v>11</v>
      </c>
      <c r="V27" s="18">
        <f t="shared" si="12"/>
        <v>10</v>
      </c>
      <c r="W27" s="18">
        <f t="shared" si="13"/>
        <v>95</v>
      </c>
      <c r="X27" s="57" t="str">
        <f t="shared" si="1"/>
        <v>95                           Disminuye max 2 en Posibilidad</v>
      </c>
      <c r="Y27" s="57">
        <f t="shared" si="14"/>
        <v>2</v>
      </c>
      <c r="Z27" s="65">
        <f t="shared" si="15"/>
        <v>0</v>
      </c>
      <c r="AA27" s="499"/>
      <c r="AB27" s="500"/>
      <c r="AM27" s="3" t="str">
        <f t="shared" si="16"/>
        <v/>
      </c>
      <c r="AN27" s="3" t="str">
        <f t="shared" si="2"/>
        <v/>
      </c>
      <c r="AO27" s="3" t="str">
        <f t="shared" si="3"/>
        <v/>
      </c>
      <c r="AP27" s="3" t="str">
        <f t="shared" si="17"/>
        <v/>
      </c>
      <c r="AQ27" s="3" t="str">
        <f>IF(AQ26="Documentar",AQ26,AM27)</f>
        <v/>
      </c>
      <c r="AR27" s="3" t="str">
        <f t="shared" si="79"/>
        <v/>
      </c>
      <c r="AS27" s="3" t="str">
        <f>IF(AND(AQ27="Documentar",AR27="Asignar responsable"),CONCATENATE("- ",AQ27,", ",AR27),IF(AQ27="Documentar",CONCATENATE("- ",AQ27),IF(AR27="Asignar responsable",CONCATENATE("- ",AR27),"")))</f>
        <v/>
      </c>
      <c r="AT27" s="3" t="str">
        <f t="shared" si="80"/>
        <v/>
      </c>
      <c r="AU27" s="3" t="str">
        <f t="shared" ref="AU27" si="82">IF(AT27="",AS27,IF(AS27="",CONCATENATE("- ",AT27),CONCATENATE(AS27,", ",AT27)))</f>
        <v/>
      </c>
      <c r="AV27" s="3" t="str">
        <f t="shared" si="81"/>
        <v/>
      </c>
      <c r="AW27" s="3" t="str">
        <f t="shared" ref="AW27" si="83">IF(AV27="",AU27,IF(AU27="",CONCATENATE("- ",AV27),CONCATENATE(AU27,", ",AV27)))</f>
        <v/>
      </c>
      <c r="AX27" s="502"/>
      <c r="AY27" s="502"/>
      <c r="AZ27" s="502"/>
      <c r="BA27" s="502"/>
      <c r="BB27" s="3" t="str">
        <f t="shared" si="18"/>
        <v>SI</v>
      </c>
      <c r="BC27" s="3" t="str">
        <f t="shared" si="19"/>
        <v/>
      </c>
      <c r="BD27" s="3" t="str">
        <f t="shared" si="20"/>
        <v>SI</v>
      </c>
      <c r="BE27" s="3" t="str">
        <f t="shared" si="21"/>
        <v/>
      </c>
      <c r="BF27" s="3" t="str">
        <f t="shared" si="22"/>
        <v>SI</v>
      </c>
      <c r="BG27" s="3" t="str">
        <f t="shared" si="23"/>
        <v/>
      </c>
      <c r="BH27" s="3" t="str">
        <f t="shared" si="24"/>
        <v>P</v>
      </c>
      <c r="BI27" s="3" t="str">
        <f t="shared" si="25"/>
        <v/>
      </c>
      <c r="BJ27" s="3" t="str">
        <f t="shared" si="26"/>
        <v>M</v>
      </c>
      <c r="BK27" s="3" t="str">
        <f t="shared" si="27"/>
        <v/>
      </c>
      <c r="BL27" s="3" t="str">
        <f t="shared" si="28"/>
        <v>SI</v>
      </c>
      <c r="BM27" s="3" t="str">
        <f t="shared" si="29"/>
        <v/>
      </c>
    </row>
    <row r="28" spans="1:65" ht="36" customHeight="1" x14ac:dyDescent="0.2">
      <c r="A28" s="503" t="str">
        <f>IDENTIFICACIÓN!C15</f>
        <v>7G</v>
      </c>
      <c r="B28" s="496" t="str">
        <f>IF(IDENTIFICACIÓN!D15="","",IDENTIFICACIÓN!D15)</f>
        <v>Acreditación. Incumplimiento en algunas actividades establecidas en el plan de trabajo</v>
      </c>
      <c r="C28" s="20">
        <v>1</v>
      </c>
      <c r="D28" s="56" t="s">
        <v>11</v>
      </c>
      <c r="E28" s="240">
        <f t="shared" si="4"/>
        <v>10</v>
      </c>
      <c r="F28" s="44" t="s">
        <v>573</v>
      </c>
      <c r="G28" s="18" t="str">
        <f t="shared" si="0"/>
        <v/>
      </c>
      <c r="H28" s="44" t="s">
        <v>21</v>
      </c>
      <c r="I28" s="18" t="str">
        <f t="shared" si="5"/>
        <v/>
      </c>
      <c r="J28" s="55" t="str">
        <f t="shared" si="6"/>
        <v>Impacto</v>
      </c>
      <c r="K28" s="43" t="s">
        <v>11</v>
      </c>
      <c r="L28" s="18">
        <f t="shared" si="7"/>
        <v>15</v>
      </c>
      <c r="M28" s="43" t="s">
        <v>11</v>
      </c>
      <c r="N28" s="18">
        <f t="shared" si="8"/>
        <v>30</v>
      </c>
      <c r="O28" s="43" t="s">
        <v>323</v>
      </c>
      <c r="P28" s="18">
        <f t="shared" si="9"/>
        <v>10</v>
      </c>
      <c r="Q28" s="43" t="s">
        <v>11</v>
      </c>
      <c r="R28" s="18">
        <f t="shared" si="10"/>
        <v>5</v>
      </c>
      <c r="S28" s="43" t="s">
        <v>10</v>
      </c>
      <c r="T28" s="18">
        <f t="shared" si="11"/>
        <v>0</v>
      </c>
      <c r="U28" s="43" t="s">
        <v>11</v>
      </c>
      <c r="V28" s="18">
        <f t="shared" si="12"/>
        <v>10</v>
      </c>
      <c r="W28" s="18">
        <f t="shared" si="13"/>
        <v>80</v>
      </c>
      <c r="X28" s="57" t="str">
        <f t="shared" si="1"/>
        <v>80                           Disminuye max 2 en Impacto</v>
      </c>
      <c r="Y28" s="57">
        <f t="shared" si="14"/>
        <v>0</v>
      </c>
      <c r="Z28" s="65">
        <f t="shared" si="15"/>
        <v>2</v>
      </c>
      <c r="AA28" s="497">
        <f>IF(AB28=0,"",(ROUND((SUM(W28:W30)/AB28),0)))</f>
        <v>80</v>
      </c>
      <c r="AB28" s="500">
        <f>COUNT(T28:T30)</f>
        <v>2</v>
      </c>
      <c r="AC28" s="3">
        <f>SUM(Y28:Y30)</f>
        <v>0</v>
      </c>
      <c r="AD28" s="3">
        <f>ANALISIS!D17</f>
        <v>5</v>
      </c>
      <c r="AE28" s="3">
        <f>IF((AD28-AC28)&gt;=1,(AD28-AC28),1)</f>
        <v>5</v>
      </c>
      <c r="AF28" s="501">
        <f>(AE29*10)+AE28</f>
        <v>15</v>
      </c>
      <c r="AG28" s="42" t="str">
        <f>IF(AE29=1,AH28,IF(AE29=2,AI28,IF(AE29=3,AJ28,IF(AE29=4,AK28,AL28))))</f>
        <v>ALTA 5:1</v>
      </c>
      <c r="AH28" s="46" t="str">
        <f>IF($AF28=11,"BAJA 1:1",IF($AF28=12,"BAJA 2:1",IF($AF28=13,"BAJA 3:1",IF($AF28=14,"MODERADA 4:1","ALTA 5:1"))))</f>
        <v>ALTA 5:1</v>
      </c>
      <c r="AI28" s="46" t="str">
        <f>IF($AF28=21,"BAJA 1:2",IF($AF28=22,"BAJA 2:2",IF($AF28=23,"MODERADA 3:2",IF($AF28=24,"ALTA 4:2","ALTA 5:2"))))</f>
        <v>ALTA 5:2</v>
      </c>
      <c r="AJ28" s="46" t="str">
        <f>IF($AF28=31,"MODERADA 1:3",IF($AF28=32,"MODERADA 2:3",IF($AF28=33,"ALTA 3:3",IF($AF28=34,"ALTA 4:3","EXTREMA 5:3"))))</f>
        <v>EXTREMA 5:3</v>
      </c>
      <c r="AK28" s="46" t="str">
        <f>IF($AF28=41,"ALTA 1:4",IF($AF28=42,"ALTA 2:4",IF($AF28=43,"EXTREMA 3:4",IF($AF28=44,"EXTREMA 4:4","EXTREMA 5:4"))))</f>
        <v>EXTREMA 5:4</v>
      </c>
      <c r="AL28" s="46" t="str">
        <f>IF($AF28=51,"ALTA 1:5",IF($AF28=52,"EXTREMA 2:5",IF($AF28=53,"EXTREMA 3:5",IF($AF28=54,"EXTREMA 4:5","EXTREMA 5:5"))))</f>
        <v>EXTREMA 5:5</v>
      </c>
      <c r="AM28" s="3" t="str">
        <f t="shared" si="16"/>
        <v/>
      </c>
      <c r="AN28" s="3" t="str">
        <f t="shared" si="2"/>
        <v/>
      </c>
      <c r="AO28" s="3" t="str">
        <f t="shared" si="3"/>
        <v>Establecer periodos de seguimiento adecuados</v>
      </c>
      <c r="AP28" s="3" t="str">
        <f t="shared" si="17"/>
        <v/>
      </c>
      <c r="AQ28" s="3" t="str">
        <f>AM28</f>
        <v/>
      </c>
      <c r="AR28" s="3" t="str">
        <f t="shared" ref="AR28" si="84">AN28</f>
        <v/>
      </c>
      <c r="AT28" s="3" t="str">
        <f t="shared" ref="AT28" si="85">AO28</f>
        <v>Establecer periodos de seguimiento adecuados</v>
      </c>
      <c r="AV28" s="3" t="str">
        <f t="shared" ref="AV28" si="86">AP28</f>
        <v/>
      </c>
      <c r="AX28" s="502" t="str">
        <f t="shared" ref="AX28" si="87">IF(AW30="","",CONCATENATE(AW30," (de) el(los) control(es) Efectivo(s) "))</f>
        <v xml:space="preserve">- Establecer periodos de seguimiento adecuados (de) el(los) control(es) Efectivo(s) </v>
      </c>
      <c r="AY28" s="502" t="str">
        <f t="shared" ref="AY28" si="88">IF(CONCATENATE(N28:N30)="","",IF(AND(SUM(E28:E30)=10,SUM(N28:N30)&lt;30),"- Replantear control(es) NO efectivo(s) ",IF(AND(SUM(E28:E30)=20,SUM(N28:N30)&lt;60),"- Replantear control(es) NO efectivo(s) ",IF(AND(SUM(E28:E30)=30,SUM(N28:N30)&lt;90),"- Replantear control(es) NO efectivo(s) ",""))))</f>
        <v/>
      </c>
      <c r="AZ28" s="502" t="str">
        <f>IF(AND(AE28&gt;1,AE29&gt;1),"- Tomar Acciones Preventivas y Correctivas",IF(AE28&gt;1,"- Tomar Acciones Preventivas",IF(AE29&gt;1,"- Tomar Acciones Correctivas","")))</f>
        <v>- Tomar Acciones Preventivas</v>
      </c>
      <c r="BA28" s="502" t="str">
        <f t="shared" ref="BA28" si="89">CONCATENATE(AX28,AY28,AZ28)</f>
        <v>- Establecer periodos de seguimiento adecuados (de) el(los) control(es) Efectivo(s) - Tomar Acciones Preventivas</v>
      </c>
      <c r="BB28" s="3" t="str">
        <f t="shared" si="18"/>
        <v>SI</v>
      </c>
      <c r="BC28" s="3" t="str">
        <f t="shared" si="19"/>
        <v/>
      </c>
      <c r="BD28" s="3" t="str">
        <f t="shared" si="20"/>
        <v>SI</v>
      </c>
      <c r="BE28" s="3" t="str">
        <f t="shared" si="21"/>
        <v/>
      </c>
      <c r="BF28" s="3" t="str">
        <f t="shared" si="22"/>
        <v>NO</v>
      </c>
      <c r="BG28" s="3" t="str">
        <f t="shared" si="23"/>
        <v/>
      </c>
      <c r="BH28" s="3" t="str">
        <f t="shared" si="24"/>
        <v>C</v>
      </c>
      <c r="BI28" s="3" t="str">
        <f t="shared" si="25"/>
        <v/>
      </c>
      <c r="BJ28" s="3" t="str">
        <f t="shared" si="26"/>
        <v>M</v>
      </c>
      <c r="BK28" s="3" t="str">
        <f t="shared" si="27"/>
        <v/>
      </c>
      <c r="BL28" s="3" t="str">
        <f t="shared" si="28"/>
        <v>SI</v>
      </c>
      <c r="BM28" s="3" t="str">
        <f t="shared" si="29"/>
        <v/>
      </c>
    </row>
    <row r="29" spans="1:65" ht="36" customHeight="1" x14ac:dyDescent="0.2">
      <c r="A29" s="503"/>
      <c r="B29" s="496"/>
      <c r="C29" s="20">
        <v>2</v>
      </c>
      <c r="D29" s="56" t="s">
        <v>11</v>
      </c>
      <c r="E29" s="240">
        <f t="shared" si="4"/>
        <v>10</v>
      </c>
      <c r="F29" s="44" t="s">
        <v>574</v>
      </c>
      <c r="G29" s="18" t="str">
        <f t="shared" si="0"/>
        <v/>
      </c>
      <c r="H29" s="44" t="s">
        <v>21</v>
      </c>
      <c r="I29" s="18" t="str">
        <f t="shared" si="5"/>
        <v/>
      </c>
      <c r="J29" s="55" t="str">
        <f t="shared" si="6"/>
        <v>Impacto</v>
      </c>
      <c r="K29" s="43" t="s">
        <v>11</v>
      </c>
      <c r="L29" s="18">
        <f t="shared" si="7"/>
        <v>15</v>
      </c>
      <c r="M29" s="43" t="s">
        <v>11</v>
      </c>
      <c r="N29" s="18">
        <f t="shared" si="8"/>
        <v>30</v>
      </c>
      <c r="O29" s="43" t="s">
        <v>323</v>
      </c>
      <c r="P29" s="18">
        <f t="shared" si="9"/>
        <v>10</v>
      </c>
      <c r="Q29" s="43" t="s">
        <v>11</v>
      </c>
      <c r="R29" s="18">
        <f t="shared" si="10"/>
        <v>5</v>
      </c>
      <c r="S29" s="43" t="s">
        <v>10</v>
      </c>
      <c r="T29" s="18">
        <f t="shared" si="11"/>
        <v>0</v>
      </c>
      <c r="U29" s="43" t="s">
        <v>11</v>
      </c>
      <c r="V29" s="18">
        <f t="shared" si="12"/>
        <v>10</v>
      </c>
      <c r="W29" s="18">
        <f t="shared" si="13"/>
        <v>80</v>
      </c>
      <c r="X29" s="57" t="str">
        <f t="shared" si="1"/>
        <v>80                           Disminuye max 2 en Impacto</v>
      </c>
      <c r="Y29" s="57">
        <f t="shared" si="14"/>
        <v>0</v>
      </c>
      <c r="Z29" s="65">
        <f t="shared" si="15"/>
        <v>2</v>
      </c>
      <c r="AA29" s="498"/>
      <c r="AB29" s="500"/>
      <c r="AC29" s="3">
        <f>SUM(Z28:Z30)</f>
        <v>4</v>
      </c>
      <c r="AD29" s="3">
        <f>ANALISIS!G17</f>
        <v>3</v>
      </c>
      <c r="AE29" s="3">
        <f>IF((AD29-AC29)&gt;=1,(AD29-AC29),1)</f>
        <v>1</v>
      </c>
      <c r="AF29" s="501"/>
      <c r="AG29" s="42" t="str">
        <f>IF(AE29=1,AH29,IF(AE29=2,AI29,IF(AE29=3,AJ29,IF(AE29=4,AK29,AL29))))</f>
        <v>- Evitar Posibilidad de Ocurrencia- Reducir el Riesgo- Compartir o Transferir el riesgo</v>
      </c>
      <c r="AH29" s="46" t="str">
        <f>IF($AF28=11,"- Asumir el Riesgo",IF($AF28=12,"- Asumir el Riesgo- Evitar Posibilidad de Ocurrencia- Reducir el Riesgo",IF($AF28=13,"- Asumir el Riesgo- Evitar Posibilidad de Ocurrencia- Reducir el Riesgo",IF($AF28=14,"-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9" s="46" t="str">
        <f>IF($AF28=21,"- Asumir el Riesgo- Reducir el Riesgo",IF($AF28=22,"- Asumir el Riesgo- Evitar Posibilidad de Ocurrencia- Reducir el Riesgo",IF($AF28=23,"- Asumir el Riesgo- Evitar Posibilidad de Ocurrencia- Reducir el Riesgo- Compartir o Transferir el Riesgo",IF($AF28=24,"- Evitar Posibilidad de Ocurrencia- Reducir el Riesgo- Compartir o Transferir el Riesgo","- Evitar Posibilidad de Ocurrencia- Reducir el Riesgo- Compartir o Transferir el Riesgo"))))</f>
        <v>- Evitar Posibilidad de Ocurrencia- Reducir el Riesgo- Compartir o Transferir el Riesgo</v>
      </c>
      <c r="AJ29" s="46" t="str">
        <f>IF($AF28=31,"- Asumir el Riesgo- Reducir el Riesgo- Compartir o Transferir el Riesgo",IF($AF28=32,"- Asumir el Riesgo- Evitar Posibilidad de Ocurrencia- Reducir el Reducir- Compartir o Transferir el Riesgo",IF($AF28=33,"- Evitar Posibilidad de Ocurrencia- Reducir el Riesgo- Compartir o Transferir el Riesgo",IF($AF28=34,"-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9" s="46" t="str">
        <f>IF($AF28=41,"- Reducir el Riesgo- Compartir o Transferir el Riesgo",IF($AF28=42,"- Evitar Posibilidad de Ocurrencia- Reducir el Riesgo- Compartir o Transferir el Riesgo",IF($AF28=43,"- Eliminar Causa(s)- Evitar Posibilidad de Ocurrencia- Reducir el Riesgo- Compartir o Transferir el Riesgo",IF($AF28=44,"-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29" s="46" t="str">
        <f>IF($AF28=51,"- Reducir el Riesgo- Compartir o Transferir el Riesgo",IF($AF28=52,"- Eliminar Causa(s)- Evitar Posibilidad de Ocurrencia- Reducir el Riesgo- Compartir o Transferir el Riesgo",IF($AF28=53,"- Eliminar Causa(s)- Evitar Posibilidad de Ocurrencia- Reducir el Riesgo- Compartir o Transferir el Riesgo",IF($AF28=54,"-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9" s="3" t="str">
        <f t="shared" si="16"/>
        <v/>
      </c>
      <c r="AN29" s="3" t="str">
        <f t="shared" si="2"/>
        <v/>
      </c>
      <c r="AO29" s="3" t="str">
        <f t="shared" si="3"/>
        <v>Establecer periodos de seguimiento adecuados</v>
      </c>
      <c r="AP29" s="3" t="str">
        <f t="shared" si="17"/>
        <v/>
      </c>
      <c r="AQ29" s="3" t="str">
        <f>IF(AQ28="Documentar",AQ28,AM29)</f>
        <v/>
      </c>
      <c r="AR29" s="3" t="str">
        <f t="shared" ref="AR29:AR30" si="90">IF(AR28="Asignar responsable",AR28,AN29)</f>
        <v/>
      </c>
      <c r="AT29" s="3" t="str">
        <f t="shared" ref="AT29:AT30" si="91">IF(AT28="Establecer periodos de seguimiento adecuados",AT28,AO29)</f>
        <v>Establecer periodos de seguimiento adecuados</v>
      </c>
      <c r="AV29" s="3" t="str">
        <f t="shared" ref="AV29:AV30" si="92">IF(AV28="Guardar Evidencias",AV28,AP29)</f>
        <v/>
      </c>
      <c r="AX29" s="502"/>
      <c r="AY29" s="502"/>
      <c r="AZ29" s="502"/>
      <c r="BA29" s="502"/>
      <c r="BB29" s="3" t="str">
        <f t="shared" si="18"/>
        <v>SI</v>
      </c>
      <c r="BC29" s="3" t="str">
        <f t="shared" si="19"/>
        <v/>
      </c>
      <c r="BD29" s="3" t="str">
        <f t="shared" si="20"/>
        <v>SI</v>
      </c>
      <c r="BE29" s="3" t="str">
        <f t="shared" si="21"/>
        <v/>
      </c>
      <c r="BF29" s="3" t="str">
        <f t="shared" si="22"/>
        <v>NO</v>
      </c>
      <c r="BG29" s="3" t="str">
        <f t="shared" si="23"/>
        <v/>
      </c>
      <c r="BH29" s="3" t="str">
        <f t="shared" si="24"/>
        <v>C</v>
      </c>
      <c r="BI29" s="3" t="str">
        <f t="shared" si="25"/>
        <v/>
      </c>
      <c r="BJ29" s="3" t="str">
        <f t="shared" si="26"/>
        <v>M</v>
      </c>
      <c r="BK29" s="3" t="str">
        <f t="shared" si="27"/>
        <v/>
      </c>
      <c r="BL29" s="3" t="str">
        <f t="shared" si="28"/>
        <v>SI</v>
      </c>
      <c r="BM29" s="3" t="str">
        <f t="shared" si="29"/>
        <v/>
      </c>
    </row>
    <row r="30" spans="1:65" ht="36" customHeight="1" x14ac:dyDescent="0.2">
      <c r="A30" s="503"/>
      <c r="B30" s="496"/>
      <c r="C30" s="20">
        <v>3</v>
      </c>
      <c r="D30" s="56"/>
      <c r="E30" s="240" t="str">
        <f t="shared" si="4"/>
        <v/>
      </c>
      <c r="F30" s="44"/>
      <c r="G30" s="18" t="str">
        <f t="shared" si="0"/>
        <v/>
      </c>
      <c r="H30" s="44"/>
      <c r="I30" s="18" t="str">
        <f t="shared" si="5"/>
        <v/>
      </c>
      <c r="J30" s="55" t="str">
        <f t="shared" si="6"/>
        <v/>
      </c>
      <c r="K30" s="43"/>
      <c r="L30" s="18" t="str">
        <f t="shared" si="7"/>
        <v/>
      </c>
      <c r="M30" s="43"/>
      <c r="N30" s="18" t="str">
        <f t="shared" si="8"/>
        <v/>
      </c>
      <c r="O30" s="43"/>
      <c r="P30" s="18" t="str">
        <f t="shared" si="9"/>
        <v/>
      </c>
      <c r="Q30" s="43"/>
      <c r="R30" s="18" t="str">
        <f t="shared" si="10"/>
        <v/>
      </c>
      <c r="S30" s="43"/>
      <c r="T30" s="18" t="str">
        <f t="shared" si="11"/>
        <v/>
      </c>
      <c r="U30" s="43"/>
      <c r="V30" s="18" t="str">
        <f t="shared" si="12"/>
        <v/>
      </c>
      <c r="W30" s="18">
        <f t="shared" si="13"/>
        <v>0</v>
      </c>
      <c r="X30" s="57" t="str">
        <f t="shared" si="1"/>
        <v/>
      </c>
      <c r="Y30" s="57">
        <f t="shared" si="14"/>
        <v>0</v>
      </c>
      <c r="Z30" s="65">
        <f t="shared" si="15"/>
        <v>0</v>
      </c>
      <c r="AA30" s="499"/>
      <c r="AB30" s="500"/>
      <c r="AM30" s="3" t="str">
        <f t="shared" si="16"/>
        <v/>
      </c>
      <c r="AN30" s="3" t="str">
        <f t="shared" si="2"/>
        <v/>
      </c>
      <c r="AO30" s="3" t="str">
        <f t="shared" si="3"/>
        <v/>
      </c>
      <c r="AP30" s="3" t="str">
        <f t="shared" si="17"/>
        <v/>
      </c>
      <c r="AQ30" s="3" t="str">
        <f>IF(AQ29="Documentar",AQ29,AM30)</f>
        <v/>
      </c>
      <c r="AR30" s="3" t="str">
        <f t="shared" si="90"/>
        <v/>
      </c>
      <c r="AS30" s="3" t="str">
        <f>IF(AND(AQ30="Documentar",AR30="Asignar responsable"),CONCATENATE("- ",AQ30,", ",AR30),IF(AQ30="Documentar",CONCATENATE("- ",AQ30),IF(AR30="Asignar responsable",CONCATENATE("- ",AR30),"")))</f>
        <v/>
      </c>
      <c r="AT30" s="3" t="str">
        <f t="shared" si="91"/>
        <v>Establecer periodos de seguimiento adecuados</v>
      </c>
      <c r="AU30" s="3" t="str">
        <f t="shared" ref="AU30" si="93">IF(AT30="",AS30,IF(AS30="",CONCATENATE("- ",AT30),CONCATENATE(AS30,", ",AT30)))</f>
        <v>- Establecer periodos de seguimiento adecuados</v>
      </c>
      <c r="AV30" s="3" t="str">
        <f t="shared" si="92"/>
        <v/>
      </c>
      <c r="AW30" s="3" t="str">
        <f t="shared" ref="AW30" si="94">IF(AV30="",AU30,IF(AU30="",CONCATENATE("- ",AV30),CONCATENATE(AU30,", ",AV30)))</f>
        <v>- Establecer periodos de seguimiento adecuados</v>
      </c>
      <c r="AX30" s="502"/>
      <c r="AY30" s="502"/>
      <c r="AZ30" s="502"/>
      <c r="BA30" s="502"/>
      <c r="BB30" s="3" t="str">
        <f t="shared" si="18"/>
        <v/>
      </c>
      <c r="BC30" s="3" t="str">
        <f t="shared" si="19"/>
        <v/>
      </c>
      <c r="BD30" s="3" t="str">
        <f t="shared" si="20"/>
        <v/>
      </c>
      <c r="BE30" s="3" t="str">
        <f t="shared" si="21"/>
        <v/>
      </c>
      <c r="BF30" s="3" t="str">
        <f t="shared" si="22"/>
        <v/>
      </c>
      <c r="BG30" s="3" t="str">
        <f t="shared" si="23"/>
        <v/>
      </c>
      <c r="BH30" s="3" t="str">
        <f t="shared" si="24"/>
        <v/>
      </c>
      <c r="BI30" s="3" t="str">
        <f t="shared" si="25"/>
        <v/>
      </c>
      <c r="BJ30" s="3" t="str">
        <f t="shared" si="26"/>
        <v/>
      </c>
      <c r="BK30" s="3" t="str">
        <f t="shared" si="27"/>
        <v/>
      </c>
      <c r="BL30" s="3" t="str">
        <f t="shared" si="28"/>
        <v/>
      </c>
      <c r="BM30" s="3" t="str">
        <f t="shared" si="29"/>
        <v/>
      </c>
    </row>
    <row r="31" spans="1:65" ht="36" customHeight="1" x14ac:dyDescent="0.2">
      <c r="A31" s="503" t="str">
        <f>IDENTIFICACIÓN!C16</f>
        <v>8G</v>
      </c>
      <c r="B31" s="496" t="str">
        <f>IF(IDENTIFICACIÓN!D16="","",IDENTIFICACIÓN!D16)</f>
        <v>Acreditación. Retraso en el otorgamiento o renovacion del registro calificado</v>
      </c>
      <c r="C31" s="20">
        <v>1</v>
      </c>
      <c r="D31" s="56" t="s">
        <v>11</v>
      </c>
      <c r="E31" s="240">
        <f t="shared" si="4"/>
        <v>10</v>
      </c>
      <c r="F31" s="44" t="s">
        <v>575</v>
      </c>
      <c r="G31" s="18" t="str">
        <f t="shared" si="0"/>
        <v/>
      </c>
      <c r="H31" s="44" t="s">
        <v>20</v>
      </c>
      <c r="I31" s="18" t="str">
        <f t="shared" si="5"/>
        <v/>
      </c>
      <c r="J31" s="55" t="str">
        <f t="shared" si="6"/>
        <v>Posibilidad</v>
      </c>
      <c r="K31" s="43" t="s">
        <v>11</v>
      </c>
      <c r="L31" s="18">
        <f t="shared" si="7"/>
        <v>15</v>
      </c>
      <c r="M31" s="43" t="s">
        <v>11</v>
      </c>
      <c r="N31" s="18">
        <f t="shared" si="8"/>
        <v>30</v>
      </c>
      <c r="O31" s="43" t="s">
        <v>323</v>
      </c>
      <c r="P31" s="18">
        <f t="shared" si="9"/>
        <v>10</v>
      </c>
      <c r="Q31" s="43" t="s">
        <v>11</v>
      </c>
      <c r="R31" s="18">
        <f t="shared" si="10"/>
        <v>5</v>
      </c>
      <c r="S31" s="43" t="s">
        <v>11</v>
      </c>
      <c r="T31" s="18">
        <f t="shared" si="11"/>
        <v>15</v>
      </c>
      <c r="U31" s="43" t="s">
        <v>11</v>
      </c>
      <c r="V31" s="18">
        <f t="shared" si="12"/>
        <v>10</v>
      </c>
      <c r="W31" s="18">
        <f t="shared" si="13"/>
        <v>95</v>
      </c>
      <c r="X31" s="57" t="str">
        <f t="shared" si="1"/>
        <v>95                           Disminuye max 2 en Posibilidad</v>
      </c>
      <c r="Y31" s="57">
        <f t="shared" si="14"/>
        <v>2</v>
      </c>
      <c r="Z31" s="65">
        <f t="shared" si="15"/>
        <v>0</v>
      </c>
      <c r="AA31" s="497">
        <f>IF(AB31=0,"",(ROUND((SUM(W31:W33)/AB31),0)))</f>
        <v>95</v>
      </c>
      <c r="AB31" s="500">
        <f>COUNT(T31:T33)</f>
        <v>2</v>
      </c>
      <c r="AC31" s="3">
        <f>SUM(Y31:Y33)</f>
        <v>4</v>
      </c>
      <c r="AD31" s="3">
        <f>ANALISIS!D18</f>
        <v>4</v>
      </c>
      <c r="AE31" s="3">
        <f>IF((AD31-AC31)&gt;=1,(AD31-AC31),1)</f>
        <v>1</v>
      </c>
      <c r="AF31" s="501">
        <f>(AE32*10)+AE31</f>
        <v>41</v>
      </c>
      <c r="AG31" s="42" t="str">
        <f>IF(AE32=1,AH31,IF(AE32=2,AI31,IF(AE32=3,AJ31,IF(AE32=4,AK31,AL31))))</f>
        <v>ALTA 1:4</v>
      </c>
      <c r="AH31" s="46" t="str">
        <f>IF($AF31=11,"BAJA 1:1",IF($AF31=12,"BAJA 2:1",IF($AF31=13,"BAJA 3:1",IF($AF31=14,"MODERADA 4:1","ALTA 5:1"))))</f>
        <v>ALTA 5:1</v>
      </c>
      <c r="AI31" s="46" t="str">
        <f>IF($AF31=21,"BAJA 1:2",IF($AF31=22,"BAJA 2:2",IF($AF31=23,"MODERADA 3:2",IF($AF31=24,"ALTA 4:2","ALTA 5:2"))))</f>
        <v>ALTA 5:2</v>
      </c>
      <c r="AJ31" s="46" t="str">
        <f>IF($AF31=31,"MODERADA 1:3",IF($AF31=32,"MODERADA 2:3",IF($AF31=33,"ALTA 3:3",IF($AF31=34,"ALTA 4:3","EXTREMA 5:3"))))</f>
        <v>EXTREMA 5:3</v>
      </c>
      <c r="AK31" s="46" t="str">
        <f>IF($AF31=41,"ALTA 1:4",IF($AF31=42,"ALTA 2:4",IF($AF31=43,"EXTREMA 3:4",IF($AF31=44,"EXTREMA 4:4","EXTREMA 5:4"))))</f>
        <v>ALTA 1:4</v>
      </c>
      <c r="AL31" s="46" t="str">
        <f>IF($AF31=51,"ALTA 1:5",IF($AF31=52,"EXTREMA 2:5",IF($AF31=53,"EXTREMA 3:5",IF($AF31=54,"EXTREMA 4:5","EXTREMA 5:5"))))</f>
        <v>EXTREMA 5:5</v>
      </c>
      <c r="AM31" s="3" t="str">
        <f t="shared" si="16"/>
        <v/>
      </c>
      <c r="AN31" s="3" t="str">
        <f t="shared" si="2"/>
        <v/>
      </c>
      <c r="AO31" s="3" t="str">
        <f t="shared" si="3"/>
        <v/>
      </c>
      <c r="AP31" s="3" t="str">
        <f t="shared" si="17"/>
        <v/>
      </c>
      <c r="AQ31" s="3" t="str">
        <f>AM31</f>
        <v/>
      </c>
      <c r="AR31" s="3" t="str">
        <f t="shared" ref="AR31" si="95">AN31</f>
        <v/>
      </c>
      <c r="AT31" s="3" t="str">
        <f t="shared" ref="AT31" si="96">AO31</f>
        <v/>
      </c>
      <c r="AV31" s="3" t="str">
        <f t="shared" ref="AV31" si="97">AP31</f>
        <v/>
      </c>
      <c r="AX31" s="502" t="str">
        <f t="shared" ref="AX31" si="98">IF(AW33="","",CONCATENATE(AW33," (de) el(los) control(es) Efectivo(s) "))</f>
        <v/>
      </c>
      <c r="AY31" s="502" t="str">
        <f t="shared" ref="AY31" si="99">IF(CONCATENATE(N31:N33)="","",IF(AND(SUM(E31:E33)=10,SUM(N31:N33)&lt;30),"- Replantear control(es) NO efectivo(s) ",IF(AND(SUM(E31:E33)=20,SUM(N31:N33)&lt;60),"- Replantear control(es) NO efectivo(s) ",IF(AND(SUM(E31:E33)=30,SUM(N31:N33)&lt;90),"- Replantear control(es) NO efectivo(s) ",""))))</f>
        <v/>
      </c>
      <c r="AZ31" s="502" t="str">
        <f>IF(AND(AE31&gt;1,AE32&gt;1),"- Tomar Acciones Preventivas y Correctivas",IF(AE31&gt;1,"- Tomar Acciones Preventivas",IF(AE32&gt;1,"- Tomar Acciones Correctivas","")))</f>
        <v>- Tomar Acciones Correctivas</v>
      </c>
      <c r="BA31" s="502" t="str">
        <f t="shared" ref="BA31" si="100">CONCATENATE(AX31,AY31,AZ31)</f>
        <v>- Tomar Acciones Correctivas</v>
      </c>
      <c r="BB31" s="3" t="str">
        <f t="shared" si="18"/>
        <v>SI</v>
      </c>
      <c r="BC31" s="3" t="str">
        <f t="shared" si="19"/>
        <v/>
      </c>
      <c r="BD31" s="3" t="str">
        <f t="shared" si="20"/>
        <v>SI</v>
      </c>
      <c r="BE31" s="3" t="str">
        <f t="shared" si="21"/>
        <v/>
      </c>
      <c r="BF31" s="3" t="str">
        <f t="shared" si="22"/>
        <v>SI</v>
      </c>
      <c r="BG31" s="3" t="str">
        <f t="shared" si="23"/>
        <v/>
      </c>
      <c r="BH31" s="3" t="str">
        <f t="shared" si="24"/>
        <v>P</v>
      </c>
      <c r="BI31" s="3" t="str">
        <f t="shared" si="25"/>
        <v/>
      </c>
      <c r="BJ31" s="3" t="str">
        <f t="shared" si="26"/>
        <v>M</v>
      </c>
      <c r="BK31" s="3" t="str">
        <f t="shared" si="27"/>
        <v/>
      </c>
      <c r="BL31" s="3" t="str">
        <f t="shared" si="28"/>
        <v>SI</v>
      </c>
      <c r="BM31" s="3" t="str">
        <f t="shared" si="29"/>
        <v/>
      </c>
    </row>
    <row r="32" spans="1:65" ht="36" customHeight="1" x14ac:dyDescent="0.2">
      <c r="A32" s="503"/>
      <c r="B32" s="496"/>
      <c r="C32" s="20">
        <v>2</v>
      </c>
      <c r="D32" s="56" t="s">
        <v>11</v>
      </c>
      <c r="E32" s="240">
        <f t="shared" si="4"/>
        <v>10</v>
      </c>
      <c r="F32" s="44" t="s">
        <v>576</v>
      </c>
      <c r="G32" s="18" t="str">
        <f t="shared" si="0"/>
        <v/>
      </c>
      <c r="H32" s="44" t="s">
        <v>20</v>
      </c>
      <c r="I32" s="18" t="str">
        <f t="shared" si="5"/>
        <v/>
      </c>
      <c r="J32" s="55" t="str">
        <f t="shared" si="6"/>
        <v>Posibilidad</v>
      </c>
      <c r="K32" s="43" t="s">
        <v>11</v>
      </c>
      <c r="L32" s="18">
        <f t="shared" si="7"/>
        <v>15</v>
      </c>
      <c r="M32" s="43" t="s">
        <v>11</v>
      </c>
      <c r="N32" s="18">
        <f t="shared" si="8"/>
        <v>30</v>
      </c>
      <c r="O32" s="43" t="s">
        <v>323</v>
      </c>
      <c r="P32" s="18">
        <f t="shared" si="9"/>
        <v>10</v>
      </c>
      <c r="Q32" s="43" t="s">
        <v>11</v>
      </c>
      <c r="R32" s="18">
        <f t="shared" si="10"/>
        <v>5</v>
      </c>
      <c r="S32" s="43" t="s">
        <v>11</v>
      </c>
      <c r="T32" s="18">
        <f t="shared" si="11"/>
        <v>15</v>
      </c>
      <c r="U32" s="43" t="s">
        <v>11</v>
      </c>
      <c r="V32" s="18">
        <f t="shared" si="12"/>
        <v>10</v>
      </c>
      <c r="W32" s="18">
        <f t="shared" si="13"/>
        <v>95</v>
      </c>
      <c r="X32" s="57" t="str">
        <f t="shared" si="1"/>
        <v>95                           Disminuye max 2 en Posibilidad</v>
      </c>
      <c r="Y32" s="57">
        <f t="shared" si="14"/>
        <v>2</v>
      </c>
      <c r="Z32" s="65">
        <f t="shared" si="15"/>
        <v>0</v>
      </c>
      <c r="AA32" s="498"/>
      <c r="AB32" s="500"/>
      <c r="AC32" s="3">
        <f>SUM(Z31:Z33)</f>
        <v>0</v>
      </c>
      <c r="AD32" s="3">
        <f>ANALISIS!G18</f>
        <v>4</v>
      </c>
      <c r="AE32" s="3">
        <f>IF((AD32-AC32)&gt;=1,(AD32-AC32),1)</f>
        <v>4</v>
      </c>
      <c r="AF32" s="501"/>
      <c r="AG32" s="42" t="str">
        <f>IF(AE32=1,AH32,IF(AE32=2,AI32,IF(AE32=3,AJ32,IF(AE32=4,AK32,AL32))))</f>
        <v>- Reducir el Riesgo- Compartir o Transferir el Riesgo</v>
      </c>
      <c r="AH32" s="46" t="str">
        <f>IF($AF31=11,"- Asumir el Riesgo",IF($AF31=12,"- Asumir el Riesgo- Evitar Posibilidad de Ocurrencia- Reducir el Riesgo",IF($AF31=13,"- Asumir el Riesgo- Evitar Posibilidad de Ocurrencia- Reducir el Riesgo",IF($AF31=14,"-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2" s="46" t="str">
        <f>IF($AF31=21,"- Asumir el Riesgo- Reducir el Riesgo",IF($AF31=22,"- Asumir el Riesgo- Evitar Posibilidad de Ocurrencia- Reducir el Riesgo",IF($AF31=23,"- Asumir el Riesgo- Evitar Posibilidad de Ocurrencia- Reducir el Riesgo- Compartir o Transferir el Riesgo",IF($AF31=24,"- Evitar Posibilidad de Ocurrencia- Reducir el Riesgo- Compartir o Transferir el Riesgo","- Evitar Posibilidad de Ocurrencia- Reducir el Riesgo- Compartir o Transferir el Riesgo"))))</f>
        <v>- Evitar Posibilidad de Ocurrencia- Reducir el Riesgo- Compartir o Transferir el Riesgo</v>
      </c>
      <c r="AJ32" s="46" t="str">
        <f>IF($AF31=31,"- Asumir el Riesgo- Reducir el Riesgo- Compartir o Transferir el Riesgo",IF($AF31=32,"- Asumir el Riesgo- Evitar Posibilidad de Ocurrencia- Reducir el Reducir- Compartir o Transferir el Riesgo",IF($AF31=33,"- Evitar Posibilidad de Ocurrencia- Reducir el Riesgo- Compartir o Transferir el Riesgo",IF($AF31=34,"-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2" s="46" t="str">
        <f>IF($AF31=41,"- Reducir el Riesgo- Compartir o Transferir el Riesgo",IF($AF31=42,"- Evitar Posibilidad de Ocurrencia- Reducir el Riesgo- Compartir o Transferir el Riesgo",IF($AF31=43,"- Eliminar Causa(s)- Evitar Posibilidad de Ocurrencia- Reducir el Riesgo- Compartir o Transferir el Riesgo",IF($AF31=44,"- Eliminar Causa(s)- Evitar Posibilidad de Ocurrencia- Reducir el Riesgo- Compartir o Transferir el Riesgo","- Eliminar Causa(s)- Evitar Posibilidad de Ocurrencia- Reducir el Riesgo- Compartir o Transferir el Riesgo"))))</f>
        <v>- Reducir el Riesgo- Compartir o Transferir el Riesgo</v>
      </c>
      <c r="AL32" s="46" t="str">
        <f>IF($AF31=51,"- Reducir el Riesgo- Compartir o Transferir el Riesgo",IF($AF31=52,"- Eliminar Causa(s)- Evitar Posibilidad de Ocurrencia- Reducir el Riesgo- Compartir o Transferir el Riesgo",IF($AF31=53,"- Eliminar Causa(s)- Evitar Posibilidad de Ocurrencia- Reducir el Riesgo- Compartir o Transferir el Riesgo",IF($AF31=54,"-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2" s="3" t="str">
        <f t="shared" si="16"/>
        <v/>
      </c>
      <c r="AN32" s="3" t="str">
        <f t="shared" si="2"/>
        <v/>
      </c>
      <c r="AO32" s="3" t="str">
        <f t="shared" si="3"/>
        <v/>
      </c>
      <c r="AP32" s="3" t="str">
        <f t="shared" si="17"/>
        <v/>
      </c>
      <c r="AQ32" s="3" t="str">
        <f>IF(AQ31="Documentar",AQ31,AM32)</f>
        <v/>
      </c>
      <c r="AR32" s="3" t="str">
        <f t="shared" ref="AR32:AR33" si="101">IF(AR31="Asignar responsable",AR31,AN32)</f>
        <v/>
      </c>
      <c r="AT32" s="3" t="str">
        <f t="shared" ref="AT32:AT33" si="102">IF(AT31="Establecer periodos de seguimiento adecuados",AT31,AO32)</f>
        <v/>
      </c>
      <c r="AV32" s="3" t="str">
        <f t="shared" ref="AV32:AV33" si="103">IF(AV31="Guardar Evidencias",AV31,AP32)</f>
        <v/>
      </c>
      <c r="AX32" s="502"/>
      <c r="AY32" s="502"/>
      <c r="AZ32" s="502"/>
      <c r="BA32" s="502"/>
      <c r="BB32" s="3" t="str">
        <f t="shared" si="18"/>
        <v>SI</v>
      </c>
      <c r="BC32" s="3" t="str">
        <f t="shared" si="19"/>
        <v/>
      </c>
      <c r="BD32" s="3" t="str">
        <f t="shared" si="20"/>
        <v>SI</v>
      </c>
      <c r="BE32" s="3" t="str">
        <f t="shared" si="21"/>
        <v/>
      </c>
      <c r="BF32" s="3" t="str">
        <f t="shared" si="22"/>
        <v>SI</v>
      </c>
      <c r="BG32" s="3" t="str">
        <f t="shared" si="23"/>
        <v/>
      </c>
      <c r="BH32" s="3" t="str">
        <f t="shared" si="24"/>
        <v>P</v>
      </c>
      <c r="BI32" s="3" t="str">
        <f t="shared" si="25"/>
        <v/>
      </c>
      <c r="BJ32" s="3" t="str">
        <f t="shared" si="26"/>
        <v>M</v>
      </c>
      <c r="BK32" s="3" t="str">
        <f t="shared" si="27"/>
        <v/>
      </c>
      <c r="BL32" s="3" t="str">
        <f t="shared" si="28"/>
        <v>SI</v>
      </c>
      <c r="BM32" s="3" t="str">
        <f t="shared" si="29"/>
        <v/>
      </c>
    </row>
    <row r="33" spans="1:65" ht="36" customHeight="1" x14ac:dyDescent="0.2">
      <c r="A33" s="503"/>
      <c r="B33" s="496"/>
      <c r="C33" s="20">
        <v>3</v>
      </c>
      <c r="D33" s="56"/>
      <c r="E33" s="240" t="str">
        <f t="shared" si="4"/>
        <v/>
      </c>
      <c r="F33" s="44"/>
      <c r="G33" s="18" t="str">
        <f t="shared" si="0"/>
        <v/>
      </c>
      <c r="H33" s="44"/>
      <c r="I33" s="18" t="str">
        <f t="shared" si="5"/>
        <v/>
      </c>
      <c r="J33" s="55" t="str">
        <f t="shared" si="6"/>
        <v/>
      </c>
      <c r="K33" s="43"/>
      <c r="L33" s="18" t="str">
        <f t="shared" si="7"/>
        <v/>
      </c>
      <c r="M33" s="43"/>
      <c r="N33" s="18" t="str">
        <f t="shared" si="8"/>
        <v/>
      </c>
      <c r="O33" s="43"/>
      <c r="P33" s="18" t="str">
        <f t="shared" si="9"/>
        <v/>
      </c>
      <c r="Q33" s="43"/>
      <c r="R33" s="18" t="str">
        <f t="shared" si="10"/>
        <v/>
      </c>
      <c r="S33" s="43"/>
      <c r="T33" s="18" t="str">
        <f t="shared" si="11"/>
        <v/>
      </c>
      <c r="U33" s="43"/>
      <c r="V33" s="18" t="str">
        <f t="shared" si="12"/>
        <v/>
      </c>
      <c r="W33" s="18">
        <f t="shared" si="13"/>
        <v>0</v>
      </c>
      <c r="X33" s="57" t="str">
        <f t="shared" si="1"/>
        <v/>
      </c>
      <c r="Y33" s="57">
        <f t="shared" si="14"/>
        <v>0</v>
      </c>
      <c r="Z33" s="65">
        <f t="shared" si="15"/>
        <v>0</v>
      </c>
      <c r="AA33" s="499"/>
      <c r="AB33" s="500"/>
      <c r="AM33" s="3" t="str">
        <f t="shared" si="16"/>
        <v/>
      </c>
      <c r="AN33" s="3" t="str">
        <f t="shared" si="2"/>
        <v/>
      </c>
      <c r="AO33" s="3" t="str">
        <f t="shared" si="3"/>
        <v/>
      </c>
      <c r="AP33" s="3" t="str">
        <f t="shared" si="17"/>
        <v/>
      </c>
      <c r="AQ33" s="3" t="str">
        <f>IF(AQ32="Documentar",AQ32,AM33)</f>
        <v/>
      </c>
      <c r="AR33" s="3" t="str">
        <f t="shared" si="101"/>
        <v/>
      </c>
      <c r="AS33" s="3" t="str">
        <f>IF(AND(AQ33="Documentar",AR33="Asignar responsable"),CONCATENATE("- ",AQ33,", ",AR33),IF(AQ33="Documentar",CONCATENATE("- ",AQ33),IF(AR33="Asignar responsable",CONCATENATE("- ",AR33),"")))</f>
        <v/>
      </c>
      <c r="AT33" s="3" t="str">
        <f t="shared" si="102"/>
        <v/>
      </c>
      <c r="AU33" s="3" t="str">
        <f t="shared" ref="AU33" si="104">IF(AT33="",AS33,IF(AS33="",CONCATENATE("- ",AT33),CONCATENATE(AS33,", ",AT33)))</f>
        <v/>
      </c>
      <c r="AV33" s="3" t="str">
        <f t="shared" si="103"/>
        <v/>
      </c>
      <c r="AW33" s="3" t="str">
        <f t="shared" ref="AW33" si="105">IF(AV33="",AU33,IF(AU33="",CONCATENATE("- ",AV33),CONCATENATE(AU33,", ",AV33)))</f>
        <v/>
      </c>
      <c r="AX33" s="502"/>
      <c r="AY33" s="502"/>
      <c r="AZ33" s="502"/>
      <c r="BA33" s="502"/>
      <c r="BB33" s="3" t="str">
        <f t="shared" si="18"/>
        <v/>
      </c>
      <c r="BC33" s="3" t="str">
        <f t="shared" si="19"/>
        <v/>
      </c>
      <c r="BD33" s="3" t="str">
        <f t="shared" si="20"/>
        <v/>
      </c>
      <c r="BE33" s="3" t="str">
        <f t="shared" si="21"/>
        <v/>
      </c>
      <c r="BF33" s="3" t="str">
        <f t="shared" si="22"/>
        <v/>
      </c>
      <c r="BG33" s="3" t="str">
        <f t="shared" si="23"/>
        <v/>
      </c>
      <c r="BH33" s="3" t="str">
        <f t="shared" si="24"/>
        <v/>
      </c>
      <c r="BI33" s="3" t="str">
        <f t="shared" si="25"/>
        <v/>
      </c>
      <c r="BJ33" s="3" t="str">
        <f t="shared" si="26"/>
        <v/>
      </c>
      <c r="BK33" s="3" t="str">
        <f t="shared" si="27"/>
        <v/>
      </c>
      <c r="BL33" s="3" t="str">
        <f t="shared" si="28"/>
        <v/>
      </c>
      <c r="BM33" s="3" t="str">
        <f t="shared" si="29"/>
        <v/>
      </c>
    </row>
    <row r="34" spans="1:65" ht="36" customHeight="1" x14ac:dyDescent="0.2">
      <c r="A34" s="503" t="str">
        <f>IDENTIFICACIÓN!C17</f>
        <v>9G</v>
      </c>
      <c r="B34" s="496" t="str">
        <f>IF(IDENTIFICACIÓN!D17="","",IDENTIFICACIÓN!D17)</f>
        <v>Gestión de la Calidad. La alta dirección no asegura la disponibilidad de los recursos para el mantenimiento y mejora del sistema.</v>
      </c>
      <c r="C34" s="20">
        <v>1</v>
      </c>
      <c r="D34" s="56" t="s">
        <v>11</v>
      </c>
      <c r="E34" s="240">
        <f t="shared" si="4"/>
        <v>10</v>
      </c>
      <c r="F34" s="44" t="s">
        <v>577</v>
      </c>
      <c r="G34" s="18" t="str">
        <f t="shared" si="0"/>
        <v/>
      </c>
      <c r="H34" s="44" t="s">
        <v>20</v>
      </c>
      <c r="I34" s="18" t="str">
        <f t="shared" si="5"/>
        <v/>
      </c>
      <c r="J34" s="55" t="str">
        <f t="shared" si="6"/>
        <v>Posibilidad</v>
      </c>
      <c r="K34" s="43" t="s">
        <v>11</v>
      </c>
      <c r="L34" s="18">
        <f t="shared" si="7"/>
        <v>15</v>
      </c>
      <c r="M34" s="43" t="s">
        <v>11</v>
      </c>
      <c r="N34" s="18">
        <f t="shared" si="8"/>
        <v>30</v>
      </c>
      <c r="O34" s="43" t="s">
        <v>323</v>
      </c>
      <c r="P34" s="18">
        <f t="shared" si="9"/>
        <v>10</v>
      </c>
      <c r="Q34" s="43" t="s">
        <v>11</v>
      </c>
      <c r="R34" s="18">
        <f t="shared" si="10"/>
        <v>5</v>
      </c>
      <c r="S34" s="43" t="s">
        <v>11</v>
      </c>
      <c r="T34" s="18">
        <f t="shared" si="11"/>
        <v>15</v>
      </c>
      <c r="U34" s="43" t="s">
        <v>11</v>
      </c>
      <c r="V34" s="18">
        <f t="shared" si="12"/>
        <v>10</v>
      </c>
      <c r="W34" s="18">
        <f t="shared" si="13"/>
        <v>95</v>
      </c>
      <c r="X34" s="57" t="str">
        <f t="shared" si="1"/>
        <v>95                           Disminuye max 2 en Posibilidad</v>
      </c>
      <c r="Y34" s="57">
        <f t="shared" si="14"/>
        <v>2</v>
      </c>
      <c r="Z34" s="65">
        <f t="shared" si="15"/>
        <v>0</v>
      </c>
      <c r="AA34" s="497">
        <f>IF(AB34=0,"",(ROUND((SUM(W34:W36)/AB34),0)))</f>
        <v>95</v>
      </c>
      <c r="AB34" s="500">
        <f>COUNT(T34:T36)</f>
        <v>2</v>
      </c>
      <c r="AC34" s="3">
        <f>SUM(Y34:Y36)</f>
        <v>4</v>
      </c>
      <c r="AD34" s="3">
        <f>ANALISIS!D19</f>
        <v>1</v>
      </c>
      <c r="AE34" s="3">
        <f>IF((AD34-AC34)&gt;=1,(AD34-AC34),1)</f>
        <v>1</v>
      </c>
      <c r="AF34" s="501">
        <f>(AE35*10)+AE34</f>
        <v>41</v>
      </c>
      <c r="AG34" s="42" t="str">
        <f>IF(AE35=1,AH34,IF(AE35=2,AI34,IF(AE35=3,AJ34,IF(AE35=4,AK34,AL34))))</f>
        <v>ALTA 1:4</v>
      </c>
      <c r="AH34" s="46" t="str">
        <f>IF($AF34=11,"BAJA 1:1",IF($AF34=12,"BAJA 2:1",IF($AF34=13,"BAJA 3:1",IF($AF34=14,"MODERADA 4:1","ALTA 5:1"))))</f>
        <v>ALTA 5:1</v>
      </c>
      <c r="AI34" s="46" t="str">
        <f>IF($AF34=21,"BAJA 1:2",IF($AF34=22,"BAJA 2:2",IF($AF34=23,"MODERADA 3:2",IF($AF34=24,"ALTA 4:2","ALTA 5:2"))))</f>
        <v>ALTA 5:2</v>
      </c>
      <c r="AJ34" s="46" t="str">
        <f>IF($AF34=31,"MODERADA 1:3",IF($AF34=32,"MODERADA 2:3",IF($AF34=33,"ALTA 3:3",IF($AF34=34,"ALTA 4:3","EXTREMA 5:3"))))</f>
        <v>EXTREMA 5:3</v>
      </c>
      <c r="AK34" s="46" t="str">
        <f>IF($AF34=41,"ALTA 1:4",IF($AF34=42,"ALTA 2:4",IF($AF34=43,"EXTREMA 3:4",IF($AF34=44,"EXTREMA 4:4","EXTREMA 5:4"))))</f>
        <v>ALTA 1:4</v>
      </c>
      <c r="AL34" s="46" t="str">
        <f>IF($AF34=51,"ALTA 1:5",IF($AF34=52,"EXTREMA 2:5",IF($AF34=53,"EXTREMA 3:5",IF($AF34=54,"EXTREMA 4:5","EXTREMA 5:5"))))</f>
        <v>EXTREMA 5:5</v>
      </c>
      <c r="AM34" s="3" t="str">
        <f t="shared" si="16"/>
        <v/>
      </c>
      <c r="AN34" s="3" t="str">
        <f t="shared" si="2"/>
        <v/>
      </c>
      <c r="AO34" s="3" t="str">
        <f t="shared" si="3"/>
        <v/>
      </c>
      <c r="AP34" s="3" t="str">
        <f t="shared" si="17"/>
        <v/>
      </c>
      <c r="AQ34" s="3" t="str">
        <f>AM34</f>
        <v/>
      </c>
      <c r="AR34" s="3" t="str">
        <f t="shared" ref="AR34" si="106">AN34</f>
        <v/>
      </c>
      <c r="AT34" s="3" t="str">
        <f t="shared" ref="AT34" si="107">AO34</f>
        <v/>
      </c>
      <c r="AV34" s="3" t="str">
        <f t="shared" ref="AV34" si="108">AP34</f>
        <v/>
      </c>
      <c r="AX34" s="502" t="str">
        <f t="shared" ref="AX34" si="109">IF(AW36="","",CONCATENATE(AW36," (de) el(los) control(es) Efectivo(s) "))</f>
        <v/>
      </c>
      <c r="AY34" s="502" t="str">
        <f t="shared" ref="AY34" si="110">IF(CONCATENATE(N34:N36)="","",IF(AND(SUM(E34:E36)=10,SUM(N34:N36)&lt;30),"- Replantear control(es) NO efectivo(s) ",IF(AND(SUM(E34:E36)=20,SUM(N34:N36)&lt;60),"- Replantear control(es) NO efectivo(s) ",IF(AND(SUM(E34:E36)=30,SUM(N34:N36)&lt;90),"- Replantear control(es) NO efectivo(s) ",""))))</f>
        <v/>
      </c>
      <c r="AZ34" s="502" t="str">
        <f>IF(AND(AE34&gt;1,AE35&gt;1),"- Tomar Acciones Preventivas y Correctivas",IF(AE34&gt;1,"- Tomar Acciones Preventivas",IF(AE35&gt;1,"- Tomar Acciones Correctivas","")))</f>
        <v>- Tomar Acciones Correctivas</v>
      </c>
      <c r="BA34" s="502" t="str">
        <f t="shared" ref="BA34" si="111">CONCATENATE(AX34,AY34,AZ34)</f>
        <v>- Tomar Acciones Correctivas</v>
      </c>
      <c r="BB34" s="3" t="str">
        <f t="shared" si="18"/>
        <v>SI</v>
      </c>
      <c r="BC34" s="3" t="str">
        <f t="shared" si="19"/>
        <v/>
      </c>
      <c r="BD34" s="3" t="str">
        <f t="shared" si="20"/>
        <v>SI</v>
      </c>
      <c r="BE34" s="3" t="str">
        <f t="shared" si="21"/>
        <v/>
      </c>
      <c r="BF34" s="3" t="str">
        <f t="shared" si="22"/>
        <v>SI</v>
      </c>
      <c r="BG34" s="3" t="str">
        <f t="shared" si="23"/>
        <v/>
      </c>
      <c r="BH34" s="3" t="str">
        <f t="shared" si="24"/>
        <v>P</v>
      </c>
      <c r="BI34" s="3" t="str">
        <f t="shared" si="25"/>
        <v/>
      </c>
      <c r="BJ34" s="3" t="str">
        <f t="shared" si="26"/>
        <v>M</v>
      </c>
      <c r="BK34" s="3" t="str">
        <f t="shared" si="27"/>
        <v/>
      </c>
      <c r="BL34" s="3" t="str">
        <f t="shared" si="28"/>
        <v>SI</v>
      </c>
      <c r="BM34" s="3" t="str">
        <f t="shared" si="29"/>
        <v/>
      </c>
    </row>
    <row r="35" spans="1:65" ht="36" customHeight="1" x14ac:dyDescent="0.2">
      <c r="A35" s="503"/>
      <c r="B35" s="496"/>
      <c r="C35" s="20">
        <v>2</v>
      </c>
      <c r="D35" s="56" t="s">
        <v>11</v>
      </c>
      <c r="E35" s="240">
        <f t="shared" si="4"/>
        <v>10</v>
      </c>
      <c r="F35" s="44" t="s">
        <v>578</v>
      </c>
      <c r="G35" s="18" t="str">
        <f t="shared" si="0"/>
        <v/>
      </c>
      <c r="H35" s="44" t="s">
        <v>20</v>
      </c>
      <c r="I35" s="18" t="str">
        <f t="shared" si="5"/>
        <v/>
      </c>
      <c r="J35" s="55" t="str">
        <f t="shared" si="6"/>
        <v>Posibilidad</v>
      </c>
      <c r="K35" s="43" t="s">
        <v>11</v>
      </c>
      <c r="L35" s="18">
        <f t="shared" si="7"/>
        <v>15</v>
      </c>
      <c r="M35" s="43" t="s">
        <v>11</v>
      </c>
      <c r="N35" s="18">
        <f t="shared" si="8"/>
        <v>30</v>
      </c>
      <c r="O35" s="43" t="s">
        <v>323</v>
      </c>
      <c r="P35" s="18">
        <f t="shared" si="9"/>
        <v>10</v>
      </c>
      <c r="Q35" s="43" t="s">
        <v>11</v>
      </c>
      <c r="R35" s="18">
        <f t="shared" si="10"/>
        <v>5</v>
      </c>
      <c r="S35" s="43" t="s">
        <v>11</v>
      </c>
      <c r="T35" s="18">
        <f t="shared" si="11"/>
        <v>15</v>
      </c>
      <c r="U35" s="43" t="s">
        <v>11</v>
      </c>
      <c r="V35" s="18">
        <f t="shared" si="12"/>
        <v>10</v>
      </c>
      <c r="W35" s="18">
        <f t="shared" si="13"/>
        <v>95</v>
      </c>
      <c r="X35" s="57" t="str">
        <f t="shared" si="1"/>
        <v>95                           Disminuye max 2 en Posibilidad</v>
      </c>
      <c r="Y35" s="57">
        <f t="shared" si="14"/>
        <v>2</v>
      </c>
      <c r="Z35" s="65">
        <f t="shared" si="15"/>
        <v>0</v>
      </c>
      <c r="AA35" s="498"/>
      <c r="AB35" s="500"/>
      <c r="AC35" s="3">
        <f>SUM(Z34:Z36)</f>
        <v>0</v>
      </c>
      <c r="AD35" s="3">
        <f>ANALISIS!G19</f>
        <v>4</v>
      </c>
      <c r="AE35" s="3">
        <f>IF((AD35-AC35)&gt;=1,(AD35-AC35),1)</f>
        <v>4</v>
      </c>
      <c r="AF35" s="501"/>
      <c r="AG35" s="42" t="str">
        <f>IF(AE35=1,AH35,IF(AE35=2,AI35,IF(AE35=3,AJ35,IF(AE35=4,AK35,AL35))))</f>
        <v>- Reducir el Riesgo- Compartir o Transferir el Riesgo</v>
      </c>
      <c r="AH35" s="46" t="str">
        <f>IF($AF34=11,"- Asumir el Riesgo",IF($AF34=12,"- Asumir el Riesgo- Evitar Posibilidad de Ocurrencia- Reducir el Riesgo",IF($AF34=13,"- Asumir el Riesgo- Evitar Posibilidad de Ocurrencia- Reducir el Riesgo",IF($AF34=14,"-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5" s="46" t="str">
        <f>IF($AF34=21,"- Asumir el Riesgo- Reducir el Riesgo",IF($AF34=22,"- Asumir el Riesgo- Evitar Posibilidad de Ocurrencia- Reducir el Riesgo",IF($AF34=23,"- Asumir el Riesgo- Evitar Posibilidad de Ocurrencia- Reducir el Riesgo- Compartir o Transferir el Riesgo",IF($AF34=24,"- Evitar Posibilidad de Ocurrencia- Reducir el Riesgo- Compartir o Transferir el Riesgo","- Evitar Posibilidad de Ocurrencia- Reducir el Riesgo- Compartir o Transferir el Riesgo"))))</f>
        <v>- Evitar Posibilidad de Ocurrencia- Reducir el Riesgo- Compartir o Transferir el Riesgo</v>
      </c>
      <c r="AJ35" s="46" t="str">
        <f>IF($AF34=31,"- Asumir el Riesgo- Reducir el Riesgo- Compartir o Transferir el Riesgo",IF($AF34=32,"- Asumir el Riesgo- Evitar Posibilidad de Ocurrencia- Reducir el Reducir- Compartir o Transferir el Riesgo",IF($AF34=33,"- Evitar Posibilidad de Ocurrencia- Reducir el Riesgo- Compartir o Transferir el Riesgo",IF($AF34=34,"-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5" s="46" t="str">
        <f>IF($AF34=41,"- Reducir el Riesgo- Compartir o Transferir el Riesgo",IF($AF34=42,"- Evitar Posibilidad de Ocurrencia- Reducir el Riesgo- Compartir o Transferir el Riesgo",IF($AF34=43,"- Eliminar Causa(s)- Evitar Posibilidad de Ocurrencia- Reducir el Riesgo- Compartir o Transferir el Riesgo",IF($AF34=44,"- Eliminar Causa(s)- Evitar Posibilidad de Ocurrencia- Reducir el Riesgo- Compartir o Transferir el Riesgo","- Eliminar Causa(s)- Evitar Posibilidad de Ocurrencia- Reducir el Riesgo- Compartir o Transferir el Riesgo"))))</f>
        <v>- Reducir el Riesgo- Compartir o Transferir el Riesgo</v>
      </c>
      <c r="AL35" s="46" t="str">
        <f>IF($AF34=51,"- Reducir el Riesgo- Compartir o Transferir el Riesgo",IF($AF34=52,"- Eliminar Causa(s)- Evitar Posibilidad de Ocurrencia- Reducir el Riesgo- Compartir o Transferir el Riesgo",IF($AF34=53,"- Eliminar Causa(s)- Evitar Posibilidad de Ocurrencia- Reducir el Riesgo- Compartir o Transferir el Riesgo",IF($AF34=54,"-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5" s="3" t="str">
        <f t="shared" si="16"/>
        <v/>
      </c>
      <c r="AN35" s="3" t="str">
        <f t="shared" si="2"/>
        <v/>
      </c>
      <c r="AO35" s="3" t="str">
        <f t="shared" si="3"/>
        <v/>
      </c>
      <c r="AP35" s="3" t="str">
        <f t="shared" si="17"/>
        <v/>
      </c>
      <c r="AQ35" s="3" t="str">
        <f>IF(AQ34="Documentar",AQ34,AM35)</f>
        <v/>
      </c>
      <c r="AR35" s="3" t="str">
        <f t="shared" ref="AR35:AR36" si="112">IF(AR34="Asignar responsable",AR34,AN35)</f>
        <v/>
      </c>
      <c r="AT35" s="3" t="str">
        <f t="shared" ref="AT35:AT36" si="113">IF(AT34="Establecer periodos de seguimiento adecuados",AT34,AO35)</f>
        <v/>
      </c>
      <c r="AV35" s="3" t="str">
        <f t="shared" ref="AV35:AV36" si="114">IF(AV34="Guardar Evidencias",AV34,AP35)</f>
        <v/>
      </c>
      <c r="AX35" s="502"/>
      <c r="AY35" s="502"/>
      <c r="AZ35" s="502"/>
      <c r="BA35" s="502"/>
      <c r="BB35" s="3" t="str">
        <f t="shared" si="18"/>
        <v>SI</v>
      </c>
      <c r="BC35" s="3" t="str">
        <f t="shared" si="19"/>
        <v/>
      </c>
      <c r="BD35" s="3" t="str">
        <f t="shared" si="20"/>
        <v>SI</v>
      </c>
      <c r="BE35" s="3" t="str">
        <f t="shared" si="21"/>
        <v/>
      </c>
      <c r="BF35" s="3" t="str">
        <f t="shared" si="22"/>
        <v>SI</v>
      </c>
      <c r="BG35" s="3" t="str">
        <f t="shared" si="23"/>
        <v/>
      </c>
      <c r="BH35" s="3" t="str">
        <f t="shared" si="24"/>
        <v>P</v>
      </c>
      <c r="BI35" s="3" t="str">
        <f t="shared" si="25"/>
        <v/>
      </c>
      <c r="BJ35" s="3" t="str">
        <f t="shared" si="26"/>
        <v>M</v>
      </c>
      <c r="BK35" s="3" t="str">
        <f t="shared" si="27"/>
        <v/>
      </c>
      <c r="BL35" s="3" t="str">
        <f t="shared" si="28"/>
        <v>SI</v>
      </c>
      <c r="BM35" s="3" t="str">
        <f t="shared" si="29"/>
        <v/>
      </c>
    </row>
    <row r="36" spans="1:65" ht="36" customHeight="1" x14ac:dyDescent="0.2">
      <c r="A36" s="503"/>
      <c r="B36" s="496"/>
      <c r="C36" s="20">
        <v>3</v>
      </c>
      <c r="D36" s="56"/>
      <c r="E36" s="240" t="str">
        <f t="shared" si="4"/>
        <v/>
      </c>
      <c r="F36" s="44"/>
      <c r="G36" s="18" t="str">
        <f t="shared" si="0"/>
        <v/>
      </c>
      <c r="H36" s="44"/>
      <c r="I36" s="18" t="str">
        <f t="shared" si="5"/>
        <v/>
      </c>
      <c r="J36" s="55" t="str">
        <f t="shared" si="6"/>
        <v/>
      </c>
      <c r="K36" s="43"/>
      <c r="L36" s="18" t="str">
        <f t="shared" si="7"/>
        <v/>
      </c>
      <c r="M36" s="43"/>
      <c r="N36" s="18" t="str">
        <f t="shared" si="8"/>
        <v/>
      </c>
      <c r="O36" s="43"/>
      <c r="P36" s="18" t="str">
        <f t="shared" si="9"/>
        <v/>
      </c>
      <c r="Q36" s="43"/>
      <c r="R36" s="18" t="str">
        <f t="shared" si="10"/>
        <v/>
      </c>
      <c r="S36" s="43"/>
      <c r="T36" s="18" t="str">
        <f t="shared" si="11"/>
        <v/>
      </c>
      <c r="U36" s="43"/>
      <c r="V36" s="18" t="str">
        <f t="shared" si="12"/>
        <v/>
      </c>
      <c r="W36" s="18">
        <f t="shared" si="13"/>
        <v>0</v>
      </c>
      <c r="X36" s="57" t="str">
        <f t="shared" si="1"/>
        <v/>
      </c>
      <c r="Y36" s="57">
        <f t="shared" si="14"/>
        <v>0</v>
      </c>
      <c r="Z36" s="65">
        <f t="shared" si="15"/>
        <v>0</v>
      </c>
      <c r="AA36" s="499"/>
      <c r="AB36" s="500"/>
      <c r="AM36" s="3" t="str">
        <f t="shared" si="16"/>
        <v/>
      </c>
      <c r="AN36" s="3" t="str">
        <f t="shared" si="2"/>
        <v/>
      </c>
      <c r="AO36" s="3" t="str">
        <f t="shared" si="3"/>
        <v/>
      </c>
      <c r="AP36" s="3" t="str">
        <f t="shared" si="17"/>
        <v/>
      </c>
      <c r="AQ36" s="3" t="str">
        <f>IF(AQ35="Documentar",AQ35,AM36)</f>
        <v/>
      </c>
      <c r="AR36" s="3" t="str">
        <f t="shared" si="112"/>
        <v/>
      </c>
      <c r="AS36" s="3" t="str">
        <f>IF(AND(AQ36="Documentar",AR36="Asignar responsable"),CONCATENATE("- ",AQ36,", ",AR36),IF(AQ36="Documentar",CONCATENATE("- ",AQ36),IF(AR36="Asignar responsable",CONCATENATE("- ",AR36),"")))</f>
        <v/>
      </c>
      <c r="AT36" s="3" t="str">
        <f t="shared" si="113"/>
        <v/>
      </c>
      <c r="AU36" s="3" t="str">
        <f t="shared" ref="AU36" si="115">IF(AT36="",AS36,IF(AS36="",CONCATENATE("- ",AT36),CONCATENATE(AS36,", ",AT36)))</f>
        <v/>
      </c>
      <c r="AV36" s="3" t="str">
        <f t="shared" si="114"/>
        <v/>
      </c>
      <c r="AW36" s="3" t="str">
        <f t="shared" ref="AW36" si="116">IF(AV36="",AU36,IF(AU36="",CONCATENATE("- ",AV36),CONCATENATE(AU36,", ",AV36)))</f>
        <v/>
      </c>
      <c r="AX36" s="502"/>
      <c r="AY36" s="502"/>
      <c r="AZ36" s="502"/>
      <c r="BA36" s="502"/>
      <c r="BB36" s="3" t="str">
        <f t="shared" si="18"/>
        <v/>
      </c>
      <c r="BC36" s="3" t="str">
        <f t="shared" si="19"/>
        <v/>
      </c>
      <c r="BD36" s="3" t="str">
        <f t="shared" si="20"/>
        <v/>
      </c>
      <c r="BE36" s="3" t="str">
        <f t="shared" si="21"/>
        <v/>
      </c>
      <c r="BF36" s="3" t="str">
        <f t="shared" si="22"/>
        <v/>
      </c>
      <c r="BG36" s="3" t="str">
        <f t="shared" si="23"/>
        <v/>
      </c>
      <c r="BH36" s="3" t="str">
        <f t="shared" si="24"/>
        <v/>
      </c>
      <c r="BI36" s="3" t="str">
        <f t="shared" si="25"/>
        <v/>
      </c>
      <c r="BJ36" s="3" t="str">
        <f t="shared" si="26"/>
        <v/>
      </c>
      <c r="BK36" s="3" t="str">
        <f t="shared" si="27"/>
        <v/>
      </c>
      <c r="BL36" s="3" t="str">
        <f t="shared" si="28"/>
        <v/>
      </c>
      <c r="BM36" s="3" t="str">
        <f t="shared" si="29"/>
        <v/>
      </c>
    </row>
    <row r="37" spans="1:65" ht="36" customHeight="1" x14ac:dyDescent="0.2">
      <c r="A37" s="503" t="str">
        <f>IDENTIFICACIÓN!C18</f>
        <v>10G</v>
      </c>
      <c r="B37" s="496" t="str">
        <f>IF(IDENTIFICACIÓN!D18="","",IDENTIFICACIÓN!D18)</f>
        <v>Comunicaciones. Inoportuna e ineficaz divulgación de los productos comunicativos y publicitarios ante los usuarios internos y externos.</v>
      </c>
      <c r="C37" s="20">
        <v>1</v>
      </c>
      <c r="D37" s="56" t="s">
        <v>11</v>
      </c>
      <c r="E37" s="240">
        <f t="shared" si="4"/>
        <v>10</v>
      </c>
      <c r="F37" s="44" t="s">
        <v>579</v>
      </c>
      <c r="G37" s="18" t="str">
        <f t="shared" si="0"/>
        <v/>
      </c>
      <c r="H37" s="44" t="s">
        <v>20</v>
      </c>
      <c r="I37" s="18" t="str">
        <f t="shared" si="5"/>
        <v/>
      </c>
      <c r="J37" s="55" t="str">
        <f t="shared" si="6"/>
        <v>Posibilidad</v>
      </c>
      <c r="K37" s="43" t="s">
        <v>11</v>
      </c>
      <c r="L37" s="18">
        <f t="shared" si="7"/>
        <v>15</v>
      </c>
      <c r="M37" s="43" t="s">
        <v>11</v>
      </c>
      <c r="N37" s="18">
        <f t="shared" si="8"/>
        <v>30</v>
      </c>
      <c r="O37" s="43" t="s">
        <v>323</v>
      </c>
      <c r="P37" s="18">
        <f t="shared" si="9"/>
        <v>10</v>
      </c>
      <c r="Q37" s="43" t="s">
        <v>11</v>
      </c>
      <c r="R37" s="18">
        <f t="shared" si="10"/>
        <v>5</v>
      </c>
      <c r="S37" s="43" t="s">
        <v>11</v>
      </c>
      <c r="T37" s="18">
        <f t="shared" si="11"/>
        <v>15</v>
      </c>
      <c r="U37" s="43" t="s">
        <v>11</v>
      </c>
      <c r="V37" s="18">
        <f t="shared" si="12"/>
        <v>10</v>
      </c>
      <c r="W37" s="18">
        <f t="shared" si="13"/>
        <v>95</v>
      </c>
      <c r="X37" s="57" t="str">
        <f t="shared" si="1"/>
        <v>95                           Disminuye max 2 en Posibilidad</v>
      </c>
      <c r="Y37" s="57">
        <f t="shared" si="14"/>
        <v>2</v>
      </c>
      <c r="Z37" s="65">
        <f t="shared" si="15"/>
        <v>0</v>
      </c>
      <c r="AA37" s="497">
        <f>IF(AB37=0,"",(ROUND((SUM(W37:W39)/AB37),0)))</f>
        <v>95</v>
      </c>
      <c r="AB37" s="500">
        <f>COUNT(T37:T39)</f>
        <v>1</v>
      </c>
      <c r="AC37" s="3">
        <f>SUM(Y37:Y39)</f>
        <v>2</v>
      </c>
      <c r="AD37" s="3">
        <f>ANALISIS!D20</f>
        <v>3</v>
      </c>
      <c r="AE37" s="3">
        <f>IF((AD37-AC37)&gt;=1,(AD37-AC37),1)</f>
        <v>1</v>
      </c>
      <c r="AF37" s="501">
        <f>(AE38*10)+AE37</f>
        <v>41</v>
      </c>
      <c r="AG37" s="42" t="str">
        <f>IF(AE38=1,AH37,IF(AE38=2,AI37,IF(AE38=3,AJ37,IF(AE38=4,AK37,AL37))))</f>
        <v>ALTA 1:4</v>
      </c>
      <c r="AH37" s="46" t="str">
        <f>IF($AF37=11,"BAJA 1:1",IF($AF37=12,"BAJA 2:1",IF($AF37=13,"BAJA 3:1",IF($AF37=14,"MODERADA 4:1","ALTA 5:1"))))</f>
        <v>ALTA 5:1</v>
      </c>
      <c r="AI37" s="46" t="str">
        <f>IF($AF37=21,"BAJA 1:2",IF($AF37=22,"BAJA 2:2",IF($AF37=23,"MODERADA 3:2",IF($AF37=24,"ALTA 4:2","ALTA 5:2"))))</f>
        <v>ALTA 5:2</v>
      </c>
      <c r="AJ37" s="46" t="str">
        <f>IF($AF37=31,"MODERADA 1:3",IF($AF37=32,"MODERADA 2:3",IF($AF37=33,"ALTA 3:3",IF($AF37=34,"ALTA 4:3","EXTREMA 5:3"))))</f>
        <v>EXTREMA 5:3</v>
      </c>
      <c r="AK37" s="46" t="str">
        <f>IF($AF37=41,"ALTA 1:4",IF($AF37=42,"ALTA 2:4",IF($AF37=43,"EXTREMA 3:4",IF($AF37=44,"EXTREMA 4:4","EXTREMA 5:4"))))</f>
        <v>ALTA 1:4</v>
      </c>
      <c r="AL37" s="46" t="str">
        <f>IF($AF37=51,"ALTA 1:5",IF($AF37=52,"EXTREMA 2:5",IF($AF37=53,"EXTREMA 3:5",IF($AF37=54,"EXTREMA 4:5","EXTREMA 5:5"))))</f>
        <v>EXTREMA 5:5</v>
      </c>
      <c r="AM37" s="3" t="str">
        <f t="shared" si="16"/>
        <v/>
      </c>
      <c r="AN37" s="3" t="str">
        <f t="shared" si="2"/>
        <v/>
      </c>
      <c r="AO37" s="3" t="str">
        <f t="shared" si="3"/>
        <v/>
      </c>
      <c r="AP37" s="3" t="str">
        <f t="shared" si="17"/>
        <v/>
      </c>
      <c r="AQ37" s="3" t="str">
        <f>AM37</f>
        <v/>
      </c>
      <c r="AR37" s="3" t="str">
        <f t="shared" ref="AR37" si="117">AN37</f>
        <v/>
      </c>
      <c r="AT37" s="3" t="str">
        <f t="shared" ref="AT37" si="118">AO37</f>
        <v/>
      </c>
      <c r="AV37" s="3" t="str">
        <f t="shared" ref="AV37" si="119">AP37</f>
        <v/>
      </c>
      <c r="AX37" s="502" t="str">
        <f t="shared" ref="AX37" si="120">IF(AW39="","",CONCATENATE(AW39," (de) el(los) control(es) Efectivo(s) "))</f>
        <v/>
      </c>
      <c r="AY37" s="502" t="str">
        <f t="shared" ref="AY37" si="121">IF(CONCATENATE(N37:N39)="","",IF(AND(SUM(E37:E39)=10,SUM(N37:N39)&lt;30),"- Replantear control(es) NO efectivo(s) ",IF(AND(SUM(E37:E39)=20,SUM(N37:N39)&lt;60),"- Replantear control(es) NO efectivo(s) ",IF(AND(SUM(E37:E39)=30,SUM(N37:N39)&lt;90),"- Replantear control(es) NO efectivo(s) ",""))))</f>
        <v/>
      </c>
      <c r="AZ37" s="502" t="str">
        <f>IF(AND(AE37&gt;1,AE38&gt;1),"- Tomar Acciones Preventivas y Correctivas",IF(AE37&gt;1,"- Tomar Acciones Preventivas",IF(AE38&gt;1,"- Tomar Acciones Correctivas","")))</f>
        <v>- Tomar Acciones Correctivas</v>
      </c>
      <c r="BA37" s="502" t="str">
        <f t="shared" ref="BA37" si="122">CONCATENATE(AX37,AY37,AZ37)</f>
        <v>- Tomar Acciones Correctivas</v>
      </c>
      <c r="BB37" s="3" t="str">
        <f t="shared" si="18"/>
        <v>SI</v>
      </c>
      <c r="BC37" s="3" t="str">
        <f t="shared" si="19"/>
        <v/>
      </c>
      <c r="BD37" s="3" t="str">
        <f t="shared" si="20"/>
        <v>SI</v>
      </c>
      <c r="BE37" s="3" t="str">
        <f t="shared" si="21"/>
        <v/>
      </c>
      <c r="BF37" s="3" t="str">
        <f t="shared" si="22"/>
        <v>SI</v>
      </c>
      <c r="BG37" s="3" t="str">
        <f t="shared" si="23"/>
        <v/>
      </c>
      <c r="BH37" s="3" t="str">
        <f t="shared" si="24"/>
        <v>P</v>
      </c>
      <c r="BI37" s="3" t="str">
        <f t="shared" si="25"/>
        <v/>
      </c>
      <c r="BJ37" s="3" t="str">
        <f t="shared" si="26"/>
        <v>M</v>
      </c>
      <c r="BK37" s="3" t="str">
        <f t="shared" si="27"/>
        <v/>
      </c>
      <c r="BL37" s="3" t="str">
        <f t="shared" si="28"/>
        <v>SI</v>
      </c>
      <c r="BM37" s="3" t="str">
        <f t="shared" si="29"/>
        <v/>
      </c>
    </row>
    <row r="38" spans="1:65" ht="36" customHeight="1" x14ac:dyDescent="0.2">
      <c r="A38" s="503"/>
      <c r="B38" s="496"/>
      <c r="C38" s="20">
        <v>2</v>
      </c>
      <c r="D38" s="56"/>
      <c r="E38" s="240" t="str">
        <f t="shared" si="4"/>
        <v/>
      </c>
      <c r="F38" s="44"/>
      <c r="G38" s="18" t="str">
        <f t="shared" si="0"/>
        <v/>
      </c>
      <c r="H38" s="44"/>
      <c r="I38" s="18" t="str">
        <f t="shared" si="5"/>
        <v/>
      </c>
      <c r="J38" s="55" t="str">
        <f t="shared" si="6"/>
        <v/>
      </c>
      <c r="K38" s="43"/>
      <c r="L38" s="18" t="str">
        <f t="shared" si="7"/>
        <v/>
      </c>
      <c r="M38" s="43"/>
      <c r="N38" s="18" t="str">
        <f t="shared" si="8"/>
        <v/>
      </c>
      <c r="O38" s="43"/>
      <c r="P38" s="18" t="str">
        <f t="shared" si="9"/>
        <v/>
      </c>
      <c r="Q38" s="43"/>
      <c r="R38" s="18" t="str">
        <f t="shared" si="10"/>
        <v/>
      </c>
      <c r="S38" s="43"/>
      <c r="T38" s="18" t="str">
        <f t="shared" si="11"/>
        <v/>
      </c>
      <c r="U38" s="43"/>
      <c r="V38" s="18" t="str">
        <f t="shared" si="12"/>
        <v/>
      </c>
      <c r="W38" s="18">
        <f t="shared" si="13"/>
        <v>0</v>
      </c>
      <c r="X38" s="57" t="str">
        <f t="shared" si="1"/>
        <v/>
      </c>
      <c r="Y38" s="57">
        <f t="shared" si="14"/>
        <v>0</v>
      </c>
      <c r="Z38" s="65">
        <f t="shared" si="15"/>
        <v>0</v>
      </c>
      <c r="AA38" s="498"/>
      <c r="AB38" s="500"/>
      <c r="AC38" s="3">
        <f>SUM(Z37:Z39)</f>
        <v>0</v>
      </c>
      <c r="AD38" s="3">
        <f>ANALISIS!G20</f>
        <v>4</v>
      </c>
      <c r="AE38" s="3">
        <f>IF((AD38-AC38)&gt;=1,(AD38-AC38),1)</f>
        <v>4</v>
      </c>
      <c r="AF38" s="501"/>
      <c r="AG38" s="42" t="str">
        <f>IF(AE38=1,AH38,IF(AE38=2,AI38,IF(AE38=3,AJ38,IF(AE38=4,AK38,AL38))))</f>
        <v>- Reducir el Riesgo- Compartir o Transferir el Riesgo</v>
      </c>
      <c r="AH38" s="46" t="str">
        <f>IF($AF37=11,"- Asumir el Riesgo",IF($AF37=12,"- Asumir el Riesgo- Evitar Posibilidad de Ocurrencia- Reducir el Riesgo",IF($AF37=13,"- Asumir el Riesgo- Evitar Posibilidad de Ocurrencia- Reducir el Riesgo",IF($AF37=14,"-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8" s="46" t="str">
        <f>IF($AF37=21,"- Asumir el Riesgo- Reducir el Riesgo",IF($AF37=22,"- Asumir el Riesgo- Evitar Posibilidad de Ocurrencia- Reducir el Riesgo",IF($AF37=23,"- Asumir el Riesgo- Evitar Posibilidad de Ocurrencia- Reducir el Riesgo- Compartir o Transferir el Riesgo",IF($AF37=24,"- Evitar Posibilidad de Ocurrencia- Reducir el Riesgo- Compartir o Transferir el Riesgo","- Evitar Posibilidad de Ocurrencia- Reducir el Riesgo- Compartir o Transferir el Riesgo"))))</f>
        <v>- Evitar Posibilidad de Ocurrencia- Reducir el Riesgo- Compartir o Transferir el Riesgo</v>
      </c>
      <c r="AJ38" s="46" t="str">
        <f>IF($AF37=31,"- Asumir el Riesgo- Reducir el Riesgo- Compartir o Transferir el Riesgo",IF($AF37=32,"- Asumir el Riesgo- Evitar Posibilidad de Ocurrencia- Reducir el Reducir- Compartir o Transferir el Riesgo",IF($AF37=33,"- Evitar Posibilidad de Ocurrencia- Reducir el Riesgo- Compartir o Transferir el Riesgo",IF($AF37=34,"-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8" s="46" t="str">
        <f>IF($AF37=41,"- Reducir el Riesgo- Compartir o Transferir el Riesgo",IF($AF37=42,"- Evitar Posibilidad de Ocurrencia- Reducir el Riesgo- Compartir o Transferir el Riesgo",IF($AF37=43,"- Eliminar Causa(s)- Evitar Posibilidad de Ocurrencia- Reducir el Riesgo- Compartir o Transferir el Riesgo",IF($AF37=44,"- Eliminar Causa(s)- Evitar Posibilidad de Ocurrencia- Reducir el Riesgo- Compartir o Transferir el Riesgo","- Eliminar Causa(s)- Evitar Posibilidad de Ocurrencia- Reducir el Riesgo- Compartir o Transferir el Riesgo"))))</f>
        <v>- Reducir el Riesgo- Compartir o Transferir el Riesgo</v>
      </c>
      <c r="AL38" s="46" t="str">
        <f>IF($AF37=51,"- Reducir el Riesgo- Compartir o Transferir el Riesgo",IF($AF37=52,"- Eliminar Causa(s)- Evitar Posibilidad de Ocurrencia- Reducir el Riesgo- Compartir o Transferir el Riesgo",IF($AF37=53,"- Eliminar Causa(s)- Evitar Posibilidad de Ocurrencia- Reducir el Riesgo- Compartir o Transferir el Riesgo",IF($AF37=54,"-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8" s="3" t="str">
        <f t="shared" si="16"/>
        <v/>
      </c>
      <c r="AN38" s="3" t="str">
        <f t="shared" si="2"/>
        <v/>
      </c>
      <c r="AO38" s="3" t="str">
        <f t="shared" si="3"/>
        <v/>
      </c>
      <c r="AP38" s="3" t="str">
        <f t="shared" si="17"/>
        <v/>
      </c>
      <c r="AQ38" s="3" t="str">
        <f>IF(AQ37="Documentar",AQ37,AM38)</f>
        <v/>
      </c>
      <c r="AR38" s="3" t="str">
        <f t="shared" ref="AR38:AR39" si="123">IF(AR37="Asignar responsable",AR37,AN38)</f>
        <v/>
      </c>
      <c r="AT38" s="3" t="str">
        <f t="shared" ref="AT38:AT39" si="124">IF(AT37="Establecer periodos de seguimiento adecuados",AT37,AO38)</f>
        <v/>
      </c>
      <c r="AV38" s="3" t="str">
        <f t="shared" ref="AV38:AV39" si="125">IF(AV37="Guardar Evidencias",AV37,AP38)</f>
        <v/>
      </c>
      <c r="AX38" s="502"/>
      <c r="AY38" s="502"/>
      <c r="AZ38" s="502"/>
      <c r="BA38" s="502"/>
      <c r="BB38" s="3" t="str">
        <f t="shared" si="18"/>
        <v/>
      </c>
      <c r="BC38" s="3" t="str">
        <f t="shared" si="19"/>
        <v/>
      </c>
      <c r="BD38" s="3" t="str">
        <f t="shared" si="20"/>
        <v/>
      </c>
      <c r="BE38" s="3" t="str">
        <f t="shared" si="21"/>
        <v/>
      </c>
      <c r="BF38" s="3" t="str">
        <f t="shared" si="22"/>
        <v/>
      </c>
      <c r="BG38" s="3" t="str">
        <f t="shared" si="23"/>
        <v/>
      </c>
      <c r="BH38" s="3" t="str">
        <f t="shared" si="24"/>
        <v/>
      </c>
      <c r="BI38" s="3" t="str">
        <f t="shared" si="25"/>
        <v/>
      </c>
      <c r="BJ38" s="3" t="str">
        <f t="shared" si="26"/>
        <v/>
      </c>
      <c r="BK38" s="3" t="str">
        <f t="shared" si="27"/>
        <v/>
      </c>
      <c r="BL38" s="3" t="str">
        <f t="shared" si="28"/>
        <v/>
      </c>
      <c r="BM38" s="3" t="str">
        <f t="shared" si="29"/>
        <v/>
      </c>
    </row>
    <row r="39" spans="1:65" ht="36" customHeight="1" x14ac:dyDescent="0.2">
      <c r="A39" s="503"/>
      <c r="B39" s="496"/>
      <c r="C39" s="20">
        <v>3</v>
      </c>
      <c r="D39" s="56"/>
      <c r="E39" s="240" t="str">
        <f t="shared" si="4"/>
        <v/>
      </c>
      <c r="F39" s="44"/>
      <c r="G39" s="18" t="str">
        <f t="shared" si="0"/>
        <v/>
      </c>
      <c r="H39" s="44"/>
      <c r="I39" s="18" t="str">
        <f t="shared" si="5"/>
        <v/>
      </c>
      <c r="J39" s="55" t="str">
        <f t="shared" si="6"/>
        <v/>
      </c>
      <c r="K39" s="43"/>
      <c r="L39" s="18" t="str">
        <f t="shared" si="7"/>
        <v/>
      </c>
      <c r="M39" s="43"/>
      <c r="N39" s="18" t="str">
        <f t="shared" si="8"/>
        <v/>
      </c>
      <c r="O39" s="43"/>
      <c r="P39" s="18" t="str">
        <f t="shared" si="9"/>
        <v/>
      </c>
      <c r="Q39" s="43"/>
      <c r="R39" s="18" t="str">
        <f t="shared" si="10"/>
        <v/>
      </c>
      <c r="S39" s="43"/>
      <c r="T39" s="18" t="str">
        <f t="shared" si="11"/>
        <v/>
      </c>
      <c r="U39" s="43"/>
      <c r="V39" s="18" t="str">
        <f t="shared" si="12"/>
        <v/>
      </c>
      <c r="W39" s="18">
        <f t="shared" si="13"/>
        <v>0</v>
      </c>
      <c r="X39" s="57" t="str">
        <f t="shared" si="1"/>
        <v/>
      </c>
      <c r="Y39" s="57">
        <f t="shared" si="14"/>
        <v>0</v>
      </c>
      <c r="Z39" s="65">
        <f t="shared" si="15"/>
        <v>0</v>
      </c>
      <c r="AA39" s="499"/>
      <c r="AB39" s="500"/>
      <c r="AM39" s="3" t="str">
        <f t="shared" si="16"/>
        <v/>
      </c>
      <c r="AN39" s="3" t="str">
        <f t="shared" si="2"/>
        <v/>
      </c>
      <c r="AO39" s="3" t="str">
        <f t="shared" si="3"/>
        <v/>
      </c>
      <c r="AP39" s="3" t="str">
        <f t="shared" si="17"/>
        <v/>
      </c>
      <c r="AQ39" s="3" t="str">
        <f>IF(AQ38="Documentar",AQ38,AM39)</f>
        <v/>
      </c>
      <c r="AR39" s="3" t="str">
        <f t="shared" si="123"/>
        <v/>
      </c>
      <c r="AS39" s="3" t="str">
        <f>IF(AND(AQ39="Documentar",AR39="Asignar responsable"),CONCATENATE("- ",AQ39,", ",AR39),IF(AQ39="Documentar",CONCATENATE("- ",AQ39),IF(AR39="Asignar responsable",CONCATENATE("- ",AR39),"")))</f>
        <v/>
      </c>
      <c r="AT39" s="3" t="str">
        <f t="shared" si="124"/>
        <v/>
      </c>
      <c r="AU39" s="3" t="str">
        <f t="shared" ref="AU39" si="126">IF(AT39="",AS39,IF(AS39="",CONCATENATE("- ",AT39),CONCATENATE(AS39,", ",AT39)))</f>
        <v/>
      </c>
      <c r="AV39" s="3" t="str">
        <f t="shared" si="125"/>
        <v/>
      </c>
      <c r="AW39" s="3" t="str">
        <f t="shared" ref="AW39" si="127">IF(AV39="",AU39,IF(AU39="",CONCATENATE("- ",AV39),CONCATENATE(AU39,", ",AV39)))</f>
        <v/>
      </c>
      <c r="AX39" s="502"/>
      <c r="AY39" s="502"/>
      <c r="AZ39" s="502"/>
      <c r="BA39" s="502"/>
      <c r="BB39" s="3" t="str">
        <f t="shared" si="18"/>
        <v/>
      </c>
      <c r="BC39" s="3" t="str">
        <f t="shared" si="19"/>
        <v/>
      </c>
      <c r="BD39" s="3" t="str">
        <f t="shared" si="20"/>
        <v/>
      </c>
      <c r="BE39" s="3" t="str">
        <f t="shared" si="21"/>
        <v/>
      </c>
      <c r="BF39" s="3" t="str">
        <f t="shared" si="22"/>
        <v/>
      </c>
      <c r="BG39" s="3" t="str">
        <f t="shared" si="23"/>
        <v/>
      </c>
      <c r="BH39" s="3" t="str">
        <f t="shared" si="24"/>
        <v/>
      </c>
      <c r="BI39" s="3" t="str">
        <f t="shared" si="25"/>
        <v/>
      </c>
      <c r="BJ39" s="3" t="str">
        <f t="shared" si="26"/>
        <v/>
      </c>
      <c r="BK39" s="3" t="str">
        <f t="shared" si="27"/>
        <v/>
      </c>
      <c r="BL39" s="3" t="str">
        <f t="shared" si="28"/>
        <v/>
      </c>
      <c r="BM39" s="3" t="str">
        <f t="shared" si="29"/>
        <v/>
      </c>
    </row>
    <row r="40" spans="1:65" ht="36" customHeight="1" x14ac:dyDescent="0.2">
      <c r="A40" s="503" t="str">
        <f>IDENTIFICACIÓN!C19</f>
        <v>11G</v>
      </c>
      <c r="B40" s="496" t="str">
        <f>IF(IDENTIFICACIÓN!D19="","",IDENTIFICACIÓN!D19)</f>
        <v>Gestión Academica. Pérdida de Registro Calificado de los Programas Académicos.</v>
      </c>
      <c r="C40" s="356">
        <v>1</v>
      </c>
      <c r="D40" s="56" t="s">
        <v>11</v>
      </c>
      <c r="E40" s="240">
        <f t="shared" si="4"/>
        <v>10</v>
      </c>
      <c r="F40" s="44" t="s">
        <v>567</v>
      </c>
      <c r="G40" s="18" t="str">
        <f t="shared" ref="G40:G45" si="128">IF($D40="SI",IF(ISBLANK(F40),"Decripcion",""),"")</f>
        <v/>
      </c>
      <c r="H40" s="44" t="s">
        <v>20</v>
      </c>
      <c r="I40" s="18" t="str">
        <f t="shared" ref="I40:I45" si="129">IF($D40="SI",IF(ISBLANK(H40),"Tipo",""),"")</f>
        <v/>
      </c>
      <c r="J40" s="55" t="str">
        <f t="shared" ref="J40:J45" si="130">IF(H40="Preventivo","Posibilidad",IF(H40="Correctivo","Impacto",""))</f>
        <v>Posibilidad</v>
      </c>
      <c r="K40" s="43" t="s">
        <v>11</v>
      </c>
      <c r="L40" s="18">
        <f t="shared" ref="L40:L45" si="131">IF($D40="SI",IF(K40="SI",15,IF(K40="NO",0,"P1")),"")</f>
        <v>15</v>
      </c>
      <c r="M40" s="43" t="s">
        <v>11</v>
      </c>
      <c r="N40" s="18">
        <f t="shared" ref="N40:N45" si="132">IF($D40="SI",IF(M40="SI",30,IF(M40="NO",0,"P2")),"")</f>
        <v>30</v>
      </c>
      <c r="O40" s="43" t="s">
        <v>323</v>
      </c>
      <c r="P40" s="18">
        <f t="shared" ref="P40:P45" si="133">IF($D40="SI",IF(O40="Automático",15,IF(O40="Manual",10,"P3")),"")</f>
        <v>10</v>
      </c>
      <c r="Q40" s="43" t="s">
        <v>11</v>
      </c>
      <c r="R40" s="18">
        <f t="shared" ref="R40:R45" si="134">IF($D40="SI",IF(Q40="SI",5,IF(Q40="NO",0,"P4")),"")</f>
        <v>5</v>
      </c>
      <c r="S40" s="43" t="s">
        <v>10</v>
      </c>
      <c r="T40" s="18">
        <f t="shared" ref="T40:T45" si="135">IF($D40="SI",IF(S40="SI",15,IF(S40="NO",0,"P5")),"")</f>
        <v>0</v>
      </c>
      <c r="U40" s="43" t="s">
        <v>11</v>
      </c>
      <c r="V40" s="18">
        <f t="shared" ref="V40:V45" si="136">IF($D40="SI",IF(U40="SI",10,IF(U40="NO",0,"P6")),"")</f>
        <v>10</v>
      </c>
      <c r="W40" s="18">
        <f t="shared" ref="W40:W45" si="137">IF(D40="SI",E40+L40+N40+P40+R40+T40+V40,0)</f>
        <v>80</v>
      </c>
      <c r="X40" s="57" t="str">
        <f t="shared" ref="X40:X45" si="138">IF(ISBLANK(D40),"",IF(D40="NO",0,IF(D40="SI",IF(OR(G40="Decripcion",I40="Tipo",L40="P1",N40="P2",P40="P3",R40="P4",T40="P5",V40="P6"),CONCATENATE("Falta diligenciar: ",G40," ",I40,IF(L40="P1"," Preg 1",),IF(N40="P2"," Preg 2",),IF(P40="P3"," Preg 3",),IF(R40="P4"," Preg 4",),IF(T40="P5"," Preg 5",),IF(V40="P6"," Preg 6",)),IF(W40&gt;76,CONCATENATE(W40,"                           Disminuye max 2 en ",J40),IF(AND(W40&gt;50,W40&lt;76),CONCATENATE(W40,"                           Disminuye max 1 en ", J40),W40))))))</f>
        <v>80                           Disminuye max 2 en Posibilidad</v>
      </c>
      <c r="Y40" s="57">
        <f t="shared" ref="Y40:Y45" si="139">IF(AND(W40&gt;50,W40&lt;76,J40="Posibilidad"),1,IF(AND(W40&gt;75,W40&lt;101,J40="Posibilidad"),2,0))</f>
        <v>2</v>
      </c>
      <c r="Z40" s="356">
        <f t="shared" ref="Z40:Z45" si="140">IF(AND(W40&gt;50,W40&lt;76,J40="Impacto"),1,IF(AND(W40&gt;75,W40&lt;101,J40="Impacto"),2,0))</f>
        <v>0</v>
      </c>
      <c r="AA40" s="497">
        <f>IF(AB40=0,"",(ROUND((SUM(W40:W42)/AB40),0)))</f>
        <v>88</v>
      </c>
      <c r="AB40" s="500">
        <f>COUNT(T40:T42)</f>
        <v>2</v>
      </c>
      <c r="AC40" s="3">
        <f>SUM(Y40:Y42)</f>
        <v>4</v>
      </c>
      <c r="AD40" s="3">
        <f>ANALISIS!D21</f>
        <v>3</v>
      </c>
      <c r="AE40" s="3">
        <f>IF((AD40-AC40)&gt;=1,(AD40-AC40),1)</f>
        <v>1</v>
      </c>
      <c r="AF40" s="501">
        <f>(AE41*10)+AE40</f>
        <v>41</v>
      </c>
      <c r="AG40" s="355" t="str">
        <f>IF(AE41=1,AH40,IF(AE41=2,AI40,IF(AE41=3,AJ40,IF(AE41=4,AK40,AL40))))</f>
        <v>ALTA 1:4</v>
      </c>
      <c r="AH40" s="46" t="str">
        <f>IF($AF40=11,"BAJA 1:1",IF($AF40=12,"BAJA 2:1",IF($AF40=13,"BAJA 3:1",IF($AF40=14,"MODERADA 4:1","ALTA 5:1"))))</f>
        <v>ALTA 5:1</v>
      </c>
      <c r="AI40" s="46" t="str">
        <f>IF($AF40=21,"BAJA 1:2",IF($AF40=22,"BAJA 2:2",IF($AF40=23,"MODERADA 3:2",IF($AF40=24,"ALTA 4:2","ALTA 5:2"))))</f>
        <v>ALTA 5:2</v>
      </c>
      <c r="AJ40" s="46" t="str">
        <f>IF($AF40=31,"MODERADA 1:3",IF($AF40=32,"MODERADA 2:3",IF($AF40=33,"ALTA 3:3",IF($AF40=34,"ALTA 4:3","EXTREMA 5:3"))))</f>
        <v>EXTREMA 5:3</v>
      </c>
      <c r="AK40" s="46" t="str">
        <f>IF($AF40=41,"ALTA 1:4",IF($AF40=42,"ALTA 2:4",IF($AF40=43,"EXTREMA 3:4",IF($AF40=44,"EXTREMA 4:4","EXTREMA 5:4"))))</f>
        <v>ALTA 1:4</v>
      </c>
      <c r="AL40" s="46" t="str">
        <f>IF($AF40=51,"ALTA 1:5",IF($AF40=52,"EXTREMA 2:5",IF($AF40=53,"EXTREMA 3:5",IF($AF40=54,"EXTREMA 4:5","EXTREMA 5:5"))))</f>
        <v>EXTREMA 5:5</v>
      </c>
      <c r="AM40" s="3" t="str">
        <f t="shared" ref="AM40:AM45" si="141">IF(AND(N40=30,L40=0),$AM$8,"")</f>
        <v/>
      </c>
      <c r="AN40" s="3" t="str">
        <f t="shared" ref="AN40:AN45" si="142">IF(AND(N40=30,R40=0),$AN$8,"")</f>
        <v/>
      </c>
      <c r="AO40" s="3" t="str">
        <f t="shared" ref="AO40:AO45" si="143">IF(AND(N40=30,T40=0),$AO$8,"")</f>
        <v>Establecer periodos de seguimiento adecuados</v>
      </c>
      <c r="AP40" s="3" t="str">
        <f t="shared" ref="AP40:AP45" si="144">IF(AND(N40=30,V40=0),$AP$8,"")</f>
        <v/>
      </c>
      <c r="AQ40" s="3" t="str">
        <f>AM40</f>
        <v/>
      </c>
      <c r="AR40" s="3" t="str">
        <f t="shared" ref="AR40" si="145">AN40</f>
        <v/>
      </c>
      <c r="AT40" s="3" t="str">
        <f t="shared" ref="AT40" si="146">AO40</f>
        <v>Establecer periodos de seguimiento adecuados</v>
      </c>
      <c r="AV40" s="3" t="str">
        <f t="shared" ref="AV40" si="147">AP40</f>
        <v/>
      </c>
      <c r="AX40" s="502" t="str">
        <f t="shared" ref="AX40" si="148">IF(AW42="","",CONCATENATE(AW42," (de) el(los) control(es) Efectivo(s) "))</f>
        <v xml:space="preserve">- Establecer periodos de seguimiento adecuados (de) el(los) control(es) Efectivo(s) </v>
      </c>
      <c r="AY40" s="502" t="str">
        <f t="shared" ref="AY40" si="149">IF(CONCATENATE(N40:N42)="","",IF(AND(SUM(E40:E42)=10,SUM(N40:N42)&lt;30),"- Replantear control(es) NO efectivo(s) ",IF(AND(SUM(E40:E42)=20,SUM(N40:N42)&lt;60),"- Replantear control(es) NO efectivo(s) ",IF(AND(SUM(E40:E42)=30,SUM(N40:N42)&lt;90),"- Replantear control(es) NO efectivo(s) ",""))))</f>
        <v/>
      </c>
      <c r="AZ40" s="502" t="str">
        <f>IF(AND(AE40&gt;1,AE41&gt;1),"- Tomar Acciones Preventivas y Correctivas",IF(AE40&gt;1,"- Tomar Acciones Preventivas",IF(AE41&gt;1,"- Tomar Acciones Correctivas","")))</f>
        <v>- Tomar Acciones Correctivas</v>
      </c>
      <c r="BA40" s="502" t="str">
        <f t="shared" ref="BA40" si="150">CONCATENATE(AX40,AY40,AZ40)</f>
        <v>- Establecer periodos de seguimiento adecuados (de) el(los) control(es) Efectivo(s) - Tomar Acciones Correctivas</v>
      </c>
      <c r="BB40" s="3" t="str">
        <f t="shared" ref="BB40:BB45" si="151">IF(AND($N40=30,L40=15),"SI",IF(AND($N40=30,L40=0),"NO",""))</f>
        <v>SI</v>
      </c>
      <c r="BC40" s="3" t="str">
        <f t="shared" ref="BC40:BC45" si="152">IF(AND($N40=0,L40=15),"SI",IF(AND($N40=0,L40=0),"NO",""))</f>
        <v/>
      </c>
      <c r="BD40" s="3" t="str">
        <f t="shared" ref="BD40:BD45" si="153">IF(AND($N40=30,R40=5),"SI",IF(AND($N40=30,R40=0),"NO",""))</f>
        <v>SI</v>
      </c>
      <c r="BE40" s="3" t="str">
        <f t="shared" ref="BE40:BE45" si="154">IF(AND($N40=0,R40=5),"SI",IF(AND($N40=0,R40=0),"NO",""))</f>
        <v/>
      </c>
      <c r="BF40" s="3" t="str">
        <f t="shared" ref="BF40:BF45" si="155">IF(AND($N40=30,T40=15),"SI",IF(AND($N40=30,T40=0),"NO",""))</f>
        <v>NO</v>
      </c>
      <c r="BG40" s="3" t="str">
        <f t="shared" ref="BG40:BG45" si="156">IF(AND($N40=0,T40=15),"SI",IF(AND($N40=0,T40=0),"NO",""))</f>
        <v/>
      </c>
      <c r="BH40" s="3" t="str">
        <f t="shared" ref="BH40:BH45" si="157">IF(AND($N40=30,H40="Preventivo"),"P",IF(AND($N40=30,H40="Correctivo"),"C",""))</f>
        <v>P</v>
      </c>
      <c r="BI40" s="3" t="str">
        <f t="shared" si="25"/>
        <v/>
      </c>
      <c r="BJ40" s="3" t="str">
        <f t="shared" si="26"/>
        <v>M</v>
      </c>
      <c r="BK40" s="3" t="str">
        <f t="shared" si="27"/>
        <v/>
      </c>
      <c r="BL40" s="3" t="str">
        <f t="shared" ref="BL40:BL45" si="158">IF(AND($N40=30,V40=10),"SI",IF(AND($N40=30,V40=0),"NO",""))</f>
        <v>SI</v>
      </c>
      <c r="BM40" s="3" t="str">
        <f t="shared" ref="BM40:BM45" si="159">IF(AND($N40=0,V40=10),"SI",IF(AND($N40=0,V40=0),"NO",""))</f>
        <v/>
      </c>
    </row>
    <row r="41" spans="1:65" ht="36" customHeight="1" x14ac:dyDescent="0.2">
      <c r="A41" s="503"/>
      <c r="B41" s="496"/>
      <c r="C41" s="356">
        <v>2</v>
      </c>
      <c r="D41" s="56" t="s">
        <v>11</v>
      </c>
      <c r="E41" s="240">
        <f t="shared" si="4"/>
        <v>10</v>
      </c>
      <c r="F41" s="44" t="s">
        <v>580</v>
      </c>
      <c r="G41" s="18" t="str">
        <f t="shared" si="128"/>
        <v/>
      </c>
      <c r="H41" s="44" t="s">
        <v>20</v>
      </c>
      <c r="I41" s="18" t="str">
        <f t="shared" si="129"/>
        <v/>
      </c>
      <c r="J41" s="55" t="str">
        <f t="shared" si="130"/>
        <v>Posibilidad</v>
      </c>
      <c r="K41" s="43" t="s">
        <v>11</v>
      </c>
      <c r="L41" s="18">
        <f t="shared" si="131"/>
        <v>15</v>
      </c>
      <c r="M41" s="43" t="s">
        <v>11</v>
      </c>
      <c r="N41" s="18">
        <f t="shared" si="132"/>
        <v>30</v>
      </c>
      <c r="O41" s="43" t="s">
        <v>323</v>
      </c>
      <c r="P41" s="18">
        <f t="shared" si="133"/>
        <v>10</v>
      </c>
      <c r="Q41" s="43" t="s">
        <v>11</v>
      </c>
      <c r="R41" s="18">
        <f t="shared" si="134"/>
        <v>5</v>
      </c>
      <c r="S41" s="43" t="s">
        <v>11</v>
      </c>
      <c r="T41" s="18">
        <f t="shared" si="135"/>
        <v>15</v>
      </c>
      <c r="U41" s="43" t="s">
        <v>11</v>
      </c>
      <c r="V41" s="18">
        <f t="shared" si="136"/>
        <v>10</v>
      </c>
      <c r="W41" s="18">
        <f t="shared" si="137"/>
        <v>95</v>
      </c>
      <c r="X41" s="57" t="str">
        <f t="shared" si="138"/>
        <v>95                           Disminuye max 2 en Posibilidad</v>
      </c>
      <c r="Y41" s="57">
        <f t="shared" si="139"/>
        <v>2</v>
      </c>
      <c r="Z41" s="356">
        <f t="shared" si="140"/>
        <v>0</v>
      </c>
      <c r="AA41" s="498"/>
      <c r="AB41" s="500"/>
      <c r="AC41" s="3">
        <f>SUM(Z40:Z42)</f>
        <v>0</v>
      </c>
      <c r="AD41" s="3">
        <f>ANALISIS!G21</f>
        <v>4</v>
      </c>
      <c r="AE41" s="3">
        <f>IF((AD41-AC41)&gt;=1,(AD41-AC41),1)</f>
        <v>4</v>
      </c>
      <c r="AF41" s="501"/>
      <c r="AG41" s="355" t="str">
        <f>IF(AE41=1,AH41,IF(AE41=2,AI41,IF(AE41=3,AJ41,IF(AE41=4,AK41,AL41))))</f>
        <v>- Reducir el Riesgo- Compartir o Transferir el Riesgo</v>
      </c>
      <c r="AH41" s="46" t="str">
        <f>IF($AF40=11,"- Asumir el Riesgo",IF($AF40=12,"- Asumir el Riesgo- Evitar Posibilidad de Ocurrencia- Reducir el Riesgo",IF($AF40=13,"- Asumir el Riesgo- Evitar Posibilidad de Ocurrencia- Reducir el Riesgo",IF($AF40=14,"-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1" s="46" t="str">
        <f>IF($AF40=21,"- Asumir el Riesgo- Reducir el Riesgo",IF($AF40=22,"- Asumir el Riesgo- Evitar Posibilidad de Ocurrencia- Reducir el Riesgo",IF($AF40=23,"- Asumir el Riesgo- Evitar Posibilidad de Ocurrencia- Reducir el Riesgo- Compartir o Transferir el Riesgo",IF($AF40=24,"- Evitar Posibilidad de Ocurrencia- Reducir el Riesgo- Compartir o Transferir el Riesgo","- Evitar Posibilidad de Ocurrencia- Reducir el Riesgo- Compartir o Transferir el Riesgo"))))</f>
        <v>- Evitar Posibilidad de Ocurrencia- Reducir el Riesgo- Compartir o Transferir el Riesgo</v>
      </c>
      <c r="AJ41" s="46" t="str">
        <f>IF($AF40=31,"- Asumir el Riesgo- Reducir el Riesgo- Compartir o Transferir el Riesgo",IF($AF40=32,"- Asumir el Riesgo- Evitar Posibilidad de Ocurrencia- Reducir el Reducir- Compartir o Transferir el Riesgo",IF($AF40=33,"- Evitar Posibilidad de Ocurrencia- Reducir el Riesgo- Compartir o Transferir el Riesgo",IF($AF40=34,"-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1" s="46" t="str">
        <f>IF($AF40=41,"- Reducir el Riesgo- Compartir o Transferir el Riesgo",IF($AF40=42,"- Evitar Posibilidad de Ocurrencia- Reducir el Riesgo- Compartir o Transferir el Riesgo",IF($AF40=43,"- Eliminar Causa(s)- Evitar Posibilidad de Ocurrencia- Reducir el Riesgo- Compartir o Transferir el Riesgo",IF($AF40=44,"- Eliminar Causa(s)- Evitar Posibilidad de Ocurrencia- Reducir el Riesgo- Compartir o Transferir el Riesgo","- Eliminar Causa(s)- Evitar Posibilidad de Ocurrencia- Reducir el Riesgo- Compartir o Transferir el Riesgo"))))</f>
        <v>- Reducir el Riesgo- Compartir o Transferir el Riesgo</v>
      </c>
      <c r="AL41" s="46" t="str">
        <f>IF($AF40=51,"- Reducir el Riesgo- Compartir o Transferir el Riesgo",IF($AF40=52,"- Eliminar Causa(s)- Evitar Posibilidad de Ocurrencia- Reducir el Riesgo- Compartir o Transferir el Riesgo",IF($AF40=53,"- Eliminar Causa(s)- Evitar Posibilidad de Ocurrencia- Reducir el Riesgo- Compartir o Transferir el Riesgo",IF($AF40=54,"-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1" s="3" t="str">
        <f t="shared" si="141"/>
        <v/>
      </c>
      <c r="AN41" s="3" t="str">
        <f t="shared" si="142"/>
        <v/>
      </c>
      <c r="AO41" s="3" t="str">
        <f t="shared" si="143"/>
        <v/>
      </c>
      <c r="AP41" s="3" t="str">
        <f t="shared" si="144"/>
        <v/>
      </c>
      <c r="AQ41" s="3" t="str">
        <f>IF(AQ40="Documentar",AQ40,AM41)</f>
        <v/>
      </c>
      <c r="AR41" s="3" t="str">
        <f t="shared" ref="AR41:AR42" si="160">IF(AR40="Asignar responsable",AR40,AN41)</f>
        <v/>
      </c>
      <c r="AT41" s="3" t="str">
        <f t="shared" ref="AT41:AT42" si="161">IF(AT40="Establecer periodos de seguimiento adecuados",AT40,AO41)</f>
        <v>Establecer periodos de seguimiento adecuados</v>
      </c>
      <c r="AV41" s="3" t="str">
        <f t="shared" ref="AV41:AV42" si="162">IF(AV40="Guardar Evidencias",AV40,AP41)</f>
        <v/>
      </c>
      <c r="AX41" s="502"/>
      <c r="AY41" s="502"/>
      <c r="AZ41" s="502"/>
      <c r="BA41" s="502"/>
      <c r="BB41" s="3" t="str">
        <f t="shared" si="151"/>
        <v>SI</v>
      </c>
      <c r="BC41" s="3" t="str">
        <f t="shared" si="152"/>
        <v/>
      </c>
      <c r="BD41" s="3" t="str">
        <f t="shared" si="153"/>
        <v>SI</v>
      </c>
      <c r="BE41" s="3" t="str">
        <f t="shared" si="154"/>
        <v/>
      </c>
      <c r="BF41" s="3" t="str">
        <f t="shared" si="155"/>
        <v>SI</v>
      </c>
      <c r="BG41" s="3" t="str">
        <f t="shared" si="156"/>
        <v/>
      </c>
      <c r="BH41" s="3" t="str">
        <f t="shared" si="157"/>
        <v>P</v>
      </c>
      <c r="BI41" s="3" t="str">
        <f t="shared" si="25"/>
        <v/>
      </c>
      <c r="BJ41" s="3" t="str">
        <f t="shared" si="26"/>
        <v>M</v>
      </c>
      <c r="BK41" s="3" t="str">
        <f t="shared" si="27"/>
        <v/>
      </c>
      <c r="BL41" s="3" t="str">
        <f t="shared" si="158"/>
        <v>SI</v>
      </c>
      <c r="BM41" s="3" t="str">
        <f t="shared" si="159"/>
        <v/>
      </c>
    </row>
    <row r="42" spans="1:65" ht="36" customHeight="1" x14ac:dyDescent="0.2">
      <c r="A42" s="503"/>
      <c r="B42" s="496"/>
      <c r="C42" s="356">
        <v>3</v>
      </c>
      <c r="D42" s="56"/>
      <c r="E42" s="240" t="str">
        <f t="shared" si="4"/>
        <v/>
      </c>
      <c r="F42" s="44"/>
      <c r="G42" s="18" t="str">
        <f t="shared" si="128"/>
        <v/>
      </c>
      <c r="H42" s="44"/>
      <c r="I42" s="18" t="str">
        <f t="shared" si="129"/>
        <v/>
      </c>
      <c r="J42" s="55" t="str">
        <f t="shared" si="130"/>
        <v/>
      </c>
      <c r="K42" s="43"/>
      <c r="L42" s="18" t="str">
        <f t="shared" si="131"/>
        <v/>
      </c>
      <c r="M42" s="43"/>
      <c r="N42" s="18" t="str">
        <f t="shared" si="132"/>
        <v/>
      </c>
      <c r="O42" s="43"/>
      <c r="P42" s="18" t="str">
        <f t="shared" si="133"/>
        <v/>
      </c>
      <c r="Q42" s="43"/>
      <c r="R42" s="18" t="str">
        <f t="shared" si="134"/>
        <v/>
      </c>
      <c r="S42" s="43"/>
      <c r="T42" s="18" t="str">
        <f t="shared" si="135"/>
        <v/>
      </c>
      <c r="U42" s="43"/>
      <c r="V42" s="18" t="str">
        <f t="shared" si="136"/>
        <v/>
      </c>
      <c r="W42" s="18">
        <f t="shared" si="137"/>
        <v>0</v>
      </c>
      <c r="X42" s="57" t="str">
        <f t="shared" si="138"/>
        <v/>
      </c>
      <c r="Y42" s="57">
        <f t="shared" si="139"/>
        <v>0</v>
      </c>
      <c r="Z42" s="356">
        <f t="shared" si="140"/>
        <v>0</v>
      </c>
      <c r="AA42" s="499"/>
      <c r="AB42" s="500"/>
      <c r="AM42" s="3" t="str">
        <f t="shared" si="141"/>
        <v/>
      </c>
      <c r="AN42" s="3" t="str">
        <f t="shared" si="142"/>
        <v/>
      </c>
      <c r="AO42" s="3" t="str">
        <f t="shared" si="143"/>
        <v/>
      </c>
      <c r="AP42" s="3" t="str">
        <f t="shared" si="144"/>
        <v/>
      </c>
      <c r="AQ42" s="3" t="str">
        <f>IF(AQ41="Documentar",AQ41,AM42)</f>
        <v/>
      </c>
      <c r="AR42" s="3" t="str">
        <f t="shared" si="160"/>
        <v/>
      </c>
      <c r="AS42" s="3" t="str">
        <f>IF(AND(AQ42="Documentar",AR42="Asignar responsable"),CONCATENATE("- ",AQ42,", ",AR42),IF(AQ42="Documentar",CONCATENATE("- ",AQ42),IF(AR42="Asignar responsable",CONCATENATE("- ",AR42),"")))</f>
        <v/>
      </c>
      <c r="AT42" s="3" t="str">
        <f t="shared" si="161"/>
        <v>Establecer periodos de seguimiento adecuados</v>
      </c>
      <c r="AU42" s="3" t="str">
        <f t="shared" ref="AU42" si="163">IF(AT42="",AS42,IF(AS42="",CONCATENATE("- ",AT42),CONCATENATE(AS42,", ",AT42)))</f>
        <v>- Establecer periodos de seguimiento adecuados</v>
      </c>
      <c r="AV42" s="3" t="str">
        <f t="shared" si="162"/>
        <v/>
      </c>
      <c r="AW42" s="3" t="str">
        <f t="shared" ref="AW42" si="164">IF(AV42="",AU42,IF(AU42="",CONCATENATE("- ",AV42),CONCATENATE(AU42,", ",AV42)))</f>
        <v>- Establecer periodos de seguimiento adecuados</v>
      </c>
      <c r="AX42" s="502"/>
      <c r="AY42" s="502"/>
      <c r="AZ42" s="502"/>
      <c r="BA42" s="502"/>
      <c r="BB42" s="3" t="str">
        <f t="shared" si="151"/>
        <v/>
      </c>
      <c r="BC42" s="3" t="str">
        <f t="shared" si="152"/>
        <v/>
      </c>
      <c r="BD42" s="3" t="str">
        <f t="shared" si="153"/>
        <v/>
      </c>
      <c r="BE42" s="3" t="str">
        <f t="shared" si="154"/>
        <v/>
      </c>
      <c r="BF42" s="3" t="str">
        <f t="shared" si="155"/>
        <v/>
      </c>
      <c r="BG42" s="3" t="str">
        <f t="shared" si="156"/>
        <v/>
      </c>
      <c r="BH42" s="3" t="str">
        <f t="shared" si="157"/>
        <v/>
      </c>
      <c r="BI42" s="3" t="str">
        <f t="shared" si="25"/>
        <v/>
      </c>
      <c r="BJ42" s="3" t="str">
        <f t="shared" si="26"/>
        <v/>
      </c>
      <c r="BK42" s="3" t="str">
        <f t="shared" si="27"/>
        <v/>
      </c>
      <c r="BL42" s="3" t="str">
        <f t="shared" si="158"/>
        <v/>
      </c>
      <c r="BM42" s="3" t="str">
        <f t="shared" si="159"/>
        <v/>
      </c>
    </row>
    <row r="43" spans="1:65" ht="36" customHeight="1" x14ac:dyDescent="0.2">
      <c r="A43" s="503" t="str">
        <f>IDENTIFICACIÓN!C20</f>
        <v>12G</v>
      </c>
      <c r="B43" s="496" t="str">
        <f>IF(IDENTIFICACIÓN!D20="","",IDENTIFICACIÓN!D20)</f>
        <v>Gestión Academica. Formulación inadecuada de políticas.</v>
      </c>
      <c r="C43" s="356">
        <v>1</v>
      </c>
      <c r="D43" s="56" t="s">
        <v>11</v>
      </c>
      <c r="E43" s="240">
        <f t="shared" si="4"/>
        <v>10</v>
      </c>
      <c r="F43" s="44" t="s">
        <v>581</v>
      </c>
      <c r="G43" s="18" t="str">
        <f t="shared" si="128"/>
        <v/>
      </c>
      <c r="H43" s="44" t="s">
        <v>20</v>
      </c>
      <c r="I43" s="18" t="str">
        <f t="shared" si="129"/>
        <v/>
      </c>
      <c r="J43" s="55" t="str">
        <f t="shared" si="130"/>
        <v>Posibilidad</v>
      </c>
      <c r="K43" s="43" t="s">
        <v>11</v>
      </c>
      <c r="L43" s="18">
        <f t="shared" si="131"/>
        <v>15</v>
      </c>
      <c r="M43" s="43" t="s">
        <v>11</v>
      </c>
      <c r="N43" s="18">
        <f t="shared" si="132"/>
        <v>30</v>
      </c>
      <c r="O43" s="43" t="s">
        <v>323</v>
      </c>
      <c r="P43" s="18">
        <f t="shared" si="133"/>
        <v>10</v>
      </c>
      <c r="Q43" s="43" t="s">
        <v>11</v>
      </c>
      <c r="R43" s="18">
        <f t="shared" si="134"/>
        <v>5</v>
      </c>
      <c r="S43" s="43" t="s">
        <v>11</v>
      </c>
      <c r="T43" s="18">
        <f t="shared" si="135"/>
        <v>15</v>
      </c>
      <c r="U43" s="43" t="s">
        <v>11</v>
      </c>
      <c r="V43" s="18">
        <f t="shared" si="136"/>
        <v>10</v>
      </c>
      <c r="W43" s="18">
        <f t="shared" si="137"/>
        <v>95</v>
      </c>
      <c r="X43" s="57" t="str">
        <f t="shared" si="138"/>
        <v>95                           Disminuye max 2 en Posibilidad</v>
      </c>
      <c r="Y43" s="57">
        <f t="shared" si="139"/>
        <v>2</v>
      </c>
      <c r="Z43" s="356">
        <f t="shared" si="140"/>
        <v>0</v>
      </c>
      <c r="AA43" s="497">
        <f t="shared" ref="AA43" si="165">IF(AB43=0,"",(ROUND((SUM(W43:W45)/AB43),0)))</f>
        <v>95</v>
      </c>
      <c r="AB43" s="500">
        <f t="shared" ref="AB43" si="166">COUNT(T43:T45)</f>
        <v>2</v>
      </c>
      <c r="AC43" s="3">
        <f t="shared" ref="AC43" si="167">SUM(Y43:Y45)</f>
        <v>4</v>
      </c>
      <c r="AD43" s="3">
        <f>ANALISIS!D22</f>
        <v>3</v>
      </c>
      <c r="AE43" s="3">
        <f t="shared" ref="AE43:AE44" si="168">IF((AD43-AC43)&gt;=1,(AD43-AC43),1)</f>
        <v>1</v>
      </c>
      <c r="AF43" s="501">
        <f t="shared" ref="AF43" si="169">(AE44*10)+AE43</f>
        <v>41</v>
      </c>
      <c r="AG43" s="355" t="str">
        <f t="shared" ref="AG43" si="170">IF(AE44=1,AH43,IF(AE44=2,AI43,IF(AE44=3,AJ43,IF(AE44=4,AK43,AL43))))</f>
        <v>ALTA 1:4</v>
      </c>
      <c r="AH43" s="46" t="str">
        <f t="shared" ref="AH43" si="171">IF($AF43=11,"BAJA 1:1",IF($AF43=12,"BAJA 2:1",IF($AF43=13,"BAJA 3:1",IF($AF43=14,"MODERADA 4:1","ALTA 5:1"))))</f>
        <v>ALTA 5:1</v>
      </c>
      <c r="AI43" s="46" t="str">
        <f t="shared" ref="AI43" si="172">IF($AF43=21,"BAJA 1:2",IF($AF43=22,"BAJA 2:2",IF($AF43=23,"MODERADA 3:2",IF($AF43=24,"ALTA 4:2","ALTA 5:2"))))</f>
        <v>ALTA 5:2</v>
      </c>
      <c r="AJ43" s="46" t="str">
        <f t="shared" ref="AJ43" si="173">IF($AF43=31,"MODERADA 1:3",IF($AF43=32,"MODERADA 2:3",IF($AF43=33,"ALTA 3:3",IF($AF43=34,"ALTA 4:3","EXTREMA 5:3"))))</f>
        <v>EXTREMA 5:3</v>
      </c>
      <c r="AK43" s="46" t="str">
        <f t="shared" ref="AK43" si="174">IF($AF43=41,"ALTA 1:4",IF($AF43=42,"ALTA 2:4",IF($AF43=43,"EXTREMA 3:4",IF($AF43=44,"EXTREMA 4:4","EXTREMA 5:4"))))</f>
        <v>ALTA 1:4</v>
      </c>
      <c r="AL43" s="46" t="str">
        <f t="shared" ref="AL43" si="175">IF($AF43=51,"ALTA 1:5",IF($AF43=52,"EXTREMA 2:5",IF($AF43=53,"EXTREMA 3:5",IF($AF43=54,"EXTREMA 4:5","EXTREMA 5:5"))))</f>
        <v>EXTREMA 5:5</v>
      </c>
      <c r="AM43" s="3" t="str">
        <f t="shared" si="141"/>
        <v/>
      </c>
      <c r="AN43" s="3" t="str">
        <f t="shared" si="142"/>
        <v/>
      </c>
      <c r="AO43" s="3" t="str">
        <f t="shared" si="143"/>
        <v/>
      </c>
      <c r="AP43" s="3" t="str">
        <f t="shared" si="144"/>
        <v/>
      </c>
      <c r="AQ43" s="3" t="str">
        <f t="shared" ref="AQ43" si="176">AM43</f>
        <v/>
      </c>
      <c r="AR43" s="3" t="str">
        <f t="shared" ref="AR43" si="177">AN43</f>
        <v/>
      </c>
      <c r="AT43" s="3" t="str">
        <f t="shared" ref="AT43" si="178">AO43</f>
        <v/>
      </c>
      <c r="AV43" s="3" t="str">
        <f t="shared" ref="AV43" si="179">AP43</f>
        <v/>
      </c>
      <c r="AX43" s="502" t="str">
        <f t="shared" ref="AX43" si="180">IF(AW45="","",CONCATENATE(AW45," (de) el(los) control(es) Efectivo(s) "))</f>
        <v/>
      </c>
      <c r="AY43" s="502" t="str">
        <f t="shared" ref="AY43" si="181">IF(CONCATENATE(N43:N45)="","",IF(AND(SUM(E43:E45)=10,SUM(N43:N45)&lt;30),"- Replantear control(es) NO efectivo(s) ",IF(AND(SUM(E43:E45)=20,SUM(N43:N45)&lt;60),"- Replantear control(es) NO efectivo(s) ",IF(AND(SUM(E43:E45)=30,SUM(N43:N45)&lt;90),"- Replantear control(es) NO efectivo(s) ",""))))</f>
        <v/>
      </c>
      <c r="AZ43" s="502" t="str">
        <f t="shared" ref="AZ43" si="182">IF(AND(AE43&gt;1,AE44&gt;1),"- Tomar Acciones Preventivas y Correctivas",IF(AE43&gt;1,"- Tomar Acciones Preventivas",IF(AE44&gt;1,"- Tomar Acciones Correctivas","")))</f>
        <v>- Tomar Acciones Correctivas</v>
      </c>
      <c r="BA43" s="502" t="str">
        <f t="shared" ref="BA43" si="183">CONCATENATE(AX43,AY43,AZ43)</f>
        <v>- Tomar Acciones Correctivas</v>
      </c>
      <c r="BB43" s="3" t="str">
        <f t="shared" si="151"/>
        <v>SI</v>
      </c>
      <c r="BC43" s="3" t="str">
        <f t="shared" si="152"/>
        <v/>
      </c>
      <c r="BD43" s="3" t="str">
        <f t="shared" si="153"/>
        <v>SI</v>
      </c>
      <c r="BE43" s="3" t="str">
        <f t="shared" si="154"/>
        <v/>
      </c>
      <c r="BF43" s="3" t="str">
        <f t="shared" si="155"/>
        <v>SI</v>
      </c>
      <c r="BG43" s="3" t="str">
        <f t="shared" si="156"/>
        <v/>
      </c>
      <c r="BH43" s="3" t="str">
        <f t="shared" si="157"/>
        <v>P</v>
      </c>
      <c r="BI43" s="3" t="str">
        <f t="shared" si="25"/>
        <v/>
      </c>
      <c r="BJ43" s="3" t="str">
        <f t="shared" si="26"/>
        <v>M</v>
      </c>
      <c r="BK43" s="3" t="str">
        <f t="shared" si="27"/>
        <v/>
      </c>
      <c r="BL43" s="3" t="str">
        <f t="shared" si="158"/>
        <v>SI</v>
      </c>
      <c r="BM43" s="3" t="str">
        <f t="shared" si="159"/>
        <v/>
      </c>
    </row>
    <row r="44" spans="1:65" ht="36" customHeight="1" x14ac:dyDescent="0.2">
      <c r="A44" s="503"/>
      <c r="B44" s="496"/>
      <c r="C44" s="356">
        <v>2</v>
      </c>
      <c r="D44" s="56" t="s">
        <v>11</v>
      </c>
      <c r="E44" s="240">
        <f t="shared" si="4"/>
        <v>10</v>
      </c>
      <c r="F44" s="44" t="s">
        <v>582</v>
      </c>
      <c r="G44" s="18" t="str">
        <f t="shared" si="128"/>
        <v/>
      </c>
      <c r="H44" s="44" t="s">
        <v>20</v>
      </c>
      <c r="I44" s="18" t="str">
        <f t="shared" si="129"/>
        <v/>
      </c>
      <c r="J44" s="55" t="str">
        <f t="shared" si="130"/>
        <v>Posibilidad</v>
      </c>
      <c r="K44" s="43" t="s">
        <v>11</v>
      </c>
      <c r="L44" s="18">
        <f t="shared" si="131"/>
        <v>15</v>
      </c>
      <c r="M44" s="43" t="s">
        <v>11</v>
      </c>
      <c r="N44" s="18">
        <f t="shared" si="132"/>
        <v>30</v>
      </c>
      <c r="O44" s="43" t="s">
        <v>323</v>
      </c>
      <c r="P44" s="18">
        <f t="shared" si="133"/>
        <v>10</v>
      </c>
      <c r="Q44" s="43" t="s">
        <v>11</v>
      </c>
      <c r="R44" s="18">
        <f t="shared" si="134"/>
        <v>5</v>
      </c>
      <c r="S44" s="43" t="s">
        <v>11</v>
      </c>
      <c r="T44" s="18">
        <f t="shared" si="135"/>
        <v>15</v>
      </c>
      <c r="U44" s="43" t="s">
        <v>11</v>
      </c>
      <c r="V44" s="18">
        <f t="shared" si="136"/>
        <v>10</v>
      </c>
      <c r="W44" s="18">
        <f t="shared" si="137"/>
        <v>95</v>
      </c>
      <c r="X44" s="57" t="str">
        <f t="shared" si="138"/>
        <v>95                           Disminuye max 2 en Posibilidad</v>
      </c>
      <c r="Y44" s="57">
        <f t="shared" si="139"/>
        <v>2</v>
      </c>
      <c r="Z44" s="356">
        <f t="shared" si="140"/>
        <v>0</v>
      </c>
      <c r="AA44" s="498"/>
      <c r="AB44" s="500"/>
      <c r="AC44" s="3">
        <f t="shared" ref="AC44" si="184">SUM(Z43:Z45)</f>
        <v>0</v>
      </c>
      <c r="AD44" s="3">
        <f>ANALISIS!G22</f>
        <v>4</v>
      </c>
      <c r="AE44" s="3">
        <f t="shared" si="168"/>
        <v>4</v>
      </c>
      <c r="AF44" s="501"/>
      <c r="AG44" s="355" t="str">
        <f t="shared" ref="AG44" si="185">IF(AE44=1,AH44,IF(AE44=2,AI44,IF(AE44=3,AJ44,IF(AE44=4,AK44,AL44))))</f>
        <v>- Reducir el Riesgo- Compartir o Transferir el Riesgo</v>
      </c>
      <c r="AH44" s="46" t="str">
        <f t="shared" ref="AH44" si="186">IF($AF43=11,"- Asumir el Riesgo",IF($AF43=12,"- Asumir el Riesgo- Evitar Posibilidad de Ocurrencia- Reducir el Riesgo",IF($AF43=13,"- Asumir el Riesgo- Evitar Posibilidad de Ocurrencia- Reducir el Riesgo",IF($AF43=14,"-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4" s="46" t="str">
        <f t="shared" ref="AI44" si="187">IF($AF43=21,"- Asumir el Riesgo- Reducir el Riesgo",IF($AF43=22,"- Asumir el Riesgo- Evitar Posibilidad de Ocurrencia- Reducir el Riesgo",IF($AF43=23,"- Asumir el Riesgo- Evitar Posibilidad de Ocurrencia- Reducir el Riesgo- Compartir o Transferir el Riesgo",IF($AF43=24,"- Evitar Posibilidad de Ocurrencia- Reducir el Riesgo- Compartir o Transferir el Riesgo","- Evitar Posibilidad de Ocurrencia- Reducir el Riesgo- Compartir o Transferir el Riesgo"))))</f>
        <v>- Evitar Posibilidad de Ocurrencia- Reducir el Riesgo- Compartir o Transferir el Riesgo</v>
      </c>
      <c r="AJ44" s="46" t="str">
        <f t="shared" ref="AJ44" si="188">IF($AF43=31,"- Asumir el Riesgo- Reducir el Riesgo- Compartir o Transferir el Riesgo",IF($AF43=32,"- Asumir el Riesgo- Evitar Posibilidad de Ocurrencia- Reducir el Reducir- Compartir o Transferir el Riesgo",IF($AF43=33,"- Evitar Posibilidad de Ocurrencia- Reducir el Riesgo- Compartir o Transferir el Riesgo",IF($AF43=34,"-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4" s="46" t="str">
        <f t="shared" ref="AK44" si="189">IF($AF43=41,"- Reducir el Riesgo- Compartir o Transferir el Riesgo",IF($AF43=42,"- Evitar Posibilidad de Ocurrencia- Reducir el Riesgo- Compartir o Transferir el Riesgo",IF($AF43=43,"- Eliminar Causa(s)- Evitar Posibilidad de Ocurrencia- Reducir el Riesgo- Compartir o Transferir el Riesgo",IF($AF43=44,"- Eliminar Causa(s)- Evitar Posibilidad de Ocurrencia- Reducir el Riesgo- Compartir o Transferir el Riesgo","- Eliminar Causa(s)- Evitar Posibilidad de Ocurrencia- Reducir el Riesgo- Compartir o Transferir el Riesgo"))))</f>
        <v>- Reducir el Riesgo- Compartir o Transferir el Riesgo</v>
      </c>
      <c r="AL44" s="46" t="str">
        <f t="shared" ref="AL44" si="190">IF($AF43=51,"- Reducir el Riesgo- Compartir o Transferir el Riesgo",IF($AF43=52,"- Eliminar Causa(s)- Evitar Posibilidad de Ocurrencia- Reducir el Riesgo- Compartir o Transferir el Riesgo",IF($AF43=53,"- Eliminar Causa(s)- Evitar Posibilidad de Ocurrencia- Reducir el Riesgo- Compartir o Transferir el Riesgo",IF($AF43=54,"-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4" s="3" t="str">
        <f t="shared" si="141"/>
        <v/>
      </c>
      <c r="AN44" s="3" t="str">
        <f t="shared" si="142"/>
        <v/>
      </c>
      <c r="AO44" s="3" t="str">
        <f t="shared" si="143"/>
        <v/>
      </c>
      <c r="AP44" s="3" t="str">
        <f t="shared" si="144"/>
        <v/>
      </c>
      <c r="AQ44" s="3" t="str">
        <f t="shared" ref="AQ44:AQ45" si="191">IF(AQ43="Documentar",AQ43,AM44)</f>
        <v/>
      </c>
      <c r="AR44" s="3" t="str">
        <f t="shared" ref="AR44:AR45" si="192">IF(AR43="Asignar responsable",AR43,AN44)</f>
        <v/>
      </c>
      <c r="AT44" s="3" t="str">
        <f t="shared" ref="AT44:AT45" si="193">IF(AT43="Establecer periodos de seguimiento adecuados",AT43,AO44)</f>
        <v/>
      </c>
      <c r="AV44" s="3" t="str">
        <f t="shared" ref="AV44:AV45" si="194">IF(AV43="Guardar Evidencias",AV43,AP44)</f>
        <v/>
      </c>
      <c r="AX44" s="502"/>
      <c r="AY44" s="502"/>
      <c r="AZ44" s="502"/>
      <c r="BA44" s="502"/>
      <c r="BB44" s="3" t="str">
        <f t="shared" si="151"/>
        <v>SI</v>
      </c>
      <c r="BC44" s="3" t="str">
        <f t="shared" si="152"/>
        <v/>
      </c>
      <c r="BD44" s="3" t="str">
        <f t="shared" si="153"/>
        <v>SI</v>
      </c>
      <c r="BE44" s="3" t="str">
        <f t="shared" si="154"/>
        <v/>
      </c>
      <c r="BF44" s="3" t="str">
        <f t="shared" si="155"/>
        <v>SI</v>
      </c>
      <c r="BG44" s="3" t="str">
        <f t="shared" si="156"/>
        <v/>
      </c>
      <c r="BH44" s="3" t="str">
        <f t="shared" si="157"/>
        <v>P</v>
      </c>
      <c r="BI44" s="3" t="str">
        <f t="shared" si="25"/>
        <v/>
      </c>
      <c r="BJ44" s="3" t="str">
        <f t="shared" si="26"/>
        <v>M</v>
      </c>
      <c r="BK44" s="3" t="str">
        <f t="shared" si="27"/>
        <v/>
      </c>
      <c r="BL44" s="3" t="str">
        <f t="shared" si="158"/>
        <v>SI</v>
      </c>
      <c r="BM44" s="3" t="str">
        <f t="shared" si="159"/>
        <v/>
      </c>
    </row>
    <row r="45" spans="1:65" ht="36" customHeight="1" x14ac:dyDescent="0.2">
      <c r="A45" s="503"/>
      <c r="B45" s="496"/>
      <c r="C45" s="356">
        <v>3</v>
      </c>
      <c r="D45" s="56"/>
      <c r="E45" s="240" t="str">
        <f t="shared" si="4"/>
        <v/>
      </c>
      <c r="F45" s="44"/>
      <c r="G45" s="18" t="str">
        <f t="shared" si="128"/>
        <v/>
      </c>
      <c r="H45" s="44"/>
      <c r="I45" s="18" t="str">
        <f t="shared" si="129"/>
        <v/>
      </c>
      <c r="J45" s="55" t="str">
        <f t="shared" si="130"/>
        <v/>
      </c>
      <c r="K45" s="43"/>
      <c r="L45" s="18" t="str">
        <f t="shared" si="131"/>
        <v/>
      </c>
      <c r="M45" s="43"/>
      <c r="N45" s="18" t="str">
        <f t="shared" si="132"/>
        <v/>
      </c>
      <c r="O45" s="43"/>
      <c r="P45" s="18" t="str">
        <f t="shared" si="133"/>
        <v/>
      </c>
      <c r="Q45" s="43"/>
      <c r="R45" s="18" t="str">
        <f t="shared" si="134"/>
        <v/>
      </c>
      <c r="S45" s="43"/>
      <c r="T45" s="18" t="str">
        <f t="shared" si="135"/>
        <v/>
      </c>
      <c r="U45" s="43"/>
      <c r="V45" s="18" t="str">
        <f t="shared" si="136"/>
        <v/>
      </c>
      <c r="W45" s="18">
        <f t="shared" si="137"/>
        <v>0</v>
      </c>
      <c r="X45" s="57" t="str">
        <f t="shared" si="138"/>
        <v/>
      </c>
      <c r="Y45" s="57">
        <f t="shared" si="139"/>
        <v>0</v>
      </c>
      <c r="Z45" s="356">
        <f t="shared" si="140"/>
        <v>0</v>
      </c>
      <c r="AA45" s="499"/>
      <c r="AB45" s="500"/>
      <c r="AM45" s="3" t="str">
        <f t="shared" si="141"/>
        <v/>
      </c>
      <c r="AN45" s="3" t="str">
        <f t="shared" si="142"/>
        <v/>
      </c>
      <c r="AO45" s="3" t="str">
        <f t="shared" si="143"/>
        <v/>
      </c>
      <c r="AP45" s="3" t="str">
        <f t="shared" si="144"/>
        <v/>
      </c>
      <c r="AQ45" s="3" t="str">
        <f t="shared" si="191"/>
        <v/>
      </c>
      <c r="AR45" s="3" t="str">
        <f t="shared" si="192"/>
        <v/>
      </c>
      <c r="AS45" s="3" t="str">
        <f t="shared" ref="AS45" si="195">IF(AND(AQ45="Documentar",AR45="Asignar responsable"),CONCATENATE("- ",AQ45,", ",AR45),IF(AQ45="Documentar",CONCATENATE("- ",AQ45),IF(AR45="Asignar responsable",CONCATENATE("- ",AR45),"")))</f>
        <v/>
      </c>
      <c r="AT45" s="3" t="str">
        <f t="shared" si="193"/>
        <v/>
      </c>
      <c r="AU45" s="3" t="str">
        <f t="shared" ref="AU45" si="196">IF(AT45="",AS45,IF(AS45="",CONCATENATE("- ",AT45),CONCATENATE(AS45,", ",AT45)))</f>
        <v/>
      </c>
      <c r="AV45" s="3" t="str">
        <f t="shared" si="194"/>
        <v/>
      </c>
      <c r="AW45" s="3" t="str">
        <f t="shared" ref="AW45" si="197">IF(AV45="",AU45,IF(AU45="",CONCATENATE("- ",AV45),CONCATENATE(AU45,", ",AV45)))</f>
        <v/>
      </c>
      <c r="AX45" s="502"/>
      <c r="AY45" s="502"/>
      <c r="AZ45" s="502"/>
      <c r="BA45" s="502"/>
      <c r="BB45" s="3" t="str">
        <f t="shared" si="151"/>
        <v/>
      </c>
      <c r="BC45" s="3" t="str">
        <f t="shared" si="152"/>
        <v/>
      </c>
      <c r="BD45" s="3" t="str">
        <f t="shared" si="153"/>
        <v/>
      </c>
      <c r="BE45" s="3" t="str">
        <f t="shared" si="154"/>
        <v/>
      </c>
      <c r="BF45" s="3" t="str">
        <f t="shared" si="155"/>
        <v/>
      </c>
      <c r="BG45" s="3" t="str">
        <f t="shared" si="156"/>
        <v/>
      </c>
      <c r="BH45" s="3" t="str">
        <f t="shared" si="157"/>
        <v/>
      </c>
      <c r="BI45" s="3" t="str">
        <f t="shared" si="25"/>
        <v/>
      </c>
      <c r="BJ45" s="3" t="str">
        <f t="shared" si="26"/>
        <v/>
      </c>
      <c r="BK45" s="3" t="str">
        <f t="shared" si="27"/>
        <v/>
      </c>
      <c r="BL45" s="3" t="str">
        <f t="shared" si="158"/>
        <v/>
      </c>
      <c r="BM45" s="3" t="str">
        <f t="shared" si="159"/>
        <v/>
      </c>
    </row>
    <row r="46" spans="1:65" ht="36" customHeight="1" x14ac:dyDescent="0.2">
      <c r="A46" s="503" t="str">
        <f>IDENTIFICACIÓN!C21</f>
        <v>13G</v>
      </c>
      <c r="B46" s="496" t="str">
        <f>IF(IDENTIFICACIÓN!D21="","",IDENTIFICACIÓN!D21)</f>
        <v>Gestión Academica. Aplicación inadecuada de la normatividad en el desarrollo de los diferentes procesos academicos de los programas.</v>
      </c>
      <c r="C46" s="356">
        <v>1</v>
      </c>
      <c r="D46" s="56" t="s">
        <v>11</v>
      </c>
      <c r="E46" s="240">
        <f t="shared" si="4"/>
        <v>10</v>
      </c>
      <c r="F46" s="44" t="s">
        <v>583</v>
      </c>
      <c r="G46" s="18" t="str">
        <f t="shared" ref="G46:G72" si="198">IF($D46="SI",IF(ISBLANK(F46),"Decripcion",""),"")</f>
        <v/>
      </c>
      <c r="H46" s="44" t="s">
        <v>20</v>
      </c>
      <c r="I46" s="18" t="str">
        <f t="shared" ref="I46:I72" si="199">IF($D46="SI",IF(ISBLANK(H46),"Tipo",""),"")</f>
        <v/>
      </c>
      <c r="J46" s="55" t="str">
        <f t="shared" ref="J46:J72" si="200">IF(H46="Preventivo","Posibilidad",IF(H46="Correctivo","Impacto",""))</f>
        <v>Posibilidad</v>
      </c>
      <c r="K46" s="43" t="s">
        <v>11</v>
      </c>
      <c r="L46" s="18">
        <f t="shared" ref="L46:L72" si="201">IF($D46="SI",IF(K46="SI",15,IF(K46="NO",0,"P1")),"")</f>
        <v>15</v>
      </c>
      <c r="M46" s="43" t="s">
        <v>11</v>
      </c>
      <c r="N46" s="18">
        <f t="shared" ref="N46:N72" si="202">IF($D46="SI",IF(M46="SI",30,IF(M46="NO",0,"P2")),"")</f>
        <v>30</v>
      </c>
      <c r="O46" s="43" t="s">
        <v>323</v>
      </c>
      <c r="P46" s="18">
        <f t="shared" ref="P46:P72" si="203">IF($D46="SI",IF(O46="Automático",15,IF(O46="Manual",10,"P3")),"")</f>
        <v>10</v>
      </c>
      <c r="Q46" s="43" t="s">
        <v>11</v>
      </c>
      <c r="R46" s="18">
        <f t="shared" ref="R46:R72" si="204">IF($D46="SI",IF(Q46="SI",5,IF(Q46="NO",0,"P4")),"")</f>
        <v>5</v>
      </c>
      <c r="S46" s="43" t="s">
        <v>11</v>
      </c>
      <c r="T46" s="18">
        <f t="shared" ref="T46:T72" si="205">IF($D46="SI",IF(S46="SI",15,IF(S46="NO",0,"P5")),"")</f>
        <v>15</v>
      </c>
      <c r="U46" s="43" t="s">
        <v>11</v>
      </c>
      <c r="V46" s="18">
        <f t="shared" ref="V46:V72" si="206">IF($D46="SI",IF(U46="SI",10,IF(U46="NO",0,"P6")),"")</f>
        <v>10</v>
      </c>
      <c r="W46" s="18">
        <f t="shared" ref="W46:W72" si="207">IF(D46="SI",E46+L46+N46+P46+R46+T46+V46,0)</f>
        <v>95</v>
      </c>
      <c r="X46" s="57" t="str">
        <f t="shared" ref="X46:X72" si="208">IF(ISBLANK(D46),"",IF(D46="NO",0,IF(D46="SI",IF(OR(G46="Decripcion",I46="Tipo",L46="P1",N46="P2",P46="P3",R46="P4",T46="P5",V46="P6"),CONCATENATE("Falta diligenciar: ",G46," ",I46,IF(L46="P1"," Preg 1",),IF(N46="P2"," Preg 2",),IF(P46="P3"," Preg 3",),IF(R46="P4"," Preg 4",),IF(T46="P5"," Preg 5",),IF(V46="P6"," Preg 6",)),IF(W46&gt;76,CONCATENATE(W46,"                           Disminuye max 2 en ",J46),IF(AND(W46&gt;50,W46&lt;76),CONCATENATE(W46,"                           Disminuye max 1 en ", J46),W46))))))</f>
        <v>95                           Disminuye max 2 en Posibilidad</v>
      </c>
      <c r="Y46" s="57">
        <f t="shared" ref="Y46:Y72" si="209">IF(AND(W46&gt;50,W46&lt;76,J46="Posibilidad"),1,IF(AND(W46&gt;75,W46&lt;101,J46="Posibilidad"),2,0))</f>
        <v>2</v>
      </c>
      <c r="Z46" s="356">
        <f t="shared" ref="Z46:Z72" si="210">IF(AND(W46&gt;50,W46&lt;76,J46="Impacto"),1,IF(AND(W46&gt;75,W46&lt;101,J46="Impacto"),2,0))</f>
        <v>0</v>
      </c>
      <c r="AA46" s="497">
        <f t="shared" ref="AA46" si="211">IF(AB46=0,"",(ROUND((SUM(W46:W48)/AB46),0)))</f>
        <v>95</v>
      </c>
      <c r="AB46" s="500">
        <f t="shared" ref="AB46" si="212">COUNT(T46:T48)</f>
        <v>3</v>
      </c>
      <c r="AC46" s="3">
        <f t="shared" ref="AC46" si="213">SUM(Y46:Y48)</f>
        <v>6</v>
      </c>
      <c r="AD46" s="3">
        <f>ANALISIS!D23</f>
        <v>2</v>
      </c>
      <c r="AE46" s="3">
        <f t="shared" ref="AE46:AE47" si="214">IF((AD46-AC46)&gt;=1,(AD46-AC46),1)</f>
        <v>1</v>
      </c>
      <c r="AF46" s="501">
        <f t="shared" ref="AF46" si="215">(AE47*10)+AE46</f>
        <v>41</v>
      </c>
      <c r="AG46" s="355" t="str">
        <f t="shared" ref="AG46" si="216">IF(AE47=1,AH46,IF(AE47=2,AI46,IF(AE47=3,AJ46,IF(AE47=4,AK46,AL46))))</f>
        <v>ALTA 1:4</v>
      </c>
      <c r="AH46" s="46" t="str">
        <f t="shared" ref="AH46" si="217">IF($AF46=11,"BAJA 1:1",IF($AF46=12,"BAJA 2:1",IF($AF46=13,"BAJA 3:1",IF($AF46=14,"MODERADA 4:1","ALTA 5:1"))))</f>
        <v>ALTA 5:1</v>
      </c>
      <c r="AI46" s="46" t="str">
        <f t="shared" ref="AI46" si="218">IF($AF46=21,"BAJA 1:2",IF($AF46=22,"BAJA 2:2",IF($AF46=23,"MODERADA 3:2",IF($AF46=24,"ALTA 4:2","ALTA 5:2"))))</f>
        <v>ALTA 5:2</v>
      </c>
      <c r="AJ46" s="46" t="str">
        <f t="shared" ref="AJ46" si="219">IF($AF46=31,"MODERADA 1:3",IF($AF46=32,"MODERADA 2:3",IF($AF46=33,"ALTA 3:3",IF($AF46=34,"ALTA 4:3","EXTREMA 5:3"))))</f>
        <v>EXTREMA 5:3</v>
      </c>
      <c r="AK46" s="46" t="str">
        <f t="shared" ref="AK46" si="220">IF($AF46=41,"ALTA 1:4",IF($AF46=42,"ALTA 2:4",IF($AF46=43,"EXTREMA 3:4",IF($AF46=44,"EXTREMA 4:4","EXTREMA 5:4"))))</f>
        <v>ALTA 1:4</v>
      </c>
      <c r="AL46" s="46" t="str">
        <f t="shared" ref="AL46" si="221">IF($AF46=51,"ALTA 1:5",IF($AF46=52,"EXTREMA 2:5",IF($AF46=53,"EXTREMA 3:5",IF($AF46=54,"EXTREMA 4:5","EXTREMA 5:5"))))</f>
        <v>EXTREMA 5:5</v>
      </c>
      <c r="AM46" s="3" t="str">
        <f t="shared" ref="AM46:AM72" si="222">IF(AND(N46=30,L46=0),$AM$8,"")</f>
        <v/>
      </c>
      <c r="AN46" s="3" t="str">
        <f t="shared" ref="AN46:AN72" si="223">IF(AND(N46=30,R46=0),$AN$8,"")</f>
        <v/>
      </c>
      <c r="AO46" s="3" t="str">
        <f t="shared" ref="AO46:AO72" si="224">IF(AND(N46=30,T46=0),$AO$8,"")</f>
        <v/>
      </c>
      <c r="AP46" s="3" t="str">
        <f t="shared" ref="AP46:AP72" si="225">IF(AND(N46=30,V46=0),$AP$8,"")</f>
        <v/>
      </c>
      <c r="AQ46" s="3" t="str">
        <f t="shared" ref="AQ46" si="226">AM46</f>
        <v/>
      </c>
      <c r="AR46" s="3" t="str">
        <f t="shared" ref="AR46" si="227">AN46</f>
        <v/>
      </c>
      <c r="AT46" s="3" t="str">
        <f t="shared" ref="AT46" si="228">AO46</f>
        <v/>
      </c>
      <c r="AV46" s="3" t="str">
        <f t="shared" ref="AV46" si="229">AP46</f>
        <v/>
      </c>
      <c r="AX46" s="502" t="str">
        <f t="shared" ref="AX46" si="230">IF(AW48="","",CONCATENATE(AW48," (de) el(los) control(es) Efectivo(s) "))</f>
        <v/>
      </c>
      <c r="AY46" s="502" t="str">
        <f t="shared" ref="AY46" si="231">IF(CONCATENATE(N46:N48)="","",IF(AND(SUM(E46:E48)=10,SUM(N46:N48)&lt;30),"- Replantear control(es) NO efectivo(s) ",IF(AND(SUM(E46:E48)=20,SUM(N46:N48)&lt;60),"- Replantear control(es) NO efectivo(s) ",IF(AND(SUM(E46:E48)=30,SUM(N46:N48)&lt;90),"- Replantear control(es) NO efectivo(s) ",""))))</f>
        <v/>
      </c>
      <c r="AZ46" s="502" t="str">
        <f t="shared" ref="AZ46" si="232">IF(AND(AE46&gt;1,AE47&gt;1),"- Tomar Acciones Preventivas y Correctivas",IF(AE46&gt;1,"- Tomar Acciones Preventivas",IF(AE47&gt;1,"- Tomar Acciones Correctivas","")))</f>
        <v>- Tomar Acciones Correctivas</v>
      </c>
      <c r="BA46" s="502" t="str">
        <f t="shared" ref="BA46" si="233">CONCATENATE(AX46,AY46,AZ46)</f>
        <v>- Tomar Acciones Correctivas</v>
      </c>
      <c r="BB46" s="3" t="str">
        <f t="shared" ref="BB46:BB72" si="234">IF(AND($N46=30,L46=15),"SI",IF(AND($N46=30,L46=0),"NO",""))</f>
        <v>SI</v>
      </c>
      <c r="BC46" s="3" t="str">
        <f t="shared" ref="BC46:BC72" si="235">IF(AND($N46=0,L46=15),"SI",IF(AND($N46=0,L46=0),"NO",""))</f>
        <v/>
      </c>
      <c r="BD46" s="3" t="str">
        <f t="shared" ref="BD46:BD72" si="236">IF(AND($N46=30,R46=5),"SI",IF(AND($N46=30,R46=0),"NO",""))</f>
        <v>SI</v>
      </c>
      <c r="BE46" s="3" t="str">
        <f t="shared" ref="BE46:BE72" si="237">IF(AND($N46=0,R46=5),"SI",IF(AND($N46=0,R46=0),"NO",""))</f>
        <v/>
      </c>
      <c r="BF46" s="3" t="str">
        <f t="shared" ref="BF46:BF72" si="238">IF(AND($N46=30,T46=15),"SI",IF(AND($N46=30,T46=0),"NO",""))</f>
        <v>SI</v>
      </c>
      <c r="BG46" s="3" t="str">
        <f t="shared" ref="BG46:BG72" si="239">IF(AND($N46=0,T46=15),"SI",IF(AND($N46=0,T46=0),"NO",""))</f>
        <v/>
      </c>
      <c r="BH46" s="3" t="str">
        <f t="shared" ref="BH46:BH72" si="240">IF(AND($N46=30,H46="Preventivo"),"P",IF(AND($N46=30,H46="Correctivo"),"C",""))</f>
        <v>P</v>
      </c>
      <c r="BI46" s="3" t="str">
        <f t="shared" si="25"/>
        <v/>
      </c>
      <c r="BJ46" s="3" t="str">
        <f t="shared" si="26"/>
        <v>M</v>
      </c>
      <c r="BK46" s="3" t="str">
        <f t="shared" si="27"/>
        <v/>
      </c>
      <c r="BL46" s="3" t="str">
        <f t="shared" ref="BL46:BL72" si="241">IF(AND($N46=30,V46=10),"SI",IF(AND($N46=30,V46=0),"NO",""))</f>
        <v>SI</v>
      </c>
      <c r="BM46" s="3" t="str">
        <f t="shared" ref="BM46:BM72" si="242">IF(AND($N46=0,V46=10),"SI",IF(AND($N46=0,V46=0),"NO",""))</f>
        <v/>
      </c>
    </row>
    <row r="47" spans="1:65" ht="36" customHeight="1" x14ac:dyDescent="0.2">
      <c r="A47" s="503"/>
      <c r="B47" s="496"/>
      <c r="C47" s="356">
        <v>2</v>
      </c>
      <c r="D47" s="56" t="s">
        <v>11</v>
      </c>
      <c r="E47" s="240">
        <f t="shared" si="4"/>
        <v>10</v>
      </c>
      <c r="F47" s="44" t="s">
        <v>584</v>
      </c>
      <c r="G47" s="18" t="str">
        <f t="shared" si="198"/>
        <v/>
      </c>
      <c r="H47" s="44" t="s">
        <v>20</v>
      </c>
      <c r="I47" s="18" t="str">
        <f t="shared" si="199"/>
        <v/>
      </c>
      <c r="J47" s="55" t="str">
        <f t="shared" si="200"/>
        <v>Posibilidad</v>
      </c>
      <c r="K47" s="43" t="s">
        <v>11</v>
      </c>
      <c r="L47" s="18">
        <f t="shared" si="201"/>
        <v>15</v>
      </c>
      <c r="M47" s="43" t="s">
        <v>11</v>
      </c>
      <c r="N47" s="18">
        <f t="shared" si="202"/>
        <v>30</v>
      </c>
      <c r="O47" s="43" t="s">
        <v>323</v>
      </c>
      <c r="P47" s="18">
        <f t="shared" si="203"/>
        <v>10</v>
      </c>
      <c r="Q47" s="43" t="s">
        <v>11</v>
      </c>
      <c r="R47" s="18">
        <f t="shared" si="204"/>
        <v>5</v>
      </c>
      <c r="S47" s="43" t="s">
        <v>11</v>
      </c>
      <c r="T47" s="18">
        <f t="shared" si="205"/>
        <v>15</v>
      </c>
      <c r="U47" s="43" t="s">
        <v>11</v>
      </c>
      <c r="V47" s="18">
        <f t="shared" si="206"/>
        <v>10</v>
      </c>
      <c r="W47" s="18">
        <f t="shared" si="207"/>
        <v>95</v>
      </c>
      <c r="X47" s="57" t="str">
        <f t="shared" si="208"/>
        <v>95                           Disminuye max 2 en Posibilidad</v>
      </c>
      <c r="Y47" s="57">
        <f t="shared" si="209"/>
        <v>2</v>
      </c>
      <c r="Z47" s="356">
        <f t="shared" si="210"/>
        <v>0</v>
      </c>
      <c r="AA47" s="498"/>
      <c r="AB47" s="500"/>
      <c r="AC47" s="3">
        <f t="shared" ref="AC47" si="243">SUM(Z46:Z48)</f>
        <v>0</v>
      </c>
      <c r="AD47" s="3">
        <f>ANALISIS!G23</f>
        <v>4</v>
      </c>
      <c r="AE47" s="3">
        <f t="shared" si="214"/>
        <v>4</v>
      </c>
      <c r="AF47" s="501"/>
      <c r="AG47" s="355" t="str">
        <f t="shared" ref="AG47" si="244">IF(AE47=1,AH47,IF(AE47=2,AI47,IF(AE47=3,AJ47,IF(AE47=4,AK47,AL47))))</f>
        <v>- Reducir el Riesgo- Compartir o Transferir el Riesgo</v>
      </c>
      <c r="AH47" s="46" t="str">
        <f t="shared" ref="AH47" si="245">IF($AF46=11,"- Asumir el Riesgo",IF($AF46=12,"- Asumir el Riesgo- Evitar Posibilidad de Ocurrencia- Reducir el Riesgo",IF($AF46=13,"- Asumir el Riesgo- Evitar Posibilidad de Ocurrencia- Reducir el Riesgo",IF($AF46=14,"-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7" s="46" t="str">
        <f t="shared" ref="AI47" si="246">IF($AF46=21,"- Asumir el Riesgo- Reducir el Riesgo",IF($AF46=22,"- Asumir el Riesgo- Evitar Posibilidad de Ocurrencia- Reducir el Riesgo",IF($AF46=23,"- Asumir el Riesgo- Evitar Posibilidad de Ocurrencia- Reducir el Riesgo- Compartir o Transferir el Riesgo",IF($AF46=24,"- Evitar Posibilidad de Ocurrencia- Reducir el Riesgo- Compartir o Transferir el Riesgo","- Evitar Posibilidad de Ocurrencia- Reducir el Riesgo- Compartir o Transferir el Riesgo"))))</f>
        <v>- Evitar Posibilidad de Ocurrencia- Reducir el Riesgo- Compartir o Transferir el Riesgo</v>
      </c>
      <c r="AJ47" s="46" t="str">
        <f t="shared" ref="AJ47" si="247">IF($AF46=31,"- Asumir el Riesgo- Reducir el Riesgo- Compartir o Transferir el Riesgo",IF($AF46=32,"- Asumir el Riesgo- Evitar Posibilidad de Ocurrencia- Reducir el Reducir- Compartir o Transferir el Riesgo",IF($AF46=33,"- Evitar Posibilidad de Ocurrencia- Reducir el Riesgo- Compartir o Transferir el Riesgo",IF($AF46=34,"-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7" s="46" t="str">
        <f t="shared" ref="AK47" si="248">IF($AF46=41,"- Reducir el Riesgo- Compartir o Transferir el Riesgo",IF($AF46=42,"- Evitar Posibilidad de Ocurrencia- Reducir el Riesgo- Compartir o Transferir el Riesgo",IF($AF46=43,"- Eliminar Causa(s)- Evitar Posibilidad de Ocurrencia- Reducir el Riesgo- Compartir o Transferir el Riesgo",IF($AF46=44,"- Eliminar Causa(s)- Evitar Posibilidad de Ocurrencia- Reducir el Riesgo- Compartir o Transferir el Riesgo","- Eliminar Causa(s)- Evitar Posibilidad de Ocurrencia- Reducir el Riesgo- Compartir o Transferir el Riesgo"))))</f>
        <v>- Reducir el Riesgo- Compartir o Transferir el Riesgo</v>
      </c>
      <c r="AL47" s="46" t="str">
        <f t="shared" ref="AL47" si="249">IF($AF46=51,"- Reducir el Riesgo- Compartir o Transferir el Riesgo",IF($AF46=52,"- Eliminar Causa(s)- Evitar Posibilidad de Ocurrencia- Reducir el Riesgo- Compartir o Transferir el Riesgo",IF($AF46=53,"- Eliminar Causa(s)- Evitar Posibilidad de Ocurrencia- Reducir el Riesgo- Compartir o Transferir el Riesgo",IF($AF46=54,"-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7" s="3" t="str">
        <f t="shared" si="222"/>
        <v/>
      </c>
      <c r="AN47" s="3" t="str">
        <f t="shared" si="223"/>
        <v/>
      </c>
      <c r="AO47" s="3" t="str">
        <f t="shared" si="224"/>
        <v/>
      </c>
      <c r="AP47" s="3" t="str">
        <f t="shared" si="225"/>
        <v/>
      </c>
      <c r="AQ47" s="3" t="str">
        <f t="shared" ref="AQ47:AQ48" si="250">IF(AQ46="Documentar",AQ46,AM47)</f>
        <v/>
      </c>
      <c r="AR47" s="3" t="str">
        <f t="shared" ref="AR47:AR48" si="251">IF(AR46="Asignar responsable",AR46,AN47)</f>
        <v/>
      </c>
      <c r="AT47" s="3" t="str">
        <f t="shared" ref="AT47:AT48" si="252">IF(AT46="Establecer periodos de seguimiento adecuados",AT46,AO47)</f>
        <v/>
      </c>
      <c r="AV47" s="3" t="str">
        <f t="shared" ref="AV47:AV48" si="253">IF(AV46="Guardar Evidencias",AV46,AP47)</f>
        <v/>
      </c>
      <c r="AX47" s="502"/>
      <c r="AY47" s="502"/>
      <c r="AZ47" s="502"/>
      <c r="BA47" s="502"/>
      <c r="BB47" s="3" t="str">
        <f t="shared" si="234"/>
        <v>SI</v>
      </c>
      <c r="BC47" s="3" t="str">
        <f t="shared" si="235"/>
        <v/>
      </c>
      <c r="BD47" s="3" t="str">
        <f t="shared" si="236"/>
        <v>SI</v>
      </c>
      <c r="BE47" s="3" t="str">
        <f t="shared" si="237"/>
        <v/>
      </c>
      <c r="BF47" s="3" t="str">
        <f t="shared" si="238"/>
        <v>SI</v>
      </c>
      <c r="BG47" s="3" t="str">
        <f t="shared" si="239"/>
        <v/>
      </c>
      <c r="BH47" s="3" t="str">
        <f t="shared" si="240"/>
        <v>P</v>
      </c>
      <c r="BI47" s="3" t="str">
        <f t="shared" si="25"/>
        <v/>
      </c>
      <c r="BJ47" s="3" t="str">
        <f t="shared" si="26"/>
        <v>M</v>
      </c>
      <c r="BK47" s="3" t="str">
        <f t="shared" si="27"/>
        <v/>
      </c>
      <c r="BL47" s="3" t="str">
        <f t="shared" si="241"/>
        <v>SI</v>
      </c>
      <c r="BM47" s="3" t="str">
        <f t="shared" si="242"/>
        <v/>
      </c>
    </row>
    <row r="48" spans="1:65" ht="36" customHeight="1" x14ac:dyDescent="0.2">
      <c r="A48" s="503"/>
      <c r="B48" s="496"/>
      <c r="C48" s="356">
        <v>3</v>
      </c>
      <c r="D48" s="56" t="s">
        <v>11</v>
      </c>
      <c r="E48" s="240">
        <f t="shared" si="4"/>
        <v>10</v>
      </c>
      <c r="F48" s="44" t="s">
        <v>585</v>
      </c>
      <c r="G48" s="18" t="str">
        <f t="shared" si="198"/>
        <v/>
      </c>
      <c r="H48" s="44" t="s">
        <v>20</v>
      </c>
      <c r="I48" s="18" t="str">
        <f t="shared" si="199"/>
        <v/>
      </c>
      <c r="J48" s="55" t="str">
        <f t="shared" si="200"/>
        <v>Posibilidad</v>
      </c>
      <c r="K48" s="43" t="s">
        <v>11</v>
      </c>
      <c r="L48" s="18">
        <f t="shared" si="201"/>
        <v>15</v>
      </c>
      <c r="M48" s="43" t="s">
        <v>11</v>
      </c>
      <c r="N48" s="18">
        <f t="shared" si="202"/>
        <v>30</v>
      </c>
      <c r="O48" s="43" t="s">
        <v>323</v>
      </c>
      <c r="P48" s="18">
        <f t="shared" si="203"/>
        <v>10</v>
      </c>
      <c r="Q48" s="43" t="s">
        <v>11</v>
      </c>
      <c r="R48" s="18">
        <f t="shared" si="204"/>
        <v>5</v>
      </c>
      <c r="S48" s="43" t="s">
        <v>11</v>
      </c>
      <c r="T48" s="18">
        <f t="shared" si="205"/>
        <v>15</v>
      </c>
      <c r="U48" s="43" t="s">
        <v>11</v>
      </c>
      <c r="V48" s="18">
        <f t="shared" si="206"/>
        <v>10</v>
      </c>
      <c r="W48" s="18">
        <f t="shared" si="207"/>
        <v>95</v>
      </c>
      <c r="X48" s="57" t="str">
        <f t="shared" si="208"/>
        <v>95                           Disminuye max 2 en Posibilidad</v>
      </c>
      <c r="Y48" s="57">
        <f t="shared" si="209"/>
        <v>2</v>
      </c>
      <c r="Z48" s="356">
        <f t="shared" si="210"/>
        <v>0</v>
      </c>
      <c r="AA48" s="499"/>
      <c r="AB48" s="500"/>
      <c r="AM48" s="3" t="str">
        <f t="shared" si="222"/>
        <v/>
      </c>
      <c r="AN48" s="3" t="str">
        <f t="shared" si="223"/>
        <v/>
      </c>
      <c r="AO48" s="3" t="str">
        <f t="shared" si="224"/>
        <v/>
      </c>
      <c r="AP48" s="3" t="str">
        <f t="shared" si="225"/>
        <v/>
      </c>
      <c r="AQ48" s="3" t="str">
        <f t="shared" si="250"/>
        <v/>
      </c>
      <c r="AR48" s="3" t="str">
        <f t="shared" si="251"/>
        <v/>
      </c>
      <c r="AS48" s="3" t="str">
        <f t="shared" ref="AS48" si="254">IF(AND(AQ48="Documentar",AR48="Asignar responsable"),CONCATENATE("- ",AQ48,", ",AR48),IF(AQ48="Documentar",CONCATENATE("- ",AQ48),IF(AR48="Asignar responsable",CONCATENATE("- ",AR48),"")))</f>
        <v/>
      </c>
      <c r="AT48" s="3" t="str">
        <f t="shared" si="252"/>
        <v/>
      </c>
      <c r="AU48" s="3" t="str">
        <f t="shared" ref="AU48" si="255">IF(AT48="",AS48,IF(AS48="",CONCATENATE("- ",AT48),CONCATENATE(AS48,", ",AT48)))</f>
        <v/>
      </c>
      <c r="AV48" s="3" t="str">
        <f t="shared" si="253"/>
        <v/>
      </c>
      <c r="AW48" s="3" t="str">
        <f t="shared" ref="AW48" si="256">IF(AV48="",AU48,IF(AU48="",CONCATENATE("- ",AV48),CONCATENATE(AU48,", ",AV48)))</f>
        <v/>
      </c>
      <c r="AX48" s="502"/>
      <c r="AY48" s="502"/>
      <c r="AZ48" s="502"/>
      <c r="BA48" s="502"/>
      <c r="BB48" s="3" t="str">
        <f t="shared" si="234"/>
        <v>SI</v>
      </c>
      <c r="BC48" s="3" t="str">
        <f t="shared" si="235"/>
        <v/>
      </c>
      <c r="BD48" s="3" t="str">
        <f t="shared" si="236"/>
        <v>SI</v>
      </c>
      <c r="BE48" s="3" t="str">
        <f t="shared" si="237"/>
        <v/>
      </c>
      <c r="BF48" s="3" t="str">
        <f t="shared" si="238"/>
        <v>SI</v>
      </c>
      <c r="BG48" s="3" t="str">
        <f t="shared" si="239"/>
        <v/>
      </c>
      <c r="BH48" s="3" t="str">
        <f t="shared" si="240"/>
        <v>P</v>
      </c>
      <c r="BI48" s="3" t="str">
        <f t="shared" si="25"/>
        <v/>
      </c>
      <c r="BJ48" s="3" t="str">
        <f t="shared" si="26"/>
        <v>M</v>
      </c>
      <c r="BK48" s="3" t="str">
        <f t="shared" si="27"/>
        <v/>
      </c>
      <c r="BL48" s="3" t="str">
        <f t="shared" si="241"/>
        <v>SI</v>
      </c>
      <c r="BM48" s="3" t="str">
        <f t="shared" si="242"/>
        <v/>
      </c>
    </row>
    <row r="49" spans="1:65" ht="36" customHeight="1" x14ac:dyDescent="0.2">
      <c r="A49" s="503" t="str">
        <f>IDENTIFICACIÓN!C22</f>
        <v>14G</v>
      </c>
      <c r="B49" s="496" t="str">
        <f>IF(IDENTIFICACIÓN!D22="","",IDENTIFICACIÓN!D22)</f>
        <v>Gestión Academica. Deterioro en la calidad de los programas académicos por necesidades de recursos no cubiertas.</v>
      </c>
      <c r="C49" s="356">
        <v>1</v>
      </c>
      <c r="D49" s="56" t="s">
        <v>11</v>
      </c>
      <c r="E49" s="240">
        <f t="shared" si="4"/>
        <v>10</v>
      </c>
      <c r="F49" s="44" t="s">
        <v>583</v>
      </c>
      <c r="G49" s="18" t="str">
        <f t="shared" si="198"/>
        <v/>
      </c>
      <c r="H49" s="44" t="s">
        <v>20</v>
      </c>
      <c r="I49" s="18" t="str">
        <f t="shared" si="199"/>
        <v/>
      </c>
      <c r="J49" s="55" t="str">
        <f t="shared" si="200"/>
        <v>Posibilidad</v>
      </c>
      <c r="K49" s="43" t="s">
        <v>11</v>
      </c>
      <c r="L49" s="18">
        <f t="shared" si="201"/>
        <v>15</v>
      </c>
      <c r="M49" s="43" t="s">
        <v>11</v>
      </c>
      <c r="N49" s="18">
        <f t="shared" si="202"/>
        <v>30</v>
      </c>
      <c r="O49" s="43" t="s">
        <v>323</v>
      </c>
      <c r="P49" s="18">
        <f t="shared" si="203"/>
        <v>10</v>
      </c>
      <c r="Q49" s="43" t="s">
        <v>11</v>
      </c>
      <c r="R49" s="18">
        <f t="shared" si="204"/>
        <v>5</v>
      </c>
      <c r="S49" s="43" t="s">
        <v>11</v>
      </c>
      <c r="T49" s="18">
        <f t="shared" si="205"/>
        <v>15</v>
      </c>
      <c r="U49" s="43" t="s">
        <v>11</v>
      </c>
      <c r="V49" s="18">
        <f t="shared" si="206"/>
        <v>10</v>
      </c>
      <c r="W49" s="18">
        <f t="shared" si="207"/>
        <v>95</v>
      </c>
      <c r="X49" s="57" t="str">
        <f t="shared" si="208"/>
        <v>95                           Disminuye max 2 en Posibilidad</v>
      </c>
      <c r="Y49" s="57">
        <f t="shared" si="209"/>
        <v>2</v>
      </c>
      <c r="Z49" s="356">
        <f t="shared" si="210"/>
        <v>0</v>
      </c>
      <c r="AA49" s="497">
        <f t="shared" ref="AA49" si="257">IF(AB49=0,"",(ROUND((SUM(W49:W51)/AB49),0)))</f>
        <v>95</v>
      </c>
      <c r="AB49" s="500">
        <f t="shared" ref="AB49" si="258">COUNT(T49:T51)</f>
        <v>3</v>
      </c>
      <c r="AC49" s="3">
        <f t="shared" ref="AC49" si="259">SUM(Y49:Y51)</f>
        <v>6</v>
      </c>
      <c r="AD49" s="3">
        <f>ANALISIS!D24</f>
        <v>3</v>
      </c>
      <c r="AE49" s="3">
        <f t="shared" ref="AE49:AE50" si="260">IF((AD49-AC49)&gt;=1,(AD49-AC49),1)</f>
        <v>1</v>
      </c>
      <c r="AF49" s="501">
        <f t="shared" ref="AF49" si="261">(AE50*10)+AE49</f>
        <v>41</v>
      </c>
      <c r="AG49" s="355" t="str">
        <f t="shared" ref="AG49" si="262">IF(AE50=1,AH49,IF(AE50=2,AI49,IF(AE50=3,AJ49,IF(AE50=4,AK49,AL49))))</f>
        <v>ALTA 1:4</v>
      </c>
      <c r="AH49" s="46" t="str">
        <f t="shared" ref="AH49" si="263">IF($AF49=11,"BAJA 1:1",IF($AF49=12,"BAJA 2:1",IF($AF49=13,"BAJA 3:1",IF($AF49=14,"MODERADA 4:1","ALTA 5:1"))))</f>
        <v>ALTA 5:1</v>
      </c>
      <c r="AI49" s="46" t="str">
        <f t="shared" ref="AI49" si="264">IF($AF49=21,"BAJA 1:2",IF($AF49=22,"BAJA 2:2",IF($AF49=23,"MODERADA 3:2",IF($AF49=24,"ALTA 4:2","ALTA 5:2"))))</f>
        <v>ALTA 5:2</v>
      </c>
      <c r="AJ49" s="46" t="str">
        <f t="shared" ref="AJ49" si="265">IF($AF49=31,"MODERADA 1:3",IF($AF49=32,"MODERADA 2:3",IF($AF49=33,"ALTA 3:3",IF($AF49=34,"ALTA 4:3","EXTREMA 5:3"))))</f>
        <v>EXTREMA 5:3</v>
      </c>
      <c r="AK49" s="46" t="str">
        <f t="shared" ref="AK49" si="266">IF($AF49=41,"ALTA 1:4",IF($AF49=42,"ALTA 2:4",IF($AF49=43,"EXTREMA 3:4",IF($AF49=44,"EXTREMA 4:4","EXTREMA 5:4"))))</f>
        <v>ALTA 1:4</v>
      </c>
      <c r="AL49" s="46" t="str">
        <f t="shared" ref="AL49" si="267">IF($AF49=51,"ALTA 1:5",IF($AF49=52,"EXTREMA 2:5",IF($AF49=53,"EXTREMA 3:5",IF($AF49=54,"EXTREMA 4:5","EXTREMA 5:5"))))</f>
        <v>EXTREMA 5:5</v>
      </c>
      <c r="AM49" s="3" t="str">
        <f t="shared" si="222"/>
        <v/>
      </c>
      <c r="AN49" s="3" t="str">
        <f t="shared" si="223"/>
        <v/>
      </c>
      <c r="AO49" s="3" t="str">
        <f t="shared" si="224"/>
        <v/>
      </c>
      <c r="AP49" s="3" t="str">
        <f t="shared" si="225"/>
        <v/>
      </c>
      <c r="AQ49" s="3" t="str">
        <f t="shared" ref="AQ49" si="268">AM49</f>
        <v/>
      </c>
      <c r="AR49" s="3" t="str">
        <f t="shared" ref="AR49" si="269">AN49</f>
        <v/>
      </c>
      <c r="AT49" s="3" t="str">
        <f t="shared" ref="AT49" si="270">AO49</f>
        <v/>
      </c>
      <c r="AV49" s="3" t="str">
        <f t="shared" ref="AV49" si="271">AP49</f>
        <v/>
      </c>
      <c r="AX49" s="502" t="str">
        <f t="shared" ref="AX49" si="272">IF(AW51="","",CONCATENATE(AW51," (de) el(los) control(es) Efectivo(s) "))</f>
        <v/>
      </c>
      <c r="AY49" s="502" t="str">
        <f t="shared" ref="AY49" si="273">IF(CONCATENATE(N49:N51)="","",IF(AND(SUM(E49:E51)=10,SUM(N49:N51)&lt;30),"- Replantear control(es) NO efectivo(s) ",IF(AND(SUM(E49:E51)=20,SUM(N49:N51)&lt;60),"- Replantear control(es) NO efectivo(s) ",IF(AND(SUM(E49:E51)=30,SUM(N49:N51)&lt;90),"- Replantear control(es) NO efectivo(s) ",""))))</f>
        <v/>
      </c>
      <c r="AZ49" s="502" t="str">
        <f t="shared" ref="AZ49" si="274">IF(AND(AE49&gt;1,AE50&gt;1),"- Tomar Acciones Preventivas y Correctivas",IF(AE49&gt;1,"- Tomar Acciones Preventivas",IF(AE50&gt;1,"- Tomar Acciones Correctivas","")))</f>
        <v>- Tomar Acciones Correctivas</v>
      </c>
      <c r="BA49" s="502" t="str">
        <f t="shared" ref="BA49" si="275">CONCATENATE(AX49,AY49,AZ49)</f>
        <v>- Tomar Acciones Correctivas</v>
      </c>
      <c r="BB49" s="3" t="str">
        <f t="shared" si="234"/>
        <v>SI</v>
      </c>
      <c r="BC49" s="3" t="str">
        <f t="shared" si="235"/>
        <v/>
      </c>
      <c r="BD49" s="3" t="str">
        <f t="shared" si="236"/>
        <v>SI</v>
      </c>
      <c r="BE49" s="3" t="str">
        <f t="shared" si="237"/>
        <v/>
      </c>
      <c r="BF49" s="3" t="str">
        <f t="shared" si="238"/>
        <v>SI</v>
      </c>
      <c r="BG49" s="3" t="str">
        <f t="shared" si="239"/>
        <v/>
      </c>
      <c r="BH49" s="3" t="str">
        <f t="shared" si="240"/>
        <v>P</v>
      </c>
      <c r="BI49" s="3" t="str">
        <f t="shared" si="25"/>
        <v/>
      </c>
      <c r="BJ49" s="3" t="str">
        <f t="shared" si="26"/>
        <v>M</v>
      </c>
      <c r="BK49" s="3" t="str">
        <f t="shared" si="27"/>
        <v/>
      </c>
      <c r="BL49" s="3" t="str">
        <f t="shared" si="241"/>
        <v>SI</v>
      </c>
      <c r="BM49" s="3" t="str">
        <f t="shared" si="242"/>
        <v/>
      </c>
    </row>
    <row r="50" spans="1:65" ht="36" customHeight="1" x14ac:dyDescent="0.2">
      <c r="A50" s="503"/>
      <c r="B50" s="496"/>
      <c r="C50" s="356">
        <v>2</v>
      </c>
      <c r="D50" s="56" t="s">
        <v>11</v>
      </c>
      <c r="E50" s="240">
        <f t="shared" si="4"/>
        <v>10</v>
      </c>
      <c r="F50" s="44" t="s">
        <v>586</v>
      </c>
      <c r="G50" s="18" t="str">
        <f t="shared" si="198"/>
        <v/>
      </c>
      <c r="H50" s="44" t="s">
        <v>20</v>
      </c>
      <c r="I50" s="18" t="str">
        <f t="shared" si="199"/>
        <v/>
      </c>
      <c r="J50" s="55" t="str">
        <f t="shared" si="200"/>
        <v>Posibilidad</v>
      </c>
      <c r="K50" s="43" t="s">
        <v>11</v>
      </c>
      <c r="L50" s="18">
        <f t="shared" si="201"/>
        <v>15</v>
      </c>
      <c r="M50" s="43" t="s">
        <v>11</v>
      </c>
      <c r="N50" s="18">
        <f t="shared" si="202"/>
        <v>30</v>
      </c>
      <c r="O50" s="43" t="s">
        <v>323</v>
      </c>
      <c r="P50" s="18">
        <f t="shared" si="203"/>
        <v>10</v>
      </c>
      <c r="Q50" s="43" t="s">
        <v>11</v>
      </c>
      <c r="R50" s="18">
        <f t="shared" si="204"/>
        <v>5</v>
      </c>
      <c r="S50" s="43" t="s">
        <v>11</v>
      </c>
      <c r="T50" s="18">
        <f t="shared" si="205"/>
        <v>15</v>
      </c>
      <c r="U50" s="43" t="s">
        <v>11</v>
      </c>
      <c r="V50" s="18">
        <f t="shared" si="206"/>
        <v>10</v>
      </c>
      <c r="W50" s="18">
        <f t="shared" si="207"/>
        <v>95</v>
      </c>
      <c r="X50" s="57" t="str">
        <f t="shared" si="208"/>
        <v>95                           Disminuye max 2 en Posibilidad</v>
      </c>
      <c r="Y50" s="57">
        <f t="shared" si="209"/>
        <v>2</v>
      </c>
      <c r="Z50" s="356">
        <f t="shared" si="210"/>
        <v>0</v>
      </c>
      <c r="AA50" s="498"/>
      <c r="AB50" s="500"/>
      <c r="AC50" s="3">
        <f t="shared" ref="AC50" si="276">SUM(Z49:Z51)</f>
        <v>0</v>
      </c>
      <c r="AD50" s="3">
        <f>ANALISIS!G24</f>
        <v>4</v>
      </c>
      <c r="AE50" s="3">
        <f t="shared" si="260"/>
        <v>4</v>
      </c>
      <c r="AF50" s="501"/>
      <c r="AG50" s="355" t="str">
        <f t="shared" ref="AG50" si="277">IF(AE50=1,AH50,IF(AE50=2,AI50,IF(AE50=3,AJ50,IF(AE50=4,AK50,AL50))))</f>
        <v>- Reducir el Riesgo- Compartir o Transferir el Riesgo</v>
      </c>
      <c r="AH50" s="46" t="str">
        <f t="shared" ref="AH50" si="278">IF($AF49=11,"- Asumir el Riesgo",IF($AF49=12,"- Asumir el Riesgo- Evitar Posibilidad de Ocurrencia- Reducir el Riesgo",IF($AF49=13,"- Asumir el Riesgo- Evitar Posibilidad de Ocurrencia- Reducir el Riesgo",IF($AF49=14,"-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0" s="46" t="str">
        <f t="shared" ref="AI50" si="279">IF($AF49=21,"- Asumir el Riesgo- Reducir el Riesgo",IF($AF49=22,"- Asumir el Riesgo- Evitar Posibilidad de Ocurrencia- Reducir el Riesgo",IF($AF49=23,"- Asumir el Riesgo- Evitar Posibilidad de Ocurrencia- Reducir el Riesgo- Compartir o Transferir el Riesgo",IF($AF49=24,"- Evitar Posibilidad de Ocurrencia- Reducir el Riesgo- Compartir o Transferir el Riesgo","- Evitar Posibilidad de Ocurrencia- Reducir el Riesgo- Compartir o Transferir el Riesgo"))))</f>
        <v>- Evitar Posibilidad de Ocurrencia- Reducir el Riesgo- Compartir o Transferir el Riesgo</v>
      </c>
      <c r="AJ50" s="46" t="str">
        <f t="shared" ref="AJ50" si="280">IF($AF49=31,"- Asumir el Riesgo- Reducir el Riesgo- Compartir o Transferir el Riesgo",IF($AF49=32,"- Asumir el Riesgo- Evitar Posibilidad de Ocurrencia- Reducir el Reducir- Compartir o Transferir el Riesgo",IF($AF49=33,"- Evitar Posibilidad de Ocurrencia- Reducir el Riesgo- Compartir o Transferir el Riesgo",IF($AF49=34,"-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0" s="46" t="str">
        <f t="shared" ref="AK50" si="281">IF($AF49=41,"- Reducir el Riesgo- Compartir o Transferir el Riesgo",IF($AF49=42,"- Evitar Posibilidad de Ocurrencia- Reducir el Riesgo- Compartir o Transferir el Riesgo",IF($AF49=43,"- Eliminar Causa(s)- Evitar Posibilidad de Ocurrencia- Reducir el Riesgo- Compartir o Transferir el Riesgo",IF($AF49=44,"- Eliminar Causa(s)- Evitar Posibilidad de Ocurrencia- Reducir el Riesgo- Compartir o Transferir el Riesgo","- Eliminar Causa(s)- Evitar Posibilidad de Ocurrencia- Reducir el Riesgo- Compartir o Transferir el Riesgo"))))</f>
        <v>- Reducir el Riesgo- Compartir o Transferir el Riesgo</v>
      </c>
      <c r="AL50" s="46" t="str">
        <f t="shared" ref="AL50" si="282">IF($AF49=51,"- Reducir el Riesgo- Compartir o Transferir el Riesgo",IF($AF49=52,"- Eliminar Causa(s)- Evitar Posibilidad de Ocurrencia- Reducir el Riesgo- Compartir o Transferir el Riesgo",IF($AF49=53,"- Eliminar Causa(s)- Evitar Posibilidad de Ocurrencia- Reducir el Riesgo- Compartir o Transferir el Riesgo",IF($AF49=54,"-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0" s="3" t="str">
        <f t="shared" si="222"/>
        <v/>
      </c>
      <c r="AN50" s="3" t="str">
        <f t="shared" si="223"/>
        <v/>
      </c>
      <c r="AO50" s="3" t="str">
        <f t="shared" si="224"/>
        <v/>
      </c>
      <c r="AP50" s="3" t="str">
        <f t="shared" si="225"/>
        <v/>
      </c>
      <c r="AQ50" s="3" t="str">
        <f t="shared" ref="AQ50:AQ51" si="283">IF(AQ49="Documentar",AQ49,AM50)</f>
        <v/>
      </c>
      <c r="AR50" s="3" t="str">
        <f t="shared" ref="AR50:AR51" si="284">IF(AR49="Asignar responsable",AR49,AN50)</f>
        <v/>
      </c>
      <c r="AT50" s="3" t="str">
        <f t="shared" ref="AT50:AT51" si="285">IF(AT49="Establecer periodos de seguimiento adecuados",AT49,AO50)</f>
        <v/>
      </c>
      <c r="AV50" s="3" t="str">
        <f t="shared" ref="AV50:AV51" si="286">IF(AV49="Guardar Evidencias",AV49,AP50)</f>
        <v/>
      </c>
      <c r="AX50" s="502"/>
      <c r="AY50" s="502"/>
      <c r="AZ50" s="502"/>
      <c r="BA50" s="502"/>
      <c r="BB50" s="3" t="str">
        <f t="shared" si="234"/>
        <v>SI</v>
      </c>
      <c r="BC50" s="3" t="str">
        <f t="shared" si="235"/>
        <v/>
      </c>
      <c r="BD50" s="3" t="str">
        <f t="shared" si="236"/>
        <v>SI</v>
      </c>
      <c r="BE50" s="3" t="str">
        <f t="shared" si="237"/>
        <v/>
      </c>
      <c r="BF50" s="3" t="str">
        <f t="shared" si="238"/>
        <v>SI</v>
      </c>
      <c r="BG50" s="3" t="str">
        <f t="shared" si="239"/>
        <v/>
      </c>
      <c r="BH50" s="3" t="str">
        <f t="shared" si="240"/>
        <v>P</v>
      </c>
      <c r="BI50" s="3" t="str">
        <f t="shared" si="25"/>
        <v/>
      </c>
      <c r="BJ50" s="3" t="str">
        <f t="shared" si="26"/>
        <v>M</v>
      </c>
      <c r="BK50" s="3" t="str">
        <f t="shared" si="27"/>
        <v/>
      </c>
      <c r="BL50" s="3" t="str">
        <f t="shared" si="241"/>
        <v>SI</v>
      </c>
      <c r="BM50" s="3" t="str">
        <f t="shared" si="242"/>
        <v/>
      </c>
    </row>
    <row r="51" spans="1:65" ht="36" customHeight="1" x14ac:dyDescent="0.2">
      <c r="A51" s="503"/>
      <c r="B51" s="496"/>
      <c r="C51" s="356">
        <v>3</v>
      </c>
      <c r="D51" s="56" t="s">
        <v>11</v>
      </c>
      <c r="E51" s="240">
        <f t="shared" si="4"/>
        <v>10</v>
      </c>
      <c r="F51" s="44" t="s">
        <v>587</v>
      </c>
      <c r="G51" s="18" t="str">
        <f t="shared" si="198"/>
        <v/>
      </c>
      <c r="H51" s="44" t="s">
        <v>20</v>
      </c>
      <c r="I51" s="18" t="str">
        <f t="shared" si="199"/>
        <v/>
      </c>
      <c r="J51" s="55" t="str">
        <f t="shared" si="200"/>
        <v>Posibilidad</v>
      </c>
      <c r="K51" s="43" t="s">
        <v>11</v>
      </c>
      <c r="L51" s="18">
        <f t="shared" si="201"/>
        <v>15</v>
      </c>
      <c r="M51" s="43" t="s">
        <v>11</v>
      </c>
      <c r="N51" s="18">
        <f t="shared" si="202"/>
        <v>30</v>
      </c>
      <c r="O51" s="43" t="s">
        <v>323</v>
      </c>
      <c r="P51" s="18">
        <f t="shared" si="203"/>
        <v>10</v>
      </c>
      <c r="Q51" s="43" t="s">
        <v>11</v>
      </c>
      <c r="R51" s="18">
        <f t="shared" si="204"/>
        <v>5</v>
      </c>
      <c r="S51" s="43" t="s">
        <v>11</v>
      </c>
      <c r="T51" s="18">
        <f t="shared" si="205"/>
        <v>15</v>
      </c>
      <c r="U51" s="43" t="s">
        <v>11</v>
      </c>
      <c r="V51" s="18">
        <f t="shared" si="206"/>
        <v>10</v>
      </c>
      <c r="W51" s="18">
        <f t="shared" si="207"/>
        <v>95</v>
      </c>
      <c r="X51" s="57" t="str">
        <f t="shared" si="208"/>
        <v>95                           Disminuye max 2 en Posibilidad</v>
      </c>
      <c r="Y51" s="57">
        <f t="shared" si="209"/>
        <v>2</v>
      </c>
      <c r="Z51" s="356">
        <f t="shared" si="210"/>
        <v>0</v>
      </c>
      <c r="AA51" s="499"/>
      <c r="AB51" s="500"/>
      <c r="AM51" s="3" t="str">
        <f t="shared" si="222"/>
        <v/>
      </c>
      <c r="AN51" s="3" t="str">
        <f t="shared" si="223"/>
        <v/>
      </c>
      <c r="AO51" s="3" t="str">
        <f t="shared" si="224"/>
        <v/>
      </c>
      <c r="AP51" s="3" t="str">
        <f t="shared" si="225"/>
        <v/>
      </c>
      <c r="AQ51" s="3" t="str">
        <f t="shared" si="283"/>
        <v/>
      </c>
      <c r="AR51" s="3" t="str">
        <f t="shared" si="284"/>
        <v/>
      </c>
      <c r="AS51" s="3" t="str">
        <f t="shared" ref="AS51" si="287">IF(AND(AQ51="Documentar",AR51="Asignar responsable"),CONCATENATE("- ",AQ51,", ",AR51),IF(AQ51="Documentar",CONCATENATE("- ",AQ51),IF(AR51="Asignar responsable",CONCATENATE("- ",AR51),"")))</f>
        <v/>
      </c>
      <c r="AT51" s="3" t="str">
        <f t="shared" si="285"/>
        <v/>
      </c>
      <c r="AU51" s="3" t="str">
        <f t="shared" ref="AU51" si="288">IF(AT51="",AS51,IF(AS51="",CONCATENATE("- ",AT51),CONCATENATE(AS51,", ",AT51)))</f>
        <v/>
      </c>
      <c r="AV51" s="3" t="str">
        <f t="shared" si="286"/>
        <v/>
      </c>
      <c r="AW51" s="3" t="str">
        <f t="shared" ref="AW51" si="289">IF(AV51="",AU51,IF(AU51="",CONCATENATE("- ",AV51),CONCATENATE(AU51,", ",AV51)))</f>
        <v/>
      </c>
      <c r="AX51" s="502"/>
      <c r="AY51" s="502"/>
      <c r="AZ51" s="502"/>
      <c r="BA51" s="502"/>
      <c r="BB51" s="3" t="str">
        <f t="shared" si="234"/>
        <v>SI</v>
      </c>
      <c r="BC51" s="3" t="str">
        <f t="shared" si="235"/>
        <v/>
      </c>
      <c r="BD51" s="3" t="str">
        <f t="shared" si="236"/>
        <v>SI</v>
      </c>
      <c r="BE51" s="3" t="str">
        <f t="shared" si="237"/>
        <v/>
      </c>
      <c r="BF51" s="3" t="str">
        <f t="shared" si="238"/>
        <v>SI</v>
      </c>
      <c r="BG51" s="3" t="str">
        <f t="shared" si="239"/>
        <v/>
      </c>
      <c r="BH51" s="3" t="str">
        <f t="shared" si="240"/>
        <v>P</v>
      </c>
      <c r="BI51" s="3" t="str">
        <f t="shared" si="25"/>
        <v/>
      </c>
      <c r="BJ51" s="3" t="str">
        <f t="shared" si="26"/>
        <v>M</v>
      </c>
      <c r="BK51" s="3" t="str">
        <f t="shared" si="27"/>
        <v/>
      </c>
      <c r="BL51" s="3" t="str">
        <f t="shared" si="241"/>
        <v>SI</v>
      </c>
      <c r="BM51" s="3" t="str">
        <f t="shared" si="242"/>
        <v/>
      </c>
    </row>
    <row r="52" spans="1:65" ht="36" customHeight="1" x14ac:dyDescent="0.2">
      <c r="A52" s="503" t="str">
        <f>IDENTIFICACIÓN!C23</f>
        <v>15G</v>
      </c>
      <c r="B52" s="496" t="str">
        <f>IF(IDENTIFICACIÓN!D23="","",IDENTIFICACIÓN!D23)</f>
        <v xml:space="preserve">Gestión de Investigación. No fomentar la actividad investigativa en la Universidad.  </v>
      </c>
      <c r="C52" s="356">
        <v>1</v>
      </c>
      <c r="D52" s="56" t="s">
        <v>11</v>
      </c>
      <c r="E52" s="240">
        <f t="shared" si="4"/>
        <v>10</v>
      </c>
      <c r="F52" s="44" t="s">
        <v>588</v>
      </c>
      <c r="G52" s="18" t="str">
        <f t="shared" si="198"/>
        <v/>
      </c>
      <c r="H52" s="44" t="s">
        <v>20</v>
      </c>
      <c r="I52" s="18" t="str">
        <f t="shared" si="199"/>
        <v/>
      </c>
      <c r="J52" s="55" t="str">
        <f t="shared" si="200"/>
        <v>Posibilidad</v>
      </c>
      <c r="K52" s="43" t="s">
        <v>11</v>
      </c>
      <c r="L52" s="18">
        <f t="shared" si="201"/>
        <v>15</v>
      </c>
      <c r="M52" s="43" t="s">
        <v>11</v>
      </c>
      <c r="N52" s="18">
        <f t="shared" si="202"/>
        <v>30</v>
      </c>
      <c r="O52" s="43" t="s">
        <v>322</v>
      </c>
      <c r="P52" s="18">
        <f t="shared" si="203"/>
        <v>15</v>
      </c>
      <c r="Q52" s="43" t="s">
        <v>11</v>
      </c>
      <c r="R52" s="18">
        <f t="shared" si="204"/>
        <v>5</v>
      </c>
      <c r="S52" s="43" t="s">
        <v>11</v>
      </c>
      <c r="T52" s="18">
        <f t="shared" si="205"/>
        <v>15</v>
      </c>
      <c r="U52" s="43" t="s">
        <v>11</v>
      </c>
      <c r="V52" s="18">
        <f t="shared" si="206"/>
        <v>10</v>
      </c>
      <c r="W52" s="18">
        <f t="shared" si="207"/>
        <v>100</v>
      </c>
      <c r="X52" s="57" t="str">
        <f t="shared" si="208"/>
        <v>100                           Disminuye max 2 en Posibilidad</v>
      </c>
      <c r="Y52" s="57">
        <f t="shared" si="209"/>
        <v>2</v>
      </c>
      <c r="Z52" s="356">
        <f t="shared" si="210"/>
        <v>0</v>
      </c>
      <c r="AA52" s="497">
        <f t="shared" ref="AA52" si="290">IF(AB52=0,"",(ROUND((SUM(W52:W54)/AB52),0)))</f>
        <v>98</v>
      </c>
      <c r="AB52" s="500">
        <f t="shared" ref="AB52" si="291">COUNT(T52:T54)</f>
        <v>3</v>
      </c>
      <c r="AC52" s="3">
        <f t="shared" ref="AC52" si="292">SUM(Y52:Y54)</f>
        <v>6</v>
      </c>
      <c r="AD52" s="3">
        <f>ANALISIS!D25</f>
        <v>1</v>
      </c>
      <c r="AE52" s="3">
        <f t="shared" ref="AE52:AE53" si="293">IF((AD52-AC52)&gt;=1,(AD52-AC52),1)</f>
        <v>1</v>
      </c>
      <c r="AF52" s="501">
        <f t="shared" ref="AF52" si="294">(AE53*10)+AE52</f>
        <v>51</v>
      </c>
      <c r="AG52" s="355" t="str">
        <f t="shared" ref="AG52" si="295">IF(AE53=1,AH52,IF(AE53=2,AI52,IF(AE53=3,AJ52,IF(AE53=4,AK52,AL52))))</f>
        <v>ALTA 1:5</v>
      </c>
      <c r="AH52" s="46" t="str">
        <f t="shared" ref="AH52" si="296">IF($AF52=11,"BAJA 1:1",IF($AF52=12,"BAJA 2:1",IF($AF52=13,"BAJA 3:1",IF($AF52=14,"MODERADA 4:1","ALTA 5:1"))))</f>
        <v>ALTA 5:1</v>
      </c>
      <c r="AI52" s="46" t="str">
        <f t="shared" ref="AI52" si="297">IF($AF52=21,"BAJA 1:2",IF($AF52=22,"BAJA 2:2",IF($AF52=23,"MODERADA 3:2",IF($AF52=24,"ALTA 4:2","ALTA 5:2"))))</f>
        <v>ALTA 5:2</v>
      </c>
      <c r="AJ52" s="46" t="str">
        <f t="shared" ref="AJ52" si="298">IF($AF52=31,"MODERADA 1:3",IF($AF52=32,"MODERADA 2:3",IF($AF52=33,"ALTA 3:3",IF($AF52=34,"ALTA 4:3","EXTREMA 5:3"))))</f>
        <v>EXTREMA 5:3</v>
      </c>
      <c r="AK52" s="46" t="str">
        <f t="shared" ref="AK52" si="299">IF($AF52=41,"ALTA 1:4",IF($AF52=42,"ALTA 2:4",IF($AF52=43,"EXTREMA 3:4",IF($AF52=44,"EXTREMA 4:4","EXTREMA 5:4"))))</f>
        <v>EXTREMA 5:4</v>
      </c>
      <c r="AL52" s="46" t="str">
        <f t="shared" ref="AL52" si="300">IF($AF52=51,"ALTA 1:5",IF($AF52=52,"EXTREMA 2:5",IF($AF52=53,"EXTREMA 3:5",IF($AF52=54,"EXTREMA 4:5","EXTREMA 5:5"))))</f>
        <v>ALTA 1:5</v>
      </c>
      <c r="AM52" s="3" t="str">
        <f t="shared" si="222"/>
        <v/>
      </c>
      <c r="AN52" s="3" t="str">
        <f t="shared" si="223"/>
        <v/>
      </c>
      <c r="AO52" s="3" t="str">
        <f t="shared" si="224"/>
        <v/>
      </c>
      <c r="AP52" s="3" t="str">
        <f t="shared" si="225"/>
        <v/>
      </c>
      <c r="AQ52" s="3" t="str">
        <f t="shared" ref="AQ52" si="301">AM52</f>
        <v/>
      </c>
      <c r="AR52" s="3" t="str">
        <f t="shared" ref="AR52" si="302">AN52</f>
        <v/>
      </c>
      <c r="AT52" s="3" t="str">
        <f t="shared" ref="AT52" si="303">AO52</f>
        <v/>
      </c>
      <c r="AV52" s="3" t="str">
        <f t="shared" ref="AV52" si="304">AP52</f>
        <v/>
      </c>
      <c r="AX52" s="502" t="str">
        <f t="shared" ref="AX52" si="305">IF(AW54="","",CONCATENATE(AW54," (de) el(los) control(es) Efectivo(s) "))</f>
        <v/>
      </c>
      <c r="AY52" s="502" t="str">
        <f t="shared" ref="AY52" si="306">IF(CONCATENATE(N52:N54)="","",IF(AND(SUM(E52:E54)=10,SUM(N52:N54)&lt;30),"- Replantear control(es) NO efectivo(s) ",IF(AND(SUM(E52:E54)=20,SUM(N52:N54)&lt;60),"- Replantear control(es) NO efectivo(s) ",IF(AND(SUM(E52:E54)=30,SUM(N52:N54)&lt;90),"- Replantear control(es) NO efectivo(s) ",""))))</f>
        <v/>
      </c>
      <c r="AZ52" s="502" t="str">
        <f t="shared" ref="AZ52" si="307">IF(AND(AE52&gt;1,AE53&gt;1),"- Tomar Acciones Preventivas y Correctivas",IF(AE52&gt;1,"- Tomar Acciones Preventivas",IF(AE53&gt;1,"- Tomar Acciones Correctivas","")))</f>
        <v>- Tomar Acciones Correctivas</v>
      </c>
      <c r="BA52" s="502" t="str">
        <f t="shared" ref="BA52" si="308">CONCATENATE(AX52,AY52,AZ52)</f>
        <v>- Tomar Acciones Correctivas</v>
      </c>
      <c r="BB52" s="3" t="str">
        <f t="shared" si="234"/>
        <v>SI</v>
      </c>
      <c r="BC52" s="3" t="str">
        <f t="shared" si="235"/>
        <v/>
      </c>
      <c r="BD52" s="3" t="str">
        <f t="shared" si="236"/>
        <v>SI</v>
      </c>
      <c r="BE52" s="3" t="str">
        <f t="shared" si="237"/>
        <v/>
      </c>
      <c r="BF52" s="3" t="str">
        <f t="shared" si="238"/>
        <v>SI</v>
      </c>
      <c r="BG52" s="3" t="str">
        <f t="shared" si="239"/>
        <v/>
      </c>
      <c r="BH52" s="3" t="str">
        <f t="shared" si="240"/>
        <v>P</v>
      </c>
      <c r="BI52" s="3" t="str">
        <f t="shared" si="25"/>
        <v/>
      </c>
      <c r="BJ52" s="3" t="str">
        <f t="shared" si="26"/>
        <v>A</v>
      </c>
      <c r="BK52" s="3" t="str">
        <f t="shared" si="27"/>
        <v/>
      </c>
      <c r="BL52" s="3" t="str">
        <f t="shared" si="241"/>
        <v>SI</v>
      </c>
      <c r="BM52" s="3" t="str">
        <f t="shared" si="242"/>
        <v/>
      </c>
    </row>
    <row r="53" spans="1:65" ht="36" customHeight="1" x14ac:dyDescent="0.2">
      <c r="A53" s="503"/>
      <c r="B53" s="496"/>
      <c r="C53" s="356">
        <v>2</v>
      </c>
      <c r="D53" s="56" t="s">
        <v>11</v>
      </c>
      <c r="E53" s="240">
        <f t="shared" si="4"/>
        <v>10</v>
      </c>
      <c r="F53" s="44" t="s">
        <v>589</v>
      </c>
      <c r="G53" s="18" t="str">
        <f t="shared" si="198"/>
        <v/>
      </c>
      <c r="H53" s="44" t="s">
        <v>20</v>
      </c>
      <c r="I53" s="18" t="str">
        <f t="shared" si="199"/>
        <v/>
      </c>
      <c r="J53" s="55" t="str">
        <f t="shared" si="200"/>
        <v>Posibilidad</v>
      </c>
      <c r="K53" s="43" t="s">
        <v>11</v>
      </c>
      <c r="L53" s="18">
        <f t="shared" si="201"/>
        <v>15</v>
      </c>
      <c r="M53" s="43" t="s">
        <v>11</v>
      </c>
      <c r="N53" s="18">
        <f t="shared" si="202"/>
        <v>30</v>
      </c>
      <c r="O53" s="43" t="s">
        <v>323</v>
      </c>
      <c r="P53" s="18">
        <f t="shared" si="203"/>
        <v>10</v>
      </c>
      <c r="Q53" s="43" t="s">
        <v>11</v>
      </c>
      <c r="R53" s="18">
        <f t="shared" si="204"/>
        <v>5</v>
      </c>
      <c r="S53" s="43" t="s">
        <v>11</v>
      </c>
      <c r="T53" s="18">
        <f t="shared" si="205"/>
        <v>15</v>
      </c>
      <c r="U53" s="43" t="s">
        <v>11</v>
      </c>
      <c r="V53" s="18">
        <f t="shared" si="206"/>
        <v>10</v>
      </c>
      <c r="W53" s="18">
        <f t="shared" si="207"/>
        <v>95</v>
      </c>
      <c r="X53" s="57" t="str">
        <f t="shared" si="208"/>
        <v>95                           Disminuye max 2 en Posibilidad</v>
      </c>
      <c r="Y53" s="57">
        <f t="shared" si="209"/>
        <v>2</v>
      </c>
      <c r="Z53" s="356">
        <f t="shared" si="210"/>
        <v>0</v>
      </c>
      <c r="AA53" s="498"/>
      <c r="AB53" s="500"/>
      <c r="AC53" s="3">
        <f t="shared" ref="AC53" si="309">SUM(Z52:Z54)</f>
        <v>0</v>
      </c>
      <c r="AD53" s="3">
        <f>ANALISIS!G25</f>
        <v>5</v>
      </c>
      <c r="AE53" s="3">
        <f t="shared" si="293"/>
        <v>5</v>
      </c>
      <c r="AF53" s="501"/>
      <c r="AG53" s="355" t="str">
        <f t="shared" ref="AG53" si="310">IF(AE53=1,AH53,IF(AE53=2,AI53,IF(AE53=3,AJ53,IF(AE53=4,AK53,AL53))))</f>
        <v>- Reducir el Riesgo- Compartir o Transferir el Riesgo</v>
      </c>
      <c r="AH53" s="46" t="str">
        <f t="shared" ref="AH53" si="311">IF($AF52=11,"- Asumir el Riesgo",IF($AF52=12,"- Asumir el Riesgo- Evitar Posibilidad de Ocurrencia- Reducir el Riesgo",IF($AF52=13,"- Asumir el Riesgo- Evitar Posibilidad de Ocurrencia- Reducir el Riesgo",IF($AF52=14,"-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3" s="46" t="str">
        <f t="shared" ref="AI53" si="312">IF($AF52=21,"- Asumir el Riesgo- Reducir el Riesgo",IF($AF52=22,"- Asumir el Riesgo- Evitar Posibilidad de Ocurrencia- Reducir el Riesgo",IF($AF52=23,"- Asumir el Riesgo- Evitar Posibilidad de Ocurrencia- Reducir el Riesgo- Compartir o Transferir el Riesgo",IF($AF52=24,"- Evitar Posibilidad de Ocurrencia- Reducir el Riesgo- Compartir o Transferir el Riesgo","- Evitar Posibilidad de Ocurrencia- Reducir el Riesgo- Compartir o Transferir el Riesgo"))))</f>
        <v>- Evitar Posibilidad de Ocurrencia- Reducir el Riesgo- Compartir o Transferir el Riesgo</v>
      </c>
      <c r="AJ53" s="46" t="str">
        <f t="shared" ref="AJ53" si="313">IF($AF52=31,"- Asumir el Riesgo- Reducir el Riesgo- Compartir o Transferir el Riesgo",IF($AF52=32,"- Asumir el Riesgo- Evitar Posibilidad de Ocurrencia- Reducir el Reducir- Compartir o Transferir el Riesgo",IF($AF52=33,"- Evitar Posibilidad de Ocurrencia- Reducir el Riesgo- Compartir o Transferir el Riesgo",IF($AF52=34,"-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3" s="46" t="str">
        <f t="shared" ref="AK53" si="314">IF($AF52=41,"- Reducir el Riesgo- Compartir o Transferir el Riesgo",IF($AF52=42,"- Evitar Posibilidad de Ocurrencia- Reducir el Riesgo- Compartir o Transferir el Riesgo",IF($AF52=43,"- Eliminar Causa(s)- Evitar Posibilidad de Ocurrencia- Reducir el Riesgo- Compartir o Transferir el Riesgo",IF($AF52=44,"-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53" s="46" t="str">
        <f t="shared" ref="AL53" si="315">IF($AF52=51,"- Reducir el Riesgo- Compartir o Transferir el Riesgo",IF($AF52=52,"- Eliminar Causa(s)- Evitar Posibilidad de Ocurrencia- Reducir el Riesgo- Compartir o Transferir el Riesgo",IF($AF52=53,"- Eliminar Causa(s)- Evitar Posibilidad de Ocurrencia- Reducir el Riesgo- Compartir o Transferir el Riesgo",IF($AF52=54,"- Eliminar Causa(s)- Evitar Posibilidad de Ocurrencia- Reducir el Riesgo- Compartir o Transferir el Riesgo","- Eliminar Causa(s)- Evitar Posibilidad de Ocurrencia- Reducir el Riesgo- Compartir o Transferir el Riesgo"))))</f>
        <v>- Reducir el Riesgo- Compartir o Transferir el Riesgo</v>
      </c>
      <c r="AM53" s="3" t="str">
        <f t="shared" si="222"/>
        <v/>
      </c>
      <c r="AN53" s="3" t="str">
        <f t="shared" si="223"/>
        <v/>
      </c>
      <c r="AO53" s="3" t="str">
        <f t="shared" si="224"/>
        <v/>
      </c>
      <c r="AP53" s="3" t="str">
        <f t="shared" si="225"/>
        <v/>
      </c>
      <c r="AQ53" s="3" t="str">
        <f t="shared" ref="AQ53:AQ54" si="316">IF(AQ52="Documentar",AQ52,AM53)</f>
        <v/>
      </c>
      <c r="AR53" s="3" t="str">
        <f t="shared" ref="AR53:AR54" si="317">IF(AR52="Asignar responsable",AR52,AN53)</f>
        <v/>
      </c>
      <c r="AT53" s="3" t="str">
        <f t="shared" ref="AT53:AT54" si="318">IF(AT52="Establecer periodos de seguimiento adecuados",AT52,AO53)</f>
        <v/>
      </c>
      <c r="AV53" s="3" t="str">
        <f t="shared" ref="AV53:AV54" si="319">IF(AV52="Guardar Evidencias",AV52,AP53)</f>
        <v/>
      </c>
      <c r="AX53" s="502"/>
      <c r="AY53" s="502"/>
      <c r="AZ53" s="502"/>
      <c r="BA53" s="502"/>
      <c r="BB53" s="3" t="str">
        <f t="shared" si="234"/>
        <v>SI</v>
      </c>
      <c r="BC53" s="3" t="str">
        <f t="shared" si="235"/>
        <v/>
      </c>
      <c r="BD53" s="3" t="str">
        <f t="shared" si="236"/>
        <v>SI</v>
      </c>
      <c r="BE53" s="3" t="str">
        <f t="shared" si="237"/>
        <v/>
      </c>
      <c r="BF53" s="3" t="str">
        <f t="shared" si="238"/>
        <v>SI</v>
      </c>
      <c r="BG53" s="3" t="str">
        <f t="shared" si="239"/>
        <v/>
      </c>
      <c r="BH53" s="3" t="str">
        <f t="shared" si="240"/>
        <v>P</v>
      </c>
      <c r="BI53" s="3" t="str">
        <f t="shared" si="25"/>
        <v/>
      </c>
      <c r="BJ53" s="3" t="str">
        <f t="shared" si="26"/>
        <v>M</v>
      </c>
      <c r="BK53" s="3" t="str">
        <f t="shared" si="27"/>
        <v/>
      </c>
      <c r="BL53" s="3" t="str">
        <f t="shared" si="241"/>
        <v>SI</v>
      </c>
      <c r="BM53" s="3" t="str">
        <f t="shared" si="242"/>
        <v/>
      </c>
    </row>
    <row r="54" spans="1:65" ht="36" customHeight="1" x14ac:dyDescent="0.2">
      <c r="A54" s="503"/>
      <c r="B54" s="496"/>
      <c r="C54" s="356">
        <v>3</v>
      </c>
      <c r="D54" s="56" t="s">
        <v>11</v>
      </c>
      <c r="E54" s="240">
        <f t="shared" si="4"/>
        <v>10</v>
      </c>
      <c r="F54" s="44" t="s">
        <v>590</v>
      </c>
      <c r="G54" s="18" t="str">
        <f t="shared" si="198"/>
        <v/>
      </c>
      <c r="H54" s="44" t="s">
        <v>20</v>
      </c>
      <c r="I54" s="18" t="str">
        <f t="shared" si="199"/>
        <v/>
      </c>
      <c r="J54" s="55" t="str">
        <f t="shared" si="200"/>
        <v>Posibilidad</v>
      </c>
      <c r="K54" s="43" t="s">
        <v>11</v>
      </c>
      <c r="L54" s="18">
        <f t="shared" si="201"/>
        <v>15</v>
      </c>
      <c r="M54" s="43" t="s">
        <v>11</v>
      </c>
      <c r="N54" s="18">
        <f t="shared" si="202"/>
        <v>30</v>
      </c>
      <c r="O54" s="43" t="s">
        <v>322</v>
      </c>
      <c r="P54" s="18">
        <f t="shared" si="203"/>
        <v>15</v>
      </c>
      <c r="Q54" s="43" t="s">
        <v>11</v>
      </c>
      <c r="R54" s="18">
        <f t="shared" si="204"/>
        <v>5</v>
      </c>
      <c r="S54" s="43" t="s">
        <v>11</v>
      </c>
      <c r="T54" s="18">
        <f t="shared" si="205"/>
        <v>15</v>
      </c>
      <c r="U54" s="43" t="s">
        <v>11</v>
      </c>
      <c r="V54" s="18">
        <f t="shared" si="206"/>
        <v>10</v>
      </c>
      <c r="W54" s="18">
        <f t="shared" si="207"/>
        <v>100</v>
      </c>
      <c r="X54" s="57" t="str">
        <f t="shared" si="208"/>
        <v>100                           Disminuye max 2 en Posibilidad</v>
      </c>
      <c r="Y54" s="57">
        <f t="shared" si="209"/>
        <v>2</v>
      </c>
      <c r="Z54" s="356">
        <f t="shared" si="210"/>
        <v>0</v>
      </c>
      <c r="AA54" s="499"/>
      <c r="AB54" s="500"/>
      <c r="AM54" s="3" t="str">
        <f t="shared" si="222"/>
        <v/>
      </c>
      <c r="AN54" s="3" t="str">
        <f t="shared" si="223"/>
        <v/>
      </c>
      <c r="AO54" s="3" t="str">
        <f t="shared" si="224"/>
        <v/>
      </c>
      <c r="AP54" s="3" t="str">
        <f t="shared" si="225"/>
        <v/>
      </c>
      <c r="AQ54" s="3" t="str">
        <f t="shared" si="316"/>
        <v/>
      </c>
      <c r="AR54" s="3" t="str">
        <f t="shared" si="317"/>
        <v/>
      </c>
      <c r="AS54" s="3" t="str">
        <f t="shared" ref="AS54" si="320">IF(AND(AQ54="Documentar",AR54="Asignar responsable"),CONCATENATE("- ",AQ54,", ",AR54),IF(AQ54="Documentar",CONCATENATE("- ",AQ54),IF(AR54="Asignar responsable",CONCATENATE("- ",AR54),"")))</f>
        <v/>
      </c>
      <c r="AT54" s="3" t="str">
        <f t="shared" si="318"/>
        <v/>
      </c>
      <c r="AU54" s="3" t="str">
        <f t="shared" ref="AU54" si="321">IF(AT54="",AS54,IF(AS54="",CONCATENATE("- ",AT54),CONCATENATE(AS54,", ",AT54)))</f>
        <v/>
      </c>
      <c r="AV54" s="3" t="str">
        <f t="shared" si="319"/>
        <v/>
      </c>
      <c r="AW54" s="3" t="str">
        <f t="shared" ref="AW54" si="322">IF(AV54="",AU54,IF(AU54="",CONCATENATE("- ",AV54),CONCATENATE(AU54,", ",AV54)))</f>
        <v/>
      </c>
      <c r="AX54" s="502"/>
      <c r="AY54" s="502"/>
      <c r="AZ54" s="502"/>
      <c r="BA54" s="502"/>
      <c r="BB54" s="3" t="str">
        <f t="shared" si="234"/>
        <v>SI</v>
      </c>
      <c r="BC54" s="3" t="str">
        <f t="shared" si="235"/>
        <v/>
      </c>
      <c r="BD54" s="3" t="str">
        <f t="shared" si="236"/>
        <v>SI</v>
      </c>
      <c r="BE54" s="3" t="str">
        <f t="shared" si="237"/>
        <v/>
      </c>
      <c r="BF54" s="3" t="str">
        <f t="shared" si="238"/>
        <v>SI</v>
      </c>
      <c r="BG54" s="3" t="str">
        <f t="shared" si="239"/>
        <v/>
      </c>
      <c r="BH54" s="3" t="str">
        <f t="shared" si="240"/>
        <v>P</v>
      </c>
      <c r="BI54" s="3" t="str">
        <f t="shared" si="25"/>
        <v/>
      </c>
      <c r="BJ54" s="3" t="str">
        <f t="shared" si="26"/>
        <v>A</v>
      </c>
      <c r="BK54" s="3" t="str">
        <f t="shared" si="27"/>
        <v/>
      </c>
      <c r="BL54" s="3" t="str">
        <f t="shared" si="241"/>
        <v>SI</v>
      </c>
      <c r="BM54" s="3" t="str">
        <f t="shared" si="242"/>
        <v/>
      </c>
    </row>
    <row r="55" spans="1:65" ht="36" customHeight="1" x14ac:dyDescent="0.2">
      <c r="A55" s="503" t="str">
        <f>IDENTIFICACIÓN!C24</f>
        <v>16G</v>
      </c>
      <c r="B55" s="496" t="str">
        <f>IF(IDENTIFICACIÓN!D24="","",IDENTIFICACIÓN!D24)</f>
        <v>Gestión de Investigación. Deficiente cumplimiento del plan de acción de la Vicerrectoría de Investigación</v>
      </c>
      <c r="C55" s="356">
        <v>1</v>
      </c>
      <c r="D55" s="56" t="s">
        <v>11</v>
      </c>
      <c r="E55" s="240">
        <f t="shared" si="4"/>
        <v>10</v>
      </c>
      <c r="F55" s="44" t="s">
        <v>591</v>
      </c>
      <c r="G55" s="18" t="str">
        <f t="shared" si="198"/>
        <v/>
      </c>
      <c r="H55" s="44" t="s">
        <v>20</v>
      </c>
      <c r="I55" s="18" t="str">
        <f t="shared" si="199"/>
        <v/>
      </c>
      <c r="J55" s="55" t="str">
        <f t="shared" si="200"/>
        <v>Posibilidad</v>
      </c>
      <c r="K55" s="43" t="s">
        <v>11</v>
      </c>
      <c r="L55" s="18">
        <f t="shared" si="201"/>
        <v>15</v>
      </c>
      <c r="M55" s="43" t="s">
        <v>11</v>
      </c>
      <c r="N55" s="18">
        <f t="shared" si="202"/>
        <v>30</v>
      </c>
      <c r="O55" s="43" t="s">
        <v>323</v>
      </c>
      <c r="P55" s="18">
        <f t="shared" si="203"/>
        <v>10</v>
      </c>
      <c r="Q55" s="43" t="s">
        <v>11</v>
      </c>
      <c r="R55" s="18">
        <f t="shared" si="204"/>
        <v>5</v>
      </c>
      <c r="S55" s="43" t="s">
        <v>11</v>
      </c>
      <c r="T55" s="18">
        <f t="shared" si="205"/>
        <v>15</v>
      </c>
      <c r="U55" s="43" t="s">
        <v>11</v>
      </c>
      <c r="V55" s="18">
        <f t="shared" si="206"/>
        <v>10</v>
      </c>
      <c r="W55" s="18">
        <f t="shared" si="207"/>
        <v>95</v>
      </c>
      <c r="X55" s="57" t="str">
        <f t="shared" si="208"/>
        <v>95                           Disminuye max 2 en Posibilidad</v>
      </c>
      <c r="Y55" s="57">
        <f t="shared" si="209"/>
        <v>2</v>
      </c>
      <c r="Z55" s="356">
        <f t="shared" si="210"/>
        <v>0</v>
      </c>
      <c r="AA55" s="497">
        <f t="shared" ref="AA55" si="323">IF(AB55=0,"",(ROUND((SUM(W55:W57)/AB55),0)))</f>
        <v>95</v>
      </c>
      <c r="AB55" s="500">
        <f t="shared" ref="AB55" si="324">COUNT(T55:T57)</f>
        <v>3</v>
      </c>
      <c r="AC55" s="3">
        <f t="shared" ref="AC55" si="325">SUM(Y55:Y57)</f>
        <v>6</v>
      </c>
      <c r="AD55" s="3">
        <f>ANALISIS!D26</f>
        <v>1</v>
      </c>
      <c r="AE55" s="3">
        <f t="shared" ref="AE55:AE56" si="326">IF((AD55-AC55)&gt;=1,(AD55-AC55),1)</f>
        <v>1</v>
      </c>
      <c r="AF55" s="501">
        <f t="shared" ref="AF55" si="327">(AE56*10)+AE55</f>
        <v>41</v>
      </c>
      <c r="AG55" s="355" t="str">
        <f t="shared" ref="AG55" si="328">IF(AE56=1,AH55,IF(AE56=2,AI55,IF(AE56=3,AJ55,IF(AE56=4,AK55,AL55))))</f>
        <v>ALTA 1:4</v>
      </c>
      <c r="AH55" s="46" t="str">
        <f t="shared" ref="AH55" si="329">IF($AF55=11,"BAJA 1:1",IF($AF55=12,"BAJA 2:1",IF($AF55=13,"BAJA 3:1",IF($AF55=14,"MODERADA 4:1","ALTA 5:1"))))</f>
        <v>ALTA 5:1</v>
      </c>
      <c r="AI55" s="46" t="str">
        <f t="shared" ref="AI55" si="330">IF($AF55=21,"BAJA 1:2",IF($AF55=22,"BAJA 2:2",IF($AF55=23,"MODERADA 3:2",IF($AF55=24,"ALTA 4:2","ALTA 5:2"))))</f>
        <v>ALTA 5:2</v>
      </c>
      <c r="AJ55" s="46" t="str">
        <f t="shared" ref="AJ55" si="331">IF($AF55=31,"MODERADA 1:3",IF($AF55=32,"MODERADA 2:3",IF($AF55=33,"ALTA 3:3",IF($AF55=34,"ALTA 4:3","EXTREMA 5:3"))))</f>
        <v>EXTREMA 5:3</v>
      </c>
      <c r="AK55" s="46" t="str">
        <f t="shared" ref="AK55" si="332">IF($AF55=41,"ALTA 1:4",IF($AF55=42,"ALTA 2:4",IF($AF55=43,"EXTREMA 3:4",IF($AF55=44,"EXTREMA 4:4","EXTREMA 5:4"))))</f>
        <v>ALTA 1:4</v>
      </c>
      <c r="AL55" s="46" t="str">
        <f t="shared" ref="AL55" si="333">IF($AF55=51,"ALTA 1:5",IF($AF55=52,"EXTREMA 2:5",IF($AF55=53,"EXTREMA 3:5",IF($AF55=54,"EXTREMA 4:5","EXTREMA 5:5"))))</f>
        <v>EXTREMA 5:5</v>
      </c>
      <c r="AM55" s="3" t="str">
        <f t="shared" si="222"/>
        <v/>
      </c>
      <c r="AN55" s="3" t="str">
        <f t="shared" si="223"/>
        <v/>
      </c>
      <c r="AO55" s="3" t="str">
        <f t="shared" si="224"/>
        <v/>
      </c>
      <c r="AP55" s="3" t="str">
        <f t="shared" si="225"/>
        <v/>
      </c>
      <c r="AQ55" s="3" t="str">
        <f t="shared" ref="AQ55" si="334">AM55</f>
        <v/>
      </c>
      <c r="AR55" s="3" t="str">
        <f t="shared" ref="AR55" si="335">AN55</f>
        <v/>
      </c>
      <c r="AT55" s="3" t="str">
        <f t="shared" ref="AT55" si="336">AO55</f>
        <v/>
      </c>
      <c r="AV55" s="3" t="str">
        <f t="shared" ref="AV55" si="337">AP55</f>
        <v/>
      </c>
      <c r="AX55" s="502" t="str">
        <f t="shared" ref="AX55" si="338">IF(AW57="","",CONCATENATE(AW57," (de) el(los) control(es) Efectivo(s) "))</f>
        <v/>
      </c>
      <c r="AY55" s="502" t="str">
        <f t="shared" ref="AY55" si="339">IF(CONCATENATE(N55:N57)="","",IF(AND(SUM(E55:E57)=10,SUM(N55:N57)&lt;30),"- Replantear control(es) NO efectivo(s) ",IF(AND(SUM(E55:E57)=20,SUM(N55:N57)&lt;60),"- Replantear control(es) NO efectivo(s) ",IF(AND(SUM(E55:E57)=30,SUM(N55:N57)&lt;90),"- Replantear control(es) NO efectivo(s) ",""))))</f>
        <v/>
      </c>
      <c r="AZ55" s="502" t="str">
        <f t="shared" ref="AZ55" si="340">IF(AND(AE55&gt;1,AE56&gt;1),"- Tomar Acciones Preventivas y Correctivas",IF(AE55&gt;1,"- Tomar Acciones Preventivas",IF(AE56&gt;1,"- Tomar Acciones Correctivas","")))</f>
        <v>- Tomar Acciones Correctivas</v>
      </c>
      <c r="BA55" s="502" t="str">
        <f t="shared" ref="BA55" si="341">CONCATENATE(AX55,AY55,AZ55)</f>
        <v>- Tomar Acciones Correctivas</v>
      </c>
      <c r="BB55" s="3" t="str">
        <f t="shared" si="234"/>
        <v>SI</v>
      </c>
      <c r="BC55" s="3" t="str">
        <f t="shared" si="235"/>
        <v/>
      </c>
      <c r="BD55" s="3" t="str">
        <f t="shared" si="236"/>
        <v>SI</v>
      </c>
      <c r="BE55" s="3" t="str">
        <f t="shared" si="237"/>
        <v/>
      </c>
      <c r="BF55" s="3" t="str">
        <f t="shared" si="238"/>
        <v>SI</v>
      </c>
      <c r="BG55" s="3" t="str">
        <f t="shared" si="239"/>
        <v/>
      </c>
      <c r="BH55" s="3" t="str">
        <f t="shared" si="240"/>
        <v>P</v>
      </c>
      <c r="BI55" s="3" t="str">
        <f t="shared" si="25"/>
        <v/>
      </c>
      <c r="BJ55" s="3" t="str">
        <f t="shared" si="26"/>
        <v>M</v>
      </c>
      <c r="BK55" s="3" t="str">
        <f t="shared" si="27"/>
        <v/>
      </c>
      <c r="BL55" s="3" t="str">
        <f t="shared" si="241"/>
        <v>SI</v>
      </c>
      <c r="BM55" s="3" t="str">
        <f t="shared" si="242"/>
        <v/>
      </c>
    </row>
    <row r="56" spans="1:65" ht="36" customHeight="1" x14ac:dyDescent="0.2">
      <c r="A56" s="503"/>
      <c r="B56" s="496"/>
      <c r="C56" s="356">
        <v>2</v>
      </c>
      <c r="D56" s="56" t="s">
        <v>11</v>
      </c>
      <c r="E56" s="240">
        <f t="shared" si="4"/>
        <v>10</v>
      </c>
      <c r="F56" s="44" t="s">
        <v>592</v>
      </c>
      <c r="G56" s="18" t="str">
        <f t="shared" si="198"/>
        <v/>
      </c>
      <c r="H56" s="44" t="s">
        <v>20</v>
      </c>
      <c r="I56" s="18" t="str">
        <f t="shared" si="199"/>
        <v/>
      </c>
      <c r="J56" s="55" t="str">
        <f t="shared" si="200"/>
        <v>Posibilidad</v>
      </c>
      <c r="K56" s="43" t="s">
        <v>11</v>
      </c>
      <c r="L56" s="18">
        <f t="shared" si="201"/>
        <v>15</v>
      </c>
      <c r="M56" s="43" t="s">
        <v>11</v>
      </c>
      <c r="N56" s="18">
        <f t="shared" si="202"/>
        <v>30</v>
      </c>
      <c r="O56" s="43" t="s">
        <v>323</v>
      </c>
      <c r="P56" s="18">
        <f t="shared" si="203"/>
        <v>10</v>
      </c>
      <c r="Q56" s="43" t="s">
        <v>11</v>
      </c>
      <c r="R56" s="18">
        <f t="shared" si="204"/>
        <v>5</v>
      </c>
      <c r="S56" s="43" t="s">
        <v>11</v>
      </c>
      <c r="T56" s="18">
        <f t="shared" si="205"/>
        <v>15</v>
      </c>
      <c r="U56" s="43" t="s">
        <v>11</v>
      </c>
      <c r="V56" s="18">
        <f t="shared" si="206"/>
        <v>10</v>
      </c>
      <c r="W56" s="18">
        <f t="shared" si="207"/>
        <v>95</v>
      </c>
      <c r="X56" s="57" t="str">
        <f t="shared" si="208"/>
        <v>95                           Disminuye max 2 en Posibilidad</v>
      </c>
      <c r="Y56" s="57">
        <f t="shared" si="209"/>
        <v>2</v>
      </c>
      <c r="Z56" s="356">
        <f t="shared" si="210"/>
        <v>0</v>
      </c>
      <c r="AA56" s="498"/>
      <c r="AB56" s="500"/>
      <c r="AC56" s="3">
        <f t="shared" ref="AC56" si="342">SUM(Z55:Z57)</f>
        <v>0</v>
      </c>
      <c r="AD56" s="3">
        <f>ANALISIS!G26</f>
        <v>4</v>
      </c>
      <c r="AE56" s="3">
        <f t="shared" si="326"/>
        <v>4</v>
      </c>
      <c r="AF56" s="501"/>
      <c r="AG56" s="355" t="str">
        <f t="shared" ref="AG56" si="343">IF(AE56=1,AH56,IF(AE56=2,AI56,IF(AE56=3,AJ56,IF(AE56=4,AK56,AL56))))</f>
        <v>- Reducir el Riesgo- Compartir o Transferir el Riesgo</v>
      </c>
      <c r="AH56" s="46" t="str">
        <f t="shared" ref="AH56" si="344">IF($AF55=11,"- Asumir el Riesgo",IF($AF55=12,"- Asumir el Riesgo- Evitar Posibilidad de Ocurrencia- Reducir el Riesgo",IF($AF55=13,"- Asumir el Riesgo- Evitar Posibilidad de Ocurrencia- Reducir el Riesgo",IF($AF55=14,"-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6" s="46" t="str">
        <f t="shared" ref="AI56" si="345">IF($AF55=21,"- Asumir el Riesgo- Reducir el Riesgo",IF($AF55=22,"- Asumir el Riesgo- Evitar Posibilidad de Ocurrencia- Reducir el Riesgo",IF($AF55=23,"- Asumir el Riesgo- Evitar Posibilidad de Ocurrencia- Reducir el Riesgo- Compartir o Transferir el Riesgo",IF($AF55=24,"- Evitar Posibilidad de Ocurrencia- Reducir el Riesgo- Compartir o Transferir el Riesgo","- Evitar Posibilidad de Ocurrencia- Reducir el Riesgo- Compartir o Transferir el Riesgo"))))</f>
        <v>- Evitar Posibilidad de Ocurrencia- Reducir el Riesgo- Compartir o Transferir el Riesgo</v>
      </c>
      <c r="AJ56" s="46" t="str">
        <f t="shared" ref="AJ56" si="346">IF($AF55=31,"- Asumir el Riesgo- Reducir el Riesgo- Compartir o Transferir el Riesgo",IF($AF55=32,"- Asumir el Riesgo- Evitar Posibilidad de Ocurrencia- Reducir el Reducir- Compartir o Transferir el Riesgo",IF($AF55=33,"- Evitar Posibilidad de Ocurrencia- Reducir el Riesgo- Compartir o Transferir el Riesgo",IF($AF55=34,"-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6" s="46" t="str">
        <f t="shared" ref="AK56" si="347">IF($AF55=41,"- Reducir el Riesgo- Compartir o Transferir el Riesgo",IF($AF55=42,"- Evitar Posibilidad de Ocurrencia- Reducir el Riesgo- Compartir o Transferir el Riesgo",IF($AF55=43,"- Eliminar Causa(s)- Evitar Posibilidad de Ocurrencia- Reducir el Riesgo- Compartir o Transferir el Riesgo",IF($AF55=44,"- Eliminar Causa(s)- Evitar Posibilidad de Ocurrencia- Reducir el Riesgo- Compartir o Transferir el Riesgo","- Eliminar Causa(s)- Evitar Posibilidad de Ocurrencia- Reducir el Riesgo- Compartir o Transferir el Riesgo"))))</f>
        <v>- Reducir el Riesgo- Compartir o Transferir el Riesgo</v>
      </c>
      <c r="AL56" s="46" t="str">
        <f t="shared" ref="AL56" si="348">IF($AF55=51,"- Reducir el Riesgo- Compartir o Transferir el Riesgo",IF($AF55=52,"- Eliminar Causa(s)- Evitar Posibilidad de Ocurrencia- Reducir el Riesgo- Compartir o Transferir el Riesgo",IF($AF55=53,"- Eliminar Causa(s)- Evitar Posibilidad de Ocurrencia- Reducir el Riesgo- Compartir o Transferir el Riesgo",IF($AF55=54,"-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6" s="3" t="str">
        <f t="shared" si="222"/>
        <v/>
      </c>
      <c r="AN56" s="3" t="str">
        <f t="shared" si="223"/>
        <v/>
      </c>
      <c r="AO56" s="3" t="str">
        <f t="shared" si="224"/>
        <v/>
      </c>
      <c r="AP56" s="3" t="str">
        <f t="shared" si="225"/>
        <v/>
      </c>
      <c r="AQ56" s="3" t="str">
        <f t="shared" ref="AQ56:AQ57" si="349">IF(AQ55="Documentar",AQ55,AM56)</f>
        <v/>
      </c>
      <c r="AR56" s="3" t="str">
        <f t="shared" ref="AR56:AR57" si="350">IF(AR55="Asignar responsable",AR55,AN56)</f>
        <v/>
      </c>
      <c r="AT56" s="3" t="str">
        <f t="shared" ref="AT56:AT57" si="351">IF(AT55="Establecer periodos de seguimiento adecuados",AT55,AO56)</f>
        <v/>
      </c>
      <c r="AV56" s="3" t="str">
        <f t="shared" ref="AV56:AV57" si="352">IF(AV55="Guardar Evidencias",AV55,AP56)</f>
        <v/>
      </c>
      <c r="AX56" s="502"/>
      <c r="AY56" s="502"/>
      <c r="AZ56" s="502"/>
      <c r="BA56" s="502"/>
      <c r="BB56" s="3" t="str">
        <f t="shared" si="234"/>
        <v>SI</v>
      </c>
      <c r="BC56" s="3" t="str">
        <f t="shared" si="235"/>
        <v/>
      </c>
      <c r="BD56" s="3" t="str">
        <f t="shared" si="236"/>
        <v>SI</v>
      </c>
      <c r="BE56" s="3" t="str">
        <f t="shared" si="237"/>
        <v/>
      </c>
      <c r="BF56" s="3" t="str">
        <f t="shared" si="238"/>
        <v>SI</v>
      </c>
      <c r="BG56" s="3" t="str">
        <f t="shared" si="239"/>
        <v/>
      </c>
      <c r="BH56" s="3" t="str">
        <f t="shared" si="240"/>
        <v>P</v>
      </c>
      <c r="BI56" s="3" t="str">
        <f t="shared" si="25"/>
        <v/>
      </c>
      <c r="BJ56" s="3" t="str">
        <f t="shared" si="26"/>
        <v>M</v>
      </c>
      <c r="BK56" s="3" t="str">
        <f t="shared" si="27"/>
        <v/>
      </c>
      <c r="BL56" s="3" t="str">
        <f t="shared" si="241"/>
        <v>SI</v>
      </c>
      <c r="BM56" s="3" t="str">
        <f t="shared" si="242"/>
        <v/>
      </c>
    </row>
    <row r="57" spans="1:65" ht="36" customHeight="1" x14ac:dyDescent="0.2">
      <c r="A57" s="503"/>
      <c r="B57" s="496"/>
      <c r="C57" s="356">
        <v>3</v>
      </c>
      <c r="D57" s="56" t="s">
        <v>11</v>
      </c>
      <c r="E57" s="240">
        <f t="shared" si="4"/>
        <v>10</v>
      </c>
      <c r="F57" s="44" t="s">
        <v>593</v>
      </c>
      <c r="G57" s="18" t="str">
        <f t="shared" si="198"/>
        <v/>
      </c>
      <c r="H57" s="44" t="s">
        <v>20</v>
      </c>
      <c r="I57" s="18" t="str">
        <f t="shared" si="199"/>
        <v/>
      </c>
      <c r="J57" s="55" t="str">
        <f t="shared" si="200"/>
        <v>Posibilidad</v>
      </c>
      <c r="K57" s="43" t="s">
        <v>11</v>
      </c>
      <c r="L57" s="18">
        <f t="shared" si="201"/>
        <v>15</v>
      </c>
      <c r="M57" s="43" t="s">
        <v>11</v>
      </c>
      <c r="N57" s="18">
        <f t="shared" si="202"/>
        <v>30</v>
      </c>
      <c r="O57" s="43" t="s">
        <v>323</v>
      </c>
      <c r="P57" s="18">
        <f t="shared" si="203"/>
        <v>10</v>
      </c>
      <c r="Q57" s="43" t="s">
        <v>11</v>
      </c>
      <c r="R57" s="18">
        <f t="shared" si="204"/>
        <v>5</v>
      </c>
      <c r="S57" s="43" t="s">
        <v>11</v>
      </c>
      <c r="T57" s="18">
        <f t="shared" si="205"/>
        <v>15</v>
      </c>
      <c r="U57" s="43" t="s">
        <v>11</v>
      </c>
      <c r="V57" s="18">
        <f t="shared" si="206"/>
        <v>10</v>
      </c>
      <c r="W57" s="18">
        <f t="shared" si="207"/>
        <v>95</v>
      </c>
      <c r="X57" s="57" t="str">
        <f t="shared" si="208"/>
        <v>95                           Disminuye max 2 en Posibilidad</v>
      </c>
      <c r="Y57" s="57">
        <f t="shared" si="209"/>
        <v>2</v>
      </c>
      <c r="Z57" s="356">
        <f t="shared" si="210"/>
        <v>0</v>
      </c>
      <c r="AA57" s="499"/>
      <c r="AB57" s="500"/>
      <c r="AM57" s="3" t="str">
        <f t="shared" si="222"/>
        <v/>
      </c>
      <c r="AN57" s="3" t="str">
        <f t="shared" si="223"/>
        <v/>
      </c>
      <c r="AO57" s="3" t="str">
        <f t="shared" si="224"/>
        <v/>
      </c>
      <c r="AP57" s="3" t="str">
        <f t="shared" si="225"/>
        <v/>
      </c>
      <c r="AQ57" s="3" t="str">
        <f t="shared" si="349"/>
        <v/>
      </c>
      <c r="AR57" s="3" t="str">
        <f t="shared" si="350"/>
        <v/>
      </c>
      <c r="AS57" s="3" t="str">
        <f t="shared" ref="AS57" si="353">IF(AND(AQ57="Documentar",AR57="Asignar responsable"),CONCATENATE("- ",AQ57,", ",AR57),IF(AQ57="Documentar",CONCATENATE("- ",AQ57),IF(AR57="Asignar responsable",CONCATENATE("- ",AR57),"")))</f>
        <v/>
      </c>
      <c r="AT57" s="3" t="str">
        <f t="shared" si="351"/>
        <v/>
      </c>
      <c r="AU57" s="3" t="str">
        <f t="shared" ref="AU57" si="354">IF(AT57="",AS57,IF(AS57="",CONCATENATE("- ",AT57),CONCATENATE(AS57,", ",AT57)))</f>
        <v/>
      </c>
      <c r="AV57" s="3" t="str">
        <f t="shared" si="352"/>
        <v/>
      </c>
      <c r="AW57" s="3" t="str">
        <f t="shared" ref="AW57" si="355">IF(AV57="",AU57,IF(AU57="",CONCATENATE("- ",AV57),CONCATENATE(AU57,", ",AV57)))</f>
        <v/>
      </c>
      <c r="AX57" s="502"/>
      <c r="AY57" s="502"/>
      <c r="AZ57" s="502"/>
      <c r="BA57" s="502"/>
      <c r="BB57" s="3" t="str">
        <f t="shared" si="234"/>
        <v>SI</v>
      </c>
      <c r="BC57" s="3" t="str">
        <f t="shared" si="235"/>
        <v/>
      </c>
      <c r="BD57" s="3" t="str">
        <f t="shared" si="236"/>
        <v>SI</v>
      </c>
      <c r="BE57" s="3" t="str">
        <f t="shared" si="237"/>
        <v/>
      </c>
      <c r="BF57" s="3" t="str">
        <f t="shared" si="238"/>
        <v>SI</v>
      </c>
      <c r="BG57" s="3" t="str">
        <f t="shared" si="239"/>
        <v/>
      </c>
      <c r="BH57" s="3" t="str">
        <f t="shared" si="240"/>
        <v>P</v>
      </c>
      <c r="BI57" s="3" t="str">
        <f t="shared" si="25"/>
        <v/>
      </c>
      <c r="BJ57" s="3" t="str">
        <f t="shared" si="26"/>
        <v>M</v>
      </c>
      <c r="BK57" s="3" t="str">
        <f t="shared" si="27"/>
        <v/>
      </c>
      <c r="BL57" s="3" t="str">
        <f t="shared" si="241"/>
        <v>SI</v>
      </c>
      <c r="BM57" s="3" t="str">
        <f t="shared" si="242"/>
        <v/>
      </c>
    </row>
    <row r="58" spans="1:65" ht="36" customHeight="1" x14ac:dyDescent="0.2">
      <c r="A58" s="503" t="str">
        <f>IDENTIFICACIÓN!C25</f>
        <v>17G</v>
      </c>
      <c r="B58" s="496" t="str">
        <f>IF(IDENTIFICACIÓN!D25="","",IDENTIFICACIÓN!D25)</f>
        <v>Gestión de Extensión y Proyección Social. Incumplimiento en los compromisos establecidos en la formalización de los proyectos.</v>
      </c>
      <c r="C58" s="356">
        <v>1</v>
      </c>
      <c r="D58" s="56" t="s">
        <v>11</v>
      </c>
      <c r="E58" s="240">
        <f t="shared" si="4"/>
        <v>10</v>
      </c>
      <c r="F58" s="44" t="s">
        <v>594</v>
      </c>
      <c r="G58" s="18" t="str">
        <f t="shared" si="198"/>
        <v/>
      </c>
      <c r="H58" s="44" t="s">
        <v>20</v>
      </c>
      <c r="I58" s="18" t="str">
        <f t="shared" si="199"/>
        <v/>
      </c>
      <c r="J58" s="55" t="str">
        <f t="shared" si="200"/>
        <v>Posibilidad</v>
      </c>
      <c r="K58" s="43" t="s">
        <v>11</v>
      </c>
      <c r="L58" s="18">
        <f t="shared" si="201"/>
        <v>15</v>
      </c>
      <c r="M58" s="43" t="s">
        <v>11</v>
      </c>
      <c r="N58" s="18">
        <f t="shared" si="202"/>
        <v>30</v>
      </c>
      <c r="O58" s="43" t="s">
        <v>323</v>
      </c>
      <c r="P58" s="18">
        <f t="shared" si="203"/>
        <v>10</v>
      </c>
      <c r="Q58" s="43" t="s">
        <v>11</v>
      </c>
      <c r="R58" s="18">
        <f t="shared" si="204"/>
        <v>5</v>
      </c>
      <c r="S58" s="43" t="s">
        <v>11</v>
      </c>
      <c r="T58" s="18">
        <f t="shared" si="205"/>
        <v>15</v>
      </c>
      <c r="U58" s="43" t="s">
        <v>11</v>
      </c>
      <c r="V58" s="18">
        <f t="shared" si="206"/>
        <v>10</v>
      </c>
      <c r="W58" s="18">
        <f t="shared" si="207"/>
        <v>95</v>
      </c>
      <c r="X58" s="57" t="str">
        <f t="shared" si="208"/>
        <v>95                           Disminuye max 2 en Posibilidad</v>
      </c>
      <c r="Y58" s="57">
        <f t="shared" si="209"/>
        <v>2</v>
      </c>
      <c r="Z58" s="356">
        <f t="shared" si="210"/>
        <v>0</v>
      </c>
      <c r="AA58" s="497">
        <f t="shared" ref="AA58" si="356">IF(AB58=0,"",(ROUND((SUM(W58:W60)/AB58),0)))</f>
        <v>95</v>
      </c>
      <c r="AB58" s="500">
        <f t="shared" ref="AB58" si="357">COUNT(T58:T60)</f>
        <v>2</v>
      </c>
      <c r="AC58" s="3">
        <f t="shared" ref="AC58" si="358">SUM(Y58:Y60)</f>
        <v>4</v>
      </c>
      <c r="AD58" s="3">
        <f>ANALISIS!D27</f>
        <v>3</v>
      </c>
      <c r="AE58" s="3">
        <f t="shared" ref="AE58:AE59" si="359">IF((AD58-AC58)&gt;=1,(AD58-AC58),1)</f>
        <v>1</v>
      </c>
      <c r="AF58" s="501">
        <f t="shared" ref="AF58" si="360">(AE59*10)+AE58</f>
        <v>41</v>
      </c>
      <c r="AG58" s="355" t="str">
        <f t="shared" ref="AG58" si="361">IF(AE59=1,AH58,IF(AE59=2,AI58,IF(AE59=3,AJ58,IF(AE59=4,AK58,AL58))))</f>
        <v>ALTA 1:4</v>
      </c>
      <c r="AH58" s="46" t="str">
        <f t="shared" ref="AH58" si="362">IF($AF58=11,"BAJA 1:1",IF($AF58=12,"BAJA 2:1",IF($AF58=13,"BAJA 3:1",IF($AF58=14,"MODERADA 4:1","ALTA 5:1"))))</f>
        <v>ALTA 5:1</v>
      </c>
      <c r="AI58" s="46" t="str">
        <f t="shared" ref="AI58" si="363">IF($AF58=21,"BAJA 1:2",IF($AF58=22,"BAJA 2:2",IF($AF58=23,"MODERADA 3:2",IF($AF58=24,"ALTA 4:2","ALTA 5:2"))))</f>
        <v>ALTA 5:2</v>
      </c>
      <c r="AJ58" s="46" t="str">
        <f t="shared" ref="AJ58" si="364">IF($AF58=31,"MODERADA 1:3",IF($AF58=32,"MODERADA 2:3",IF($AF58=33,"ALTA 3:3",IF($AF58=34,"ALTA 4:3","EXTREMA 5:3"))))</f>
        <v>EXTREMA 5:3</v>
      </c>
      <c r="AK58" s="46" t="str">
        <f t="shared" ref="AK58" si="365">IF($AF58=41,"ALTA 1:4",IF($AF58=42,"ALTA 2:4",IF($AF58=43,"EXTREMA 3:4",IF($AF58=44,"EXTREMA 4:4","EXTREMA 5:4"))))</f>
        <v>ALTA 1:4</v>
      </c>
      <c r="AL58" s="46" t="str">
        <f t="shared" ref="AL58" si="366">IF($AF58=51,"ALTA 1:5",IF($AF58=52,"EXTREMA 2:5",IF($AF58=53,"EXTREMA 3:5",IF($AF58=54,"EXTREMA 4:5","EXTREMA 5:5"))))</f>
        <v>EXTREMA 5:5</v>
      </c>
      <c r="AM58" s="3" t="str">
        <f t="shared" si="222"/>
        <v/>
      </c>
      <c r="AN58" s="3" t="str">
        <f t="shared" si="223"/>
        <v/>
      </c>
      <c r="AO58" s="3" t="str">
        <f t="shared" si="224"/>
        <v/>
      </c>
      <c r="AP58" s="3" t="str">
        <f t="shared" si="225"/>
        <v/>
      </c>
      <c r="AQ58" s="3" t="str">
        <f t="shared" ref="AQ58" si="367">AM58</f>
        <v/>
      </c>
      <c r="AR58" s="3" t="str">
        <f t="shared" ref="AR58" si="368">AN58</f>
        <v/>
      </c>
      <c r="AT58" s="3" t="str">
        <f t="shared" ref="AT58" si="369">AO58</f>
        <v/>
      </c>
      <c r="AV58" s="3" t="str">
        <f t="shared" ref="AV58" si="370">AP58</f>
        <v/>
      </c>
      <c r="AX58" s="502" t="str">
        <f t="shared" ref="AX58" si="371">IF(AW60="","",CONCATENATE(AW60," (de) el(los) control(es) Efectivo(s) "))</f>
        <v/>
      </c>
      <c r="AY58" s="502" t="str">
        <f t="shared" ref="AY58" si="372">IF(CONCATENATE(N58:N60)="","",IF(AND(SUM(E58:E60)=10,SUM(N58:N60)&lt;30),"- Replantear control(es) NO efectivo(s) ",IF(AND(SUM(E58:E60)=20,SUM(N58:N60)&lt;60),"- Replantear control(es) NO efectivo(s) ",IF(AND(SUM(E58:E60)=30,SUM(N58:N60)&lt;90),"- Replantear control(es) NO efectivo(s) ",""))))</f>
        <v/>
      </c>
      <c r="AZ58" s="502" t="str">
        <f t="shared" ref="AZ58" si="373">IF(AND(AE58&gt;1,AE59&gt;1),"- Tomar Acciones Preventivas y Correctivas",IF(AE58&gt;1,"- Tomar Acciones Preventivas",IF(AE59&gt;1,"- Tomar Acciones Correctivas","")))</f>
        <v>- Tomar Acciones Correctivas</v>
      </c>
      <c r="BA58" s="502" t="str">
        <f t="shared" ref="BA58" si="374">CONCATENATE(AX58,AY58,AZ58)</f>
        <v>- Tomar Acciones Correctivas</v>
      </c>
      <c r="BB58" s="3" t="str">
        <f t="shared" si="234"/>
        <v>SI</v>
      </c>
      <c r="BC58" s="3" t="str">
        <f t="shared" si="235"/>
        <v/>
      </c>
      <c r="BD58" s="3" t="str">
        <f t="shared" si="236"/>
        <v>SI</v>
      </c>
      <c r="BE58" s="3" t="str">
        <f t="shared" si="237"/>
        <v/>
      </c>
      <c r="BF58" s="3" t="str">
        <f t="shared" si="238"/>
        <v>SI</v>
      </c>
      <c r="BG58" s="3" t="str">
        <f t="shared" si="239"/>
        <v/>
      </c>
      <c r="BH58" s="3" t="str">
        <f t="shared" si="240"/>
        <v>P</v>
      </c>
      <c r="BI58" s="3" t="str">
        <f t="shared" si="25"/>
        <v/>
      </c>
      <c r="BJ58" s="3" t="str">
        <f t="shared" si="26"/>
        <v>M</v>
      </c>
      <c r="BK58" s="3" t="str">
        <f t="shared" si="27"/>
        <v/>
      </c>
      <c r="BL58" s="3" t="str">
        <f t="shared" si="241"/>
        <v>SI</v>
      </c>
      <c r="BM58" s="3" t="str">
        <f t="shared" si="242"/>
        <v/>
      </c>
    </row>
    <row r="59" spans="1:65" ht="36" customHeight="1" x14ac:dyDescent="0.2">
      <c r="A59" s="503"/>
      <c r="B59" s="496"/>
      <c r="C59" s="356">
        <v>2</v>
      </c>
      <c r="D59" s="56" t="s">
        <v>11</v>
      </c>
      <c r="E59" s="240">
        <f t="shared" si="4"/>
        <v>10</v>
      </c>
      <c r="F59" s="44" t="s">
        <v>595</v>
      </c>
      <c r="G59" s="18" t="str">
        <f t="shared" si="198"/>
        <v/>
      </c>
      <c r="H59" s="44" t="s">
        <v>20</v>
      </c>
      <c r="I59" s="18" t="str">
        <f t="shared" si="199"/>
        <v/>
      </c>
      <c r="J59" s="55" t="str">
        <f t="shared" si="200"/>
        <v>Posibilidad</v>
      </c>
      <c r="K59" s="43" t="s">
        <v>11</v>
      </c>
      <c r="L59" s="18">
        <f t="shared" si="201"/>
        <v>15</v>
      </c>
      <c r="M59" s="43" t="s">
        <v>11</v>
      </c>
      <c r="N59" s="18">
        <f t="shared" si="202"/>
        <v>30</v>
      </c>
      <c r="O59" s="43" t="s">
        <v>323</v>
      </c>
      <c r="P59" s="18">
        <f t="shared" si="203"/>
        <v>10</v>
      </c>
      <c r="Q59" s="43" t="s">
        <v>11</v>
      </c>
      <c r="R59" s="18">
        <f t="shared" si="204"/>
        <v>5</v>
      </c>
      <c r="S59" s="43" t="s">
        <v>11</v>
      </c>
      <c r="T59" s="18">
        <f t="shared" si="205"/>
        <v>15</v>
      </c>
      <c r="U59" s="43" t="s">
        <v>11</v>
      </c>
      <c r="V59" s="18">
        <f t="shared" si="206"/>
        <v>10</v>
      </c>
      <c r="W59" s="18">
        <f t="shared" si="207"/>
        <v>95</v>
      </c>
      <c r="X59" s="57" t="str">
        <f t="shared" si="208"/>
        <v>95                           Disminuye max 2 en Posibilidad</v>
      </c>
      <c r="Y59" s="57">
        <f t="shared" si="209"/>
        <v>2</v>
      </c>
      <c r="Z59" s="356">
        <f t="shared" si="210"/>
        <v>0</v>
      </c>
      <c r="AA59" s="498"/>
      <c r="AB59" s="500"/>
      <c r="AC59" s="3">
        <f t="shared" ref="AC59" si="375">SUM(Z58:Z60)</f>
        <v>0</v>
      </c>
      <c r="AD59" s="3">
        <f>ANALISIS!G27</f>
        <v>4</v>
      </c>
      <c r="AE59" s="3">
        <f t="shared" si="359"/>
        <v>4</v>
      </c>
      <c r="AF59" s="501"/>
      <c r="AG59" s="355" t="str">
        <f t="shared" ref="AG59" si="376">IF(AE59=1,AH59,IF(AE59=2,AI59,IF(AE59=3,AJ59,IF(AE59=4,AK59,AL59))))</f>
        <v>- Reducir el Riesgo- Compartir o Transferir el Riesgo</v>
      </c>
      <c r="AH59" s="46" t="str">
        <f t="shared" ref="AH59" si="377">IF($AF58=11,"- Asumir el Riesgo",IF($AF58=12,"- Asumir el Riesgo- Evitar Posibilidad de Ocurrencia- Reducir el Riesgo",IF($AF58=13,"- Asumir el Riesgo- Evitar Posibilidad de Ocurrencia- Reducir el Riesgo",IF($AF58=14,"-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9" s="46" t="str">
        <f t="shared" ref="AI59" si="378">IF($AF58=21,"- Asumir el Riesgo- Reducir el Riesgo",IF($AF58=22,"- Asumir el Riesgo- Evitar Posibilidad de Ocurrencia- Reducir el Riesgo",IF($AF58=23,"- Asumir el Riesgo- Evitar Posibilidad de Ocurrencia- Reducir el Riesgo- Compartir o Transferir el Riesgo",IF($AF58=24,"- Evitar Posibilidad de Ocurrencia- Reducir el Riesgo- Compartir o Transferir el Riesgo","- Evitar Posibilidad de Ocurrencia- Reducir el Riesgo- Compartir o Transferir el Riesgo"))))</f>
        <v>- Evitar Posibilidad de Ocurrencia- Reducir el Riesgo- Compartir o Transferir el Riesgo</v>
      </c>
      <c r="AJ59" s="46" t="str">
        <f t="shared" ref="AJ59" si="379">IF($AF58=31,"- Asumir el Riesgo- Reducir el Riesgo- Compartir o Transferir el Riesgo",IF($AF58=32,"- Asumir el Riesgo- Evitar Posibilidad de Ocurrencia- Reducir el Reducir- Compartir o Transferir el Riesgo",IF($AF58=33,"- Evitar Posibilidad de Ocurrencia- Reducir el Riesgo- Compartir o Transferir el Riesgo",IF($AF58=34,"-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9" s="46" t="str">
        <f t="shared" ref="AK59" si="380">IF($AF58=41,"- Reducir el Riesgo- Compartir o Transferir el Riesgo",IF($AF58=42,"- Evitar Posibilidad de Ocurrencia- Reducir el Riesgo- Compartir o Transferir el Riesgo",IF($AF58=43,"- Eliminar Causa(s)- Evitar Posibilidad de Ocurrencia- Reducir el Riesgo- Compartir o Transferir el Riesgo",IF($AF58=44,"- Eliminar Causa(s)- Evitar Posibilidad de Ocurrencia- Reducir el Riesgo- Compartir o Transferir el Riesgo","- Eliminar Causa(s)- Evitar Posibilidad de Ocurrencia- Reducir el Riesgo- Compartir o Transferir el Riesgo"))))</f>
        <v>- Reducir el Riesgo- Compartir o Transferir el Riesgo</v>
      </c>
      <c r="AL59" s="46" t="str">
        <f t="shared" ref="AL59" si="381">IF($AF58=51,"- Reducir el Riesgo- Compartir o Transferir el Riesgo",IF($AF58=52,"- Eliminar Causa(s)- Evitar Posibilidad de Ocurrencia- Reducir el Riesgo- Compartir o Transferir el Riesgo",IF($AF58=53,"- Eliminar Causa(s)- Evitar Posibilidad de Ocurrencia- Reducir el Riesgo- Compartir o Transferir el Riesgo",IF($AF58=54,"-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9" s="3" t="str">
        <f t="shared" si="222"/>
        <v/>
      </c>
      <c r="AN59" s="3" t="str">
        <f t="shared" si="223"/>
        <v/>
      </c>
      <c r="AO59" s="3" t="str">
        <f t="shared" si="224"/>
        <v/>
      </c>
      <c r="AP59" s="3" t="str">
        <f t="shared" si="225"/>
        <v/>
      </c>
      <c r="AQ59" s="3" t="str">
        <f t="shared" ref="AQ59:AQ60" si="382">IF(AQ58="Documentar",AQ58,AM59)</f>
        <v/>
      </c>
      <c r="AR59" s="3" t="str">
        <f t="shared" ref="AR59:AR60" si="383">IF(AR58="Asignar responsable",AR58,AN59)</f>
        <v/>
      </c>
      <c r="AT59" s="3" t="str">
        <f t="shared" ref="AT59:AT60" si="384">IF(AT58="Establecer periodos de seguimiento adecuados",AT58,AO59)</f>
        <v/>
      </c>
      <c r="AV59" s="3" t="str">
        <f t="shared" ref="AV59:AV60" si="385">IF(AV58="Guardar Evidencias",AV58,AP59)</f>
        <v/>
      </c>
      <c r="AX59" s="502"/>
      <c r="AY59" s="502"/>
      <c r="AZ59" s="502"/>
      <c r="BA59" s="502"/>
      <c r="BB59" s="3" t="str">
        <f t="shared" si="234"/>
        <v>SI</v>
      </c>
      <c r="BC59" s="3" t="str">
        <f t="shared" si="235"/>
        <v/>
      </c>
      <c r="BD59" s="3" t="str">
        <f t="shared" si="236"/>
        <v>SI</v>
      </c>
      <c r="BE59" s="3" t="str">
        <f t="shared" si="237"/>
        <v/>
      </c>
      <c r="BF59" s="3" t="str">
        <f t="shared" si="238"/>
        <v>SI</v>
      </c>
      <c r="BG59" s="3" t="str">
        <f t="shared" si="239"/>
        <v/>
      </c>
      <c r="BH59" s="3" t="str">
        <f t="shared" si="240"/>
        <v>P</v>
      </c>
      <c r="BI59" s="3" t="str">
        <f t="shared" si="25"/>
        <v/>
      </c>
      <c r="BJ59" s="3" t="str">
        <f t="shared" si="26"/>
        <v>M</v>
      </c>
      <c r="BK59" s="3" t="str">
        <f t="shared" si="27"/>
        <v/>
      </c>
      <c r="BL59" s="3" t="str">
        <f t="shared" si="241"/>
        <v>SI</v>
      </c>
      <c r="BM59" s="3" t="str">
        <f t="shared" si="242"/>
        <v/>
      </c>
    </row>
    <row r="60" spans="1:65" ht="36" customHeight="1" x14ac:dyDescent="0.2">
      <c r="A60" s="503"/>
      <c r="B60" s="496"/>
      <c r="C60" s="356">
        <v>3</v>
      </c>
      <c r="D60" s="56"/>
      <c r="E60" s="240" t="str">
        <f t="shared" si="4"/>
        <v/>
      </c>
      <c r="F60" s="44"/>
      <c r="G60" s="18" t="str">
        <f t="shared" si="198"/>
        <v/>
      </c>
      <c r="H60" s="44"/>
      <c r="I60" s="18" t="str">
        <f t="shared" si="199"/>
        <v/>
      </c>
      <c r="J60" s="55" t="str">
        <f t="shared" si="200"/>
        <v/>
      </c>
      <c r="K60" s="43"/>
      <c r="L60" s="18" t="str">
        <f t="shared" si="201"/>
        <v/>
      </c>
      <c r="M60" s="43"/>
      <c r="N60" s="18" t="str">
        <f t="shared" si="202"/>
        <v/>
      </c>
      <c r="O60" s="43"/>
      <c r="P60" s="18" t="str">
        <f t="shared" si="203"/>
        <v/>
      </c>
      <c r="Q60" s="43"/>
      <c r="R60" s="18" t="str">
        <f t="shared" si="204"/>
        <v/>
      </c>
      <c r="S60" s="43"/>
      <c r="T60" s="18" t="str">
        <f t="shared" si="205"/>
        <v/>
      </c>
      <c r="U60" s="43"/>
      <c r="V60" s="18" t="str">
        <f t="shared" si="206"/>
        <v/>
      </c>
      <c r="W60" s="18">
        <f t="shared" si="207"/>
        <v>0</v>
      </c>
      <c r="X60" s="57" t="str">
        <f t="shared" si="208"/>
        <v/>
      </c>
      <c r="Y60" s="57">
        <f t="shared" si="209"/>
        <v>0</v>
      </c>
      <c r="Z60" s="356">
        <f t="shared" si="210"/>
        <v>0</v>
      </c>
      <c r="AA60" s="499"/>
      <c r="AB60" s="500"/>
      <c r="AM60" s="3" t="str">
        <f t="shared" si="222"/>
        <v/>
      </c>
      <c r="AN60" s="3" t="str">
        <f t="shared" si="223"/>
        <v/>
      </c>
      <c r="AO60" s="3" t="str">
        <f t="shared" si="224"/>
        <v/>
      </c>
      <c r="AP60" s="3" t="str">
        <f t="shared" si="225"/>
        <v/>
      </c>
      <c r="AQ60" s="3" t="str">
        <f t="shared" si="382"/>
        <v/>
      </c>
      <c r="AR60" s="3" t="str">
        <f t="shared" si="383"/>
        <v/>
      </c>
      <c r="AS60" s="3" t="str">
        <f t="shared" ref="AS60" si="386">IF(AND(AQ60="Documentar",AR60="Asignar responsable"),CONCATENATE("- ",AQ60,", ",AR60),IF(AQ60="Documentar",CONCATENATE("- ",AQ60),IF(AR60="Asignar responsable",CONCATENATE("- ",AR60),"")))</f>
        <v/>
      </c>
      <c r="AT60" s="3" t="str">
        <f t="shared" si="384"/>
        <v/>
      </c>
      <c r="AU60" s="3" t="str">
        <f t="shared" ref="AU60" si="387">IF(AT60="",AS60,IF(AS60="",CONCATENATE("- ",AT60),CONCATENATE(AS60,", ",AT60)))</f>
        <v/>
      </c>
      <c r="AV60" s="3" t="str">
        <f t="shared" si="385"/>
        <v/>
      </c>
      <c r="AW60" s="3" t="str">
        <f t="shared" ref="AW60" si="388">IF(AV60="",AU60,IF(AU60="",CONCATENATE("- ",AV60),CONCATENATE(AU60,", ",AV60)))</f>
        <v/>
      </c>
      <c r="AX60" s="502"/>
      <c r="AY60" s="502"/>
      <c r="AZ60" s="502"/>
      <c r="BA60" s="502"/>
      <c r="BB60" s="3" t="str">
        <f t="shared" si="234"/>
        <v/>
      </c>
      <c r="BC60" s="3" t="str">
        <f t="shared" si="235"/>
        <v/>
      </c>
      <c r="BD60" s="3" t="str">
        <f t="shared" si="236"/>
        <v/>
      </c>
      <c r="BE60" s="3" t="str">
        <f t="shared" si="237"/>
        <v/>
      </c>
      <c r="BF60" s="3" t="str">
        <f t="shared" si="238"/>
        <v/>
      </c>
      <c r="BG60" s="3" t="str">
        <f t="shared" si="239"/>
        <v/>
      </c>
      <c r="BH60" s="3" t="str">
        <f t="shared" si="240"/>
        <v/>
      </c>
      <c r="BI60" s="3" t="str">
        <f t="shared" si="25"/>
        <v/>
      </c>
      <c r="BJ60" s="3" t="str">
        <f t="shared" si="26"/>
        <v/>
      </c>
      <c r="BK60" s="3" t="str">
        <f t="shared" si="27"/>
        <v/>
      </c>
      <c r="BL60" s="3" t="str">
        <f t="shared" si="241"/>
        <v/>
      </c>
      <c r="BM60" s="3" t="str">
        <f t="shared" si="242"/>
        <v/>
      </c>
    </row>
    <row r="61" spans="1:65" ht="36" customHeight="1" x14ac:dyDescent="0.2">
      <c r="A61" s="503" t="str">
        <f>IDENTIFICACIÓN!C26</f>
        <v>18G</v>
      </c>
      <c r="B61" s="496"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61" s="356">
        <v>1</v>
      </c>
      <c r="D61" s="56" t="s">
        <v>10</v>
      </c>
      <c r="E61" s="240">
        <f t="shared" si="4"/>
        <v>0</v>
      </c>
      <c r="F61" s="44"/>
      <c r="G61" s="18" t="str">
        <f t="shared" si="198"/>
        <v/>
      </c>
      <c r="H61" s="44"/>
      <c r="I61" s="18" t="str">
        <f t="shared" si="199"/>
        <v/>
      </c>
      <c r="J61" s="55" t="str">
        <f t="shared" si="200"/>
        <v/>
      </c>
      <c r="K61" s="43"/>
      <c r="L61" s="18" t="str">
        <f t="shared" si="201"/>
        <v/>
      </c>
      <c r="M61" s="43"/>
      <c r="N61" s="18" t="str">
        <f t="shared" si="202"/>
        <v/>
      </c>
      <c r="O61" s="43"/>
      <c r="P61" s="18" t="str">
        <f t="shared" si="203"/>
        <v/>
      </c>
      <c r="Q61" s="43"/>
      <c r="R61" s="18" t="str">
        <f t="shared" si="204"/>
        <v/>
      </c>
      <c r="S61" s="43"/>
      <c r="T61" s="18" t="str">
        <f t="shared" si="205"/>
        <v/>
      </c>
      <c r="U61" s="43"/>
      <c r="V61" s="18" t="str">
        <f t="shared" si="206"/>
        <v/>
      </c>
      <c r="W61" s="18">
        <f t="shared" si="207"/>
        <v>0</v>
      </c>
      <c r="X61" s="57">
        <f t="shared" si="208"/>
        <v>0</v>
      </c>
      <c r="Y61" s="57">
        <f t="shared" si="209"/>
        <v>0</v>
      </c>
      <c r="Z61" s="356">
        <f t="shared" si="210"/>
        <v>0</v>
      </c>
      <c r="AA61" s="497" t="str">
        <f t="shared" ref="AA61" si="389">IF(AB61=0,"",(ROUND((SUM(W61:W63)/AB61),0)))</f>
        <v/>
      </c>
      <c r="AB61" s="500">
        <f t="shared" ref="AB61" si="390">COUNT(T61:T63)</f>
        <v>0</v>
      </c>
      <c r="AC61" s="3">
        <f t="shared" ref="AC61" si="391">SUM(Y61:Y63)</f>
        <v>0</v>
      </c>
      <c r="AD61" s="3">
        <f>ANALISIS!D28</f>
        <v>4</v>
      </c>
      <c r="AE61" s="3">
        <f t="shared" ref="AE61:AE62" si="392">IF((AD61-AC61)&gt;=1,(AD61-AC61),1)</f>
        <v>4</v>
      </c>
      <c r="AF61" s="501">
        <f t="shared" ref="AF61" si="393">(AE62*10)+AE61</f>
        <v>34</v>
      </c>
      <c r="AG61" s="355" t="str">
        <f t="shared" ref="AG61" si="394">IF(AE62=1,AH61,IF(AE62=2,AI61,IF(AE62=3,AJ61,IF(AE62=4,AK61,AL61))))</f>
        <v>ALTA 4:3</v>
      </c>
      <c r="AH61" s="46" t="str">
        <f t="shared" ref="AH61" si="395">IF($AF61=11,"BAJA 1:1",IF($AF61=12,"BAJA 2:1",IF($AF61=13,"BAJA 3:1",IF($AF61=14,"MODERADA 4:1","ALTA 5:1"))))</f>
        <v>ALTA 5:1</v>
      </c>
      <c r="AI61" s="46" t="str">
        <f t="shared" ref="AI61" si="396">IF($AF61=21,"BAJA 1:2",IF($AF61=22,"BAJA 2:2",IF($AF61=23,"MODERADA 3:2",IF($AF61=24,"ALTA 4:2","ALTA 5:2"))))</f>
        <v>ALTA 5:2</v>
      </c>
      <c r="AJ61" s="46" t="str">
        <f t="shared" ref="AJ61" si="397">IF($AF61=31,"MODERADA 1:3",IF($AF61=32,"MODERADA 2:3",IF($AF61=33,"ALTA 3:3",IF($AF61=34,"ALTA 4:3","EXTREMA 5:3"))))</f>
        <v>ALTA 4:3</v>
      </c>
      <c r="AK61" s="46" t="str">
        <f t="shared" ref="AK61" si="398">IF($AF61=41,"ALTA 1:4",IF($AF61=42,"ALTA 2:4",IF($AF61=43,"EXTREMA 3:4",IF($AF61=44,"EXTREMA 4:4","EXTREMA 5:4"))))</f>
        <v>EXTREMA 5:4</v>
      </c>
      <c r="AL61" s="46" t="str">
        <f t="shared" ref="AL61" si="399">IF($AF61=51,"ALTA 1:5",IF($AF61=52,"EXTREMA 2:5",IF($AF61=53,"EXTREMA 3:5",IF($AF61=54,"EXTREMA 4:5","EXTREMA 5:5"))))</f>
        <v>EXTREMA 5:5</v>
      </c>
      <c r="AM61" s="3" t="str">
        <f t="shared" si="222"/>
        <v/>
      </c>
      <c r="AN61" s="3" t="str">
        <f t="shared" si="223"/>
        <v/>
      </c>
      <c r="AO61" s="3" t="str">
        <f t="shared" si="224"/>
        <v/>
      </c>
      <c r="AP61" s="3" t="str">
        <f t="shared" si="225"/>
        <v/>
      </c>
      <c r="AQ61" s="3" t="str">
        <f t="shared" ref="AQ61" si="400">AM61</f>
        <v/>
      </c>
      <c r="AR61" s="3" t="str">
        <f t="shared" ref="AR61" si="401">AN61</f>
        <v/>
      </c>
      <c r="AT61" s="3" t="str">
        <f t="shared" ref="AT61" si="402">AO61</f>
        <v/>
      </c>
      <c r="AV61" s="3" t="str">
        <f t="shared" ref="AV61" si="403">AP61</f>
        <v/>
      </c>
      <c r="AX61" s="502" t="str">
        <f t="shared" ref="AX61" si="404">IF(AW63="","",CONCATENATE(AW63," (de) el(los) control(es) Efectivo(s) "))</f>
        <v/>
      </c>
      <c r="AY61" s="502" t="str">
        <f t="shared" ref="AY61" si="405">IF(CONCATENATE(N61:N63)="","",IF(AND(SUM(E61:E63)=10,SUM(N61:N63)&lt;30),"- Replantear control(es) NO efectivo(s) ",IF(AND(SUM(E61:E63)=20,SUM(N61:N63)&lt;60),"- Replantear control(es) NO efectivo(s) ",IF(AND(SUM(E61:E63)=30,SUM(N61:N63)&lt;90),"- Replantear control(es) NO efectivo(s) ",""))))</f>
        <v/>
      </c>
      <c r="AZ61" s="502" t="str">
        <f t="shared" ref="AZ61" si="406">IF(AND(AE61&gt;1,AE62&gt;1),"- Tomar Acciones Preventivas y Correctivas",IF(AE61&gt;1,"- Tomar Acciones Preventivas",IF(AE62&gt;1,"- Tomar Acciones Correctivas","")))</f>
        <v>- Tomar Acciones Preventivas y Correctivas</v>
      </c>
      <c r="BA61" s="502" t="str">
        <f t="shared" ref="BA61" si="407">CONCATENATE(AX61,AY61,AZ61)</f>
        <v>- Tomar Acciones Preventivas y Correctivas</v>
      </c>
      <c r="BB61" s="3" t="str">
        <f t="shared" si="234"/>
        <v/>
      </c>
      <c r="BC61" s="3" t="str">
        <f t="shared" si="235"/>
        <v/>
      </c>
      <c r="BD61" s="3" t="str">
        <f t="shared" si="236"/>
        <v/>
      </c>
      <c r="BE61" s="3" t="str">
        <f t="shared" si="237"/>
        <v/>
      </c>
      <c r="BF61" s="3" t="str">
        <f t="shared" si="238"/>
        <v/>
      </c>
      <c r="BG61" s="3" t="str">
        <f t="shared" si="239"/>
        <v/>
      </c>
      <c r="BH61" s="3" t="str">
        <f t="shared" si="240"/>
        <v/>
      </c>
      <c r="BI61" s="3" t="str">
        <f t="shared" si="25"/>
        <v/>
      </c>
      <c r="BJ61" s="3" t="str">
        <f t="shared" si="26"/>
        <v/>
      </c>
      <c r="BK61" s="3" t="str">
        <f t="shared" si="27"/>
        <v/>
      </c>
      <c r="BL61" s="3" t="str">
        <f t="shared" si="241"/>
        <v/>
      </c>
      <c r="BM61" s="3" t="str">
        <f t="shared" si="242"/>
        <v/>
      </c>
    </row>
    <row r="62" spans="1:65" ht="36" customHeight="1" x14ac:dyDescent="0.2">
      <c r="A62" s="503"/>
      <c r="B62" s="496"/>
      <c r="C62" s="356">
        <v>2</v>
      </c>
      <c r="D62" s="56"/>
      <c r="E62" s="240" t="str">
        <f t="shared" si="4"/>
        <v/>
      </c>
      <c r="F62" s="44"/>
      <c r="G62" s="18" t="str">
        <f t="shared" si="198"/>
        <v/>
      </c>
      <c r="H62" s="44"/>
      <c r="I62" s="18" t="str">
        <f t="shared" si="199"/>
        <v/>
      </c>
      <c r="J62" s="55" t="str">
        <f t="shared" si="200"/>
        <v/>
      </c>
      <c r="K62" s="43"/>
      <c r="L62" s="18" t="str">
        <f t="shared" si="201"/>
        <v/>
      </c>
      <c r="M62" s="43"/>
      <c r="N62" s="18" t="str">
        <f t="shared" si="202"/>
        <v/>
      </c>
      <c r="O62" s="43"/>
      <c r="P62" s="18" t="str">
        <f t="shared" si="203"/>
        <v/>
      </c>
      <c r="Q62" s="43"/>
      <c r="R62" s="18" t="str">
        <f t="shared" si="204"/>
        <v/>
      </c>
      <c r="S62" s="43"/>
      <c r="T62" s="18" t="str">
        <f t="shared" si="205"/>
        <v/>
      </c>
      <c r="U62" s="43"/>
      <c r="V62" s="18" t="str">
        <f t="shared" si="206"/>
        <v/>
      </c>
      <c r="W62" s="18">
        <f t="shared" si="207"/>
        <v>0</v>
      </c>
      <c r="X62" s="57" t="str">
        <f t="shared" si="208"/>
        <v/>
      </c>
      <c r="Y62" s="57">
        <f t="shared" si="209"/>
        <v>0</v>
      </c>
      <c r="Z62" s="356">
        <f t="shared" si="210"/>
        <v>0</v>
      </c>
      <c r="AA62" s="498"/>
      <c r="AB62" s="500"/>
      <c r="AC62" s="3">
        <f t="shared" ref="AC62" si="408">SUM(Z61:Z63)</f>
        <v>0</v>
      </c>
      <c r="AD62" s="3">
        <f>ANALISIS!G28</f>
        <v>3</v>
      </c>
      <c r="AE62" s="3">
        <f t="shared" si="392"/>
        <v>3</v>
      </c>
      <c r="AF62" s="501"/>
      <c r="AG62" s="355" t="str">
        <f t="shared" ref="AG62" si="409">IF(AE62=1,AH62,IF(AE62=2,AI62,IF(AE62=3,AJ62,IF(AE62=4,AK62,AL62))))</f>
        <v>- Evitar Posibilidad de Ocurrencia- Reducir el Riesgo- Compartir o Transferir el Riesgo</v>
      </c>
      <c r="AH62" s="46" t="str">
        <f t="shared" ref="AH62" si="410">IF($AF61=11,"- Asumir el Riesgo",IF($AF61=12,"- Asumir el Riesgo- Evitar Posibilidad de Ocurrencia- Reducir el Riesgo",IF($AF61=13,"- Asumir el Riesgo- Evitar Posibilidad de Ocurrencia- Reducir el Riesgo",IF($AF61=14,"-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2" s="46" t="str">
        <f t="shared" ref="AI62" si="411">IF($AF61=21,"- Asumir el Riesgo- Reducir el Riesgo",IF($AF61=22,"- Asumir el Riesgo- Evitar Posibilidad de Ocurrencia- Reducir el Riesgo",IF($AF61=23,"- Asumir el Riesgo- Evitar Posibilidad de Ocurrencia- Reducir el Riesgo- Compartir o Transferir el Riesgo",IF($AF61=24,"- Evitar Posibilidad de Ocurrencia- Reducir el Riesgo- Compartir o Transferir el Riesgo","- Evitar Posibilidad de Ocurrencia- Reducir el Riesgo- Compartir o Transferir el Riesgo"))))</f>
        <v>- Evitar Posibilidad de Ocurrencia- Reducir el Riesgo- Compartir o Transferir el Riesgo</v>
      </c>
      <c r="AJ62" s="46" t="str">
        <f t="shared" ref="AJ62" si="412">IF($AF61=31,"- Asumir el Riesgo- Reducir el Riesgo- Compartir o Transferir el Riesgo",IF($AF61=32,"- Asumir el Riesgo- Evitar Posibilidad de Ocurrencia- Reducir el Reducir- Compartir o Transferir el Riesgo",IF($AF61=33,"- Evitar Posibilidad de Ocurrencia- Reducir el Riesgo- Compartir o Transferir el Riesgo",IF($AF61=34,"- Evitar Posibilidad de Ocurrencia- Reducir el Riesgo- Compartir o Transferir el Riesgo","- Eliminar Causa(s)- Evitar Posibilidad de Ocurrencia- Reducir el Riesgo- Compartir o Transferir el Riesgo"))))</f>
        <v>- Evitar Posibilidad de Ocurrencia- Reducir el Riesgo- Compartir o Transferir el Riesgo</v>
      </c>
      <c r="AK62" s="46" t="str">
        <f t="shared" ref="AK62" si="413">IF($AF61=41,"- Reducir el Riesgo- Compartir o Transferir el Riesgo",IF($AF61=42,"- Evitar Posibilidad de Ocurrencia- Reducir el Riesgo- Compartir o Transferir el Riesgo",IF($AF61=43,"- Eliminar Causa(s)- Evitar Posibilidad de Ocurrencia- Reducir el Riesgo- Compartir o Transferir el Riesgo",IF($AF61=44,"-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62" s="46" t="str">
        <f t="shared" ref="AL62" si="414">IF($AF61=51,"- Reducir el Riesgo- Compartir o Transferir el Riesgo",IF($AF61=52,"- Eliminar Causa(s)- Evitar Posibilidad de Ocurrencia- Reducir el Riesgo- Compartir o Transferir el Riesgo",IF($AF61=53,"- Eliminar Causa(s)- Evitar Posibilidad de Ocurrencia- Reducir el Riesgo- Compartir o Transferir el Riesgo",IF($AF61=54,"-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2" s="3" t="str">
        <f t="shared" si="222"/>
        <v/>
      </c>
      <c r="AN62" s="3" t="str">
        <f t="shared" si="223"/>
        <v/>
      </c>
      <c r="AO62" s="3" t="str">
        <f t="shared" si="224"/>
        <v/>
      </c>
      <c r="AP62" s="3" t="str">
        <f t="shared" si="225"/>
        <v/>
      </c>
      <c r="AQ62" s="3" t="str">
        <f t="shared" ref="AQ62:AQ63" si="415">IF(AQ61="Documentar",AQ61,AM62)</f>
        <v/>
      </c>
      <c r="AR62" s="3" t="str">
        <f t="shared" ref="AR62:AR63" si="416">IF(AR61="Asignar responsable",AR61,AN62)</f>
        <v/>
      </c>
      <c r="AT62" s="3" t="str">
        <f t="shared" ref="AT62:AT63" si="417">IF(AT61="Establecer periodos de seguimiento adecuados",AT61,AO62)</f>
        <v/>
      </c>
      <c r="AV62" s="3" t="str">
        <f t="shared" ref="AV62:AV63" si="418">IF(AV61="Guardar Evidencias",AV61,AP62)</f>
        <v/>
      </c>
      <c r="AX62" s="502"/>
      <c r="AY62" s="502"/>
      <c r="AZ62" s="502"/>
      <c r="BA62" s="502"/>
      <c r="BB62" s="3" t="str">
        <f t="shared" si="234"/>
        <v/>
      </c>
      <c r="BC62" s="3" t="str">
        <f t="shared" si="235"/>
        <v/>
      </c>
      <c r="BD62" s="3" t="str">
        <f t="shared" si="236"/>
        <v/>
      </c>
      <c r="BE62" s="3" t="str">
        <f t="shared" si="237"/>
        <v/>
      </c>
      <c r="BF62" s="3" t="str">
        <f t="shared" si="238"/>
        <v/>
      </c>
      <c r="BG62" s="3" t="str">
        <f t="shared" si="239"/>
        <v/>
      </c>
      <c r="BH62" s="3" t="str">
        <f t="shared" si="240"/>
        <v/>
      </c>
      <c r="BI62" s="3" t="str">
        <f t="shared" si="25"/>
        <v/>
      </c>
      <c r="BJ62" s="3" t="str">
        <f t="shared" si="26"/>
        <v/>
      </c>
      <c r="BK62" s="3" t="str">
        <f t="shared" si="27"/>
        <v/>
      </c>
      <c r="BL62" s="3" t="str">
        <f t="shared" si="241"/>
        <v/>
      </c>
      <c r="BM62" s="3" t="str">
        <f t="shared" si="242"/>
        <v/>
      </c>
    </row>
    <row r="63" spans="1:65" ht="36" customHeight="1" x14ac:dyDescent="0.2">
      <c r="A63" s="503"/>
      <c r="B63" s="496"/>
      <c r="C63" s="356">
        <v>3</v>
      </c>
      <c r="D63" s="56"/>
      <c r="E63" s="240" t="str">
        <f t="shared" si="4"/>
        <v/>
      </c>
      <c r="F63" s="44"/>
      <c r="G63" s="18" t="str">
        <f t="shared" si="198"/>
        <v/>
      </c>
      <c r="H63" s="44"/>
      <c r="I63" s="18" t="str">
        <f t="shared" si="199"/>
        <v/>
      </c>
      <c r="J63" s="55" t="str">
        <f t="shared" si="200"/>
        <v/>
      </c>
      <c r="K63" s="43"/>
      <c r="L63" s="18" t="str">
        <f t="shared" si="201"/>
        <v/>
      </c>
      <c r="M63" s="43"/>
      <c r="N63" s="18" t="str">
        <f t="shared" si="202"/>
        <v/>
      </c>
      <c r="O63" s="43"/>
      <c r="P63" s="18" t="str">
        <f t="shared" si="203"/>
        <v/>
      </c>
      <c r="Q63" s="43"/>
      <c r="R63" s="18" t="str">
        <f t="shared" si="204"/>
        <v/>
      </c>
      <c r="S63" s="43"/>
      <c r="T63" s="18" t="str">
        <f t="shared" si="205"/>
        <v/>
      </c>
      <c r="U63" s="43"/>
      <c r="V63" s="18" t="str">
        <f t="shared" si="206"/>
        <v/>
      </c>
      <c r="W63" s="18">
        <f t="shared" si="207"/>
        <v>0</v>
      </c>
      <c r="X63" s="57" t="str">
        <f t="shared" si="208"/>
        <v/>
      </c>
      <c r="Y63" s="57">
        <f t="shared" si="209"/>
        <v>0</v>
      </c>
      <c r="Z63" s="356">
        <f t="shared" si="210"/>
        <v>0</v>
      </c>
      <c r="AA63" s="499"/>
      <c r="AB63" s="500"/>
      <c r="AM63" s="3" t="str">
        <f t="shared" si="222"/>
        <v/>
      </c>
      <c r="AN63" s="3" t="str">
        <f t="shared" si="223"/>
        <v/>
      </c>
      <c r="AO63" s="3" t="str">
        <f t="shared" si="224"/>
        <v/>
      </c>
      <c r="AP63" s="3" t="str">
        <f t="shared" si="225"/>
        <v/>
      </c>
      <c r="AQ63" s="3" t="str">
        <f t="shared" si="415"/>
        <v/>
      </c>
      <c r="AR63" s="3" t="str">
        <f t="shared" si="416"/>
        <v/>
      </c>
      <c r="AS63" s="3" t="str">
        <f t="shared" ref="AS63" si="419">IF(AND(AQ63="Documentar",AR63="Asignar responsable"),CONCATENATE("- ",AQ63,", ",AR63),IF(AQ63="Documentar",CONCATENATE("- ",AQ63),IF(AR63="Asignar responsable",CONCATENATE("- ",AR63),"")))</f>
        <v/>
      </c>
      <c r="AT63" s="3" t="str">
        <f t="shared" si="417"/>
        <v/>
      </c>
      <c r="AU63" s="3" t="str">
        <f t="shared" ref="AU63" si="420">IF(AT63="",AS63,IF(AS63="",CONCATENATE("- ",AT63),CONCATENATE(AS63,", ",AT63)))</f>
        <v/>
      </c>
      <c r="AV63" s="3" t="str">
        <f t="shared" si="418"/>
        <v/>
      </c>
      <c r="AW63" s="3" t="str">
        <f t="shared" ref="AW63" si="421">IF(AV63="",AU63,IF(AU63="",CONCATENATE("- ",AV63),CONCATENATE(AU63,", ",AV63)))</f>
        <v/>
      </c>
      <c r="AX63" s="502"/>
      <c r="AY63" s="502"/>
      <c r="AZ63" s="502"/>
      <c r="BA63" s="502"/>
      <c r="BB63" s="3" t="str">
        <f t="shared" si="234"/>
        <v/>
      </c>
      <c r="BC63" s="3" t="str">
        <f t="shared" si="235"/>
        <v/>
      </c>
      <c r="BD63" s="3" t="str">
        <f t="shared" si="236"/>
        <v/>
      </c>
      <c r="BE63" s="3" t="str">
        <f t="shared" si="237"/>
        <v/>
      </c>
      <c r="BF63" s="3" t="str">
        <f t="shared" si="238"/>
        <v/>
      </c>
      <c r="BG63" s="3" t="str">
        <f t="shared" si="239"/>
        <v/>
      </c>
      <c r="BH63" s="3" t="str">
        <f t="shared" si="240"/>
        <v/>
      </c>
      <c r="BI63" s="3" t="str">
        <f t="shared" si="25"/>
        <v/>
      </c>
      <c r="BJ63" s="3" t="str">
        <f t="shared" si="26"/>
        <v/>
      </c>
      <c r="BK63" s="3" t="str">
        <f t="shared" si="27"/>
        <v/>
      </c>
      <c r="BL63" s="3" t="str">
        <f t="shared" si="241"/>
        <v/>
      </c>
      <c r="BM63" s="3" t="str">
        <f t="shared" si="242"/>
        <v/>
      </c>
    </row>
    <row r="64" spans="1:65" ht="36" customHeight="1" x14ac:dyDescent="0.2">
      <c r="A64" s="503" t="str">
        <f>IDENTIFICACIÓN!C27</f>
        <v>19G</v>
      </c>
      <c r="B64" s="496" t="str">
        <f>IF(IDENTIFICACIÓN!D27="","",IDENTIFICACIÓN!D27)</f>
        <v>Gestión de Extensión y Proyección Social. Interrupción en las actividades e incumplimiento de los proyectos de extensión y proyección social, en las zonas de influencia.</v>
      </c>
      <c r="C64" s="356">
        <v>1</v>
      </c>
      <c r="D64" s="56" t="s">
        <v>11</v>
      </c>
      <c r="E64" s="240">
        <f t="shared" si="4"/>
        <v>10</v>
      </c>
      <c r="F64" s="44" t="s">
        <v>594</v>
      </c>
      <c r="G64" s="18" t="str">
        <f t="shared" si="198"/>
        <v/>
      </c>
      <c r="H64" s="44" t="s">
        <v>20</v>
      </c>
      <c r="I64" s="18" t="str">
        <f t="shared" si="199"/>
        <v/>
      </c>
      <c r="J64" s="55" t="str">
        <f t="shared" si="200"/>
        <v>Posibilidad</v>
      </c>
      <c r="K64" s="43" t="s">
        <v>11</v>
      </c>
      <c r="L64" s="18">
        <f t="shared" si="201"/>
        <v>15</v>
      </c>
      <c r="M64" s="43" t="s">
        <v>11</v>
      </c>
      <c r="N64" s="18">
        <f t="shared" si="202"/>
        <v>30</v>
      </c>
      <c r="O64" s="43" t="s">
        <v>323</v>
      </c>
      <c r="P64" s="18">
        <f t="shared" si="203"/>
        <v>10</v>
      </c>
      <c r="Q64" s="43" t="s">
        <v>11</v>
      </c>
      <c r="R64" s="18">
        <f t="shared" si="204"/>
        <v>5</v>
      </c>
      <c r="S64" s="43" t="s">
        <v>10</v>
      </c>
      <c r="T64" s="18">
        <f t="shared" si="205"/>
        <v>0</v>
      </c>
      <c r="U64" s="43" t="s">
        <v>11</v>
      </c>
      <c r="V64" s="18">
        <f t="shared" si="206"/>
        <v>10</v>
      </c>
      <c r="W64" s="18">
        <f t="shared" si="207"/>
        <v>80</v>
      </c>
      <c r="X64" s="57" t="str">
        <f t="shared" si="208"/>
        <v>80                           Disminuye max 2 en Posibilidad</v>
      </c>
      <c r="Y64" s="57">
        <f t="shared" si="209"/>
        <v>2</v>
      </c>
      <c r="Z64" s="356">
        <f t="shared" si="210"/>
        <v>0</v>
      </c>
      <c r="AA64" s="497">
        <f t="shared" ref="AA64" si="422">IF(AB64=0,"",(ROUND((SUM(W64:W66)/AB64),0)))</f>
        <v>80</v>
      </c>
      <c r="AB64" s="500">
        <f t="shared" ref="AB64" si="423">COUNT(T64:T66)</f>
        <v>1</v>
      </c>
      <c r="AC64" s="3">
        <f t="shared" ref="AC64" si="424">SUM(Y64:Y66)</f>
        <v>2</v>
      </c>
      <c r="AD64" s="3">
        <f>ANALISIS!D29</f>
        <v>3</v>
      </c>
      <c r="AE64" s="3">
        <f t="shared" ref="AE64:AE65" si="425">IF((AD64-AC64)&gt;=1,(AD64-AC64),1)</f>
        <v>1</v>
      </c>
      <c r="AF64" s="501">
        <f t="shared" ref="AF64" si="426">(AE65*10)+AE64</f>
        <v>41</v>
      </c>
      <c r="AG64" s="355" t="str">
        <f t="shared" ref="AG64" si="427">IF(AE65=1,AH64,IF(AE65=2,AI64,IF(AE65=3,AJ64,IF(AE65=4,AK64,AL64))))</f>
        <v>ALTA 1:4</v>
      </c>
      <c r="AH64" s="46" t="str">
        <f t="shared" ref="AH64" si="428">IF($AF64=11,"BAJA 1:1",IF($AF64=12,"BAJA 2:1",IF($AF64=13,"BAJA 3:1",IF($AF64=14,"MODERADA 4:1","ALTA 5:1"))))</f>
        <v>ALTA 5:1</v>
      </c>
      <c r="AI64" s="46" t="str">
        <f t="shared" ref="AI64" si="429">IF($AF64=21,"BAJA 1:2",IF($AF64=22,"BAJA 2:2",IF($AF64=23,"MODERADA 3:2",IF($AF64=24,"ALTA 4:2","ALTA 5:2"))))</f>
        <v>ALTA 5:2</v>
      </c>
      <c r="AJ64" s="46" t="str">
        <f t="shared" ref="AJ64" si="430">IF($AF64=31,"MODERADA 1:3",IF($AF64=32,"MODERADA 2:3",IF($AF64=33,"ALTA 3:3",IF($AF64=34,"ALTA 4:3","EXTREMA 5:3"))))</f>
        <v>EXTREMA 5:3</v>
      </c>
      <c r="AK64" s="46" t="str">
        <f t="shared" ref="AK64" si="431">IF($AF64=41,"ALTA 1:4",IF($AF64=42,"ALTA 2:4",IF($AF64=43,"EXTREMA 3:4",IF($AF64=44,"EXTREMA 4:4","EXTREMA 5:4"))))</f>
        <v>ALTA 1:4</v>
      </c>
      <c r="AL64" s="46" t="str">
        <f t="shared" ref="AL64" si="432">IF($AF64=51,"ALTA 1:5",IF($AF64=52,"EXTREMA 2:5",IF($AF64=53,"EXTREMA 3:5",IF($AF64=54,"EXTREMA 4:5","EXTREMA 5:5"))))</f>
        <v>EXTREMA 5:5</v>
      </c>
      <c r="AM64" s="3" t="str">
        <f t="shared" si="222"/>
        <v/>
      </c>
      <c r="AN64" s="3" t="str">
        <f t="shared" si="223"/>
        <v/>
      </c>
      <c r="AO64" s="3" t="str">
        <f t="shared" si="224"/>
        <v>Establecer periodos de seguimiento adecuados</v>
      </c>
      <c r="AP64" s="3" t="str">
        <f t="shared" si="225"/>
        <v/>
      </c>
      <c r="AQ64" s="3" t="str">
        <f t="shared" ref="AQ64" si="433">AM64</f>
        <v/>
      </c>
      <c r="AR64" s="3" t="str">
        <f t="shared" ref="AR64" si="434">AN64</f>
        <v/>
      </c>
      <c r="AT64" s="3" t="str">
        <f t="shared" ref="AT64" si="435">AO64</f>
        <v>Establecer periodos de seguimiento adecuados</v>
      </c>
      <c r="AV64" s="3" t="str">
        <f t="shared" ref="AV64" si="436">AP64</f>
        <v/>
      </c>
      <c r="AX64" s="502" t="str">
        <f t="shared" ref="AX64" si="437">IF(AW66="","",CONCATENATE(AW66," (de) el(los) control(es) Efectivo(s) "))</f>
        <v xml:space="preserve">- Establecer periodos de seguimiento adecuados (de) el(los) control(es) Efectivo(s) </v>
      </c>
      <c r="AY64" s="502" t="str">
        <f t="shared" ref="AY64" si="438">IF(CONCATENATE(N64:N66)="","",IF(AND(SUM(E64:E66)=10,SUM(N64:N66)&lt;30),"- Replantear control(es) NO efectivo(s) ",IF(AND(SUM(E64:E66)=20,SUM(N64:N66)&lt;60),"- Replantear control(es) NO efectivo(s) ",IF(AND(SUM(E64:E66)=30,SUM(N64:N66)&lt;90),"- Replantear control(es) NO efectivo(s) ",""))))</f>
        <v/>
      </c>
      <c r="AZ64" s="502" t="str">
        <f t="shared" ref="AZ64" si="439">IF(AND(AE64&gt;1,AE65&gt;1),"- Tomar Acciones Preventivas y Correctivas",IF(AE64&gt;1,"- Tomar Acciones Preventivas",IF(AE65&gt;1,"- Tomar Acciones Correctivas","")))</f>
        <v>- Tomar Acciones Correctivas</v>
      </c>
      <c r="BA64" s="502" t="str">
        <f t="shared" ref="BA64" si="440">CONCATENATE(AX64,AY64,AZ64)</f>
        <v>- Establecer periodos de seguimiento adecuados (de) el(los) control(es) Efectivo(s) - Tomar Acciones Correctivas</v>
      </c>
      <c r="BB64" s="3" t="str">
        <f t="shared" si="234"/>
        <v>SI</v>
      </c>
      <c r="BC64" s="3" t="str">
        <f t="shared" si="235"/>
        <v/>
      </c>
      <c r="BD64" s="3" t="str">
        <f t="shared" si="236"/>
        <v>SI</v>
      </c>
      <c r="BE64" s="3" t="str">
        <f t="shared" si="237"/>
        <v/>
      </c>
      <c r="BF64" s="3" t="str">
        <f t="shared" si="238"/>
        <v>NO</v>
      </c>
      <c r="BG64" s="3" t="str">
        <f t="shared" si="239"/>
        <v/>
      </c>
      <c r="BH64" s="3" t="str">
        <f t="shared" si="240"/>
        <v>P</v>
      </c>
      <c r="BI64" s="3" t="str">
        <f t="shared" si="25"/>
        <v/>
      </c>
      <c r="BJ64" s="3" t="str">
        <f t="shared" si="26"/>
        <v>M</v>
      </c>
      <c r="BK64" s="3" t="str">
        <f t="shared" si="27"/>
        <v/>
      </c>
      <c r="BL64" s="3" t="str">
        <f t="shared" si="241"/>
        <v>SI</v>
      </c>
      <c r="BM64" s="3" t="str">
        <f t="shared" si="242"/>
        <v/>
      </c>
    </row>
    <row r="65" spans="1:65" ht="36" customHeight="1" x14ac:dyDescent="0.2">
      <c r="A65" s="503"/>
      <c r="B65" s="496"/>
      <c r="C65" s="356">
        <v>2</v>
      </c>
      <c r="D65" s="56"/>
      <c r="E65" s="240" t="str">
        <f t="shared" si="4"/>
        <v/>
      </c>
      <c r="F65" s="44"/>
      <c r="G65" s="18" t="str">
        <f t="shared" si="198"/>
        <v/>
      </c>
      <c r="H65" s="44"/>
      <c r="I65" s="18" t="str">
        <f t="shared" si="199"/>
        <v/>
      </c>
      <c r="J65" s="55" t="str">
        <f t="shared" si="200"/>
        <v/>
      </c>
      <c r="K65" s="43"/>
      <c r="L65" s="18" t="str">
        <f t="shared" si="201"/>
        <v/>
      </c>
      <c r="M65" s="43"/>
      <c r="N65" s="18" t="str">
        <f t="shared" si="202"/>
        <v/>
      </c>
      <c r="O65" s="43"/>
      <c r="P65" s="18" t="str">
        <f t="shared" si="203"/>
        <v/>
      </c>
      <c r="Q65" s="43"/>
      <c r="R65" s="18" t="str">
        <f t="shared" si="204"/>
        <v/>
      </c>
      <c r="S65" s="43"/>
      <c r="T65" s="18" t="str">
        <f t="shared" si="205"/>
        <v/>
      </c>
      <c r="U65" s="43"/>
      <c r="V65" s="18" t="str">
        <f t="shared" si="206"/>
        <v/>
      </c>
      <c r="W65" s="18">
        <f t="shared" si="207"/>
        <v>0</v>
      </c>
      <c r="X65" s="57" t="str">
        <f t="shared" si="208"/>
        <v/>
      </c>
      <c r="Y65" s="57">
        <f t="shared" si="209"/>
        <v>0</v>
      </c>
      <c r="Z65" s="356">
        <f t="shared" si="210"/>
        <v>0</v>
      </c>
      <c r="AA65" s="498"/>
      <c r="AB65" s="500"/>
      <c r="AC65" s="3">
        <f t="shared" ref="AC65" si="441">SUM(Z64:Z66)</f>
        <v>0</v>
      </c>
      <c r="AD65" s="3">
        <f>ANALISIS!G29</f>
        <v>4</v>
      </c>
      <c r="AE65" s="3">
        <f t="shared" si="425"/>
        <v>4</v>
      </c>
      <c r="AF65" s="501"/>
      <c r="AG65" s="355" t="str">
        <f t="shared" ref="AG65" si="442">IF(AE65=1,AH65,IF(AE65=2,AI65,IF(AE65=3,AJ65,IF(AE65=4,AK65,AL65))))</f>
        <v>- Reducir el Riesgo- Compartir o Transferir el Riesgo</v>
      </c>
      <c r="AH65" s="46" t="str">
        <f t="shared" ref="AH65" si="443">IF($AF64=11,"- Asumir el Riesgo",IF($AF64=12,"- Asumir el Riesgo- Evitar Posibilidad de Ocurrencia- Reducir el Riesgo",IF($AF64=13,"- Asumir el Riesgo- Evitar Posibilidad de Ocurrencia- Reducir el Riesgo",IF($AF64=14,"-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5" s="46" t="str">
        <f t="shared" ref="AI65" si="444">IF($AF64=21,"- Asumir el Riesgo- Reducir el Riesgo",IF($AF64=22,"- Asumir el Riesgo- Evitar Posibilidad de Ocurrencia- Reducir el Riesgo",IF($AF64=23,"- Asumir el Riesgo- Evitar Posibilidad de Ocurrencia- Reducir el Riesgo- Compartir o Transferir el Riesgo",IF($AF64=24,"- Evitar Posibilidad de Ocurrencia- Reducir el Riesgo- Compartir o Transferir el Riesgo","- Evitar Posibilidad de Ocurrencia- Reducir el Riesgo- Compartir o Transferir el Riesgo"))))</f>
        <v>- Evitar Posibilidad de Ocurrencia- Reducir el Riesgo- Compartir o Transferir el Riesgo</v>
      </c>
      <c r="AJ65" s="46" t="str">
        <f t="shared" ref="AJ65" si="445">IF($AF64=31,"- Asumir el Riesgo- Reducir el Riesgo- Compartir o Transferir el Riesgo",IF($AF64=32,"- Asumir el Riesgo- Evitar Posibilidad de Ocurrencia- Reducir el Reducir- Compartir o Transferir el Riesgo",IF($AF64=33,"- Evitar Posibilidad de Ocurrencia- Reducir el Riesgo- Compartir o Transferir el Riesgo",IF($AF64=34,"-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65" s="46" t="str">
        <f t="shared" ref="AK65" si="446">IF($AF64=41,"- Reducir el Riesgo- Compartir o Transferir el Riesgo",IF($AF64=42,"- Evitar Posibilidad de Ocurrencia- Reducir el Riesgo- Compartir o Transferir el Riesgo",IF($AF64=43,"- Eliminar Causa(s)- Evitar Posibilidad de Ocurrencia- Reducir el Riesgo- Compartir o Transferir el Riesgo",IF($AF64=44,"- Eliminar Causa(s)- Evitar Posibilidad de Ocurrencia- Reducir el Riesgo- Compartir o Transferir el Riesgo","- Eliminar Causa(s)- Evitar Posibilidad de Ocurrencia- Reducir el Riesgo- Compartir o Transferir el Riesgo"))))</f>
        <v>- Reducir el Riesgo- Compartir o Transferir el Riesgo</v>
      </c>
      <c r="AL65" s="46" t="str">
        <f t="shared" ref="AL65" si="447">IF($AF64=51,"- Reducir el Riesgo- Compartir o Transferir el Riesgo",IF($AF64=52,"- Eliminar Causa(s)- Evitar Posibilidad de Ocurrencia- Reducir el Riesgo- Compartir o Transferir el Riesgo",IF($AF64=53,"- Eliminar Causa(s)- Evitar Posibilidad de Ocurrencia- Reducir el Riesgo- Compartir o Transferir el Riesgo",IF($AF64=54,"-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5" s="3" t="str">
        <f t="shared" si="222"/>
        <v/>
      </c>
      <c r="AN65" s="3" t="str">
        <f t="shared" si="223"/>
        <v/>
      </c>
      <c r="AO65" s="3" t="str">
        <f t="shared" si="224"/>
        <v/>
      </c>
      <c r="AP65" s="3" t="str">
        <f t="shared" si="225"/>
        <v/>
      </c>
      <c r="AQ65" s="3" t="str">
        <f t="shared" ref="AQ65:AQ66" si="448">IF(AQ64="Documentar",AQ64,AM65)</f>
        <v/>
      </c>
      <c r="AR65" s="3" t="str">
        <f t="shared" ref="AR65:AR66" si="449">IF(AR64="Asignar responsable",AR64,AN65)</f>
        <v/>
      </c>
      <c r="AT65" s="3" t="str">
        <f t="shared" ref="AT65:AT66" si="450">IF(AT64="Establecer periodos de seguimiento adecuados",AT64,AO65)</f>
        <v>Establecer periodos de seguimiento adecuados</v>
      </c>
      <c r="AV65" s="3" t="str">
        <f t="shared" ref="AV65:AV66" si="451">IF(AV64="Guardar Evidencias",AV64,AP65)</f>
        <v/>
      </c>
      <c r="AX65" s="502"/>
      <c r="AY65" s="502"/>
      <c r="AZ65" s="502"/>
      <c r="BA65" s="502"/>
      <c r="BB65" s="3" t="str">
        <f t="shared" si="234"/>
        <v/>
      </c>
      <c r="BC65" s="3" t="str">
        <f t="shared" si="235"/>
        <v/>
      </c>
      <c r="BD65" s="3" t="str">
        <f t="shared" si="236"/>
        <v/>
      </c>
      <c r="BE65" s="3" t="str">
        <f t="shared" si="237"/>
        <v/>
      </c>
      <c r="BF65" s="3" t="str">
        <f t="shared" si="238"/>
        <v/>
      </c>
      <c r="BG65" s="3" t="str">
        <f t="shared" si="239"/>
        <v/>
      </c>
      <c r="BH65" s="3" t="str">
        <f t="shared" si="240"/>
        <v/>
      </c>
      <c r="BI65" s="3" t="str">
        <f t="shared" si="25"/>
        <v/>
      </c>
      <c r="BJ65" s="3" t="str">
        <f t="shared" si="26"/>
        <v/>
      </c>
      <c r="BK65" s="3" t="str">
        <f t="shared" si="27"/>
        <v/>
      </c>
      <c r="BL65" s="3" t="str">
        <f t="shared" si="241"/>
        <v/>
      </c>
      <c r="BM65" s="3" t="str">
        <f t="shared" si="242"/>
        <v/>
      </c>
    </row>
    <row r="66" spans="1:65" ht="36" customHeight="1" x14ac:dyDescent="0.2">
      <c r="A66" s="503"/>
      <c r="B66" s="496"/>
      <c r="C66" s="356">
        <v>3</v>
      </c>
      <c r="D66" s="56"/>
      <c r="E66" s="240" t="str">
        <f t="shared" si="4"/>
        <v/>
      </c>
      <c r="F66" s="44"/>
      <c r="G66" s="18" t="str">
        <f t="shared" si="198"/>
        <v/>
      </c>
      <c r="H66" s="44"/>
      <c r="I66" s="18" t="str">
        <f t="shared" si="199"/>
        <v/>
      </c>
      <c r="J66" s="55" t="str">
        <f t="shared" si="200"/>
        <v/>
      </c>
      <c r="K66" s="43"/>
      <c r="L66" s="18" t="str">
        <f t="shared" si="201"/>
        <v/>
      </c>
      <c r="M66" s="43"/>
      <c r="N66" s="18" t="str">
        <f t="shared" si="202"/>
        <v/>
      </c>
      <c r="O66" s="43"/>
      <c r="P66" s="18" t="str">
        <f t="shared" si="203"/>
        <v/>
      </c>
      <c r="Q66" s="43"/>
      <c r="R66" s="18" t="str">
        <f t="shared" si="204"/>
        <v/>
      </c>
      <c r="S66" s="43"/>
      <c r="T66" s="18" t="str">
        <f t="shared" si="205"/>
        <v/>
      </c>
      <c r="U66" s="43"/>
      <c r="V66" s="18" t="str">
        <f t="shared" si="206"/>
        <v/>
      </c>
      <c r="W66" s="18">
        <f t="shared" si="207"/>
        <v>0</v>
      </c>
      <c r="X66" s="57" t="str">
        <f t="shared" si="208"/>
        <v/>
      </c>
      <c r="Y66" s="57">
        <f t="shared" si="209"/>
        <v>0</v>
      </c>
      <c r="Z66" s="356">
        <f t="shared" si="210"/>
        <v>0</v>
      </c>
      <c r="AA66" s="499"/>
      <c r="AB66" s="500"/>
      <c r="AM66" s="3" t="str">
        <f t="shared" si="222"/>
        <v/>
      </c>
      <c r="AN66" s="3" t="str">
        <f t="shared" si="223"/>
        <v/>
      </c>
      <c r="AO66" s="3" t="str">
        <f t="shared" si="224"/>
        <v/>
      </c>
      <c r="AP66" s="3" t="str">
        <f t="shared" si="225"/>
        <v/>
      </c>
      <c r="AQ66" s="3" t="str">
        <f t="shared" si="448"/>
        <v/>
      </c>
      <c r="AR66" s="3" t="str">
        <f t="shared" si="449"/>
        <v/>
      </c>
      <c r="AS66" s="3" t="str">
        <f t="shared" ref="AS66" si="452">IF(AND(AQ66="Documentar",AR66="Asignar responsable"),CONCATENATE("- ",AQ66,", ",AR66),IF(AQ66="Documentar",CONCATENATE("- ",AQ66),IF(AR66="Asignar responsable",CONCATENATE("- ",AR66),"")))</f>
        <v/>
      </c>
      <c r="AT66" s="3" t="str">
        <f t="shared" si="450"/>
        <v>Establecer periodos de seguimiento adecuados</v>
      </c>
      <c r="AU66" s="3" t="str">
        <f t="shared" ref="AU66" si="453">IF(AT66="",AS66,IF(AS66="",CONCATENATE("- ",AT66),CONCATENATE(AS66,", ",AT66)))</f>
        <v>- Establecer periodos de seguimiento adecuados</v>
      </c>
      <c r="AV66" s="3" t="str">
        <f t="shared" si="451"/>
        <v/>
      </c>
      <c r="AW66" s="3" t="str">
        <f t="shared" ref="AW66" si="454">IF(AV66="",AU66,IF(AU66="",CONCATENATE("- ",AV66),CONCATENATE(AU66,", ",AV66)))</f>
        <v>- Establecer periodos de seguimiento adecuados</v>
      </c>
      <c r="AX66" s="502"/>
      <c r="AY66" s="502"/>
      <c r="AZ66" s="502"/>
      <c r="BA66" s="502"/>
      <c r="BB66" s="3" t="str">
        <f t="shared" si="234"/>
        <v/>
      </c>
      <c r="BC66" s="3" t="str">
        <f t="shared" si="235"/>
        <v/>
      </c>
      <c r="BD66" s="3" t="str">
        <f t="shared" si="236"/>
        <v/>
      </c>
      <c r="BE66" s="3" t="str">
        <f t="shared" si="237"/>
        <v/>
      </c>
      <c r="BF66" s="3" t="str">
        <f t="shared" si="238"/>
        <v/>
      </c>
      <c r="BG66" s="3" t="str">
        <f t="shared" si="239"/>
        <v/>
      </c>
      <c r="BH66" s="3" t="str">
        <f t="shared" si="240"/>
        <v/>
      </c>
      <c r="BI66" s="3" t="str">
        <f t="shared" si="25"/>
        <v/>
      </c>
      <c r="BJ66" s="3" t="str">
        <f t="shared" si="26"/>
        <v/>
      </c>
      <c r="BK66" s="3" t="str">
        <f t="shared" si="27"/>
        <v/>
      </c>
      <c r="BL66" s="3" t="str">
        <f t="shared" si="241"/>
        <v/>
      </c>
      <c r="BM66" s="3" t="str">
        <f t="shared" si="242"/>
        <v/>
      </c>
    </row>
    <row r="67" spans="1:65" ht="36" customHeight="1" x14ac:dyDescent="0.2">
      <c r="A67" s="503" t="str">
        <f>IDENTIFICACIÓN!C28</f>
        <v>20G</v>
      </c>
      <c r="B67" s="496" t="str">
        <f>IF(IDENTIFICACIÓN!D28="","",IDENTIFICACIÓN!D28)</f>
        <v>Gestión de Contratación. Celebración de contratos sin el cumplimiento de los requisitos internos y externos de carácter contractual</v>
      </c>
      <c r="C67" s="356">
        <v>1</v>
      </c>
      <c r="D67" s="56" t="s">
        <v>11</v>
      </c>
      <c r="E67" s="240">
        <f t="shared" si="4"/>
        <v>10</v>
      </c>
      <c r="F67" s="44" t="s">
        <v>596</v>
      </c>
      <c r="G67" s="18" t="str">
        <f t="shared" si="198"/>
        <v/>
      </c>
      <c r="H67" s="44" t="s">
        <v>20</v>
      </c>
      <c r="I67" s="18" t="str">
        <f t="shared" si="199"/>
        <v/>
      </c>
      <c r="J67" s="55" t="str">
        <f t="shared" si="200"/>
        <v>Posibilidad</v>
      </c>
      <c r="K67" s="43" t="s">
        <v>11</v>
      </c>
      <c r="L67" s="18">
        <f t="shared" si="201"/>
        <v>15</v>
      </c>
      <c r="M67" s="43" t="s">
        <v>11</v>
      </c>
      <c r="N67" s="18">
        <f t="shared" si="202"/>
        <v>30</v>
      </c>
      <c r="O67" s="43" t="s">
        <v>323</v>
      </c>
      <c r="P67" s="18">
        <f t="shared" si="203"/>
        <v>10</v>
      </c>
      <c r="Q67" s="43" t="s">
        <v>11</v>
      </c>
      <c r="R67" s="18">
        <f t="shared" si="204"/>
        <v>5</v>
      </c>
      <c r="S67" s="43" t="s">
        <v>11</v>
      </c>
      <c r="T67" s="18">
        <f t="shared" si="205"/>
        <v>15</v>
      </c>
      <c r="U67" s="43" t="s">
        <v>11</v>
      </c>
      <c r="V67" s="18">
        <f t="shared" si="206"/>
        <v>10</v>
      </c>
      <c r="W67" s="18">
        <f t="shared" si="207"/>
        <v>95</v>
      </c>
      <c r="X67" s="57" t="str">
        <f t="shared" si="208"/>
        <v>95                           Disminuye max 2 en Posibilidad</v>
      </c>
      <c r="Y67" s="57">
        <f t="shared" si="209"/>
        <v>2</v>
      </c>
      <c r="Z67" s="356">
        <f t="shared" si="210"/>
        <v>0</v>
      </c>
      <c r="AA67" s="497">
        <f t="shared" ref="AA67" si="455">IF(AB67=0,"",(ROUND((SUM(W67:W69)/AB67),0)))</f>
        <v>90</v>
      </c>
      <c r="AB67" s="500">
        <f t="shared" ref="AB67" si="456">COUNT(T67:T69)</f>
        <v>3</v>
      </c>
      <c r="AC67" s="3">
        <f t="shared" ref="AC67" si="457">SUM(Y67:Y69)</f>
        <v>6</v>
      </c>
      <c r="AD67" s="3">
        <f>ANALISIS!D30</f>
        <v>1</v>
      </c>
      <c r="AE67" s="3">
        <f t="shared" ref="AE67:AE68" si="458">IF((AD67-AC67)&gt;=1,(AD67-AC67),1)</f>
        <v>1</v>
      </c>
      <c r="AF67" s="501">
        <f t="shared" ref="AF67" si="459">(AE68*10)+AE67</f>
        <v>41</v>
      </c>
      <c r="AG67" s="355" t="str">
        <f t="shared" ref="AG67" si="460">IF(AE68=1,AH67,IF(AE68=2,AI67,IF(AE68=3,AJ67,IF(AE68=4,AK67,AL67))))</f>
        <v>ALTA 1:4</v>
      </c>
      <c r="AH67" s="46" t="str">
        <f t="shared" ref="AH67" si="461">IF($AF67=11,"BAJA 1:1",IF($AF67=12,"BAJA 2:1",IF($AF67=13,"BAJA 3:1",IF($AF67=14,"MODERADA 4:1","ALTA 5:1"))))</f>
        <v>ALTA 5:1</v>
      </c>
      <c r="AI67" s="46" t="str">
        <f t="shared" ref="AI67" si="462">IF($AF67=21,"BAJA 1:2",IF($AF67=22,"BAJA 2:2",IF($AF67=23,"MODERADA 3:2",IF($AF67=24,"ALTA 4:2","ALTA 5:2"))))</f>
        <v>ALTA 5:2</v>
      </c>
      <c r="AJ67" s="46" t="str">
        <f t="shared" ref="AJ67" si="463">IF($AF67=31,"MODERADA 1:3",IF($AF67=32,"MODERADA 2:3",IF($AF67=33,"ALTA 3:3",IF($AF67=34,"ALTA 4:3","EXTREMA 5:3"))))</f>
        <v>EXTREMA 5:3</v>
      </c>
      <c r="AK67" s="46" t="str">
        <f t="shared" ref="AK67" si="464">IF($AF67=41,"ALTA 1:4",IF($AF67=42,"ALTA 2:4",IF($AF67=43,"EXTREMA 3:4",IF($AF67=44,"EXTREMA 4:4","EXTREMA 5:4"))))</f>
        <v>ALTA 1:4</v>
      </c>
      <c r="AL67" s="46" t="str">
        <f t="shared" ref="AL67" si="465">IF($AF67=51,"ALTA 1:5",IF($AF67=52,"EXTREMA 2:5",IF($AF67=53,"EXTREMA 3:5",IF($AF67=54,"EXTREMA 4:5","EXTREMA 5:5"))))</f>
        <v>EXTREMA 5:5</v>
      </c>
      <c r="AM67" s="3" t="str">
        <f t="shared" si="222"/>
        <v/>
      </c>
      <c r="AN67" s="3" t="str">
        <f t="shared" si="223"/>
        <v/>
      </c>
      <c r="AO67" s="3" t="str">
        <f t="shared" si="224"/>
        <v/>
      </c>
      <c r="AP67" s="3" t="str">
        <f t="shared" si="225"/>
        <v/>
      </c>
      <c r="AQ67" s="3" t="str">
        <f t="shared" ref="AQ67" si="466">AM67</f>
        <v/>
      </c>
      <c r="AR67" s="3" t="str">
        <f t="shared" ref="AR67" si="467">AN67</f>
        <v/>
      </c>
      <c r="AT67" s="3" t="str">
        <f t="shared" ref="AT67" si="468">AO67</f>
        <v/>
      </c>
      <c r="AV67" s="3" t="str">
        <f t="shared" ref="AV67" si="469">AP67</f>
        <v/>
      </c>
      <c r="AX67" s="502" t="str">
        <f t="shared" ref="AX67" si="470">IF(AW69="","",CONCATENATE(AW69," (de) el(los) control(es) Efectivo(s) "))</f>
        <v xml:space="preserve">- Documentar (de) el(los) control(es) Efectivo(s) </v>
      </c>
      <c r="AY67" s="502" t="str">
        <f t="shared" ref="AY67" si="471">IF(CONCATENATE(N67:N69)="","",IF(AND(SUM(E67:E69)=10,SUM(N67:N69)&lt;30),"- Replantear control(es) NO efectivo(s) ",IF(AND(SUM(E67:E69)=20,SUM(N67:N69)&lt;60),"- Replantear control(es) NO efectivo(s) ",IF(AND(SUM(E67:E69)=30,SUM(N67:N69)&lt;90),"- Replantear control(es) NO efectivo(s) ",""))))</f>
        <v/>
      </c>
      <c r="AZ67" s="502" t="str">
        <f t="shared" ref="AZ67" si="472">IF(AND(AE67&gt;1,AE68&gt;1),"- Tomar Acciones Preventivas y Correctivas",IF(AE67&gt;1,"- Tomar Acciones Preventivas",IF(AE68&gt;1,"- Tomar Acciones Correctivas","")))</f>
        <v>- Tomar Acciones Correctivas</v>
      </c>
      <c r="BA67" s="502" t="str">
        <f t="shared" ref="BA67" si="473">CONCATENATE(AX67,AY67,AZ67)</f>
        <v>- Documentar (de) el(los) control(es) Efectivo(s) - Tomar Acciones Correctivas</v>
      </c>
      <c r="BB67" s="3" t="str">
        <f t="shared" si="234"/>
        <v>SI</v>
      </c>
      <c r="BC67" s="3" t="str">
        <f t="shared" si="235"/>
        <v/>
      </c>
      <c r="BD67" s="3" t="str">
        <f t="shared" si="236"/>
        <v>SI</v>
      </c>
      <c r="BE67" s="3" t="str">
        <f t="shared" si="237"/>
        <v/>
      </c>
      <c r="BF67" s="3" t="str">
        <f t="shared" si="238"/>
        <v>SI</v>
      </c>
      <c r="BG67" s="3" t="str">
        <f t="shared" si="239"/>
        <v/>
      </c>
      <c r="BH67" s="3" t="str">
        <f t="shared" si="240"/>
        <v>P</v>
      </c>
      <c r="BI67" s="3" t="str">
        <f t="shared" si="25"/>
        <v/>
      </c>
      <c r="BJ67" s="3" t="str">
        <f t="shared" si="26"/>
        <v>M</v>
      </c>
      <c r="BK67" s="3" t="str">
        <f t="shared" si="27"/>
        <v/>
      </c>
      <c r="BL67" s="3" t="str">
        <f t="shared" si="241"/>
        <v>SI</v>
      </c>
      <c r="BM67" s="3" t="str">
        <f t="shared" si="242"/>
        <v/>
      </c>
    </row>
    <row r="68" spans="1:65" ht="36" customHeight="1" x14ac:dyDescent="0.2">
      <c r="A68" s="503"/>
      <c r="B68" s="496"/>
      <c r="C68" s="356">
        <v>2</v>
      </c>
      <c r="D68" s="56" t="s">
        <v>11</v>
      </c>
      <c r="E68" s="240">
        <f t="shared" si="4"/>
        <v>10</v>
      </c>
      <c r="F68" s="44" t="s">
        <v>597</v>
      </c>
      <c r="G68" s="18" t="str">
        <f t="shared" si="198"/>
        <v/>
      </c>
      <c r="H68" s="44" t="s">
        <v>20</v>
      </c>
      <c r="I68" s="18" t="str">
        <f t="shared" si="199"/>
        <v/>
      </c>
      <c r="J68" s="55" t="str">
        <f t="shared" si="200"/>
        <v>Posibilidad</v>
      </c>
      <c r="K68" s="43" t="s">
        <v>11</v>
      </c>
      <c r="L68" s="18">
        <f t="shared" si="201"/>
        <v>15</v>
      </c>
      <c r="M68" s="43" t="s">
        <v>11</v>
      </c>
      <c r="N68" s="18">
        <f t="shared" si="202"/>
        <v>30</v>
      </c>
      <c r="O68" s="43" t="s">
        <v>323</v>
      </c>
      <c r="P68" s="18">
        <f t="shared" si="203"/>
        <v>10</v>
      </c>
      <c r="Q68" s="43" t="s">
        <v>11</v>
      </c>
      <c r="R68" s="18">
        <f t="shared" si="204"/>
        <v>5</v>
      </c>
      <c r="S68" s="43" t="s">
        <v>11</v>
      </c>
      <c r="T68" s="18">
        <f t="shared" si="205"/>
        <v>15</v>
      </c>
      <c r="U68" s="43" t="s">
        <v>11</v>
      </c>
      <c r="V68" s="18">
        <f t="shared" si="206"/>
        <v>10</v>
      </c>
      <c r="W68" s="18">
        <f t="shared" si="207"/>
        <v>95</v>
      </c>
      <c r="X68" s="57" t="str">
        <f t="shared" si="208"/>
        <v>95                           Disminuye max 2 en Posibilidad</v>
      </c>
      <c r="Y68" s="57">
        <f t="shared" si="209"/>
        <v>2</v>
      </c>
      <c r="Z68" s="356">
        <f t="shared" si="210"/>
        <v>0</v>
      </c>
      <c r="AA68" s="498"/>
      <c r="AB68" s="500"/>
      <c r="AC68" s="3">
        <f t="shared" ref="AC68" si="474">SUM(Z67:Z69)</f>
        <v>0</v>
      </c>
      <c r="AD68" s="3">
        <f>ANALISIS!G30</f>
        <v>4</v>
      </c>
      <c r="AE68" s="3">
        <f t="shared" si="458"/>
        <v>4</v>
      </c>
      <c r="AF68" s="501"/>
      <c r="AG68" s="355" t="str">
        <f t="shared" ref="AG68" si="475">IF(AE68=1,AH68,IF(AE68=2,AI68,IF(AE68=3,AJ68,IF(AE68=4,AK68,AL68))))</f>
        <v>- Reducir el Riesgo- Compartir o Transferir el Riesgo</v>
      </c>
      <c r="AH68" s="46" t="str">
        <f t="shared" ref="AH68" si="476">IF($AF67=11,"- Asumir el Riesgo",IF($AF67=12,"- Asumir el Riesgo- Evitar Posibilidad de Ocurrencia- Reducir el Riesgo",IF($AF67=13,"- Asumir el Riesgo- Evitar Posibilidad de Ocurrencia- Reducir el Riesgo",IF($AF67=14,"-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8" s="46" t="str">
        <f t="shared" ref="AI68" si="477">IF($AF67=21,"- Asumir el Riesgo- Reducir el Riesgo",IF($AF67=22,"- Asumir el Riesgo- Evitar Posibilidad de Ocurrencia- Reducir el Riesgo",IF($AF67=23,"- Asumir el Riesgo- Evitar Posibilidad de Ocurrencia- Reducir el Riesgo- Compartir o Transferir el Riesgo",IF($AF67=24,"- Evitar Posibilidad de Ocurrencia- Reducir el Riesgo- Compartir o Transferir el Riesgo","- Evitar Posibilidad de Ocurrencia- Reducir el Riesgo- Compartir o Transferir el Riesgo"))))</f>
        <v>- Evitar Posibilidad de Ocurrencia- Reducir el Riesgo- Compartir o Transferir el Riesgo</v>
      </c>
      <c r="AJ68" s="46" t="str">
        <f t="shared" ref="AJ68" si="478">IF($AF67=31,"- Asumir el Riesgo- Reducir el Riesgo- Compartir o Transferir el Riesgo",IF($AF67=32,"- Asumir el Riesgo- Evitar Posibilidad de Ocurrencia- Reducir el Reducir- Compartir o Transferir el Riesgo",IF($AF67=33,"- Evitar Posibilidad de Ocurrencia- Reducir el Riesgo- Compartir o Transferir el Riesgo",IF($AF67=34,"-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68" s="46" t="str">
        <f t="shared" ref="AK68" si="479">IF($AF67=41,"- Reducir el Riesgo- Compartir o Transferir el Riesgo",IF($AF67=42,"- Evitar Posibilidad de Ocurrencia- Reducir el Riesgo- Compartir o Transferir el Riesgo",IF($AF67=43,"- Eliminar Causa(s)- Evitar Posibilidad de Ocurrencia- Reducir el Riesgo- Compartir o Transferir el Riesgo",IF($AF67=44,"- Eliminar Causa(s)- Evitar Posibilidad de Ocurrencia- Reducir el Riesgo- Compartir o Transferir el Riesgo","- Eliminar Causa(s)- Evitar Posibilidad de Ocurrencia- Reducir el Riesgo- Compartir o Transferir el Riesgo"))))</f>
        <v>- Reducir el Riesgo- Compartir o Transferir el Riesgo</v>
      </c>
      <c r="AL68" s="46" t="str">
        <f t="shared" ref="AL68" si="480">IF($AF67=51,"- Reducir el Riesgo- Compartir o Transferir el Riesgo",IF($AF67=52,"- Eliminar Causa(s)- Evitar Posibilidad de Ocurrencia- Reducir el Riesgo- Compartir o Transferir el Riesgo",IF($AF67=53,"- Eliminar Causa(s)- Evitar Posibilidad de Ocurrencia- Reducir el Riesgo- Compartir o Transferir el Riesgo",IF($AF67=54,"-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8" s="3" t="str">
        <f t="shared" si="222"/>
        <v/>
      </c>
      <c r="AN68" s="3" t="str">
        <f t="shared" si="223"/>
        <v/>
      </c>
      <c r="AO68" s="3" t="str">
        <f t="shared" si="224"/>
        <v/>
      </c>
      <c r="AP68" s="3" t="str">
        <f t="shared" si="225"/>
        <v/>
      </c>
      <c r="AQ68" s="3" t="str">
        <f t="shared" ref="AQ68:AQ69" si="481">IF(AQ67="Documentar",AQ67,AM68)</f>
        <v/>
      </c>
      <c r="AR68" s="3" t="str">
        <f t="shared" ref="AR68:AR69" si="482">IF(AR67="Asignar responsable",AR67,AN68)</f>
        <v/>
      </c>
      <c r="AT68" s="3" t="str">
        <f t="shared" ref="AT68:AT69" si="483">IF(AT67="Establecer periodos de seguimiento adecuados",AT67,AO68)</f>
        <v/>
      </c>
      <c r="AV68" s="3" t="str">
        <f t="shared" ref="AV68:AV69" si="484">IF(AV67="Guardar Evidencias",AV67,AP68)</f>
        <v/>
      </c>
      <c r="AX68" s="502"/>
      <c r="AY68" s="502"/>
      <c r="AZ68" s="502"/>
      <c r="BA68" s="502"/>
      <c r="BB68" s="3" t="str">
        <f t="shared" si="234"/>
        <v>SI</v>
      </c>
      <c r="BC68" s="3" t="str">
        <f t="shared" si="235"/>
        <v/>
      </c>
      <c r="BD68" s="3" t="str">
        <f t="shared" si="236"/>
        <v>SI</v>
      </c>
      <c r="BE68" s="3" t="str">
        <f t="shared" si="237"/>
        <v/>
      </c>
      <c r="BF68" s="3" t="str">
        <f t="shared" si="238"/>
        <v>SI</v>
      </c>
      <c r="BG68" s="3" t="str">
        <f t="shared" si="239"/>
        <v/>
      </c>
      <c r="BH68" s="3" t="str">
        <f t="shared" si="240"/>
        <v>P</v>
      </c>
      <c r="BI68" s="3" t="str">
        <f t="shared" si="25"/>
        <v/>
      </c>
      <c r="BJ68" s="3" t="str">
        <f t="shared" si="26"/>
        <v>M</v>
      </c>
      <c r="BK68" s="3" t="str">
        <f t="shared" si="27"/>
        <v/>
      </c>
      <c r="BL68" s="3" t="str">
        <f t="shared" si="241"/>
        <v>SI</v>
      </c>
      <c r="BM68" s="3" t="str">
        <f t="shared" si="242"/>
        <v/>
      </c>
    </row>
    <row r="69" spans="1:65" ht="36" customHeight="1" x14ac:dyDescent="0.2">
      <c r="A69" s="503"/>
      <c r="B69" s="496"/>
      <c r="C69" s="356">
        <v>3</v>
      </c>
      <c r="D69" s="56" t="s">
        <v>11</v>
      </c>
      <c r="E69" s="240">
        <f t="shared" si="4"/>
        <v>10</v>
      </c>
      <c r="F69" s="44" t="s">
        <v>598</v>
      </c>
      <c r="G69" s="18" t="str">
        <f t="shared" si="198"/>
        <v/>
      </c>
      <c r="H69" s="44" t="s">
        <v>20</v>
      </c>
      <c r="I69" s="18" t="str">
        <f t="shared" si="199"/>
        <v/>
      </c>
      <c r="J69" s="55" t="str">
        <f t="shared" si="200"/>
        <v>Posibilidad</v>
      </c>
      <c r="K69" s="43" t="s">
        <v>10</v>
      </c>
      <c r="L69" s="18">
        <f t="shared" si="201"/>
        <v>0</v>
      </c>
      <c r="M69" s="43" t="s">
        <v>11</v>
      </c>
      <c r="N69" s="18">
        <f t="shared" si="202"/>
        <v>30</v>
      </c>
      <c r="O69" s="43" t="s">
        <v>323</v>
      </c>
      <c r="P69" s="18">
        <f t="shared" si="203"/>
        <v>10</v>
      </c>
      <c r="Q69" s="43" t="s">
        <v>11</v>
      </c>
      <c r="R69" s="18">
        <f t="shared" si="204"/>
        <v>5</v>
      </c>
      <c r="S69" s="43" t="s">
        <v>11</v>
      </c>
      <c r="T69" s="18">
        <f t="shared" si="205"/>
        <v>15</v>
      </c>
      <c r="U69" s="43" t="s">
        <v>11</v>
      </c>
      <c r="V69" s="18">
        <f t="shared" si="206"/>
        <v>10</v>
      </c>
      <c r="W69" s="18">
        <f t="shared" si="207"/>
        <v>80</v>
      </c>
      <c r="X69" s="57" t="str">
        <f t="shared" si="208"/>
        <v>80                           Disminuye max 2 en Posibilidad</v>
      </c>
      <c r="Y69" s="57">
        <f t="shared" si="209"/>
        <v>2</v>
      </c>
      <c r="Z69" s="356">
        <f t="shared" si="210"/>
        <v>0</v>
      </c>
      <c r="AA69" s="499"/>
      <c r="AB69" s="500"/>
      <c r="AM69" s="3" t="str">
        <f t="shared" si="222"/>
        <v>Documentar</v>
      </c>
      <c r="AN69" s="3" t="str">
        <f t="shared" si="223"/>
        <v/>
      </c>
      <c r="AO69" s="3" t="str">
        <f t="shared" si="224"/>
        <v/>
      </c>
      <c r="AP69" s="3" t="str">
        <f t="shared" si="225"/>
        <v/>
      </c>
      <c r="AQ69" s="3" t="str">
        <f t="shared" si="481"/>
        <v>Documentar</v>
      </c>
      <c r="AR69" s="3" t="str">
        <f t="shared" si="482"/>
        <v/>
      </c>
      <c r="AS69" s="3" t="str">
        <f t="shared" ref="AS69" si="485">IF(AND(AQ69="Documentar",AR69="Asignar responsable"),CONCATENATE("- ",AQ69,", ",AR69),IF(AQ69="Documentar",CONCATENATE("- ",AQ69),IF(AR69="Asignar responsable",CONCATENATE("- ",AR69),"")))</f>
        <v>- Documentar</v>
      </c>
      <c r="AT69" s="3" t="str">
        <f t="shared" si="483"/>
        <v/>
      </c>
      <c r="AU69" s="3" t="str">
        <f t="shared" ref="AU69" si="486">IF(AT69="",AS69,IF(AS69="",CONCATENATE("- ",AT69),CONCATENATE(AS69,", ",AT69)))</f>
        <v>- Documentar</v>
      </c>
      <c r="AV69" s="3" t="str">
        <f t="shared" si="484"/>
        <v/>
      </c>
      <c r="AW69" s="3" t="str">
        <f t="shared" ref="AW69" si="487">IF(AV69="",AU69,IF(AU69="",CONCATENATE("- ",AV69),CONCATENATE(AU69,", ",AV69)))</f>
        <v>- Documentar</v>
      </c>
      <c r="AX69" s="502"/>
      <c r="AY69" s="502"/>
      <c r="AZ69" s="502"/>
      <c r="BA69" s="502"/>
      <c r="BB69" s="3" t="str">
        <f t="shared" si="234"/>
        <v>NO</v>
      </c>
      <c r="BC69" s="3" t="str">
        <f t="shared" si="235"/>
        <v/>
      </c>
      <c r="BD69" s="3" t="str">
        <f t="shared" si="236"/>
        <v>SI</v>
      </c>
      <c r="BE69" s="3" t="str">
        <f t="shared" si="237"/>
        <v/>
      </c>
      <c r="BF69" s="3" t="str">
        <f t="shared" si="238"/>
        <v>SI</v>
      </c>
      <c r="BG69" s="3" t="str">
        <f t="shared" si="239"/>
        <v/>
      </c>
      <c r="BH69" s="3" t="str">
        <f t="shared" si="240"/>
        <v>P</v>
      </c>
      <c r="BI69" s="3" t="str">
        <f t="shared" si="25"/>
        <v/>
      </c>
      <c r="BJ69" s="3" t="str">
        <f t="shared" si="26"/>
        <v>M</v>
      </c>
      <c r="BK69" s="3" t="str">
        <f t="shared" si="27"/>
        <v/>
      </c>
      <c r="BL69" s="3" t="str">
        <f t="shared" si="241"/>
        <v>SI</v>
      </c>
      <c r="BM69" s="3" t="str">
        <f t="shared" si="242"/>
        <v/>
      </c>
    </row>
    <row r="70" spans="1:65" ht="36" customHeight="1" x14ac:dyDescent="0.2">
      <c r="A70" s="503" t="str">
        <f>IDENTIFICACIÓN!C29</f>
        <v>21G</v>
      </c>
      <c r="B70" s="496" t="str">
        <f>IF(IDENTIFICACIÓN!D29="","",IDENTIFICACIÓN!D29)</f>
        <v>Gestión de Contratación. Documentación incompleta en la carpeta contractual</v>
      </c>
      <c r="C70" s="356">
        <v>1</v>
      </c>
      <c r="D70" s="56" t="s">
        <v>11</v>
      </c>
      <c r="E70" s="240">
        <f t="shared" si="4"/>
        <v>10</v>
      </c>
      <c r="F70" s="44" t="s">
        <v>599</v>
      </c>
      <c r="G70" s="18" t="str">
        <f t="shared" si="198"/>
        <v/>
      </c>
      <c r="H70" s="44" t="s">
        <v>20</v>
      </c>
      <c r="I70" s="18" t="str">
        <f t="shared" si="199"/>
        <v/>
      </c>
      <c r="J70" s="55" t="str">
        <f t="shared" si="200"/>
        <v>Posibilidad</v>
      </c>
      <c r="K70" s="43" t="s">
        <v>11</v>
      </c>
      <c r="L70" s="18">
        <f t="shared" si="201"/>
        <v>15</v>
      </c>
      <c r="M70" s="43" t="s">
        <v>11</v>
      </c>
      <c r="N70" s="18">
        <f t="shared" si="202"/>
        <v>30</v>
      </c>
      <c r="O70" s="43" t="s">
        <v>323</v>
      </c>
      <c r="P70" s="18">
        <f t="shared" si="203"/>
        <v>10</v>
      </c>
      <c r="Q70" s="43" t="s">
        <v>11</v>
      </c>
      <c r="R70" s="18">
        <f t="shared" si="204"/>
        <v>5</v>
      </c>
      <c r="S70" s="43" t="s">
        <v>11</v>
      </c>
      <c r="T70" s="18">
        <f t="shared" si="205"/>
        <v>15</v>
      </c>
      <c r="U70" s="43" t="s">
        <v>11</v>
      </c>
      <c r="V70" s="18">
        <f t="shared" si="206"/>
        <v>10</v>
      </c>
      <c r="W70" s="18">
        <f t="shared" si="207"/>
        <v>95</v>
      </c>
      <c r="X70" s="57" t="str">
        <f t="shared" si="208"/>
        <v>95                           Disminuye max 2 en Posibilidad</v>
      </c>
      <c r="Y70" s="57">
        <f t="shared" si="209"/>
        <v>2</v>
      </c>
      <c r="Z70" s="356">
        <f t="shared" si="210"/>
        <v>0</v>
      </c>
      <c r="AA70" s="497">
        <f t="shared" ref="AA70" si="488">IF(AB70=0,"",(ROUND((SUM(W70:W72)/AB70),0)))</f>
        <v>95</v>
      </c>
      <c r="AB70" s="500">
        <f t="shared" ref="AB70" si="489">COUNT(T70:T72)</f>
        <v>1</v>
      </c>
      <c r="AC70" s="3">
        <f t="shared" ref="AC70" si="490">SUM(Y70:Y72)</f>
        <v>2</v>
      </c>
      <c r="AD70" s="3">
        <f>ANALISIS!D31</f>
        <v>3</v>
      </c>
      <c r="AE70" s="3">
        <f t="shared" ref="AE70:AE71" si="491">IF((AD70-AC70)&gt;=1,(AD70-AC70),1)</f>
        <v>1</v>
      </c>
      <c r="AF70" s="501">
        <f t="shared" ref="AF70" si="492">(AE71*10)+AE70</f>
        <v>41</v>
      </c>
      <c r="AG70" s="355" t="str">
        <f t="shared" ref="AG70" si="493">IF(AE71=1,AH70,IF(AE71=2,AI70,IF(AE71=3,AJ70,IF(AE71=4,AK70,AL70))))</f>
        <v>ALTA 1:4</v>
      </c>
      <c r="AH70" s="46" t="str">
        <f t="shared" ref="AH70" si="494">IF($AF70=11,"BAJA 1:1",IF($AF70=12,"BAJA 2:1",IF($AF70=13,"BAJA 3:1",IF($AF70=14,"MODERADA 4:1","ALTA 5:1"))))</f>
        <v>ALTA 5:1</v>
      </c>
      <c r="AI70" s="46" t="str">
        <f t="shared" ref="AI70" si="495">IF($AF70=21,"BAJA 1:2",IF($AF70=22,"BAJA 2:2",IF($AF70=23,"MODERADA 3:2",IF($AF70=24,"ALTA 4:2","ALTA 5:2"))))</f>
        <v>ALTA 5:2</v>
      </c>
      <c r="AJ70" s="46" t="str">
        <f t="shared" ref="AJ70" si="496">IF($AF70=31,"MODERADA 1:3",IF($AF70=32,"MODERADA 2:3",IF($AF70=33,"ALTA 3:3",IF($AF70=34,"ALTA 4:3","EXTREMA 5:3"))))</f>
        <v>EXTREMA 5:3</v>
      </c>
      <c r="AK70" s="46" t="str">
        <f t="shared" ref="AK70" si="497">IF($AF70=41,"ALTA 1:4",IF($AF70=42,"ALTA 2:4",IF($AF70=43,"EXTREMA 3:4",IF($AF70=44,"EXTREMA 4:4","EXTREMA 5:4"))))</f>
        <v>ALTA 1:4</v>
      </c>
      <c r="AL70" s="46" t="str">
        <f t="shared" ref="AL70" si="498">IF($AF70=51,"ALTA 1:5",IF($AF70=52,"EXTREMA 2:5",IF($AF70=53,"EXTREMA 3:5",IF($AF70=54,"EXTREMA 4:5","EXTREMA 5:5"))))</f>
        <v>EXTREMA 5:5</v>
      </c>
      <c r="AM70" s="3" t="str">
        <f t="shared" si="222"/>
        <v/>
      </c>
      <c r="AN70" s="3" t="str">
        <f t="shared" si="223"/>
        <v/>
      </c>
      <c r="AO70" s="3" t="str">
        <f t="shared" si="224"/>
        <v/>
      </c>
      <c r="AP70" s="3" t="str">
        <f t="shared" si="225"/>
        <v/>
      </c>
      <c r="AQ70" s="3" t="str">
        <f t="shared" ref="AQ70" si="499">AM70</f>
        <v/>
      </c>
      <c r="AR70" s="3" t="str">
        <f t="shared" ref="AR70" si="500">AN70</f>
        <v/>
      </c>
      <c r="AT70" s="3" t="str">
        <f t="shared" ref="AT70" si="501">AO70</f>
        <v/>
      </c>
      <c r="AV70" s="3" t="str">
        <f t="shared" ref="AV70" si="502">AP70</f>
        <v/>
      </c>
      <c r="AX70" s="502" t="str">
        <f t="shared" ref="AX70" si="503">IF(AW72="","",CONCATENATE(AW72," (de) el(los) control(es) Efectivo(s) "))</f>
        <v/>
      </c>
      <c r="AY70" s="502" t="str">
        <f t="shared" ref="AY70" si="504">IF(CONCATENATE(N70:N72)="","",IF(AND(SUM(E70:E72)=10,SUM(N70:N72)&lt;30),"- Replantear control(es) NO efectivo(s) ",IF(AND(SUM(E70:E72)=20,SUM(N70:N72)&lt;60),"- Replantear control(es) NO efectivo(s) ",IF(AND(SUM(E70:E72)=30,SUM(N70:N72)&lt;90),"- Replantear control(es) NO efectivo(s) ",""))))</f>
        <v/>
      </c>
      <c r="AZ70" s="502" t="str">
        <f t="shared" ref="AZ70" si="505">IF(AND(AE70&gt;1,AE71&gt;1),"- Tomar Acciones Preventivas y Correctivas",IF(AE70&gt;1,"- Tomar Acciones Preventivas",IF(AE71&gt;1,"- Tomar Acciones Correctivas","")))</f>
        <v>- Tomar Acciones Correctivas</v>
      </c>
      <c r="BA70" s="502" t="str">
        <f t="shared" ref="BA70" si="506">CONCATENATE(AX70,AY70,AZ70)</f>
        <v>- Tomar Acciones Correctivas</v>
      </c>
      <c r="BB70" s="3" t="str">
        <f t="shared" si="234"/>
        <v>SI</v>
      </c>
      <c r="BC70" s="3" t="str">
        <f t="shared" si="235"/>
        <v/>
      </c>
      <c r="BD70" s="3" t="str">
        <f t="shared" si="236"/>
        <v>SI</v>
      </c>
      <c r="BE70" s="3" t="str">
        <f t="shared" si="237"/>
        <v/>
      </c>
      <c r="BF70" s="3" t="str">
        <f t="shared" si="238"/>
        <v>SI</v>
      </c>
      <c r="BG70" s="3" t="str">
        <f t="shared" si="239"/>
        <v/>
      </c>
      <c r="BH70" s="3" t="str">
        <f t="shared" si="240"/>
        <v>P</v>
      </c>
      <c r="BI70" s="3" t="str">
        <f t="shared" si="25"/>
        <v/>
      </c>
      <c r="BJ70" s="3" t="str">
        <f t="shared" si="26"/>
        <v>M</v>
      </c>
      <c r="BK70" s="3" t="str">
        <f t="shared" si="27"/>
        <v/>
      </c>
      <c r="BL70" s="3" t="str">
        <f t="shared" si="241"/>
        <v>SI</v>
      </c>
      <c r="BM70" s="3" t="str">
        <f t="shared" si="242"/>
        <v/>
      </c>
    </row>
    <row r="71" spans="1:65" ht="36" customHeight="1" x14ac:dyDescent="0.2">
      <c r="A71" s="503"/>
      <c r="B71" s="496"/>
      <c r="C71" s="356">
        <v>2</v>
      </c>
      <c r="D71" s="56"/>
      <c r="E71" s="240" t="str">
        <f t="shared" si="4"/>
        <v/>
      </c>
      <c r="F71" s="44"/>
      <c r="G71" s="18" t="str">
        <f t="shared" si="198"/>
        <v/>
      </c>
      <c r="H71" s="44"/>
      <c r="I71" s="18" t="str">
        <f t="shared" si="199"/>
        <v/>
      </c>
      <c r="J71" s="55" t="str">
        <f t="shared" si="200"/>
        <v/>
      </c>
      <c r="K71" s="43"/>
      <c r="L71" s="18" t="str">
        <f t="shared" si="201"/>
        <v/>
      </c>
      <c r="M71" s="43"/>
      <c r="N71" s="18" t="str">
        <f t="shared" si="202"/>
        <v/>
      </c>
      <c r="O71" s="43"/>
      <c r="P71" s="18" t="str">
        <f t="shared" si="203"/>
        <v/>
      </c>
      <c r="Q71" s="43"/>
      <c r="R71" s="18" t="str">
        <f t="shared" si="204"/>
        <v/>
      </c>
      <c r="S71" s="43"/>
      <c r="T71" s="18" t="str">
        <f t="shared" si="205"/>
        <v/>
      </c>
      <c r="U71" s="43"/>
      <c r="V71" s="18" t="str">
        <f t="shared" si="206"/>
        <v/>
      </c>
      <c r="W71" s="18">
        <f t="shared" si="207"/>
        <v>0</v>
      </c>
      <c r="X71" s="57" t="str">
        <f t="shared" si="208"/>
        <v/>
      </c>
      <c r="Y71" s="57">
        <f t="shared" si="209"/>
        <v>0</v>
      </c>
      <c r="Z71" s="356">
        <f t="shared" si="210"/>
        <v>0</v>
      </c>
      <c r="AA71" s="498"/>
      <c r="AB71" s="500"/>
      <c r="AC71" s="3">
        <f t="shared" ref="AC71" si="507">SUM(Z70:Z72)</f>
        <v>0</v>
      </c>
      <c r="AD71" s="3">
        <f>ANALISIS!G31</f>
        <v>4</v>
      </c>
      <c r="AE71" s="3">
        <f t="shared" si="491"/>
        <v>4</v>
      </c>
      <c r="AF71" s="501"/>
      <c r="AG71" s="355" t="str">
        <f t="shared" ref="AG71" si="508">IF(AE71=1,AH71,IF(AE71=2,AI71,IF(AE71=3,AJ71,IF(AE71=4,AK71,AL71))))</f>
        <v>- Reducir el Riesgo- Compartir o Transferir el Riesgo</v>
      </c>
      <c r="AH71" s="46" t="str">
        <f t="shared" ref="AH71" si="509">IF($AF70=11,"- Asumir el Riesgo",IF($AF70=12,"- Asumir el Riesgo- Evitar Posibilidad de Ocurrencia- Reducir el Riesgo",IF($AF70=13,"- Asumir el Riesgo- Evitar Posibilidad de Ocurrencia- Reducir el Riesgo",IF($AF70=14,"-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1" s="46" t="str">
        <f t="shared" ref="AI71" si="510">IF($AF70=21,"- Asumir el Riesgo- Reducir el Riesgo",IF($AF70=22,"- Asumir el Riesgo- Evitar Posibilidad de Ocurrencia- Reducir el Riesgo",IF($AF70=23,"- Asumir el Riesgo- Evitar Posibilidad de Ocurrencia- Reducir el Riesgo- Compartir o Transferir el Riesgo",IF($AF70=24,"- Evitar Posibilidad de Ocurrencia- Reducir el Riesgo- Compartir o Transferir el Riesgo","- Evitar Posibilidad de Ocurrencia- Reducir el Riesgo- Compartir o Transferir el Riesgo"))))</f>
        <v>- Evitar Posibilidad de Ocurrencia- Reducir el Riesgo- Compartir o Transferir el Riesgo</v>
      </c>
      <c r="AJ71" s="46" t="str">
        <f t="shared" ref="AJ71" si="511">IF($AF70=31,"- Asumir el Riesgo- Reducir el Riesgo- Compartir o Transferir el Riesgo",IF($AF70=32,"- Asumir el Riesgo- Evitar Posibilidad de Ocurrencia- Reducir el Reducir- Compartir o Transferir el Riesgo",IF($AF70=33,"- Evitar Posibilidad de Ocurrencia- Reducir el Riesgo- Compartir o Transferir el Riesgo",IF($AF70=34,"-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1" s="46" t="str">
        <f t="shared" ref="AK71" si="512">IF($AF70=41,"- Reducir el Riesgo- Compartir o Transferir el Riesgo",IF($AF70=42,"- Evitar Posibilidad de Ocurrencia- Reducir el Riesgo- Compartir o Transferir el Riesgo",IF($AF70=43,"- Eliminar Causa(s)- Evitar Posibilidad de Ocurrencia- Reducir el Riesgo- Compartir o Transferir el Riesgo",IF($AF70=44,"- Eliminar Causa(s)- Evitar Posibilidad de Ocurrencia- Reducir el Riesgo- Compartir o Transferir el Riesgo","- Eliminar Causa(s)- Evitar Posibilidad de Ocurrencia- Reducir el Riesgo- Compartir o Transferir el Riesgo"))))</f>
        <v>- Reducir el Riesgo- Compartir o Transferir el Riesgo</v>
      </c>
      <c r="AL71" s="46" t="str">
        <f t="shared" ref="AL71" si="513">IF($AF70=51,"- Reducir el Riesgo- Compartir o Transferir el Riesgo",IF($AF70=52,"- Eliminar Causa(s)- Evitar Posibilidad de Ocurrencia- Reducir el Riesgo- Compartir o Transferir el Riesgo",IF($AF70=53,"- Eliminar Causa(s)- Evitar Posibilidad de Ocurrencia- Reducir el Riesgo- Compartir o Transferir el Riesgo",IF($AF70=54,"-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1" s="3" t="str">
        <f t="shared" si="222"/>
        <v/>
      </c>
      <c r="AN71" s="3" t="str">
        <f t="shared" si="223"/>
        <v/>
      </c>
      <c r="AO71" s="3" t="str">
        <f t="shared" si="224"/>
        <v/>
      </c>
      <c r="AP71" s="3" t="str">
        <f t="shared" si="225"/>
        <v/>
      </c>
      <c r="AQ71" s="3" t="str">
        <f t="shared" ref="AQ71:AQ72" si="514">IF(AQ70="Documentar",AQ70,AM71)</f>
        <v/>
      </c>
      <c r="AR71" s="3" t="str">
        <f t="shared" ref="AR71:AR72" si="515">IF(AR70="Asignar responsable",AR70,AN71)</f>
        <v/>
      </c>
      <c r="AT71" s="3" t="str">
        <f t="shared" ref="AT71:AT72" si="516">IF(AT70="Establecer periodos de seguimiento adecuados",AT70,AO71)</f>
        <v/>
      </c>
      <c r="AV71" s="3" t="str">
        <f t="shared" ref="AV71:AV72" si="517">IF(AV70="Guardar Evidencias",AV70,AP71)</f>
        <v/>
      </c>
      <c r="AX71" s="502"/>
      <c r="AY71" s="502"/>
      <c r="AZ71" s="502"/>
      <c r="BA71" s="502"/>
      <c r="BB71" s="3" t="str">
        <f t="shared" si="234"/>
        <v/>
      </c>
      <c r="BC71" s="3" t="str">
        <f t="shared" si="235"/>
        <v/>
      </c>
      <c r="BD71" s="3" t="str">
        <f t="shared" si="236"/>
        <v/>
      </c>
      <c r="BE71" s="3" t="str">
        <f t="shared" si="237"/>
        <v/>
      </c>
      <c r="BF71" s="3" t="str">
        <f t="shared" si="238"/>
        <v/>
      </c>
      <c r="BG71" s="3" t="str">
        <f t="shared" si="239"/>
        <v/>
      </c>
      <c r="BH71" s="3" t="str">
        <f t="shared" si="240"/>
        <v/>
      </c>
      <c r="BI71" s="3" t="str">
        <f t="shared" si="25"/>
        <v/>
      </c>
      <c r="BJ71" s="3" t="str">
        <f t="shared" si="26"/>
        <v/>
      </c>
      <c r="BK71" s="3" t="str">
        <f t="shared" si="27"/>
        <v/>
      </c>
      <c r="BL71" s="3" t="str">
        <f t="shared" si="241"/>
        <v/>
      </c>
      <c r="BM71" s="3" t="str">
        <f t="shared" si="242"/>
        <v/>
      </c>
    </row>
    <row r="72" spans="1:65" ht="36" customHeight="1" x14ac:dyDescent="0.2">
      <c r="A72" s="503"/>
      <c r="B72" s="496"/>
      <c r="C72" s="356">
        <v>3</v>
      </c>
      <c r="D72" s="56"/>
      <c r="E72" s="240" t="str">
        <f t="shared" si="4"/>
        <v/>
      </c>
      <c r="F72" s="44"/>
      <c r="G72" s="18" t="str">
        <f t="shared" si="198"/>
        <v/>
      </c>
      <c r="H72" s="44"/>
      <c r="I72" s="18" t="str">
        <f t="shared" si="199"/>
        <v/>
      </c>
      <c r="J72" s="55" t="str">
        <f t="shared" si="200"/>
        <v/>
      </c>
      <c r="K72" s="43"/>
      <c r="L72" s="18" t="str">
        <f t="shared" si="201"/>
        <v/>
      </c>
      <c r="M72" s="43"/>
      <c r="N72" s="18" t="str">
        <f t="shared" si="202"/>
        <v/>
      </c>
      <c r="O72" s="43"/>
      <c r="P72" s="18" t="str">
        <f t="shared" si="203"/>
        <v/>
      </c>
      <c r="Q72" s="43"/>
      <c r="R72" s="18" t="str">
        <f t="shared" si="204"/>
        <v/>
      </c>
      <c r="S72" s="43"/>
      <c r="T72" s="18" t="str">
        <f t="shared" si="205"/>
        <v/>
      </c>
      <c r="U72" s="43"/>
      <c r="V72" s="18" t="str">
        <f t="shared" si="206"/>
        <v/>
      </c>
      <c r="W72" s="18">
        <f t="shared" si="207"/>
        <v>0</v>
      </c>
      <c r="X72" s="57" t="str">
        <f t="shared" si="208"/>
        <v/>
      </c>
      <c r="Y72" s="57">
        <f t="shared" si="209"/>
        <v>0</v>
      </c>
      <c r="Z72" s="356">
        <f t="shared" si="210"/>
        <v>0</v>
      </c>
      <c r="AA72" s="499"/>
      <c r="AB72" s="500"/>
      <c r="AM72" s="3" t="str">
        <f t="shared" si="222"/>
        <v/>
      </c>
      <c r="AN72" s="3" t="str">
        <f t="shared" si="223"/>
        <v/>
      </c>
      <c r="AO72" s="3" t="str">
        <f t="shared" si="224"/>
        <v/>
      </c>
      <c r="AP72" s="3" t="str">
        <f t="shared" si="225"/>
        <v/>
      </c>
      <c r="AQ72" s="3" t="str">
        <f t="shared" si="514"/>
        <v/>
      </c>
      <c r="AR72" s="3" t="str">
        <f t="shared" si="515"/>
        <v/>
      </c>
      <c r="AS72" s="3" t="str">
        <f t="shared" ref="AS72" si="518">IF(AND(AQ72="Documentar",AR72="Asignar responsable"),CONCATENATE("- ",AQ72,", ",AR72),IF(AQ72="Documentar",CONCATENATE("- ",AQ72),IF(AR72="Asignar responsable",CONCATENATE("- ",AR72),"")))</f>
        <v/>
      </c>
      <c r="AT72" s="3" t="str">
        <f t="shared" si="516"/>
        <v/>
      </c>
      <c r="AU72" s="3" t="str">
        <f t="shared" ref="AU72" si="519">IF(AT72="",AS72,IF(AS72="",CONCATENATE("- ",AT72),CONCATENATE(AS72,", ",AT72)))</f>
        <v/>
      </c>
      <c r="AV72" s="3" t="str">
        <f t="shared" si="517"/>
        <v/>
      </c>
      <c r="AW72" s="3" t="str">
        <f t="shared" ref="AW72" si="520">IF(AV72="",AU72,IF(AU72="",CONCATENATE("- ",AV72),CONCATENATE(AU72,", ",AV72)))</f>
        <v/>
      </c>
      <c r="AX72" s="502"/>
      <c r="AY72" s="502"/>
      <c r="AZ72" s="502"/>
      <c r="BA72" s="502"/>
      <c r="BB72" s="3" t="str">
        <f t="shared" si="234"/>
        <v/>
      </c>
      <c r="BC72" s="3" t="str">
        <f t="shared" si="235"/>
        <v/>
      </c>
      <c r="BD72" s="3" t="str">
        <f t="shared" si="236"/>
        <v/>
      </c>
      <c r="BE72" s="3" t="str">
        <f t="shared" si="237"/>
        <v/>
      </c>
      <c r="BF72" s="3" t="str">
        <f t="shared" si="238"/>
        <v/>
      </c>
      <c r="BG72" s="3" t="str">
        <f t="shared" si="239"/>
        <v/>
      </c>
      <c r="BH72" s="3" t="str">
        <f t="shared" si="240"/>
        <v/>
      </c>
      <c r="BI72" s="3" t="str">
        <f t="shared" si="25"/>
        <v/>
      </c>
      <c r="BJ72" s="3" t="str">
        <f t="shared" si="26"/>
        <v/>
      </c>
      <c r="BK72" s="3" t="str">
        <f t="shared" si="27"/>
        <v/>
      </c>
      <c r="BL72" s="3" t="str">
        <f t="shared" si="241"/>
        <v/>
      </c>
      <c r="BM72" s="3" t="str">
        <f t="shared" si="242"/>
        <v/>
      </c>
    </row>
    <row r="73" spans="1:65" ht="36" customHeight="1" x14ac:dyDescent="0.2">
      <c r="A73" s="503" t="str">
        <f>IDENTIFICACIÓN!C30</f>
        <v>22G</v>
      </c>
      <c r="B73" s="496" t="str">
        <f>IF(IDENTIFICACIÓN!D30="","",IDENTIFICACIÓN!D30)</f>
        <v>Gestión Administrativa. Inseguridad en el campus</v>
      </c>
      <c r="C73" s="356">
        <v>1</v>
      </c>
      <c r="D73" s="56" t="s">
        <v>11</v>
      </c>
      <c r="E73" s="240">
        <f t="shared" si="4"/>
        <v>10</v>
      </c>
      <c r="F73" s="44" t="s">
        <v>600</v>
      </c>
      <c r="G73" s="18" t="str">
        <f t="shared" ref="G73:G93" si="521">IF($D73="SI",IF(ISBLANK(F73),"Decripcion",""),"")</f>
        <v/>
      </c>
      <c r="H73" s="44" t="s">
        <v>20</v>
      </c>
      <c r="I73" s="18" t="str">
        <f t="shared" ref="I73:I93" si="522">IF($D73="SI",IF(ISBLANK(H73),"Tipo",""),"")</f>
        <v/>
      </c>
      <c r="J73" s="55" t="str">
        <f t="shared" ref="J73:J93" si="523">IF(H73="Preventivo","Posibilidad",IF(H73="Correctivo","Impacto",""))</f>
        <v>Posibilidad</v>
      </c>
      <c r="K73" s="43" t="s">
        <v>10</v>
      </c>
      <c r="L73" s="18">
        <f t="shared" ref="L73:L93" si="524">IF($D73="SI",IF(K73="SI",15,IF(K73="NO",0,"P1")),"")</f>
        <v>0</v>
      </c>
      <c r="M73" s="43" t="s">
        <v>10</v>
      </c>
      <c r="N73" s="18">
        <f t="shared" ref="N73:N93" si="525">IF($D73="SI",IF(M73="SI",30,IF(M73="NO",0,"P2")),"")</f>
        <v>0</v>
      </c>
      <c r="O73" s="43" t="s">
        <v>323</v>
      </c>
      <c r="P73" s="18">
        <f t="shared" ref="P73:P93" si="526">IF($D73="SI",IF(O73="Automático",15,IF(O73="Manual",10,"P3")),"")</f>
        <v>10</v>
      </c>
      <c r="Q73" s="43" t="s">
        <v>11</v>
      </c>
      <c r="R73" s="18">
        <f t="shared" ref="R73:R93" si="527">IF($D73="SI",IF(Q73="SI",5,IF(Q73="NO",0,"P4")),"")</f>
        <v>5</v>
      </c>
      <c r="S73" s="43" t="s">
        <v>11</v>
      </c>
      <c r="T73" s="18">
        <f t="shared" ref="T73:T93" si="528">IF($D73="SI",IF(S73="SI",15,IF(S73="NO",0,"P5")),"")</f>
        <v>15</v>
      </c>
      <c r="U73" s="43" t="s">
        <v>11</v>
      </c>
      <c r="V73" s="18">
        <f t="shared" ref="V73:V93" si="529">IF($D73="SI",IF(U73="SI",10,IF(U73="NO",0,"P6")),"")</f>
        <v>10</v>
      </c>
      <c r="W73" s="18">
        <f t="shared" ref="W73:W93" si="530">IF(D73="SI",E73+L73+N73+P73+R73+T73+V73,0)</f>
        <v>50</v>
      </c>
      <c r="X73" s="57">
        <f t="shared" ref="X73:X93" si="531">IF(ISBLANK(D73),"",IF(D73="NO",0,IF(D73="SI",IF(OR(G73="Decripcion",I73="Tipo",L73="P1",N73="P2",P73="P3",R73="P4",T73="P5",V73="P6"),CONCATENATE("Falta diligenciar: ",G73," ",I73,IF(L73="P1"," Preg 1",),IF(N73="P2"," Preg 2",),IF(P73="P3"," Preg 3",),IF(R73="P4"," Preg 4",),IF(T73="P5"," Preg 5",),IF(V73="P6"," Preg 6",)),IF(W73&gt;76,CONCATENATE(W73,"                           Disminuye max 2 en ",J73),IF(AND(W73&gt;50,W73&lt;76),CONCATENATE(W73,"                           Disminuye max 1 en ", J73),W73))))))</f>
        <v>50</v>
      </c>
      <c r="Y73" s="57">
        <f t="shared" ref="Y73:Y93" si="532">IF(AND(W73&gt;50,W73&lt;76,J73="Posibilidad"),1,IF(AND(W73&gt;75,W73&lt;101,J73="Posibilidad"),2,0))</f>
        <v>0</v>
      </c>
      <c r="Z73" s="356">
        <f t="shared" ref="Z73:Z93" si="533">IF(AND(W73&gt;50,W73&lt;76,J73="Impacto"),1,IF(AND(W73&gt;75,W73&lt;101,J73="Impacto"),2,0))</f>
        <v>0</v>
      </c>
      <c r="AA73" s="497">
        <f t="shared" ref="AA73" si="534">IF(AB73=0,"",(ROUND((SUM(W73:W75)/AB73),0)))</f>
        <v>38</v>
      </c>
      <c r="AB73" s="500">
        <f t="shared" ref="AB73" si="535">COUNT(T73:T75)</f>
        <v>2</v>
      </c>
      <c r="AC73" s="3">
        <f t="shared" ref="AC73" si="536">SUM(Y73:Y75)</f>
        <v>0</v>
      </c>
      <c r="AD73" s="3">
        <f>ANALISIS!D32</f>
        <v>4</v>
      </c>
      <c r="AE73" s="3">
        <f t="shared" ref="AE73:AE74" si="537">IF((AD73-AC73)&gt;=1,(AD73-AC73),1)</f>
        <v>4</v>
      </c>
      <c r="AF73" s="501">
        <f t="shared" ref="AF73:AF91" si="538">(AE74*10)+AE73</f>
        <v>54</v>
      </c>
      <c r="AG73" s="355" t="str">
        <f t="shared" ref="AG73" si="539">IF(AE74=1,AH73,IF(AE74=2,AI73,IF(AE74=3,AJ73,IF(AE74=4,AK73,AL73))))</f>
        <v>EXTREMA 4:5</v>
      </c>
      <c r="AH73" s="46" t="str">
        <f t="shared" ref="AH73:AH91" si="540">IF($AF73=11,"BAJA 1:1",IF($AF73=12,"BAJA 2:1",IF($AF73=13,"BAJA 3:1",IF($AF73=14,"MODERADA 4:1","ALTA 5:1"))))</f>
        <v>ALTA 5:1</v>
      </c>
      <c r="AI73" s="46" t="str">
        <f t="shared" ref="AI73:AI91" si="541">IF($AF73=21,"BAJA 1:2",IF($AF73=22,"BAJA 2:2",IF($AF73=23,"MODERADA 3:2",IF($AF73=24,"ALTA 4:2","ALTA 5:2"))))</f>
        <v>ALTA 5:2</v>
      </c>
      <c r="AJ73" s="46" t="str">
        <f t="shared" ref="AJ73:AJ91" si="542">IF($AF73=31,"MODERADA 1:3",IF($AF73=32,"MODERADA 2:3",IF($AF73=33,"ALTA 3:3",IF($AF73=34,"ALTA 4:3","EXTREMA 5:3"))))</f>
        <v>EXTREMA 5:3</v>
      </c>
      <c r="AK73" s="46" t="str">
        <f t="shared" ref="AK73:AK91" si="543">IF($AF73=41,"ALTA 1:4",IF($AF73=42,"ALTA 2:4",IF($AF73=43,"EXTREMA 3:4",IF($AF73=44,"EXTREMA 4:4","EXTREMA 5:4"))))</f>
        <v>EXTREMA 5:4</v>
      </c>
      <c r="AL73" s="46" t="str">
        <f t="shared" ref="AL73:AL91" si="544">IF($AF73=51,"ALTA 1:5",IF($AF73=52,"EXTREMA 2:5",IF($AF73=53,"EXTREMA 3:5",IF($AF73=54,"EXTREMA 4:5","EXTREMA 5:5"))))</f>
        <v>EXTREMA 4:5</v>
      </c>
      <c r="AM73" s="3" t="str">
        <f t="shared" ref="AM73:AM93" si="545">IF(AND(N73=30,L73=0),$AM$8,"")</f>
        <v/>
      </c>
      <c r="AN73" s="3" t="str">
        <f t="shared" ref="AN73:AN93" si="546">IF(AND(N73=30,R73=0),$AN$8,"")</f>
        <v/>
      </c>
      <c r="AO73" s="3" t="str">
        <f t="shared" ref="AO73:AO93" si="547">IF(AND(N73=30,T73=0),$AO$8,"")</f>
        <v/>
      </c>
      <c r="AP73" s="3" t="str">
        <f t="shared" ref="AP73:AP93" si="548">IF(AND(N73=30,V73=0),$AP$8,"")</f>
        <v/>
      </c>
      <c r="AQ73" s="3" t="str">
        <f t="shared" ref="AQ73" si="549">AM73</f>
        <v/>
      </c>
      <c r="AR73" s="3" t="str">
        <f t="shared" ref="AR73" si="550">AN73</f>
        <v/>
      </c>
      <c r="AT73" s="3" t="str">
        <f t="shared" ref="AT73" si="551">AO73</f>
        <v/>
      </c>
      <c r="AV73" s="3" t="str">
        <f t="shared" ref="AV73" si="552">AP73</f>
        <v/>
      </c>
      <c r="AX73" s="502" t="str">
        <f t="shared" ref="AX73" si="553">IF(AW75="","",CONCATENATE(AW75," (de) el(los) control(es) Efectivo(s) "))</f>
        <v/>
      </c>
      <c r="AY73" s="502" t="str">
        <f t="shared" ref="AY73" si="554">IF(CONCATENATE(N73:N75)="","",IF(AND(SUM(E73:E75)=10,SUM(N73:N75)&lt;30),"- Replantear control(es) NO efectivo(s) ",IF(AND(SUM(E73:E75)=20,SUM(N73:N75)&lt;60),"- Replantear control(es) NO efectivo(s) ",IF(AND(SUM(E73:E75)=30,SUM(N73:N75)&lt;90),"- Replantear control(es) NO efectivo(s) ",""))))</f>
        <v xml:space="preserve">- Replantear control(es) NO efectivo(s) </v>
      </c>
      <c r="AZ73" s="502" t="str">
        <f t="shared" ref="AZ73" si="555">IF(AND(AE73&gt;1,AE74&gt;1),"- Tomar Acciones Preventivas y Correctivas",IF(AE73&gt;1,"- Tomar Acciones Preventivas",IF(AE74&gt;1,"- Tomar Acciones Correctivas","")))</f>
        <v>- Tomar Acciones Preventivas y Correctivas</v>
      </c>
      <c r="BA73" s="502" t="str">
        <f t="shared" ref="BA73" si="556">CONCATENATE(AX73,AY73,AZ73)</f>
        <v>- Replantear control(es) NO efectivo(s) - Tomar Acciones Preventivas y Correctivas</v>
      </c>
      <c r="BB73" s="3" t="str">
        <f t="shared" ref="BB73:BB93" si="557">IF(AND($N73=30,L73=15),"SI",IF(AND($N73=30,L73=0),"NO",""))</f>
        <v/>
      </c>
      <c r="BC73" s="3" t="str">
        <f t="shared" ref="BC73:BC93" si="558">IF(AND($N73=0,L73=15),"SI",IF(AND($N73=0,L73=0),"NO",""))</f>
        <v>NO</v>
      </c>
      <c r="BD73" s="3" t="str">
        <f t="shared" ref="BD73:BD93" si="559">IF(AND($N73=30,R73=5),"SI",IF(AND($N73=30,R73=0),"NO",""))</f>
        <v/>
      </c>
      <c r="BE73" s="3" t="str">
        <f t="shared" ref="BE73:BE93" si="560">IF(AND($N73=0,R73=5),"SI",IF(AND($N73=0,R73=0),"NO",""))</f>
        <v>SI</v>
      </c>
      <c r="BF73" s="3" t="str">
        <f t="shared" ref="BF73:BF93" si="561">IF(AND($N73=30,T73=15),"SI",IF(AND($N73=30,T73=0),"NO",""))</f>
        <v/>
      </c>
      <c r="BG73" s="3" t="str">
        <f t="shared" ref="BG73:BG93" si="562">IF(AND($N73=0,T73=15),"SI",IF(AND($N73=0,T73=0),"NO",""))</f>
        <v>SI</v>
      </c>
      <c r="BH73" s="3" t="str">
        <f t="shared" ref="BH73:BH93" si="563">IF(AND($N73=30,H73="Preventivo"),"P",IF(AND($N73=30,H73="Correctivo"),"C",""))</f>
        <v/>
      </c>
      <c r="BI73" s="3" t="str">
        <f t="shared" si="25"/>
        <v>P</v>
      </c>
      <c r="BJ73" s="3" t="str">
        <f t="shared" si="26"/>
        <v/>
      </c>
      <c r="BK73" s="3" t="str">
        <f t="shared" si="27"/>
        <v>M</v>
      </c>
      <c r="BL73" s="3" t="str">
        <f t="shared" ref="BL73:BL93" si="564">IF(AND($N73=30,V73=10),"SI",IF(AND($N73=30,V73=0),"NO",""))</f>
        <v/>
      </c>
      <c r="BM73" s="3" t="str">
        <f t="shared" ref="BM73:BM93" si="565">IF(AND($N73=0,V73=10),"SI",IF(AND($N73=0,V73=0),"NO",""))</f>
        <v>SI</v>
      </c>
    </row>
    <row r="74" spans="1:65" ht="36" customHeight="1" x14ac:dyDescent="0.2">
      <c r="A74" s="503"/>
      <c r="B74" s="496"/>
      <c r="C74" s="356">
        <v>2</v>
      </c>
      <c r="D74" s="56" t="s">
        <v>11</v>
      </c>
      <c r="E74" s="240">
        <f t="shared" si="4"/>
        <v>10</v>
      </c>
      <c r="F74" s="44" t="s">
        <v>601</v>
      </c>
      <c r="G74" s="18" t="str">
        <f t="shared" si="521"/>
        <v/>
      </c>
      <c r="H74" s="44" t="s">
        <v>20</v>
      </c>
      <c r="I74" s="18" t="str">
        <f t="shared" si="522"/>
        <v/>
      </c>
      <c r="J74" s="55" t="str">
        <f t="shared" si="523"/>
        <v>Posibilidad</v>
      </c>
      <c r="K74" s="43" t="s">
        <v>10</v>
      </c>
      <c r="L74" s="18">
        <f t="shared" si="524"/>
        <v>0</v>
      </c>
      <c r="M74" s="43" t="s">
        <v>10</v>
      </c>
      <c r="N74" s="18">
        <f t="shared" si="525"/>
        <v>0</v>
      </c>
      <c r="O74" s="43" t="s">
        <v>322</v>
      </c>
      <c r="P74" s="18">
        <f t="shared" si="526"/>
        <v>15</v>
      </c>
      <c r="Q74" s="43" t="s">
        <v>10</v>
      </c>
      <c r="R74" s="18">
        <f t="shared" si="527"/>
        <v>0</v>
      </c>
      <c r="S74" s="43" t="s">
        <v>10</v>
      </c>
      <c r="T74" s="18">
        <f t="shared" si="528"/>
        <v>0</v>
      </c>
      <c r="U74" s="43" t="s">
        <v>10</v>
      </c>
      <c r="V74" s="18">
        <f t="shared" si="529"/>
        <v>0</v>
      </c>
      <c r="W74" s="18">
        <f t="shared" si="530"/>
        <v>25</v>
      </c>
      <c r="X74" s="57">
        <f t="shared" si="531"/>
        <v>25</v>
      </c>
      <c r="Y74" s="57">
        <f t="shared" si="532"/>
        <v>0</v>
      </c>
      <c r="Z74" s="356">
        <f t="shared" si="533"/>
        <v>0</v>
      </c>
      <c r="AA74" s="498"/>
      <c r="AB74" s="500"/>
      <c r="AC74" s="3">
        <f t="shared" ref="AC74" si="566">SUM(Z73:Z75)</f>
        <v>0</v>
      </c>
      <c r="AD74" s="3">
        <f>ANALISIS!G32</f>
        <v>5</v>
      </c>
      <c r="AE74" s="3">
        <f t="shared" si="537"/>
        <v>5</v>
      </c>
      <c r="AF74" s="501"/>
      <c r="AG74" s="355" t="str">
        <f t="shared" ref="AG74" si="567">IF(AE74=1,AH74,IF(AE74=2,AI74,IF(AE74=3,AJ74,IF(AE74=4,AK74,AL74))))</f>
        <v>- Eliminar Causa(s)- Evitar Posibilidad de Ocurrencia- Reducir el Riesgo- Compartir o Transferir el Riesgo</v>
      </c>
      <c r="AH74" s="46" t="str">
        <f t="shared" ref="AH74" si="568">IF($AF73=11,"- Asumir el Riesgo",IF($AF73=12,"- Asumir el Riesgo- Evitar Posibilidad de Ocurrencia- Reducir el Riesgo",IF($AF73=13,"- Asumir el Riesgo- Evitar Posibilidad de Ocurrencia- Reducir el Riesgo",IF($AF73=14,"-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4" s="46" t="str">
        <f t="shared" ref="AI74" si="569">IF($AF73=21,"- Asumir el Riesgo- Reducir el Riesgo",IF($AF73=22,"- Asumir el Riesgo- Evitar Posibilidad de Ocurrencia- Reducir el Riesgo",IF($AF73=23,"- Asumir el Riesgo- Evitar Posibilidad de Ocurrencia- Reducir el Riesgo- Compartir o Transferir el Riesgo",IF($AF73=24,"- Evitar Posibilidad de Ocurrencia- Reducir el Riesgo- Compartir o Transferir el Riesgo","- Evitar Posibilidad de Ocurrencia- Reducir el Riesgo- Compartir o Transferir el Riesgo"))))</f>
        <v>- Evitar Posibilidad de Ocurrencia- Reducir el Riesgo- Compartir o Transferir el Riesgo</v>
      </c>
      <c r="AJ74" s="46" t="str">
        <f t="shared" ref="AJ74" si="570">IF($AF73=31,"- Asumir el Riesgo- Reducir el Riesgo- Compartir o Transferir el Riesgo",IF($AF73=32,"- Asumir el Riesgo- Evitar Posibilidad de Ocurrencia- Reducir el Reducir- Compartir o Transferir el Riesgo",IF($AF73=33,"- Evitar Posibilidad de Ocurrencia- Reducir el Riesgo- Compartir o Transferir el Riesgo",IF($AF73=34,"-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4" s="46" t="str">
        <f t="shared" ref="AK74" si="571">IF($AF73=41,"- Reducir el Riesgo- Compartir o Transferir el Riesgo",IF($AF73=42,"- Evitar Posibilidad de Ocurrencia- Reducir el Riesgo- Compartir o Transferir el Riesgo",IF($AF73=43,"- Eliminar Causa(s)- Evitar Posibilidad de Ocurrencia- Reducir el Riesgo- Compartir o Transferir el Riesgo",IF($AF73=44,"-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74" s="46" t="str">
        <f t="shared" ref="AL74" si="572">IF($AF73=51,"- Reducir el Riesgo- Compartir o Transferir el Riesgo",IF($AF73=52,"- Eliminar Causa(s)- Evitar Posibilidad de Ocurrencia- Reducir el Riesgo- Compartir o Transferir el Riesgo",IF($AF73=53,"- Eliminar Causa(s)- Evitar Posibilidad de Ocurrencia- Reducir el Riesgo- Compartir o Transferir el Riesgo",IF($AF73=54,"-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4" s="3" t="str">
        <f t="shared" si="545"/>
        <v/>
      </c>
      <c r="AN74" s="3" t="str">
        <f t="shared" si="546"/>
        <v/>
      </c>
      <c r="AO74" s="3" t="str">
        <f t="shared" si="547"/>
        <v/>
      </c>
      <c r="AP74" s="3" t="str">
        <f t="shared" si="548"/>
        <v/>
      </c>
      <c r="AQ74" s="3" t="str">
        <f t="shared" ref="AQ74:AQ75" si="573">IF(AQ73="Documentar",AQ73,AM74)</f>
        <v/>
      </c>
      <c r="AR74" s="3" t="str">
        <f t="shared" ref="AR74:AR75" si="574">IF(AR73="Asignar responsable",AR73,AN74)</f>
        <v/>
      </c>
      <c r="AT74" s="3" t="str">
        <f t="shared" ref="AT74:AT75" si="575">IF(AT73="Establecer periodos de seguimiento adecuados",AT73,AO74)</f>
        <v/>
      </c>
      <c r="AV74" s="3" t="str">
        <f t="shared" ref="AV74:AV75" si="576">IF(AV73="Guardar Evidencias",AV73,AP74)</f>
        <v/>
      </c>
      <c r="AX74" s="502"/>
      <c r="AY74" s="502"/>
      <c r="AZ74" s="502"/>
      <c r="BA74" s="502"/>
      <c r="BB74" s="3" t="str">
        <f t="shared" si="557"/>
        <v/>
      </c>
      <c r="BC74" s="3" t="str">
        <f t="shared" si="558"/>
        <v>NO</v>
      </c>
      <c r="BD74" s="3" t="str">
        <f t="shared" si="559"/>
        <v/>
      </c>
      <c r="BE74" s="3" t="str">
        <f t="shared" si="560"/>
        <v>NO</v>
      </c>
      <c r="BF74" s="3" t="str">
        <f t="shared" si="561"/>
        <v/>
      </c>
      <c r="BG74" s="3" t="str">
        <f t="shared" si="562"/>
        <v>NO</v>
      </c>
      <c r="BH74" s="3" t="str">
        <f t="shared" si="563"/>
        <v/>
      </c>
      <c r="BI74" s="3" t="str">
        <f t="shared" si="25"/>
        <v>P</v>
      </c>
      <c r="BJ74" s="3" t="str">
        <f t="shared" si="26"/>
        <v/>
      </c>
      <c r="BK74" s="3" t="str">
        <f t="shared" si="27"/>
        <v>A</v>
      </c>
      <c r="BL74" s="3" t="str">
        <f t="shared" si="564"/>
        <v/>
      </c>
      <c r="BM74" s="3" t="str">
        <f t="shared" si="565"/>
        <v>NO</v>
      </c>
    </row>
    <row r="75" spans="1:65" ht="36" customHeight="1" x14ac:dyDescent="0.2">
      <c r="A75" s="503"/>
      <c r="B75" s="496"/>
      <c r="C75" s="356">
        <v>3</v>
      </c>
      <c r="D75" s="56"/>
      <c r="E75" s="240" t="str">
        <f t="shared" si="4"/>
        <v/>
      </c>
      <c r="F75" s="44"/>
      <c r="G75" s="18" t="str">
        <f t="shared" si="521"/>
        <v/>
      </c>
      <c r="H75" s="44"/>
      <c r="I75" s="18" t="str">
        <f t="shared" si="522"/>
        <v/>
      </c>
      <c r="J75" s="55" t="str">
        <f t="shared" si="523"/>
        <v/>
      </c>
      <c r="K75" s="43"/>
      <c r="L75" s="18" t="str">
        <f t="shared" si="524"/>
        <v/>
      </c>
      <c r="M75" s="43"/>
      <c r="N75" s="18" t="str">
        <f t="shared" si="525"/>
        <v/>
      </c>
      <c r="O75" s="43"/>
      <c r="P75" s="18" t="str">
        <f t="shared" si="526"/>
        <v/>
      </c>
      <c r="Q75" s="43"/>
      <c r="R75" s="18" t="str">
        <f t="shared" si="527"/>
        <v/>
      </c>
      <c r="S75" s="43"/>
      <c r="T75" s="18" t="str">
        <f t="shared" si="528"/>
        <v/>
      </c>
      <c r="U75" s="43"/>
      <c r="V75" s="18" t="str">
        <f t="shared" si="529"/>
        <v/>
      </c>
      <c r="W75" s="18">
        <f t="shared" si="530"/>
        <v>0</v>
      </c>
      <c r="X75" s="57" t="str">
        <f t="shared" si="531"/>
        <v/>
      </c>
      <c r="Y75" s="57">
        <f t="shared" si="532"/>
        <v>0</v>
      </c>
      <c r="Z75" s="356">
        <f t="shared" si="533"/>
        <v>0</v>
      </c>
      <c r="AA75" s="499"/>
      <c r="AB75" s="500"/>
      <c r="AM75" s="3" t="str">
        <f t="shared" si="545"/>
        <v/>
      </c>
      <c r="AN75" s="3" t="str">
        <f t="shared" si="546"/>
        <v/>
      </c>
      <c r="AO75" s="3" t="str">
        <f t="shared" si="547"/>
        <v/>
      </c>
      <c r="AP75" s="3" t="str">
        <f t="shared" si="548"/>
        <v/>
      </c>
      <c r="AQ75" s="3" t="str">
        <f t="shared" si="573"/>
        <v/>
      </c>
      <c r="AR75" s="3" t="str">
        <f t="shared" si="574"/>
        <v/>
      </c>
      <c r="AS75" s="3" t="str">
        <f t="shared" ref="AS75" si="577">IF(AND(AQ75="Documentar",AR75="Asignar responsable"),CONCATENATE("- ",AQ75,", ",AR75),IF(AQ75="Documentar",CONCATENATE("- ",AQ75),IF(AR75="Asignar responsable",CONCATENATE("- ",AR75),"")))</f>
        <v/>
      </c>
      <c r="AT75" s="3" t="str">
        <f t="shared" si="575"/>
        <v/>
      </c>
      <c r="AU75" s="3" t="str">
        <f t="shared" ref="AU75" si="578">IF(AT75="",AS75,IF(AS75="",CONCATENATE("- ",AT75),CONCATENATE(AS75,", ",AT75)))</f>
        <v/>
      </c>
      <c r="AV75" s="3" t="str">
        <f t="shared" si="576"/>
        <v/>
      </c>
      <c r="AW75" s="3" t="str">
        <f t="shared" ref="AW75" si="579">IF(AV75="",AU75,IF(AU75="",CONCATENATE("- ",AV75),CONCATENATE(AU75,", ",AV75)))</f>
        <v/>
      </c>
      <c r="AX75" s="502"/>
      <c r="AY75" s="502"/>
      <c r="AZ75" s="502"/>
      <c r="BA75" s="502"/>
      <c r="BB75" s="3" t="str">
        <f t="shared" si="557"/>
        <v/>
      </c>
      <c r="BC75" s="3" t="str">
        <f t="shared" si="558"/>
        <v/>
      </c>
      <c r="BD75" s="3" t="str">
        <f t="shared" si="559"/>
        <v/>
      </c>
      <c r="BE75" s="3" t="str">
        <f t="shared" si="560"/>
        <v/>
      </c>
      <c r="BF75" s="3" t="str">
        <f t="shared" si="561"/>
        <v/>
      </c>
      <c r="BG75" s="3" t="str">
        <f t="shared" si="562"/>
        <v/>
      </c>
      <c r="BH75" s="3" t="str">
        <f t="shared" si="563"/>
        <v/>
      </c>
      <c r="BI75" s="3" t="str">
        <f t="shared" si="25"/>
        <v/>
      </c>
      <c r="BJ75" s="3" t="str">
        <f t="shared" si="26"/>
        <v/>
      </c>
      <c r="BK75" s="3" t="str">
        <f t="shared" si="27"/>
        <v/>
      </c>
      <c r="BL75" s="3" t="str">
        <f t="shared" si="564"/>
        <v/>
      </c>
      <c r="BM75" s="3" t="str">
        <f t="shared" si="565"/>
        <v/>
      </c>
    </row>
    <row r="76" spans="1:65" ht="36" customHeight="1" x14ac:dyDescent="0.2">
      <c r="A76" s="503" t="str">
        <f>IDENTIFICACIÓN!C31</f>
        <v>23G</v>
      </c>
      <c r="B76" s="496" t="str">
        <f>IF(IDENTIFICACIÓN!D31="","",IDENTIFICACIÓN!D31)</f>
        <v>Gestión Administrativa. Inadecuado gestión de los residuos</v>
      </c>
      <c r="C76" s="356">
        <v>1</v>
      </c>
      <c r="D76" s="56" t="s">
        <v>11</v>
      </c>
      <c r="E76" s="240">
        <f t="shared" si="4"/>
        <v>10</v>
      </c>
      <c r="F76" s="44" t="s">
        <v>602</v>
      </c>
      <c r="G76" s="18" t="str">
        <f t="shared" si="521"/>
        <v/>
      </c>
      <c r="H76" s="44" t="s">
        <v>20</v>
      </c>
      <c r="I76" s="18" t="str">
        <f t="shared" si="522"/>
        <v/>
      </c>
      <c r="J76" s="55" t="str">
        <f t="shared" si="523"/>
        <v>Posibilidad</v>
      </c>
      <c r="K76" s="43" t="s">
        <v>11</v>
      </c>
      <c r="L76" s="18">
        <f t="shared" si="524"/>
        <v>15</v>
      </c>
      <c r="M76" s="43" t="s">
        <v>10</v>
      </c>
      <c r="N76" s="18">
        <f t="shared" si="525"/>
        <v>0</v>
      </c>
      <c r="O76" s="43" t="s">
        <v>323</v>
      </c>
      <c r="P76" s="18">
        <f t="shared" si="526"/>
        <v>10</v>
      </c>
      <c r="Q76" s="43" t="s">
        <v>11</v>
      </c>
      <c r="R76" s="18">
        <f t="shared" si="527"/>
        <v>5</v>
      </c>
      <c r="S76" s="43" t="s">
        <v>10</v>
      </c>
      <c r="T76" s="18">
        <f t="shared" si="528"/>
        <v>0</v>
      </c>
      <c r="U76" s="43" t="s">
        <v>11</v>
      </c>
      <c r="V76" s="18">
        <f t="shared" si="529"/>
        <v>10</v>
      </c>
      <c r="W76" s="18">
        <f t="shared" si="530"/>
        <v>50</v>
      </c>
      <c r="X76" s="57">
        <f t="shared" si="531"/>
        <v>50</v>
      </c>
      <c r="Y76" s="57">
        <f t="shared" si="532"/>
        <v>0</v>
      </c>
      <c r="Z76" s="356">
        <f t="shared" si="533"/>
        <v>0</v>
      </c>
      <c r="AA76" s="497">
        <f t="shared" ref="AA76" si="580">IF(AB76=0,"",(ROUND((SUM(W76:W78)/AB76),0)))</f>
        <v>50</v>
      </c>
      <c r="AB76" s="500">
        <f t="shared" ref="AB76" si="581">COUNT(T76:T78)</f>
        <v>1</v>
      </c>
      <c r="AC76" s="3">
        <f t="shared" ref="AC76" si="582">SUM(Y76:Y78)</f>
        <v>0</v>
      </c>
      <c r="AD76" s="3">
        <f>ANALISIS!D33</f>
        <v>4</v>
      </c>
      <c r="AE76" s="3">
        <f t="shared" ref="AE76:AE77" si="583">IF((AD76-AC76)&gt;=1,(AD76-AC76),1)</f>
        <v>4</v>
      </c>
      <c r="AF76" s="501">
        <f t="shared" si="538"/>
        <v>44</v>
      </c>
      <c r="AG76" s="355" t="str">
        <f t="shared" ref="AG76" si="584">IF(AE77=1,AH76,IF(AE77=2,AI76,IF(AE77=3,AJ76,IF(AE77=4,AK76,AL76))))</f>
        <v>EXTREMA 4:4</v>
      </c>
      <c r="AH76" s="46" t="str">
        <f t="shared" si="540"/>
        <v>ALTA 5:1</v>
      </c>
      <c r="AI76" s="46" t="str">
        <f t="shared" si="541"/>
        <v>ALTA 5:2</v>
      </c>
      <c r="AJ76" s="46" t="str">
        <f t="shared" si="542"/>
        <v>EXTREMA 5:3</v>
      </c>
      <c r="AK76" s="46" t="str">
        <f t="shared" si="543"/>
        <v>EXTREMA 4:4</v>
      </c>
      <c r="AL76" s="46" t="str">
        <f t="shared" si="544"/>
        <v>EXTREMA 5:5</v>
      </c>
      <c r="AM76" s="3" t="str">
        <f t="shared" si="545"/>
        <v/>
      </c>
      <c r="AN76" s="3" t="str">
        <f t="shared" si="546"/>
        <v/>
      </c>
      <c r="AO76" s="3" t="str">
        <f t="shared" si="547"/>
        <v/>
      </c>
      <c r="AP76" s="3" t="str">
        <f t="shared" si="548"/>
        <v/>
      </c>
      <c r="AQ76" s="3" t="str">
        <f t="shared" ref="AQ76" si="585">AM76</f>
        <v/>
      </c>
      <c r="AR76" s="3" t="str">
        <f t="shared" ref="AR76" si="586">AN76</f>
        <v/>
      </c>
      <c r="AT76" s="3" t="str">
        <f t="shared" ref="AT76" si="587">AO76</f>
        <v/>
      </c>
      <c r="AV76" s="3" t="str">
        <f t="shared" ref="AV76" si="588">AP76</f>
        <v/>
      </c>
      <c r="AX76" s="502" t="str">
        <f t="shared" ref="AX76" si="589">IF(AW78="","",CONCATENATE(AW78," (de) el(los) control(es) Efectivo(s) "))</f>
        <v/>
      </c>
      <c r="AY76" s="502" t="str">
        <f t="shared" ref="AY76" si="590">IF(CONCATENATE(N76:N78)="","",IF(AND(SUM(E76:E78)=10,SUM(N76:N78)&lt;30),"- Replantear control(es) NO efectivo(s) ",IF(AND(SUM(E76:E78)=20,SUM(N76:N78)&lt;60),"- Replantear control(es) NO efectivo(s) ",IF(AND(SUM(E76:E78)=30,SUM(N76:N78)&lt;90),"- Replantear control(es) NO efectivo(s) ",""))))</f>
        <v xml:space="preserve">- Replantear control(es) NO efectivo(s) </v>
      </c>
      <c r="AZ76" s="502" t="str">
        <f t="shared" ref="AZ76" si="591">IF(AND(AE76&gt;1,AE77&gt;1),"- Tomar Acciones Preventivas y Correctivas",IF(AE76&gt;1,"- Tomar Acciones Preventivas",IF(AE77&gt;1,"- Tomar Acciones Correctivas","")))</f>
        <v>- Tomar Acciones Preventivas y Correctivas</v>
      </c>
      <c r="BA76" s="502" t="str">
        <f t="shared" ref="BA76" si="592">CONCATENATE(AX76,AY76,AZ76)</f>
        <v>- Replantear control(es) NO efectivo(s) - Tomar Acciones Preventivas y Correctivas</v>
      </c>
      <c r="BB76" s="3" t="str">
        <f t="shared" si="557"/>
        <v/>
      </c>
      <c r="BC76" s="3" t="str">
        <f t="shared" si="558"/>
        <v>SI</v>
      </c>
      <c r="BD76" s="3" t="str">
        <f t="shared" si="559"/>
        <v/>
      </c>
      <c r="BE76" s="3" t="str">
        <f t="shared" si="560"/>
        <v>SI</v>
      </c>
      <c r="BF76" s="3" t="str">
        <f t="shared" si="561"/>
        <v/>
      </c>
      <c r="BG76" s="3" t="str">
        <f t="shared" si="562"/>
        <v>NO</v>
      </c>
      <c r="BH76" s="3" t="str">
        <f t="shared" si="563"/>
        <v/>
      </c>
      <c r="BI76" s="3" t="str">
        <f t="shared" si="25"/>
        <v>P</v>
      </c>
      <c r="BJ76" s="3" t="str">
        <f t="shared" si="26"/>
        <v/>
      </c>
      <c r="BK76" s="3" t="str">
        <f t="shared" si="27"/>
        <v>M</v>
      </c>
      <c r="BL76" s="3" t="str">
        <f t="shared" si="564"/>
        <v/>
      </c>
      <c r="BM76" s="3" t="str">
        <f t="shared" si="565"/>
        <v>SI</v>
      </c>
    </row>
    <row r="77" spans="1:65" ht="36" customHeight="1" x14ac:dyDescent="0.2">
      <c r="A77" s="503"/>
      <c r="B77" s="496"/>
      <c r="C77" s="356">
        <v>2</v>
      </c>
      <c r="D77" s="56"/>
      <c r="E77" s="240" t="str">
        <f t="shared" si="4"/>
        <v/>
      </c>
      <c r="F77" s="44"/>
      <c r="G77" s="18" t="str">
        <f t="shared" si="521"/>
        <v/>
      </c>
      <c r="H77" s="44"/>
      <c r="I77" s="18" t="str">
        <f t="shared" si="522"/>
        <v/>
      </c>
      <c r="J77" s="55" t="str">
        <f t="shared" si="523"/>
        <v/>
      </c>
      <c r="K77" s="43"/>
      <c r="L77" s="18" t="str">
        <f t="shared" si="524"/>
        <v/>
      </c>
      <c r="M77" s="43"/>
      <c r="N77" s="18" t="str">
        <f t="shared" si="525"/>
        <v/>
      </c>
      <c r="O77" s="43"/>
      <c r="P77" s="18" t="str">
        <f t="shared" si="526"/>
        <v/>
      </c>
      <c r="Q77" s="43"/>
      <c r="R77" s="18" t="str">
        <f t="shared" si="527"/>
        <v/>
      </c>
      <c r="S77" s="43"/>
      <c r="T77" s="18" t="str">
        <f t="shared" si="528"/>
        <v/>
      </c>
      <c r="U77" s="43"/>
      <c r="V77" s="18" t="str">
        <f t="shared" si="529"/>
        <v/>
      </c>
      <c r="W77" s="18">
        <f t="shared" si="530"/>
        <v>0</v>
      </c>
      <c r="X77" s="57" t="str">
        <f t="shared" si="531"/>
        <v/>
      </c>
      <c r="Y77" s="57">
        <f t="shared" si="532"/>
        <v>0</v>
      </c>
      <c r="Z77" s="356">
        <f t="shared" si="533"/>
        <v>0</v>
      </c>
      <c r="AA77" s="498"/>
      <c r="AB77" s="500"/>
      <c r="AC77" s="3">
        <f t="shared" ref="AC77" si="593">SUM(Z76:Z78)</f>
        <v>0</v>
      </c>
      <c r="AD77" s="3">
        <f>ANALISIS!G33</f>
        <v>4</v>
      </c>
      <c r="AE77" s="3">
        <f t="shared" si="583"/>
        <v>4</v>
      </c>
      <c r="AF77" s="501"/>
      <c r="AG77" s="355" t="str">
        <f t="shared" ref="AG77" si="594">IF(AE77=1,AH77,IF(AE77=2,AI77,IF(AE77=3,AJ77,IF(AE77=4,AK77,AL77))))</f>
        <v>- Eliminar Causa(s)- Evitar Posibilidad de Ocurrencia- Reducir el Riesgo- Compartir o Transferir el Riesgo</v>
      </c>
      <c r="AH77" s="46" t="str">
        <f t="shared" ref="AH77" si="595">IF($AF76=11,"- Asumir el Riesgo",IF($AF76=12,"- Asumir el Riesgo- Evitar Posibilidad de Ocurrencia- Reducir el Riesgo",IF($AF76=13,"- Asumir el Riesgo- Evitar Posibilidad de Ocurrencia- Reducir el Riesgo",IF($AF76=14,"-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7" s="46" t="str">
        <f t="shared" ref="AI77" si="596">IF($AF76=21,"- Asumir el Riesgo- Reducir el Riesgo",IF($AF76=22,"- Asumir el Riesgo- Evitar Posibilidad de Ocurrencia- Reducir el Riesgo",IF($AF76=23,"- Asumir el Riesgo- Evitar Posibilidad de Ocurrencia- Reducir el Riesgo- Compartir o Transferir el Riesgo",IF($AF76=24,"- Evitar Posibilidad de Ocurrencia- Reducir el Riesgo- Compartir o Transferir el Riesgo","- Evitar Posibilidad de Ocurrencia- Reducir el Riesgo- Compartir o Transferir el Riesgo"))))</f>
        <v>- Evitar Posibilidad de Ocurrencia- Reducir el Riesgo- Compartir o Transferir el Riesgo</v>
      </c>
      <c r="AJ77" s="46" t="str">
        <f t="shared" ref="AJ77" si="597">IF($AF76=31,"- Asumir el Riesgo- Reducir el Riesgo- Compartir o Transferir el Riesgo",IF($AF76=32,"- Asumir el Riesgo- Evitar Posibilidad de Ocurrencia- Reducir el Reducir- Compartir o Transferir el Riesgo",IF($AF76=33,"- Evitar Posibilidad de Ocurrencia- Reducir el Riesgo- Compartir o Transferir el Riesgo",IF($AF76=34,"-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7" s="46" t="str">
        <f t="shared" ref="AK77" si="598">IF($AF76=41,"- Reducir el Riesgo- Compartir o Transferir el Riesgo",IF($AF76=42,"- Evitar Posibilidad de Ocurrencia- Reducir el Riesgo- Compartir o Transferir el Riesgo",IF($AF76=43,"- Eliminar Causa(s)- Evitar Posibilidad de Ocurrencia- Reducir el Riesgo- Compartir o Transferir el Riesgo",IF($AF76=44,"-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77" s="46" t="str">
        <f t="shared" ref="AL77" si="599">IF($AF76=51,"- Reducir el Riesgo- Compartir o Transferir el Riesgo",IF($AF76=52,"- Eliminar Causa(s)- Evitar Posibilidad de Ocurrencia- Reducir el Riesgo- Compartir o Transferir el Riesgo",IF($AF76=53,"- Eliminar Causa(s)- Evitar Posibilidad de Ocurrencia- Reducir el Riesgo- Compartir o Transferir el Riesgo",IF($AF76=54,"-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7" s="3" t="str">
        <f t="shared" si="545"/>
        <v/>
      </c>
      <c r="AN77" s="3" t="str">
        <f t="shared" si="546"/>
        <v/>
      </c>
      <c r="AO77" s="3" t="str">
        <f t="shared" si="547"/>
        <v/>
      </c>
      <c r="AP77" s="3" t="str">
        <f t="shared" si="548"/>
        <v/>
      </c>
      <c r="AQ77" s="3" t="str">
        <f t="shared" ref="AQ77:AQ78" si="600">IF(AQ76="Documentar",AQ76,AM77)</f>
        <v/>
      </c>
      <c r="AR77" s="3" t="str">
        <f t="shared" ref="AR77:AR78" si="601">IF(AR76="Asignar responsable",AR76,AN77)</f>
        <v/>
      </c>
      <c r="AT77" s="3" t="str">
        <f t="shared" ref="AT77:AT78" si="602">IF(AT76="Establecer periodos de seguimiento adecuados",AT76,AO77)</f>
        <v/>
      </c>
      <c r="AV77" s="3" t="str">
        <f t="shared" ref="AV77:AV78" si="603">IF(AV76="Guardar Evidencias",AV76,AP77)</f>
        <v/>
      </c>
      <c r="AX77" s="502"/>
      <c r="AY77" s="502"/>
      <c r="AZ77" s="502"/>
      <c r="BA77" s="502"/>
      <c r="BB77" s="3" t="str">
        <f t="shared" si="557"/>
        <v/>
      </c>
      <c r="BC77" s="3" t="str">
        <f t="shared" si="558"/>
        <v/>
      </c>
      <c r="BD77" s="3" t="str">
        <f t="shared" si="559"/>
        <v/>
      </c>
      <c r="BE77" s="3" t="str">
        <f t="shared" si="560"/>
        <v/>
      </c>
      <c r="BF77" s="3" t="str">
        <f t="shared" si="561"/>
        <v/>
      </c>
      <c r="BG77" s="3" t="str">
        <f t="shared" si="562"/>
        <v/>
      </c>
      <c r="BH77" s="3" t="str">
        <f t="shared" si="563"/>
        <v/>
      </c>
      <c r="BI77" s="3" t="str">
        <f t="shared" si="25"/>
        <v/>
      </c>
      <c r="BJ77" s="3" t="str">
        <f t="shared" si="26"/>
        <v/>
      </c>
      <c r="BK77" s="3" t="str">
        <f t="shared" si="27"/>
        <v/>
      </c>
      <c r="BL77" s="3" t="str">
        <f t="shared" si="564"/>
        <v/>
      </c>
      <c r="BM77" s="3" t="str">
        <f t="shared" si="565"/>
        <v/>
      </c>
    </row>
    <row r="78" spans="1:65" ht="36" customHeight="1" x14ac:dyDescent="0.2">
      <c r="A78" s="503"/>
      <c r="B78" s="496"/>
      <c r="C78" s="356">
        <v>3</v>
      </c>
      <c r="D78" s="56"/>
      <c r="E78" s="240" t="str">
        <f t="shared" si="4"/>
        <v/>
      </c>
      <c r="F78" s="44"/>
      <c r="G78" s="18" t="str">
        <f t="shared" si="521"/>
        <v/>
      </c>
      <c r="H78" s="44"/>
      <c r="I78" s="18" t="str">
        <f t="shared" si="522"/>
        <v/>
      </c>
      <c r="J78" s="55" t="str">
        <f t="shared" si="523"/>
        <v/>
      </c>
      <c r="K78" s="43"/>
      <c r="L78" s="18" t="str">
        <f t="shared" si="524"/>
        <v/>
      </c>
      <c r="M78" s="43"/>
      <c r="N78" s="18" t="str">
        <f t="shared" si="525"/>
        <v/>
      </c>
      <c r="O78" s="43"/>
      <c r="P78" s="18" t="str">
        <f t="shared" si="526"/>
        <v/>
      </c>
      <c r="Q78" s="43"/>
      <c r="R78" s="18" t="str">
        <f t="shared" si="527"/>
        <v/>
      </c>
      <c r="S78" s="43"/>
      <c r="T78" s="18" t="str">
        <f t="shared" si="528"/>
        <v/>
      </c>
      <c r="U78" s="43"/>
      <c r="V78" s="18" t="str">
        <f t="shared" si="529"/>
        <v/>
      </c>
      <c r="W78" s="18">
        <f t="shared" si="530"/>
        <v>0</v>
      </c>
      <c r="X78" s="57" t="str">
        <f t="shared" si="531"/>
        <v/>
      </c>
      <c r="Y78" s="57">
        <f t="shared" si="532"/>
        <v>0</v>
      </c>
      <c r="Z78" s="356">
        <f t="shared" si="533"/>
        <v>0</v>
      </c>
      <c r="AA78" s="499"/>
      <c r="AB78" s="500"/>
      <c r="AM78" s="3" t="str">
        <f t="shared" si="545"/>
        <v/>
      </c>
      <c r="AN78" s="3" t="str">
        <f t="shared" si="546"/>
        <v/>
      </c>
      <c r="AO78" s="3" t="str">
        <f t="shared" si="547"/>
        <v/>
      </c>
      <c r="AP78" s="3" t="str">
        <f t="shared" si="548"/>
        <v/>
      </c>
      <c r="AQ78" s="3" t="str">
        <f t="shared" si="600"/>
        <v/>
      </c>
      <c r="AR78" s="3" t="str">
        <f t="shared" si="601"/>
        <v/>
      </c>
      <c r="AS78" s="3" t="str">
        <f t="shared" ref="AS78" si="604">IF(AND(AQ78="Documentar",AR78="Asignar responsable"),CONCATENATE("- ",AQ78,", ",AR78),IF(AQ78="Documentar",CONCATENATE("- ",AQ78),IF(AR78="Asignar responsable",CONCATENATE("- ",AR78),"")))</f>
        <v/>
      </c>
      <c r="AT78" s="3" t="str">
        <f t="shared" si="602"/>
        <v/>
      </c>
      <c r="AU78" s="3" t="str">
        <f t="shared" ref="AU78" si="605">IF(AT78="",AS78,IF(AS78="",CONCATENATE("- ",AT78),CONCATENATE(AS78,", ",AT78)))</f>
        <v/>
      </c>
      <c r="AV78" s="3" t="str">
        <f t="shared" si="603"/>
        <v/>
      </c>
      <c r="AW78" s="3" t="str">
        <f t="shared" ref="AW78" si="606">IF(AV78="",AU78,IF(AU78="",CONCATENATE("- ",AV78),CONCATENATE(AU78,", ",AV78)))</f>
        <v/>
      </c>
      <c r="AX78" s="502"/>
      <c r="AY78" s="502"/>
      <c r="AZ78" s="502"/>
      <c r="BA78" s="502"/>
      <c r="BB78" s="3" t="str">
        <f t="shared" si="557"/>
        <v/>
      </c>
      <c r="BC78" s="3" t="str">
        <f t="shared" si="558"/>
        <v/>
      </c>
      <c r="BD78" s="3" t="str">
        <f t="shared" si="559"/>
        <v/>
      </c>
      <c r="BE78" s="3" t="str">
        <f t="shared" si="560"/>
        <v/>
      </c>
      <c r="BF78" s="3" t="str">
        <f t="shared" si="561"/>
        <v/>
      </c>
      <c r="BG78" s="3" t="str">
        <f t="shared" si="562"/>
        <v/>
      </c>
      <c r="BH78" s="3" t="str">
        <f t="shared" si="563"/>
        <v/>
      </c>
      <c r="BI78" s="3" t="str">
        <f t="shared" si="25"/>
        <v/>
      </c>
      <c r="BJ78" s="3" t="str">
        <f t="shared" si="26"/>
        <v/>
      </c>
      <c r="BK78" s="3" t="str">
        <f t="shared" si="27"/>
        <v/>
      </c>
      <c r="BL78" s="3" t="str">
        <f t="shared" si="564"/>
        <v/>
      </c>
      <c r="BM78" s="3" t="str">
        <f t="shared" si="565"/>
        <v/>
      </c>
    </row>
    <row r="79" spans="1:65" ht="36" customHeight="1" x14ac:dyDescent="0.2">
      <c r="A79" s="503" t="str">
        <f>IDENTIFICACIÓN!C32</f>
        <v>24G</v>
      </c>
      <c r="B79" s="496" t="str">
        <f>IF(IDENTIFICACIÓN!D32="","",IDENTIFICACIÓN!D32)</f>
        <v>Gestión del Talento Humano. Deficiente desempeño laboral de los funcionarios de la Universidad.</v>
      </c>
      <c r="C79" s="356">
        <v>1</v>
      </c>
      <c r="D79" s="56" t="s">
        <v>11</v>
      </c>
      <c r="E79" s="240">
        <f t="shared" si="4"/>
        <v>10</v>
      </c>
      <c r="F79" s="44" t="s">
        <v>603</v>
      </c>
      <c r="G79" s="18" t="str">
        <f t="shared" si="521"/>
        <v/>
      </c>
      <c r="H79" s="44" t="s">
        <v>20</v>
      </c>
      <c r="I79" s="18" t="str">
        <f t="shared" si="522"/>
        <v/>
      </c>
      <c r="J79" s="55" t="str">
        <f t="shared" si="523"/>
        <v>Posibilidad</v>
      </c>
      <c r="K79" s="43" t="s">
        <v>11</v>
      </c>
      <c r="L79" s="18">
        <f t="shared" si="524"/>
        <v>15</v>
      </c>
      <c r="M79" s="43" t="s">
        <v>10</v>
      </c>
      <c r="N79" s="18">
        <f t="shared" si="525"/>
        <v>0</v>
      </c>
      <c r="O79" s="43" t="s">
        <v>323</v>
      </c>
      <c r="P79" s="18">
        <f t="shared" si="526"/>
        <v>10</v>
      </c>
      <c r="Q79" s="43" t="s">
        <v>11</v>
      </c>
      <c r="R79" s="18">
        <f t="shared" si="527"/>
        <v>5</v>
      </c>
      <c r="S79" s="43" t="s">
        <v>10</v>
      </c>
      <c r="T79" s="18">
        <f t="shared" si="528"/>
        <v>0</v>
      </c>
      <c r="U79" s="43" t="s">
        <v>10</v>
      </c>
      <c r="V79" s="18">
        <f t="shared" si="529"/>
        <v>0</v>
      </c>
      <c r="W79" s="18">
        <f t="shared" si="530"/>
        <v>40</v>
      </c>
      <c r="X79" s="57">
        <f t="shared" si="531"/>
        <v>40</v>
      </c>
      <c r="Y79" s="57">
        <f t="shared" si="532"/>
        <v>0</v>
      </c>
      <c r="Z79" s="356">
        <f t="shared" si="533"/>
        <v>0</v>
      </c>
      <c r="AA79" s="497">
        <f t="shared" ref="AA79" si="607">IF(AB79=0,"",(ROUND((SUM(W79:W81)/AB79),0)))</f>
        <v>53</v>
      </c>
      <c r="AB79" s="500">
        <f t="shared" ref="AB79" si="608">COUNT(T79:T81)</f>
        <v>2</v>
      </c>
      <c r="AC79" s="3">
        <f t="shared" ref="AC79" si="609">SUM(Y79:Y81)</f>
        <v>1</v>
      </c>
      <c r="AD79" s="3">
        <f>ANALISIS!D34</f>
        <v>5</v>
      </c>
      <c r="AE79" s="3">
        <f t="shared" ref="AE79:AE80" si="610">IF((AD79-AC79)&gt;=1,(AD79-AC79),1)</f>
        <v>4</v>
      </c>
      <c r="AF79" s="501">
        <f t="shared" si="538"/>
        <v>44</v>
      </c>
      <c r="AG79" s="355" t="str">
        <f t="shared" ref="AG79" si="611">IF(AE80=1,AH79,IF(AE80=2,AI79,IF(AE80=3,AJ79,IF(AE80=4,AK79,AL79))))</f>
        <v>EXTREMA 4:4</v>
      </c>
      <c r="AH79" s="46" t="str">
        <f t="shared" si="540"/>
        <v>ALTA 5:1</v>
      </c>
      <c r="AI79" s="46" t="str">
        <f t="shared" si="541"/>
        <v>ALTA 5:2</v>
      </c>
      <c r="AJ79" s="46" t="str">
        <f t="shared" si="542"/>
        <v>EXTREMA 5:3</v>
      </c>
      <c r="AK79" s="46" t="str">
        <f t="shared" si="543"/>
        <v>EXTREMA 4:4</v>
      </c>
      <c r="AL79" s="46" t="str">
        <f t="shared" si="544"/>
        <v>EXTREMA 5:5</v>
      </c>
      <c r="AM79" s="3" t="str">
        <f t="shared" si="545"/>
        <v/>
      </c>
      <c r="AN79" s="3" t="str">
        <f t="shared" si="546"/>
        <v/>
      </c>
      <c r="AO79" s="3" t="str">
        <f t="shared" si="547"/>
        <v/>
      </c>
      <c r="AP79" s="3" t="str">
        <f t="shared" si="548"/>
        <v/>
      </c>
      <c r="AQ79" s="3" t="str">
        <f t="shared" ref="AQ79" si="612">AM79</f>
        <v/>
      </c>
      <c r="AR79" s="3" t="str">
        <f t="shared" ref="AR79" si="613">AN79</f>
        <v/>
      </c>
      <c r="AT79" s="3" t="str">
        <f t="shared" ref="AT79" si="614">AO79</f>
        <v/>
      </c>
      <c r="AV79" s="3" t="str">
        <f t="shared" ref="AV79" si="615">AP79</f>
        <v/>
      </c>
      <c r="AX79" s="502" t="str">
        <f t="shared" ref="AX79" si="616">IF(AW81="","",CONCATENATE(AW81," (de) el(los) control(es) Efectivo(s) "))</f>
        <v xml:space="preserve">- Documentar, Establecer periodos de seguimiento adecuados (de) el(los) control(es) Efectivo(s) </v>
      </c>
      <c r="AY79" s="502" t="str">
        <f t="shared" ref="AY79" si="617">IF(CONCATENATE(N79:N81)="","",IF(AND(SUM(E79:E81)=10,SUM(N79:N81)&lt;30),"- Replantear control(es) NO efectivo(s) ",IF(AND(SUM(E79:E81)=20,SUM(N79:N81)&lt;60),"- Replantear control(es) NO efectivo(s) ",IF(AND(SUM(E79:E81)=30,SUM(N79:N81)&lt;90),"- Replantear control(es) NO efectivo(s) ",""))))</f>
        <v xml:space="preserve">- Replantear control(es) NO efectivo(s) </v>
      </c>
      <c r="AZ79" s="502" t="str">
        <f t="shared" ref="AZ79" si="618">IF(AND(AE79&gt;1,AE80&gt;1),"- Tomar Acciones Preventivas y Correctivas",IF(AE79&gt;1,"- Tomar Acciones Preventivas",IF(AE80&gt;1,"- Tomar Acciones Correctivas","")))</f>
        <v>- Tomar Acciones Preventivas y Correctivas</v>
      </c>
      <c r="BA79" s="502" t="str">
        <f t="shared" ref="BA79" si="619">CONCATENATE(AX79,AY79,AZ79)</f>
        <v>- Documentar, Establecer periodos de seguimiento adecuados (de) el(los) control(es) Efectivo(s) - Replantear control(es) NO efectivo(s) - Tomar Acciones Preventivas y Correctivas</v>
      </c>
      <c r="BB79" s="3" t="str">
        <f t="shared" si="557"/>
        <v/>
      </c>
      <c r="BC79" s="3" t="str">
        <f t="shared" si="558"/>
        <v>SI</v>
      </c>
      <c r="BD79" s="3" t="str">
        <f t="shared" si="559"/>
        <v/>
      </c>
      <c r="BE79" s="3" t="str">
        <f t="shared" si="560"/>
        <v>SI</v>
      </c>
      <c r="BF79" s="3" t="str">
        <f t="shared" si="561"/>
        <v/>
      </c>
      <c r="BG79" s="3" t="str">
        <f t="shared" si="562"/>
        <v>NO</v>
      </c>
      <c r="BH79" s="3" t="str">
        <f t="shared" si="563"/>
        <v/>
      </c>
      <c r="BI79" s="3" t="str">
        <f t="shared" si="25"/>
        <v>P</v>
      </c>
      <c r="BJ79" s="3" t="str">
        <f t="shared" si="26"/>
        <v/>
      </c>
      <c r="BK79" s="3" t="str">
        <f t="shared" si="27"/>
        <v>M</v>
      </c>
      <c r="BL79" s="3" t="str">
        <f t="shared" si="564"/>
        <v/>
      </c>
      <c r="BM79" s="3" t="str">
        <f t="shared" si="565"/>
        <v>NO</v>
      </c>
    </row>
    <row r="80" spans="1:65" ht="36" customHeight="1" x14ac:dyDescent="0.2">
      <c r="A80" s="503"/>
      <c r="B80" s="496"/>
      <c r="C80" s="356">
        <v>2</v>
      </c>
      <c r="D80" s="56" t="s">
        <v>11</v>
      </c>
      <c r="E80" s="240">
        <f t="shared" si="4"/>
        <v>10</v>
      </c>
      <c r="F80" s="44" t="s">
        <v>604</v>
      </c>
      <c r="G80" s="18" t="str">
        <f t="shared" si="521"/>
        <v/>
      </c>
      <c r="H80" s="44" t="s">
        <v>20</v>
      </c>
      <c r="I80" s="18" t="str">
        <f t="shared" si="522"/>
        <v/>
      </c>
      <c r="J80" s="55" t="str">
        <f t="shared" si="523"/>
        <v>Posibilidad</v>
      </c>
      <c r="K80" s="43" t="s">
        <v>10</v>
      </c>
      <c r="L80" s="18">
        <f t="shared" si="524"/>
        <v>0</v>
      </c>
      <c r="M80" s="43" t="s">
        <v>11</v>
      </c>
      <c r="N80" s="18">
        <f t="shared" si="525"/>
        <v>30</v>
      </c>
      <c r="O80" s="43" t="s">
        <v>323</v>
      </c>
      <c r="P80" s="18">
        <f t="shared" si="526"/>
        <v>10</v>
      </c>
      <c r="Q80" s="43" t="s">
        <v>11</v>
      </c>
      <c r="R80" s="18">
        <f t="shared" si="527"/>
        <v>5</v>
      </c>
      <c r="S80" s="43" t="s">
        <v>10</v>
      </c>
      <c r="T80" s="18">
        <f t="shared" si="528"/>
        <v>0</v>
      </c>
      <c r="U80" s="43" t="s">
        <v>11</v>
      </c>
      <c r="V80" s="18">
        <f t="shared" si="529"/>
        <v>10</v>
      </c>
      <c r="W80" s="18">
        <f t="shared" si="530"/>
        <v>65</v>
      </c>
      <c r="X80" s="57" t="str">
        <f t="shared" si="531"/>
        <v>65                           Disminuye max 1 en Posibilidad</v>
      </c>
      <c r="Y80" s="57">
        <f t="shared" si="532"/>
        <v>1</v>
      </c>
      <c r="Z80" s="356">
        <f t="shared" si="533"/>
        <v>0</v>
      </c>
      <c r="AA80" s="498"/>
      <c r="AB80" s="500"/>
      <c r="AC80" s="3">
        <f t="shared" ref="AC80" si="620">SUM(Z79:Z81)</f>
        <v>0</v>
      </c>
      <c r="AD80" s="3">
        <f>ANALISIS!G34</f>
        <v>4</v>
      </c>
      <c r="AE80" s="3">
        <f t="shared" si="610"/>
        <v>4</v>
      </c>
      <c r="AF80" s="501"/>
      <c r="AG80" s="355" t="str">
        <f t="shared" ref="AG80" si="621">IF(AE80=1,AH80,IF(AE80=2,AI80,IF(AE80=3,AJ80,IF(AE80=4,AK80,AL80))))</f>
        <v>- Eliminar Causa(s)- Evitar Posibilidad de Ocurrencia- Reducir el Riesgo- Compartir o Transferir el Riesgo</v>
      </c>
      <c r="AH80" s="46" t="str">
        <f t="shared" ref="AH80" si="622">IF($AF79=11,"- Asumir el Riesgo",IF($AF79=12,"- Asumir el Riesgo- Evitar Posibilidad de Ocurrencia- Reducir el Riesgo",IF($AF79=13,"- Asumir el Riesgo- Evitar Posibilidad de Ocurrencia- Reducir el Riesgo",IF($AF79=14,"-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0" s="46" t="str">
        <f t="shared" ref="AI80" si="623">IF($AF79=21,"- Asumir el Riesgo- Reducir el Riesgo",IF($AF79=22,"- Asumir el Riesgo- Evitar Posibilidad de Ocurrencia- Reducir el Riesgo",IF($AF79=23,"- Asumir el Riesgo- Evitar Posibilidad de Ocurrencia- Reducir el Riesgo- Compartir o Transferir el Riesgo",IF($AF79=24,"- Evitar Posibilidad de Ocurrencia- Reducir el Riesgo- Compartir o Transferir el Riesgo","- Evitar Posibilidad de Ocurrencia- Reducir el Riesgo- Compartir o Transferir el Riesgo"))))</f>
        <v>- Evitar Posibilidad de Ocurrencia- Reducir el Riesgo- Compartir o Transferir el Riesgo</v>
      </c>
      <c r="AJ80" s="46" t="str">
        <f t="shared" ref="AJ80" si="624">IF($AF79=31,"- Asumir el Riesgo- Reducir el Riesgo- Compartir o Transferir el Riesgo",IF($AF79=32,"- Asumir el Riesgo- Evitar Posibilidad de Ocurrencia- Reducir el Reducir- Compartir o Transferir el Riesgo",IF($AF79=33,"- Evitar Posibilidad de Ocurrencia- Reducir el Riesgo- Compartir o Transferir el Riesgo",IF($AF79=34,"-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0" s="46" t="str">
        <f t="shared" ref="AK80" si="625">IF($AF79=41,"- Reducir el Riesgo- Compartir o Transferir el Riesgo",IF($AF79=42,"- Evitar Posibilidad de Ocurrencia- Reducir el Riesgo- Compartir o Transferir el Riesgo",IF($AF79=43,"- Eliminar Causa(s)- Evitar Posibilidad de Ocurrencia- Reducir el Riesgo- Compartir o Transferir el Riesgo",IF($AF79=44,"-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0" s="46" t="str">
        <f t="shared" ref="AL80" si="626">IF($AF79=51,"- Reducir el Riesgo- Compartir o Transferir el Riesgo",IF($AF79=52,"- Eliminar Causa(s)- Evitar Posibilidad de Ocurrencia- Reducir el Riesgo- Compartir o Transferir el Riesgo",IF($AF79=53,"- Eliminar Causa(s)- Evitar Posibilidad de Ocurrencia- Reducir el Riesgo- Compartir o Transferir el Riesgo",IF($AF79=54,"-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0" s="3" t="str">
        <f t="shared" si="545"/>
        <v>Documentar</v>
      </c>
      <c r="AN80" s="3" t="str">
        <f t="shared" si="546"/>
        <v/>
      </c>
      <c r="AO80" s="3" t="str">
        <f t="shared" si="547"/>
        <v>Establecer periodos de seguimiento adecuados</v>
      </c>
      <c r="AP80" s="3" t="str">
        <f t="shared" si="548"/>
        <v/>
      </c>
      <c r="AQ80" s="3" t="str">
        <f t="shared" ref="AQ80:AQ81" si="627">IF(AQ79="Documentar",AQ79,AM80)</f>
        <v>Documentar</v>
      </c>
      <c r="AR80" s="3" t="str">
        <f t="shared" ref="AR80:AR81" si="628">IF(AR79="Asignar responsable",AR79,AN80)</f>
        <v/>
      </c>
      <c r="AT80" s="3" t="str">
        <f t="shared" ref="AT80:AT81" si="629">IF(AT79="Establecer periodos de seguimiento adecuados",AT79,AO80)</f>
        <v>Establecer periodos de seguimiento adecuados</v>
      </c>
      <c r="AV80" s="3" t="str">
        <f t="shared" ref="AV80:AV81" si="630">IF(AV79="Guardar Evidencias",AV79,AP80)</f>
        <v/>
      </c>
      <c r="AX80" s="502"/>
      <c r="AY80" s="502"/>
      <c r="AZ80" s="502"/>
      <c r="BA80" s="502"/>
      <c r="BB80" s="3" t="str">
        <f t="shared" si="557"/>
        <v>NO</v>
      </c>
      <c r="BC80" s="3" t="str">
        <f t="shared" si="558"/>
        <v/>
      </c>
      <c r="BD80" s="3" t="str">
        <f t="shared" si="559"/>
        <v>SI</v>
      </c>
      <c r="BE80" s="3" t="str">
        <f t="shared" si="560"/>
        <v/>
      </c>
      <c r="BF80" s="3" t="str">
        <f t="shared" si="561"/>
        <v>NO</v>
      </c>
      <c r="BG80" s="3" t="str">
        <f t="shared" si="562"/>
        <v/>
      </c>
      <c r="BH80" s="3" t="str">
        <f t="shared" si="563"/>
        <v>P</v>
      </c>
      <c r="BI80" s="3" t="str">
        <f t="shared" si="25"/>
        <v/>
      </c>
      <c r="BJ80" s="3" t="str">
        <f t="shared" si="26"/>
        <v>M</v>
      </c>
      <c r="BK80" s="3" t="str">
        <f t="shared" si="27"/>
        <v/>
      </c>
      <c r="BL80" s="3" t="str">
        <f t="shared" si="564"/>
        <v>SI</v>
      </c>
      <c r="BM80" s="3" t="str">
        <f t="shared" si="565"/>
        <v/>
      </c>
    </row>
    <row r="81" spans="1:65" ht="36" customHeight="1" x14ac:dyDescent="0.2">
      <c r="A81" s="503"/>
      <c r="B81" s="496"/>
      <c r="C81" s="356">
        <v>3</v>
      </c>
      <c r="D81" s="56"/>
      <c r="E81" s="240" t="str">
        <f t="shared" si="4"/>
        <v/>
      </c>
      <c r="F81" s="44"/>
      <c r="G81" s="18" t="str">
        <f t="shared" si="521"/>
        <v/>
      </c>
      <c r="H81" s="44"/>
      <c r="I81" s="18" t="str">
        <f t="shared" si="522"/>
        <v/>
      </c>
      <c r="J81" s="55" t="str">
        <f t="shared" si="523"/>
        <v/>
      </c>
      <c r="K81" s="43"/>
      <c r="L81" s="18" t="str">
        <f t="shared" si="524"/>
        <v/>
      </c>
      <c r="M81" s="43"/>
      <c r="N81" s="18" t="str">
        <f t="shared" si="525"/>
        <v/>
      </c>
      <c r="O81" s="43"/>
      <c r="P81" s="18" t="str">
        <f t="shared" si="526"/>
        <v/>
      </c>
      <c r="Q81" s="43"/>
      <c r="R81" s="18" t="str">
        <f t="shared" si="527"/>
        <v/>
      </c>
      <c r="S81" s="43"/>
      <c r="T81" s="18" t="str">
        <f t="shared" si="528"/>
        <v/>
      </c>
      <c r="U81" s="43"/>
      <c r="V81" s="18" t="str">
        <f t="shared" si="529"/>
        <v/>
      </c>
      <c r="W81" s="18">
        <f t="shared" si="530"/>
        <v>0</v>
      </c>
      <c r="X81" s="57" t="str">
        <f t="shared" si="531"/>
        <v/>
      </c>
      <c r="Y81" s="57">
        <f t="shared" si="532"/>
        <v>0</v>
      </c>
      <c r="Z81" s="356">
        <f t="shared" si="533"/>
        <v>0</v>
      </c>
      <c r="AA81" s="499"/>
      <c r="AB81" s="500"/>
      <c r="AM81" s="3" t="str">
        <f t="shared" si="545"/>
        <v/>
      </c>
      <c r="AN81" s="3" t="str">
        <f t="shared" si="546"/>
        <v/>
      </c>
      <c r="AO81" s="3" t="str">
        <f t="shared" si="547"/>
        <v/>
      </c>
      <c r="AP81" s="3" t="str">
        <f t="shared" si="548"/>
        <v/>
      </c>
      <c r="AQ81" s="3" t="str">
        <f t="shared" si="627"/>
        <v>Documentar</v>
      </c>
      <c r="AR81" s="3" t="str">
        <f t="shared" si="628"/>
        <v/>
      </c>
      <c r="AS81" s="3" t="str">
        <f t="shared" ref="AS81" si="631">IF(AND(AQ81="Documentar",AR81="Asignar responsable"),CONCATENATE("- ",AQ81,", ",AR81),IF(AQ81="Documentar",CONCATENATE("- ",AQ81),IF(AR81="Asignar responsable",CONCATENATE("- ",AR81),"")))</f>
        <v>- Documentar</v>
      </c>
      <c r="AT81" s="3" t="str">
        <f t="shared" si="629"/>
        <v>Establecer periodos de seguimiento adecuados</v>
      </c>
      <c r="AU81" s="3" t="str">
        <f t="shared" ref="AU81" si="632">IF(AT81="",AS81,IF(AS81="",CONCATENATE("- ",AT81),CONCATENATE(AS81,", ",AT81)))</f>
        <v>- Documentar, Establecer periodos de seguimiento adecuados</v>
      </c>
      <c r="AV81" s="3" t="str">
        <f t="shared" si="630"/>
        <v/>
      </c>
      <c r="AW81" s="3" t="str">
        <f t="shared" ref="AW81" si="633">IF(AV81="",AU81,IF(AU81="",CONCATENATE("- ",AV81),CONCATENATE(AU81,", ",AV81)))</f>
        <v>- Documentar, Establecer periodos de seguimiento adecuados</v>
      </c>
      <c r="AX81" s="502"/>
      <c r="AY81" s="502"/>
      <c r="AZ81" s="502"/>
      <c r="BA81" s="502"/>
      <c r="BB81" s="3" t="str">
        <f t="shared" si="557"/>
        <v/>
      </c>
      <c r="BC81" s="3" t="str">
        <f t="shared" si="558"/>
        <v/>
      </c>
      <c r="BD81" s="3" t="str">
        <f t="shared" si="559"/>
        <v/>
      </c>
      <c r="BE81" s="3" t="str">
        <f t="shared" si="560"/>
        <v/>
      </c>
      <c r="BF81" s="3" t="str">
        <f t="shared" si="561"/>
        <v/>
      </c>
      <c r="BG81" s="3" t="str">
        <f t="shared" si="562"/>
        <v/>
      </c>
      <c r="BH81" s="3" t="str">
        <f t="shared" si="563"/>
        <v/>
      </c>
      <c r="BI81" s="3" t="str">
        <f t="shared" si="25"/>
        <v/>
      </c>
      <c r="BJ81" s="3" t="str">
        <f t="shared" si="26"/>
        <v/>
      </c>
      <c r="BK81" s="3" t="str">
        <f t="shared" si="27"/>
        <v/>
      </c>
      <c r="BL81" s="3" t="str">
        <f t="shared" si="564"/>
        <v/>
      </c>
      <c r="BM81" s="3" t="str">
        <f t="shared" si="565"/>
        <v/>
      </c>
    </row>
    <row r="82" spans="1:65" ht="36" customHeight="1" x14ac:dyDescent="0.2">
      <c r="A82" s="503" t="str">
        <f>IDENTIFICACIÓN!C33</f>
        <v>25G</v>
      </c>
      <c r="B82" s="496" t="str">
        <f>IF(IDENTIFICACIÓN!D33="","",IDENTIFICACIÓN!D33)</f>
        <v>Gestión del Talento Humano. Falta de plan de incentivos y/o estímulos.</v>
      </c>
      <c r="C82" s="356">
        <v>1</v>
      </c>
      <c r="D82" s="56" t="s">
        <v>10</v>
      </c>
      <c r="E82" s="240">
        <f t="shared" si="4"/>
        <v>0</v>
      </c>
      <c r="F82" s="44"/>
      <c r="G82" s="18" t="str">
        <f t="shared" si="521"/>
        <v/>
      </c>
      <c r="H82" s="44"/>
      <c r="I82" s="18" t="str">
        <f t="shared" si="522"/>
        <v/>
      </c>
      <c r="J82" s="55" t="str">
        <f t="shared" si="523"/>
        <v/>
      </c>
      <c r="K82" s="43"/>
      <c r="L82" s="18" t="str">
        <f t="shared" si="524"/>
        <v/>
      </c>
      <c r="M82" s="43"/>
      <c r="N82" s="18" t="str">
        <f t="shared" si="525"/>
        <v/>
      </c>
      <c r="O82" s="43"/>
      <c r="P82" s="18" t="str">
        <f t="shared" si="526"/>
        <v/>
      </c>
      <c r="Q82" s="43"/>
      <c r="R82" s="18" t="str">
        <f t="shared" si="527"/>
        <v/>
      </c>
      <c r="S82" s="43"/>
      <c r="T82" s="18" t="str">
        <f t="shared" si="528"/>
        <v/>
      </c>
      <c r="U82" s="43"/>
      <c r="V82" s="18" t="str">
        <f t="shared" si="529"/>
        <v/>
      </c>
      <c r="W82" s="18">
        <f t="shared" si="530"/>
        <v>0</v>
      </c>
      <c r="X82" s="57">
        <f t="shared" si="531"/>
        <v>0</v>
      </c>
      <c r="Y82" s="57">
        <f t="shared" si="532"/>
        <v>0</v>
      </c>
      <c r="Z82" s="356">
        <f t="shared" si="533"/>
        <v>0</v>
      </c>
      <c r="AA82" s="497" t="str">
        <f t="shared" ref="AA82" si="634">IF(AB82=0,"",(ROUND((SUM(W82:W84)/AB82),0)))</f>
        <v/>
      </c>
      <c r="AB82" s="500">
        <f t="shared" ref="AB82" si="635">COUNT(T82:T84)</f>
        <v>0</v>
      </c>
      <c r="AC82" s="3">
        <f t="shared" ref="AC82" si="636">SUM(Y82:Y84)</f>
        <v>0</v>
      </c>
      <c r="AD82" s="3">
        <f>ANALISIS!D35</f>
        <v>5</v>
      </c>
      <c r="AE82" s="3">
        <f t="shared" ref="AE82:AE83" si="637">IF((AD82-AC82)&gt;=1,(AD82-AC82),1)</f>
        <v>5</v>
      </c>
      <c r="AF82" s="501">
        <f t="shared" si="538"/>
        <v>35</v>
      </c>
      <c r="AG82" s="355" t="str">
        <f t="shared" ref="AG82" si="638">IF(AE83=1,AH82,IF(AE83=2,AI82,IF(AE83=3,AJ82,IF(AE83=4,AK82,AL82))))</f>
        <v>EXTREMA 5:3</v>
      </c>
      <c r="AH82" s="46" t="str">
        <f t="shared" si="540"/>
        <v>ALTA 5:1</v>
      </c>
      <c r="AI82" s="46" t="str">
        <f t="shared" si="541"/>
        <v>ALTA 5:2</v>
      </c>
      <c r="AJ82" s="46" t="str">
        <f t="shared" si="542"/>
        <v>EXTREMA 5:3</v>
      </c>
      <c r="AK82" s="46" t="str">
        <f t="shared" si="543"/>
        <v>EXTREMA 5:4</v>
      </c>
      <c r="AL82" s="46" t="str">
        <f t="shared" si="544"/>
        <v>EXTREMA 5:5</v>
      </c>
      <c r="AM82" s="3" t="str">
        <f t="shared" si="545"/>
        <v/>
      </c>
      <c r="AN82" s="3" t="str">
        <f t="shared" si="546"/>
        <v/>
      </c>
      <c r="AO82" s="3" t="str">
        <f t="shared" si="547"/>
        <v/>
      </c>
      <c r="AP82" s="3" t="str">
        <f t="shared" si="548"/>
        <v/>
      </c>
      <c r="AQ82" s="3" t="str">
        <f t="shared" ref="AQ82" si="639">AM82</f>
        <v/>
      </c>
      <c r="AR82" s="3" t="str">
        <f t="shared" ref="AR82" si="640">AN82</f>
        <v/>
      </c>
      <c r="AT82" s="3" t="str">
        <f t="shared" ref="AT82" si="641">AO82</f>
        <v/>
      </c>
      <c r="AV82" s="3" t="str">
        <f t="shared" ref="AV82" si="642">AP82</f>
        <v/>
      </c>
      <c r="AX82" s="502" t="str">
        <f t="shared" ref="AX82" si="643">IF(AW84="","",CONCATENATE(AW84," (de) el(los) control(es) Efectivo(s) "))</f>
        <v/>
      </c>
      <c r="AY82" s="502" t="str">
        <f t="shared" ref="AY82" si="644">IF(CONCATENATE(N82:N84)="","",IF(AND(SUM(E82:E84)=10,SUM(N82:N84)&lt;30),"- Replantear control(es) NO efectivo(s) ",IF(AND(SUM(E82:E84)=20,SUM(N82:N84)&lt;60),"- Replantear control(es) NO efectivo(s) ",IF(AND(SUM(E82:E84)=30,SUM(N82:N84)&lt;90),"- Replantear control(es) NO efectivo(s) ",""))))</f>
        <v/>
      </c>
      <c r="AZ82" s="502" t="str">
        <f t="shared" ref="AZ82" si="645">IF(AND(AE82&gt;1,AE83&gt;1),"- Tomar Acciones Preventivas y Correctivas",IF(AE82&gt;1,"- Tomar Acciones Preventivas",IF(AE83&gt;1,"- Tomar Acciones Correctivas","")))</f>
        <v>- Tomar Acciones Preventivas y Correctivas</v>
      </c>
      <c r="BA82" s="502" t="str">
        <f t="shared" ref="BA82" si="646">CONCATENATE(AX82,AY82,AZ82)</f>
        <v>- Tomar Acciones Preventivas y Correctivas</v>
      </c>
      <c r="BB82" s="3" t="str">
        <f t="shared" si="557"/>
        <v/>
      </c>
      <c r="BC82" s="3" t="str">
        <f t="shared" si="558"/>
        <v/>
      </c>
      <c r="BD82" s="3" t="str">
        <f t="shared" si="559"/>
        <v/>
      </c>
      <c r="BE82" s="3" t="str">
        <f t="shared" si="560"/>
        <v/>
      </c>
      <c r="BF82" s="3" t="str">
        <f t="shared" si="561"/>
        <v/>
      </c>
      <c r="BG82" s="3" t="str">
        <f t="shared" si="562"/>
        <v/>
      </c>
      <c r="BH82" s="3" t="str">
        <f t="shared" si="563"/>
        <v/>
      </c>
      <c r="BI82" s="3" t="str">
        <f t="shared" si="25"/>
        <v/>
      </c>
      <c r="BJ82" s="3" t="str">
        <f t="shared" si="26"/>
        <v/>
      </c>
      <c r="BK82" s="3" t="str">
        <f t="shared" si="27"/>
        <v/>
      </c>
      <c r="BL82" s="3" t="str">
        <f t="shared" si="564"/>
        <v/>
      </c>
      <c r="BM82" s="3" t="str">
        <f t="shared" si="565"/>
        <v/>
      </c>
    </row>
    <row r="83" spans="1:65" ht="36" customHeight="1" x14ac:dyDescent="0.2">
      <c r="A83" s="503"/>
      <c r="B83" s="496"/>
      <c r="C83" s="356">
        <v>2</v>
      </c>
      <c r="D83" s="56"/>
      <c r="E83" s="240" t="str">
        <f t="shared" si="4"/>
        <v/>
      </c>
      <c r="F83" s="44"/>
      <c r="G83" s="18" t="str">
        <f t="shared" si="521"/>
        <v/>
      </c>
      <c r="H83" s="44"/>
      <c r="I83" s="18" t="str">
        <f t="shared" si="522"/>
        <v/>
      </c>
      <c r="J83" s="55" t="str">
        <f t="shared" si="523"/>
        <v/>
      </c>
      <c r="K83" s="43"/>
      <c r="L83" s="18" t="str">
        <f t="shared" si="524"/>
        <v/>
      </c>
      <c r="M83" s="43"/>
      <c r="N83" s="18" t="str">
        <f t="shared" si="525"/>
        <v/>
      </c>
      <c r="O83" s="43"/>
      <c r="P83" s="18" t="str">
        <f t="shared" si="526"/>
        <v/>
      </c>
      <c r="Q83" s="43"/>
      <c r="R83" s="18" t="str">
        <f t="shared" si="527"/>
        <v/>
      </c>
      <c r="S83" s="43"/>
      <c r="T83" s="18" t="str">
        <f t="shared" si="528"/>
        <v/>
      </c>
      <c r="U83" s="43"/>
      <c r="V83" s="18" t="str">
        <f t="shared" si="529"/>
        <v/>
      </c>
      <c r="W83" s="18">
        <f t="shared" si="530"/>
        <v>0</v>
      </c>
      <c r="X83" s="57" t="str">
        <f t="shared" si="531"/>
        <v/>
      </c>
      <c r="Y83" s="57">
        <f t="shared" si="532"/>
        <v>0</v>
      </c>
      <c r="Z83" s="356">
        <f t="shared" si="533"/>
        <v>0</v>
      </c>
      <c r="AA83" s="498"/>
      <c r="AB83" s="500"/>
      <c r="AC83" s="3">
        <f t="shared" ref="AC83" si="647">SUM(Z82:Z84)</f>
        <v>0</v>
      </c>
      <c r="AD83" s="3">
        <f>ANALISIS!G35</f>
        <v>3</v>
      </c>
      <c r="AE83" s="3">
        <f t="shared" si="637"/>
        <v>3</v>
      </c>
      <c r="AF83" s="501"/>
      <c r="AG83" s="355" t="str">
        <f t="shared" ref="AG83" si="648">IF(AE83=1,AH83,IF(AE83=2,AI83,IF(AE83=3,AJ83,IF(AE83=4,AK83,AL83))))</f>
        <v>- Eliminar Causa(s)- Evitar Posibilidad de Ocurrencia- Reducir el Riesgo- Compartir o Transferir el Riesgo</v>
      </c>
      <c r="AH83" s="46" t="str">
        <f t="shared" ref="AH83" si="649">IF($AF82=11,"- Asumir el Riesgo",IF($AF82=12,"- Asumir el Riesgo- Evitar Posibilidad de Ocurrencia- Reducir el Riesgo",IF($AF82=13,"- Asumir el Riesgo- Evitar Posibilidad de Ocurrencia- Reducir el Riesgo",IF($AF82=14,"-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3" s="46" t="str">
        <f t="shared" ref="AI83" si="650">IF($AF82=21,"- Asumir el Riesgo- Reducir el Riesgo",IF($AF82=22,"- Asumir el Riesgo- Evitar Posibilidad de Ocurrencia- Reducir el Riesgo",IF($AF82=23,"- Asumir el Riesgo- Evitar Posibilidad de Ocurrencia- Reducir el Riesgo- Compartir o Transferir el Riesgo",IF($AF82=24,"- Evitar Posibilidad de Ocurrencia- Reducir el Riesgo- Compartir o Transferir el Riesgo","- Evitar Posibilidad de Ocurrencia- Reducir el Riesgo- Compartir o Transferir el Riesgo"))))</f>
        <v>- Evitar Posibilidad de Ocurrencia- Reducir el Riesgo- Compartir o Transferir el Riesgo</v>
      </c>
      <c r="AJ83" s="46" t="str">
        <f t="shared" ref="AJ83" si="651">IF($AF82=31,"- Asumir el Riesgo- Reducir el Riesgo- Compartir o Transferir el Riesgo",IF($AF82=32,"- Asumir el Riesgo- Evitar Posibilidad de Ocurrencia- Reducir el Reducir- Compartir o Transferir el Riesgo",IF($AF82=33,"- Evitar Posibilidad de Ocurrencia- Reducir el Riesgo- Compartir o Transferir el Riesgo",IF($AF82=34,"-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3" s="46" t="str">
        <f t="shared" ref="AK83" si="652">IF($AF82=41,"- Reducir el Riesgo- Compartir o Transferir el Riesgo",IF($AF82=42,"- Evitar Posibilidad de Ocurrencia- Reducir el Riesgo- Compartir o Transferir el Riesgo",IF($AF82=43,"- Eliminar Causa(s)- Evitar Posibilidad de Ocurrencia- Reducir el Riesgo- Compartir o Transferir el Riesgo",IF($AF82=44,"-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3" s="46" t="str">
        <f t="shared" ref="AL83" si="653">IF($AF82=51,"- Reducir el Riesgo- Compartir o Transferir el Riesgo",IF($AF82=52,"- Eliminar Causa(s)- Evitar Posibilidad de Ocurrencia- Reducir el Riesgo- Compartir o Transferir el Riesgo",IF($AF82=53,"- Eliminar Causa(s)- Evitar Posibilidad de Ocurrencia- Reducir el Riesgo- Compartir o Transferir el Riesgo",IF($AF82=54,"-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3" s="3" t="str">
        <f t="shared" si="545"/>
        <v/>
      </c>
      <c r="AN83" s="3" t="str">
        <f t="shared" si="546"/>
        <v/>
      </c>
      <c r="AO83" s="3" t="str">
        <f t="shared" si="547"/>
        <v/>
      </c>
      <c r="AP83" s="3" t="str">
        <f t="shared" si="548"/>
        <v/>
      </c>
      <c r="AQ83" s="3" t="str">
        <f t="shared" ref="AQ83:AQ84" si="654">IF(AQ82="Documentar",AQ82,AM83)</f>
        <v/>
      </c>
      <c r="AR83" s="3" t="str">
        <f t="shared" ref="AR83:AR84" si="655">IF(AR82="Asignar responsable",AR82,AN83)</f>
        <v/>
      </c>
      <c r="AT83" s="3" t="str">
        <f t="shared" ref="AT83:AT84" si="656">IF(AT82="Establecer periodos de seguimiento adecuados",AT82,AO83)</f>
        <v/>
      </c>
      <c r="AV83" s="3" t="str">
        <f t="shared" ref="AV83:AV84" si="657">IF(AV82="Guardar Evidencias",AV82,AP83)</f>
        <v/>
      </c>
      <c r="AX83" s="502"/>
      <c r="AY83" s="502"/>
      <c r="AZ83" s="502"/>
      <c r="BA83" s="502"/>
      <c r="BB83" s="3" t="str">
        <f t="shared" si="557"/>
        <v/>
      </c>
      <c r="BC83" s="3" t="str">
        <f t="shared" si="558"/>
        <v/>
      </c>
      <c r="BD83" s="3" t="str">
        <f t="shared" si="559"/>
        <v/>
      </c>
      <c r="BE83" s="3" t="str">
        <f t="shared" si="560"/>
        <v/>
      </c>
      <c r="BF83" s="3" t="str">
        <f t="shared" si="561"/>
        <v/>
      </c>
      <c r="BG83" s="3" t="str">
        <f t="shared" si="562"/>
        <v/>
      </c>
      <c r="BH83" s="3" t="str">
        <f t="shared" si="563"/>
        <v/>
      </c>
      <c r="BI83" s="3" t="str">
        <f t="shared" si="25"/>
        <v/>
      </c>
      <c r="BJ83" s="3" t="str">
        <f t="shared" si="26"/>
        <v/>
      </c>
      <c r="BK83" s="3" t="str">
        <f t="shared" si="27"/>
        <v/>
      </c>
      <c r="BL83" s="3" t="str">
        <f t="shared" si="564"/>
        <v/>
      </c>
      <c r="BM83" s="3" t="str">
        <f t="shared" si="565"/>
        <v/>
      </c>
    </row>
    <row r="84" spans="1:65" ht="36" customHeight="1" x14ac:dyDescent="0.2">
      <c r="A84" s="503"/>
      <c r="B84" s="496"/>
      <c r="C84" s="356">
        <v>3</v>
      </c>
      <c r="D84" s="56"/>
      <c r="E84" s="240" t="str">
        <f t="shared" si="4"/>
        <v/>
      </c>
      <c r="F84" s="44"/>
      <c r="G84" s="18" t="str">
        <f t="shared" si="521"/>
        <v/>
      </c>
      <c r="H84" s="44"/>
      <c r="I84" s="18" t="str">
        <f t="shared" si="522"/>
        <v/>
      </c>
      <c r="J84" s="55" t="str">
        <f t="shared" si="523"/>
        <v/>
      </c>
      <c r="K84" s="43"/>
      <c r="L84" s="18" t="str">
        <f t="shared" si="524"/>
        <v/>
      </c>
      <c r="M84" s="43"/>
      <c r="N84" s="18" t="str">
        <f t="shared" si="525"/>
        <v/>
      </c>
      <c r="O84" s="43"/>
      <c r="P84" s="18" t="str">
        <f t="shared" si="526"/>
        <v/>
      </c>
      <c r="Q84" s="43"/>
      <c r="R84" s="18" t="str">
        <f t="shared" si="527"/>
        <v/>
      </c>
      <c r="S84" s="43"/>
      <c r="T84" s="18" t="str">
        <f t="shared" si="528"/>
        <v/>
      </c>
      <c r="U84" s="43"/>
      <c r="V84" s="18" t="str">
        <f t="shared" si="529"/>
        <v/>
      </c>
      <c r="W84" s="18">
        <f t="shared" si="530"/>
        <v>0</v>
      </c>
      <c r="X84" s="57" t="str">
        <f t="shared" si="531"/>
        <v/>
      </c>
      <c r="Y84" s="57">
        <f t="shared" si="532"/>
        <v>0</v>
      </c>
      <c r="Z84" s="356">
        <f t="shared" si="533"/>
        <v>0</v>
      </c>
      <c r="AA84" s="499"/>
      <c r="AB84" s="500"/>
      <c r="AM84" s="3" t="str">
        <f t="shared" si="545"/>
        <v/>
      </c>
      <c r="AN84" s="3" t="str">
        <f t="shared" si="546"/>
        <v/>
      </c>
      <c r="AO84" s="3" t="str">
        <f t="shared" si="547"/>
        <v/>
      </c>
      <c r="AP84" s="3" t="str">
        <f t="shared" si="548"/>
        <v/>
      </c>
      <c r="AQ84" s="3" t="str">
        <f t="shared" si="654"/>
        <v/>
      </c>
      <c r="AR84" s="3" t="str">
        <f t="shared" si="655"/>
        <v/>
      </c>
      <c r="AS84" s="3" t="str">
        <f t="shared" ref="AS84" si="658">IF(AND(AQ84="Documentar",AR84="Asignar responsable"),CONCATENATE("- ",AQ84,", ",AR84),IF(AQ84="Documentar",CONCATENATE("- ",AQ84),IF(AR84="Asignar responsable",CONCATENATE("- ",AR84),"")))</f>
        <v/>
      </c>
      <c r="AT84" s="3" t="str">
        <f t="shared" si="656"/>
        <v/>
      </c>
      <c r="AU84" s="3" t="str">
        <f t="shared" ref="AU84" si="659">IF(AT84="",AS84,IF(AS84="",CONCATENATE("- ",AT84),CONCATENATE(AS84,", ",AT84)))</f>
        <v/>
      </c>
      <c r="AV84" s="3" t="str">
        <f t="shared" si="657"/>
        <v/>
      </c>
      <c r="AW84" s="3" t="str">
        <f t="shared" ref="AW84" si="660">IF(AV84="",AU84,IF(AU84="",CONCATENATE("- ",AV84),CONCATENATE(AU84,", ",AV84)))</f>
        <v/>
      </c>
      <c r="AX84" s="502"/>
      <c r="AY84" s="502"/>
      <c r="AZ84" s="502"/>
      <c r="BA84" s="502"/>
      <c r="BB84" s="3" t="str">
        <f t="shared" si="557"/>
        <v/>
      </c>
      <c r="BC84" s="3" t="str">
        <f t="shared" si="558"/>
        <v/>
      </c>
      <c r="BD84" s="3" t="str">
        <f t="shared" si="559"/>
        <v/>
      </c>
      <c r="BE84" s="3" t="str">
        <f t="shared" si="560"/>
        <v/>
      </c>
      <c r="BF84" s="3" t="str">
        <f t="shared" si="561"/>
        <v/>
      </c>
      <c r="BG84" s="3" t="str">
        <f t="shared" si="562"/>
        <v/>
      </c>
      <c r="BH84" s="3" t="str">
        <f t="shared" si="563"/>
        <v/>
      </c>
      <c r="BI84" s="3" t="str">
        <f t="shared" si="25"/>
        <v/>
      </c>
      <c r="BJ84" s="3" t="str">
        <f t="shared" si="26"/>
        <v/>
      </c>
      <c r="BK84" s="3" t="str">
        <f t="shared" si="27"/>
        <v/>
      </c>
      <c r="BL84" s="3" t="str">
        <f t="shared" si="564"/>
        <v/>
      </c>
      <c r="BM84" s="3" t="str">
        <f t="shared" si="565"/>
        <v/>
      </c>
    </row>
    <row r="85" spans="1:65" ht="36" customHeight="1" x14ac:dyDescent="0.2">
      <c r="A85" s="503" t="str">
        <f>IDENTIFICACIÓN!C34</f>
        <v>26G</v>
      </c>
      <c r="B85" s="496" t="str">
        <f>IF(IDENTIFICACIÓN!D34="","",IDENTIFICACIÓN!D34)</f>
        <v>Gestión del Talento Humano. Demoras en la afilicación de catedráticos y ocasionales al Sistema de Seguridad Social Integral, y de los contratistas y estudiantes de Práctica a la Administradora de Riesgos Laborales.</v>
      </c>
      <c r="C85" s="356">
        <v>1</v>
      </c>
      <c r="D85" s="56" t="s">
        <v>11</v>
      </c>
      <c r="E85" s="240">
        <f t="shared" si="4"/>
        <v>10</v>
      </c>
      <c r="F85" s="44" t="s">
        <v>605</v>
      </c>
      <c r="G85" s="18" t="str">
        <f t="shared" si="521"/>
        <v/>
      </c>
      <c r="H85" s="44" t="s">
        <v>20</v>
      </c>
      <c r="I85" s="18" t="str">
        <f t="shared" si="522"/>
        <v/>
      </c>
      <c r="J85" s="55" t="str">
        <f t="shared" si="523"/>
        <v>Posibilidad</v>
      </c>
      <c r="K85" s="43" t="s">
        <v>11</v>
      </c>
      <c r="L85" s="18">
        <f t="shared" si="524"/>
        <v>15</v>
      </c>
      <c r="M85" s="43" t="s">
        <v>10</v>
      </c>
      <c r="N85" s="18">
        <f t="shared" si="525"/>
        <v>0</v>
      </c>
      <c r="O85" s="43" t="s">
        <v>323</v>
      </c>
      <c r="P85" s="18">
        <f t="shared" si="526"/>
        <v>10</v>
      </c>
      <c r="Q85" s="43" t="s">
        <v>11</v>
      </c>
      <c r="R85" s="18">
        <f t="shared" si="527"/>
        <v>5</v>
      </c>
      <c r="S85" s="43" t="s">
        <v>10</v>
      </c>
      <c r="T85" s="18">
        <f t="shared" si="528"/>
        <v>0</v>
      </c>
      <c r="U85" s="43" t="s">
        <v>11</v>
      </c>
      <c r="V85" s="18">
        <f t="shared" si="529"/>
        <v>10</v>
      </c>
      <c r="W85" s="18">
        <f t="shared" si="530"/>
        <v>50</v>
      </c>
      <c r="X85" s="57">
        <f t="shared" si="531"/>
        <v>50</v>
      </c>
      <c r="Y85" s="57">
        <f t="shared" si="532"/>
        <v>0</v>
      </c>
      <c r="Z85" s="356">
        <f t="shared" si="533"/>
        <v>0</v>
      </c>
      <c r="AA85" s="497">
        <f t="shared" ref="AA85" si="661">IF(AB85=0,"",(ROUND((SUM(W85:W87)/AB85),0)))</f>
        <v>43</v>
      </c>
      <c r="AB85" s="500">
        <f t="shared" ref="AB85" si="662">COUNT(T85:T87)</f>
        <v>2</v>
      </c>
      <c r="AC85" s="3">
        <f t="shared" ref="AC85" si="663">SUM(Y85:Y87)</f>
        <v>0</v>
      </c>
      <c r="AD85" s="3">
        <f>ANALISIS!D36</f>
        <v>5</v>
      </c>
      <c r="AE85" s="3">
        <f t="shared" ref="AE85:AE86" si="664">IF((AD85-AC85)&gt;=1,(AD85-AC85),1)</f>
        <v>5</v>
      </c>
      <c r="AF85" s="501">
        <f t="shared" si="538"/>
        <v>35</v>
      </c>
      <c r="AG85" s="355" t="str">
        <f t="shared" ref="AG85" si="665">IF(AE86=1,AH85,IF(AE86=2,AI85,IF(AE86=3,AJ85,IF(AE86=4,AK85,AL85))))</f>
        <v>EXTREMA 5:3</v>
      </c>
      <c r="AH85" s="46" t="str">
        <f t="shared" si="540"/>
        <v>ALTA 5:1</v>
      </c>
      <c r="AI85" s="46" t="str">
        <f t="shared" si="541"/>
        <v>ALTA 5:2</v>
      </c>
      <c r="AJ85" s="46" t="str">
        <f t="shared" si="542"/>
        <v>EXTREMA 5:3</v>
      </c>
      <c r="AK85" s="46" t="str">
        <f t="shared" si="543"/>
        <v>EXTREMA 5:4</v>
      </c>
      <c r="AL85" s="46" t="str">
        <f t="shared" si="544"/>
        <v>EXTREMA 5:5</v>
      </c>
      <c r="AM85" s="3" t="str">
        <f t="shared" si="545"/>
        <v/>
      </c>
      <c r="AN85" s="3" t="str">
        <f t="shared" si="546"/>
        <v/>
      </c>
      <c r="AO85" s="3" t="str">
        <f t="shared" si="547"/>
        <v/>
      </c>
      <c r="AP85" s="3" t="str">
        <f t="shared" si="548"/>
        <v/>
      </c>
      <c r="AQ85" s="3" t="str">
        <f t="shared" ref="AQ85" si="666">AM85</f>
        <v/>
      </c>
      <c r="AR85" s="3" t="str">
        <f t="shared" ref="AR85" si="667">AN85</f>
        <v/>
      </c>
      <c r="AT85" s="3" t="str">
        <f t="shared" ref="AT85" si="668">AO85</f>
        <v/>
      </c>
      <c r="AV85" s="3" t="str">
        <f t="shared" ref="AV85" si="669">AP85</f>
        <v/>
      </c>
      <c r="AX85" s="502" t="str">
        <f t="shared" ref="AX85" si="670">IF(AW87="","",CONCATENATE(AW87," (de) el(los) control(es) Efectivo(s) "))</f>
        <v/>
      </c>
      <c r="AY85" s="502" t="str">
        <f t="shared" ref="AY85" si="671">IF(CONCATENATE(N85:N87)="","",IF(AND(SUM(E85:E87)=10,SUM(N85:N87)&lt;30),"- Replantear control(es) NO efectivo(s) ",IF(AND(SUM(E85:E87)=20,SUM(N85:N87)&lt;60),"- Replantear control(es) NO efectivo(s) ",IF(AND(SUM(E85:E87)=30,SUM(N85:N87)&lt;90),"- Replantear control(es) NO efectivo(s) ",""))))</f>
        <v xml:space="preserve">- Replantear control(es) NO efectivo(s) </v>
      </c>
      <c r="AZ85" s="502" t="str">
        <f t="shared" ref="AZ85" si="672">IF(AND(AE85&gt;1,AE86&gt;1),"- Tomar Acciones Preventivas y Correctivas",IF(AE85&gt;1,"- Tomar Acciones Preventivas",IF(AE86&gt;1,"- Tomar Acciones Correctivas","")))</f>
        <v>- Tomar Acciones Preventivas y Correctivas</v>
      </c>
      <c r="BA85" s="502" t="str">
        <f t="shared" ref="BA85" si="673">CONCATENATE(AX85,AY85,AZ85)</f>
        <v>- Replantear control(es) NO efectivo(s) - Tomar Acciones Preventivas y Correctivas</v>
      </c>
      <c r="BB85" s="3" t="str">
        <f t="shared" si="557"/>
        <v/>
      </c>
      <c r="BC85" s="3" t="str">
        <f t="shared" si="558"/>
        <v>SI</v>
      </c>
      <c r="BD85" s="3" t="str">
        <f t="shared" si="559"/>
        <v/>
      </c>
      <c r="BE85" s="3" t="str">
        <f t="shared" si="560"/>
        <v>SI</v>
      </c>
      <c r="BF85" s="3" t="str">
        <f t="shared" si="561"/>
        <v/>
      </c>
      <c r="BG85" s="3" t="str">
        <f t="shared" si="562"/>
        <v>NO</v>
      </c>
      <c r="BH85" s="3" t="str">
        <f t="shared" si="563"/>
        <v/>
      </c>
      <c r="BI85" s="3" t="str">
        <f t="shared" si="25"/>
        <v>P</v>
      </c>
      <c r="BJ85" s="3" t="str">
        <f t="shared" si="26"/>
        <v/>
      </c>
      <c r="BK85" s="3" t="str">
        <f t="shared" si="27"/>
        <v>M</v>
      </c>
      <c r="BL85" s="3" t="str">
        <f t="shared" si="564"/>
        <v/>
      </c>
      <c r="BM85" s="3" t="str">
        <f t="shared" si="565"/>
        <v>SI</v>
      </c>
    </row>
    <row r="86" spans="1:65" ht="36" customHeight="1" x14ac:dyDescent="0.2">
      <c r="A86" s="503"/>
      <c r="B86" s="496"/>
      <c r="C86" s="356">
        <v>2</v>
      </c>
      <c r="D86" s="56" t="s">
        <v>11</v>
      </c>
      <c r="E86" s="240">
        <f t="shared" si="4"/>
        <v>10</v>
      </c>
      <c r="F86" s="44" t="s">
        <v>606</v>
      </c>
      <c r="G86" s="18" t="str">
        <f t="shared" si="521"/>
        <v/>
      </c>
      <c r="H86" s="44" t="s">
        <v>20</v>
      </c>
      <c r="I86" s="18" t="str">
        <f t="shared" si="522"/>
        <v/>
      </c>
      <c r="J86" s="55" t="str">
        <f t="shared" si="523"/>
        <v>Posibilidad</v>
      </c>
      <c r="K86" s="43" t="s">
        <v>10</v>
      </c>
      <c r="L86" s="18">
        <f t="shared" si="524"/>
        <v>0</v>
      </c>
      <c r="M86" s="43" t="s">
        <v>10</v>
      </c>
      <c r="N86" s="18">
        <f t="shared" si="525"/>
        <v>0</v>
      </c>
      <c r="O86" s="43" t="s">
        <v>323</v>
      </c>
      <c r="P86" s="18">
        <f t="shared" si="526"/>
        <v>10</v>
      </c>
      <c r="Q86" s="43" t="s">
        <v>11</v>
      </c>
      <c r="R86" s="18">
        <f t="shared" si="527"/>
        <v>5</v>
      </c>
      <c r="S86" s="43" t="s">
        <v>10</v>
      </c>
      <c r="T86" s="18">
        <f t="shared" si="528"/>
        <v>0</v>
      </c>
      <c r="U86" s="43" t="s">
        <v>11</v>
      </c>
      <c r="V86" s="18">
        <f t="shared" si="529"/>
        <v>10</v>
      </c>
      <c r="W86" s="18">
        <f t="shared" si="530"/>
        <v>35</v>
      </c>
      <c r="X86" s="57">
        <f t="shared" si="531"/>
        <v>35</v>
      </c>
      <c r="Y86" s="57">
        <f t="shared" si="532"/>
        <v>0</v>
      </c>
      <c r="Z86" s="356">
        <f t="shared" si="533"/>
        <v>0</v>
      </c>
      <c r="AA86" s="498"/>
      <c r="AB86" s="500"/>
      <c r="AC86" s="3">
        <f t="shared" ref="AC86" si="674">SUM(Z85:Z87)</f>
        <v>0</v>
      </c>
      <c r="AD86" s="3">
        <f>ANALISIS!G35</f>
        <v>3</v>
      </c>
      <c r="AE86" s="3">
        <f t="shared" si="664"/>
        <v>3</v>
      </c>
      <c r="AF86" s="501"/>
      <c r="AG86" s="355" t="str">
        <f t="shared" ref="AG86" si="675">IF(AE86=1,AH86,IF(AE86=2,AI86,IF(AE86=3,AJ86,IF(AE86=4,AK86,AL86))))</f>
        <v>- Eliminar Causa(s)- Evitar Posibilidad de Ocurrencia- Reducir el Riesgo- Compartir o Transferir el Riesgo</v>
      </c>
      <c r="AH86" s="46" t="str">
        <f t="shared" ref="AH86" si="676">IF($AF85=11,"- Asumir el Riesgo",IF($AF85=12,"- Asumir el Riesgo- Evitar Posibilidad de Ocurrencia- Reducir el Riesgo",IF($AF85=13,"- Asumir el Riesgo- Evitar Posibilidad de Ocurrencia- Reducir el Riesgo",IF($AF85=14,"-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6" s="46" t="str">
        <f t="shared" ref="AI86" si="677">IF($AF85=21,"- Asumir el Riesgo- Reducir el Riesgo",IF($AF85=22,"- Asumir el Riesgo- Evitar Posibilidad de Ocurrencia- Reducir el Riesgo",IF($AF85=23,"- Asumir el Riesgo- Evitar Posibilidad de Ocurrencia- Reducir el Riesgo- Compartir o Transferir el Riesgo",IF($AF85=24,"- Evitar Posibilidad de Ocurrencia- Reducir el Riesgo- Compartir o Transferir el Riesgo","- Evitar Posibilidad de Ocurrencia- Reducir el Riesgo- Compartir o Transferir el Riesgo"))))</f>
        <v>- Evitar Posibilidad de Ocurrencia- Reducir el Riesgo- Compartir o Transferir el Riesgo</v>
      </c>
      <c r="AJ86" s="46" t="str">
        <f t="shared" ref="AJ86" si="678">IF($AF85=31,"- Asumir el Riesgo- Reducir el Riesgo- Compartir o Transferir el Riesgo",IF($AF85=32,"- Asumir el Riesgo- Evitar Posibilidad de Ocurrencia- Reducir el Reducir- Compartir o Transferir el Riesgo",IF($AF85=33,"- Evitar Posibilidad de Ocurrencia- Reducir el Riesgo- Compartir o Transferir el Riesgo",IF($AF85=34,"-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6" s="46" t="str">
        <f t="shared" ref="AK86" si="679">IF($AF85=41,"- Reducir el Riesgo- Compartir o Transferir el Riesgo",IF($AF85=42,"- Evitar Posibilidad de Ocurrencia- Reducir el Riesgo- Compartir o Transferir el Riesgo",IF($AF85=43,"- Eliminar Causa(s)- Evitar Posibilidad de Ocurrencia- Reducir el Riesgo- Compartir o Transferir el Riesgo",IF($AF85=44,"-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6" s="46" t="str">
        <f t="shared" ref="AL86" si="680">IF($AF85=51,"- Reducir el Riesgo- Compartir o Transferir el Riesgo",IF($AF85=52,"- Eliminar Causa(s)- Evitar Posibilidad de Ocurrencia- Reducir el Riesgo- Compartir o Transferir el Riesgo",IF($AF85=53,"- Eliminar Causa(s)- Evitar Posibilidad de Ocurrencia- Reducir el Riesgo- Compartir o Transferir el Riesgo",IF($AF85=54,"-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6" s="3" t="str">
        <f t="shared" si="545"/>
        <v/>
      </c>
      <c r="AN86" s="3" t="str">
        <f t="shared" si="546"/>
        <v/>
      </c>
      <c r="AO86" s="3" t="str">
        <f t="shared" si="547"/>
        <v/>
      </c>
      <c r="AP86" s="3" t="str">
        <f t="shared" si="548"/>
        <v/>
      </c>
      <c r="AQ86" s="3" t="str">
        <f t="shared" ref="AQ86:AQ87" si="681">IF(AQ85="Documentar",AQ85,AM86)</f>
        <v/>
      </c>
      <c r="AR86" s="3" t="str">
        <f t="shared" ref="AR86:AR87" si="682">IF(AR85="Asignar responsable",AR85,AN86)</f>
        <v/>
      </c>
      <c r="AT86" s="3" t="str">
        <f t="shared" ref="AT86:AT87" si="683">IF(AT85="Establecer periodos de seguimiento adecuados",AT85,AO86)</f>
        <v/>
      </c>
      <c r="AV86" s="3" t="str">
        <f t="shared" ref="AV86:AV87" si="684">IF(AV85="Guardar Evidencias",AV85,AP86)</f>
        <v/>
      </c>
      <c r="AX86" s="502"/>
      <c r="AY86" s="502"/>
      <c r="AZ86" s="502"/>
      <c r="BA86" s="502"/>
      <c r="BB86" s="3" t="str">
        <f t="shared" si="557"/>
        <v/>
      </c>
      <c r="BC86" s="3" t="str">
        <f t="shared" si="558"/>
        <v>NO</v>
      </c>
      <c r="BD86" s="3" t="str">
        <f t="shared" si="559"/>
        <v/>
      </c>
      <c r="BE86" s="3" t="str">
        <f t="shared" si="560"/>
        <v>SI</v>
      </c>
      <c r="BF86" s="3" t="str">
        <f t="shared" si="561"/>
        <v/>
      </c>
      <c r="BG86" s="3" t="str">
        <f t="shared" si="562"/>
        <v>NO</v>
      </c>
      <c r="BH86" s="3" t="str">
        <f t="shared" si="563"/>
        <v/>
      </c>
      <c r="BI86" s="3" t="str">
        <f t="shared" si="25"/>
        <v>P</v>
      </c>
      <c r="BJ86" s="3" t="str">
        <f t="shared" si="26"/>
        <v/>
      </c>
      <c r="BK86" s="3" t="str">
        <f t="shared" si="27"/>
        <v>M</v>
      </c>
      <c r="BL86" s="3" t="str">
        <f t="shared" si="564"/>
        <v/>
      </c>
      <c r="BM86" s="3" t="str">
        <f t="shared" si="565"/>
        <v>SI</v>
      </c>
    </row>
    <row r="87" spans="1:65" ht="36" customHeight="1" x14ac:dyDescent="0.2">
      <c r="A87" s="503"/>
      <c r="B87" s="496"/>
      <c r="C87" s="356">
        <v>3</v>
      </c>
      <c r="D87" s="56"/>
      <c r="E87" s="240" t="str">
        <f t="shared" si="4"/>
        <v/>
      </c>
      <c r="F87" s="44"/>
      <c r="G87" s="18" t="str">
        <f t="shared" si="521"/>
        <v/>
      </c>
      <c r="H87" s="44"/>
      <c r="I87" s="18" t="str">
        <f t="shared" si="522"/>
        <v/>
      </c>
      <c r="J87" s="55" t="str">
        <f t="shared" si="523"/>
        <v/>
      </c>
      <c r="K87" s="43"/>
      <c r="L87" s="18" t="str">
        <f t="shared" si="524"/>
        <v/>
      </c>
      <c r="M87" s="43"/>
      <c r="N87" s="18" t="str">
        <f t="shared" si="525"/>
        <v/>
      </c>
      <c r="O87" s="43"/>
      <c r="P87" s="18" t="str">
        <f t="shared" si="526"/>
        <v/>
      </c>
      <c r="Q87" s="43"/>
      <c r="R87" s="18" t="str">
        <f t="shared" si="527"/>
        <v/>
      </c>
      <c r="S87" s="43"/>
      <c r="T87" s="18" t="str">
        <f t="shared" si="528"/>
        <v/>
      </c>
      <c r="U87" s="43"/>
      <c r="V87" s="18" t="str">
        <f t="shared" si="529"/>
        <v/>
      </c>
      <c r="W87" s="18">
        <f t="shared" si="530"/>
        <v>0</v>
      </c>
      <c r="X87" s="57" t="str">
        <f t="shared" si="531"/>
        <v/>
      </c>
      <c r="Y87" s="57">
        <f t="shared" si="532"/>
        <v>0</v>
      </c>
      <c r="Z87" s="356">
        <f t="shared" si="533"/>
        <v>0</v>
      </c>
      <c r="AA87" s="499"/>
      <c r="AB87" s="500"/>
      <c r="AM87" s="3" t="str">
        <f t="shared" si="545"/>
        <v/>
      </c>
      <c r="AN87" s="3" t="str">
        <f t="shared" si="546"/>
        <v/>
      </c>
      <c r="AO87" s="3" t="str">
        <f t="shared" si="547"/>
        <v/>
      </c>
      <c r="AP87" s="3" t="str">
        <f t="shared" si="548"/>
        <v/>
      </c>
      <c r="AQ87" s="3" t="str">
        <f t="shared" si="681"/>
        <v/>
      </c>
      <c r="AR87" s="3" t="str">
        <f t="shared" si="682"/>
        <v/>
      </c>
      <c r="AS87" s="3" t="str">
        <f t="shared" ref="AS87" si="685">IF(AND(AQ87="Documentar",AR87="Asignar responsable"),CONCATENATE("- ",AQ87,", ",AR87),IF(AQ87="Documentar",CONCATENATE("- ",AQ87),IF(AR87="Asignar responsable",CONCATENATE("- ",AR87),"")))</f>
        <v/>
      </c>
      <c r="AT87" s="3" t="str">
        <f t="shared" si="683"/>
        <v/>
      </c>
      <c r="AU87" s="3" t="str">
        <f t="shared" ref="AU87" si="686">IF(AT87="",AS87,IF(AS87="",CONCATENATE("- ",AT87),CONCATENATE(AS87,", ",AT87)))</f>
        <v/>
      </c>
      <c r="AV87" s="3" t="str">
        <f t="shared" si="684"/>
        <v/>
      </c>
      <c r="AW87" s="3" t="str">
        <f t="shared" ref="AW87" si="687">IF(AV87="",AU87,IF(AU87="",CONCATENATE("- ",AV87),CONCATENATE(AU87,", ",AV87)))</f>
        <v/>
      </c>
      <c r="AX87" s="502"/>
      <c r="AY87" s="502"/>
      <c r="AZ87" s="502"/>
      <c r="BA87" s="502"/>
      <c r="BB87" s="3" t="str">
        <f t="shared" si="557"/>
        <v/>
      </c>
      <c r="BC87" s="3" t="str">
        <f t="shared" si="558"/>
        <v/>
      </c>
      <c r="BD87" s="3" t="str">
        <f t="shared" si="559"/>
        <v/>
      </c>
      <c r="BE87" s="3" t="str">
        <f t="shared" si="560"/>
        <v/>
      </c>
      <c r="BF87" s="3" t="str">
        <f t="shared" si="561"/>
        <v/>
      </c>
      <c r="BG87" s="3" t="str">
        <f t="shared" si="562"/>
        <v/>
      </c>
      <c r="BH87" s="3" t="str">
        <f t="shared" si="563"/>
        <v/>
      </c>
      <c r="BI87" s="3" t="str">
        <f t="shared" si="25"/>
        <v/>
      </c>
      <c r="BJ87" s="3" t="str">
        <f t="shared" si="26"/>
        <v/>
      </c>
      <c r="BK87" s="3" t="str">
        <f t="shared" si="27"/>
        <v/>
      </c>
      <c r="BL87" s="3" t="str">
        <f t="shared" si="564"/>
        <v/>
      </c>
      <c r="BM87" s="3" t="str">
        <f t="shared" si="565"/>
        <v/>
      </c>
    </row>
    <row r="88" spans="1:65" ht="36" customHeight="1" x14ac:dyDescent="0.2">
      <c r="A88" s="503" t="str">
        <f>IDENTIFICACIÓN!C35</f>
        <v>27G</v>
      </c>
      <c r="B88" s="496" t="str">
        <f>IF(IDENTIFICACIÓN!D35="","",IDENTIFICACIÓN!D35)</f>
        <v>Evaluación Independiente. Deficiente evaluación y verificacion de la existencia, nivel de desarrollo y grado de efectividad del Sistema de Control Interno</v>
      </c>
      <c r="C88" s="356">
        <v>1</v>
      </c>
      <c r="D88" s="56" t="s">
        <v>11</v>
      </c>
      <c r="E88" s="240">
        <f t="shared" si="4"/>
        <v>10</v>
      </c>
      <c r="F88" s="44" t="s">
        <v>607</v>
      </c>
      <c r="G88" s="18" t="str">
        <f t="shared" si="521"/>
        <v/>
      </c>
      <c r="H88" s="44" t="s">
        <v>20</v>
      </c>
      <c r="I88" s="18" t="str">
        <f t="shared" si="522"/>
        <v/>
      </c>
      <c r="J88" s="55" t="str">
        <f t="shared" si="523"/>
        <v>Posibilidad</v>
      </c>
      <c r="K88" s="43" t="s">
        <v>11</v>
      </c>
      <c r="L88" s="18">
        <f t="shared" si="524"/>
        <v>15</v>
      </c>
      <c r="M88" s="43" t="s">
        <v>11</v>
      </c>
      <c r="N88" s="18">
        <f t="shared" si="525"/>
        <v>30</v>
      </c>
      <c r="O88" s="43" t="s">
        <v>323</v>
      </c>
      <c r="P88" s="18">
        <f t="shared" si="526"/>
        <v>10</v>
      </c>
      <c r="Q88" s="43" t="s">
        <v>11</v>
      </c>
      <c r="R88" s="18">
        <f t="shared" si="527"/>
        <v>5</v>
      </c>
      <c r="S88" s="43" t="s">
        <v>11</v>
      </c>
      <c r="T88" s="18">
        <f t="shared" si="528"/>
        <v>15</v>
      </c>
      <c r="U88" s="43" t="s">
        <v>11</v>
      </c>
      <c r="V88" s="18">
        <f t="shared" si="529"/>
        <v>10</v>
      </c>
      <c r="W88" s="18">
        <f t="shared" si="530"/>
        <v>95</v>
      </c>
      <c r="X88" s="57" t="str">
        <f t="shared" si="531"/>
        <v>95                           Disminuye max 2 en Posibilidad</v>
      </c>
      <c r="Y88" s="57">
        <f t="shared" si="532"/>
        <v>2</v>
      </c>
      <c r="Z88" s="356">
        <f t="shared" si="533"/>
        <v>0</v>
      </c>
      <c r="AA88" s="497">
        <f t="shared" ref="AA88" si="688">IF(AB88=0,"",(ROUND((SUM(W88:W90)/AB88),0)))</f>
        <v>95</v>
      </c>
      <c r="AB88" s="500">
        <f t="shared" ref="AB88" si="689">COUNT(T88:T90)</f>
        <v>3</v>
      </c>
      <c r="AC88" s="3">
        <f t="shared" ref="AC88" si="690">SUM(Y88:Y90)</f>
        <v>6</v>
      </c>
      <c r="AD88" s="3">
        <f>ANALISIS!D37</f>
        <v>1</v>
      </c>
      <c r="AE88" s="3">
        <f t="shared" ref="AE88:AE89" si="691">IF((AD88-AC88)&gt;=1,(AD88-AC88),1)</f>
        <v>1</v>
      </c>
      <c r="AF88" s="501">
        <f t="shared" si="538"/>
        <v>41</v>
      </c>
      <c r="AG88" s="355" t="str">
        <f t="shared" ref="AG88" si="692">IF(AE89=1,AH88,IF(AE89=2,AI88,IF(AE89=3,AJ88,IF(AE89=4,AK88,AL88))))</f>
        <v>ALTA 1:4</v>
      </c>
      <c r="AH88" s="46" t="str">
        <f t="shared" si="540"/>
        <v>ALTA 5:1</v>
      </c>
      <c r="AI88" s="46" t="str">
        <f t="shared" si="541"/>
        <v>ALTA 5:2</v>
      </c>
      <c r="AJ88" s="46" t="str">
        <f t="shared" si="542"/>
        <v>EXTREMA 5:3</v>
      </c>
      <c r="AK88" s="46" t="str">
        <f t="shared" si="543"/>
        <v>ALTA 1:4</v>
      </c>
      <c r="AL88" s="46" t="str">
        <f t="shared" si="544"/>
        <v>EXTREMA 5:5</v>
      </c>
      <c r="AM88" s="3" t="str">
        <f t="shared" si="545"/>
        <v/>
      </c>
      <c r="AN88" s="3" t="str">
        <f t="shared" si="546"/>
        <v/>
      </c>
      <c r="AO88" s="3" t="str">
        <f t="shared" si="547"/>
        <v/>
      </c>
      <c r="AP88" s="3" t="str">
        <f t="shared" si="548"/>
        <v/>
      </c>
      <c r="AQ88" s="3" t="str">
        <f t="shared" ref="AQ88" si="693">AM88</f>
        <v/>
      </c>
      <c r="AR88" s="3" t="str">
        <f t="shared" ref="AR88" si="694">AN88</f>
        <v/>
      </c>
      <c r="AT88" s="3" t="str">
        <f t="shared" ref="AT88" si="695">AO88</f>
        <v/>
      </c>
      <c r="AV88" s="3" t="str">
        <f t="shared" ref="AV88" si="696">AP88</f>
        <v/>
      </c>
      <c r="AX88" s="502" t="str">
        <f t="shared" ref="AX88" si="697">IF(AW90="","",CONCATENATE(AW90," (de) el(los) control(es) Efectivo(s) "))</f>
        <v/>
      </c>
      <c r="AY88" s="502" t="str">
        <f t="shared" ref="AY88" si="698">IF(CONCATENATE(N88:N90)="","",IF(AND(SUM(E88:E90)=10,SUM(N88:N90)&lt;30),"- Replantear control(es) NO efectivo(s) ",IF(AND(SUM(E88:E90)=20,SUM(N88:N90)&lt;60),"- Replantear control(es) NO efectivo(s) ",IF(AND(SUM(E88:E90)=30,SUM(N88:N90)&lt;90),"- Replantear control(es) NO efectivo(s) ",""))))</f>
        <v/>
      </c>
      <c r="AZ88" s="502" t="str">
        <f t="shared" ref="AZ88" si="699">IF(AND(AE88&gt;1,AE89&gt;1),"- Tomar Acciones Preventivas y Correctivas",IF(AE88&gt;1,"- Tomar Acciones Preventivas",IF(AE89&gt;1,"- Tomar Acciones Correctivas","")))</f>
        <v>- Tomar Acciones Correctivas</v>
      </c>
      <c r="BA88" s="502" t="str">
        <f t="shared" ref="BA88" si="700">CONCATENATE(AX88,AY88,AZ88)</f>
        <v>- Tomar Acciones Correctivas</v>
      </c>
      <c r="BB88" s="3" t="str">
        <f t="shared" si="557"/>
        <v>SI</v>
      </c>
      <c r="BC88" s="3" t="str">
        <f t="shared" si="558"/>
        <v/>
      </c>
      <c r="BD88" s="3" t="str">
        <f t="shared" si="559"/>
        <v>SI</v>
      </c>
      <c r="BE88" s="3" t="str">
        <f t="shared" si="560"/>
        <v/>
      </c>
      <c r="BF88" s="3" t="str">
        <f t="shared" si="561"/>
        <v>SI</v>
      </c>
      <c r="BG88" s="3" t="str">
        <f t="shared" si="562"/>
        <v/>
      </c>
      <c r="BH88" s="3" t="str">
        <f t="shared" si="563"/>
        <v>P</v>
      </c>
      <c r="BI88" s="3" t="str">
        <f t="shared" si="25"/>
        <v/>
      </c>
      <c r="BJ88" s="3" t="str">
        <f t="shared" si="26"/>
        <v>M</v>
      </c>
      <c r="BK88" s="3" t="str">
        <f t="shared" si="27"/>
        <v/>
      </c>
      <c r="BL88" s="3" t="str">
        <f t="shared" si="564"/>
        <v>SI</v>
      </c>
      <c r="BM88" s="3" t="str">
        <f t="shared" si="565"/>
        <v/>
      </c>
    </row>
    <row r="89" spans="1:65" ht="36" customHeight="1" x14ac:dyDescent="0.2">
      <c r="A89" s="503"/>
      <c r="B89" s="496"/>
      <c r="C89" s="356">
        <v>2</v>
      </c>
      <c r="D89" s="56" t="s">
        <v>11</v>
      </c>
      <c r="E89" s="240">
        <f t="shared" si="4"/>
        <v>10</v>
      </c>
      <c r="F89" s="44" t="s">
        <v>608</v>
      </c>
      <c r="G89" s="18" t="str">
        <f t="shared" si="521"/>
        <v/>
      </c>
      <c r="H89" s="44" t="s">
        <v>20</v>
      </c>
      <c r="I89" s="18" t="str">
        <f t="shared" si="522"/>
        <v/>
      </c>
      <c r="J89" s="55" t="str">
        <f t="shared" si="523"/>
        <v>Posibilidad</v>
      </c>
      <c r="K89" s="43" t="s">
        <v>11</v>
      </c>
      <c r="L89" s="18">
        <f t="shared" si="524"/>
        <v>15</v>
      </c>
      <c r="M89" s="43" t="s">
        <v>11</v>
      </c>
      <c r="N89" s="18">
        <f t="shared" si="525"/>
        <v>30</v>
      </c>
      <c r="O89" s="43" t="s">
        <v>323</v>
      </c>
      <c r="P89" s="18">
        <f t="shared" si="526"/>
        <v>10</v>
      </c>
      <c r="Q89" s="43" t="s">
        <v>11</v>
      </c>
      <c r="R89" s="18">
        <f t="shared" si="527"/>
        <v>5</v>
      </c>
      <c r="S89" s="43" t="s">
        <v>11</v>
      </c>
      <c r="T89" s="18">
        <f t="shared" si="528"/>
        <v>15</v>
      </c>
      <c r="U89" s="43" t="s">
        <v>11</v>
      </c>
      <c r="V89" s="18">
        <f t="shared" si="529"/>
        <v>10</v>
      </c>
      <c r="W89" s="18">
        <f t="shared" si="530"/>
        <v>95</v>
      </c>
      <c r="X89" s="57" t="str">
        <f t="shared" si="531"/>
        <v>95                           Disminuye max 2 en Posibilidad</v>
      </c>
      <c r="Y89" s="57">
        <f t="shared" si="532"/>
        <v>2</v>
      </c>
      <c r="Z89" s="356">
        <f t="shared" si="533"/>
        <v>0</v>
      </c>
      <c r="AA89" s="498"/>
      <c r="AB89" s="500"/>
      <c r="AC89" s="3">
        <f t="shared" ref="AC89" si="701">SUM(Z88:Z90)</f>
        <v>0</v>
      </c>
      <c r="AD89" s="3">
        <f>ANALISIS!G37</f>
        <v>4</v>
      </c>
      <c r="AE89" s="3">
        <f t="shared" si="691"/>
        <v>4</v>
      </c>
      <c r="AF89" s="501"/>
      <c r="AG89" s="355" t="str">
        <f t="shared" ref="AG89" si="702">IF(AE89=1,AH89,IF(AE89=2,AI89,IF(AE89=3,AJ89,IF(AE89=4,AK89,AL89))))</f>
        <v>- Reducir el Riesgo- Compartir o Transferir el Riesgo</v>
      </c>
      <c r="AH89" s="46" t="str">
        <f t="shared" ref="AH89" si="703">IF($AF88=11,"- Asumir el Riesgo",IF($AF88=12,"- Asumir el Riesgo- Evitar Posibilidad de Ocurrencia- Reducir el Riesgo",IF($AF88=13,"- Asumir el Riesgo- Evitar Posibilidad de Ocurrencia- Reducir el Riesgo",IF($AF88=14,"-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9" s="46" t="str">
        <f t="shared" ref="AI89" si="704">IF($AF88=21,"- Asumir el Riesgo- Reducir el Riesgo",IF($AF88=22,"- Asumir el Riesgo- Evitar Posibilidad de Ocurrencia- Reducir el Riesgo",IF($AF88=23,"- Asumir el Riesgo- Evitar Posibilidad de Ocurrencia- Reducir el Riesgo- Compartir o Transferir el Riesgo",IF($AF88=24,"- Evitar Posibilidad de Ocurrencia- Reducir el Riesgo- Compartir o Transferir el Riesgo","- Evitar Posibilidad de Ocurrencia- Reducir el Riesgo- Compartir o Transferir el Riesgo"))))</f>
        <v>- Evitar Posibilidad de Ocurrencia- Reducir el Riesgo- Compartir o Transferir el Riesgo</v>
      </c>
      <c r="AJ89" s="46" t="str">
        <f t="shared" ref="AJ89" si="705">IF($AF88=31,"- Asumir el Riesgo- Reducir el Riesgo- Compartir o Transferir el Riesgo",IF($AF88=32,"- Asumir el Riesgo- Evitar Posibilidad de Ocurrencia- Reducir el Reducir- Compartir o Transferir el Riesgo",IF($AF88=33,"- Evitar Posibilidad de Ocurrencia- Reducir el Riesgo- Compartir o Transferir el Riesgo",IF($AF88=34,"-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9" s="46" t="str">
        <f t="shared" ref="AK89" si="706">IF($AF88=41,"- Reducir el Riesgo- Compartir o Transferir el Riesgo",IF($AF88=42,"- Evitar Posibilidad de Ocurrencia- Reducir el Riesgo- Compartir o Transferir el Riesgo",IF($AF88=43,"- Eliminar Causa(s)- Evitar Posibilidad de Ocurrencia- Reducir el Riesgo- Compartir o Transferir el Riesgo",IF($AF88=44,"- Eliminar Causa(s)- Evitar Posibilidad de Ocurrencia- Reducir el Riesgo- Compartir o Transferir el Riesgo","- Eliminar Causa(s)- Evitar Posibilidad de Ocurrencia- Reducir el Riesgo- Compartir o Transferir el Riesgo"))))</f>
        <v>- Reducir el Riesgo- Compartir o Transferir el Riesgo</v>
      </c>
      <c r="AL89" s="46" t="str">
        <f t="shared" ref="AL89" si="707">IF($AF88=51,"- Reducir el Riesgo- Compartir o Transferir el Riesgo",IF($AF88=52,"- Eliminar Causa(s)- Evitar Posibilidad de Ocurrencia- Reducir el Riesgo- Compartir o Transferir el Riesgo",IF($AF88=53,"- Eliminar Causa(s)- Evitar Posibilidad de Ocurrencia- Reducir el Riesgo- Compartir o Transferir el Riesgo",IF($AF88=54,"-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9" s="3" t="str">
        <f t="shared" si="545"/>
        <v/>
      </c>
      <c r="AN89" s="3" t="str">
        <f t="shared" si="546"/>
        <v/>
      </c>
      <c r="AO89" s="3" t="str">
        <f t="shared" si="547"/>
        <v/>
      </c>
      <c r="AP89" s="3" t="str">
        <f t="shared" si="548"/>
        <v/>
      </c>
      <c r="AQ89" s="3" t="str">
        <f t="shared" ref="AQ89:AQ90" si="708">IF(AQ88="Documentar",AQ88,AM89)</f>
        <v/>
      </c>
      <c r="AR89" s="3" t="str">
        <f t="shared" ref="AR89:AR90" si="709">IF(AR88="Asignar responsable",AR88,AN89)</f>
        <v/>
      </c>
      <c r="AT89" s="3" t="str">
        <f t="shared" ref="AT89:AT90" si="710">IF(AT88="Establecer periodos de seguimiento adecuados",AT88,AO89)</f>
        <v/>
      </c>
      <c r="AV89" s="3" t="str">
        <f t="shared" ref="AV89:AV90" si="711">IF(AV88="Guardar Evidencias",AV88,AP89)</f>
        <v/>
      </c>
      <c r="AX89" s="502"/>
      <c r="AY89" s="502"/>
      <c r="AZ89" s="502"/>
      <c r="BA89" s="502"/>
      <c r="BB89" s="3" t="str">
        <f t="shared" si="557"/>
        <v>SI</v>
      </c>
      <c r="BC89" s="3" t="str">
        <f t="shared" si="558"/>
        <v/>
      </c>
      <c r="BD89" s="3" t="str">
        <f t="shared" si="559"/>
        <v>SI</v>
      </c>
      <c r="BE89" s="3" t="str">
        <f t="shared" si="560"/>
        <v/>
      </c>
      <c r="BF89" s="3" t="str">
        <f t="shared" si="561"/>
        <v>SI</v>
      </c>
      <c r="BG89" s="3" t="str">
        <f t="shared" si="562"/>
        <v/>
      </c>
      <c r="BH89" s="3" t="str">
        <f t="shared" si="563"/>
        <v>P</v>
      </c>
      <c r="BI89" s="3" t="str">
        <f t="shared" si="25"/>
        <v/>
      </c>
      <c r="BJ89" s="3" t="str">
        <f t="shared" si="26"/>
        <v>M</v>
      </c>
      <c r="BK89" s="3" t="str">
        <f t="shared" si="27"/>
        <v/>
      </c>
      <c r="BL89" s="3" t="str">
        <f t="shared" si="564"/>
        <v>SI</v>
      </c>
      <c r="BM89" s="3" t="str">
        <f t="shared" si="565"/>
        <v/>
      </c>
    </row>
    <row r="90" spans="1:65" ht="36" customHeight="1" x14ac:dyDescent="0.2">
      <c r="A90" s="503"/>
      <c r="B90" s="496"/>
      <c r="C90" s="356">
        <v>3</v>
      </c>
      <c r="D90" s="56" t="s">
        <v>11</v>
      </c>
      <c r="E90" s="240">
        <f t="shared" si="4"/>
        <v>10</v>
      </c>
      <c r="F90" s="44" t="s">
        <v>609</v>
      </c>
      <c r="G90" s="18" t="str">
        <f t="shared" si="521"/>
        <v/>
      </c>
      <c r="H90" s="44" t="s">
        <v>20</v>
      </c>
      <c r="I90" s="18" t="str">
        <f t="shared" si="522"/>
        <v/>
      </c>
      <c r="J90" s="55" t="str">
        <f t="shared" si="523"/>
        <v>Posibilidad</v>
      </c>
      <c r="K90" s="43" t="s">
        <v>11</v>
      </c>
      <c r="L90" s="18">
        <f t="shared" si="524"/>
        <v>15</v>
      </c>
      <c r="M90" s="43" t="s">
        <v>11</v>
      </c>
      <c r="N90" s="18">
        <f t="shared" si="525"/>
        <v>30</v>
      </c>
      <c r="O90" s="43" t="s">
        <v>323</v>
      </c>
      <c r="P90" s="18">
        <f t="shared" si="526"/>
        <v>10</v>
      </c>
      <c r="Q90" s="43" t="s">
        <v>11</v>
      </c>
      <c r="R90" s="18">
        <f t="shared" si="527"/>
        <v>5</v>
      </c>
      <c r="S90" s="43" t="s">
        <v>11</v>
      </c>
      <c r="T90" s="18">
        <f t="shared" si="528"/>
        <v>15</v>
      </c>
      <c r="U90" s="43" t="s">
        <v>11</v>
      </c>
      <c r="V90" s="18">
        <f t="shared" si="529"/>
        <v>10</v>
      </c>
      <c r="W90" s="18">
        <f t="shared" si="530"/>
        <v>95</v>
      </c>
      <c r="X90" s="57" t="str">
        <f t="shared" si="531"/>
        <v>95                           Disminuye max 2 en Posibilidad</v>
      </c>
      <c r="Y90" s="57">
        <f t="shared" si="532"/>
        <v>2</v>
      </c>
      <c r="Z90" s="356">
        <f t="shared" si="533"/>
        <v>0</v>
      </c>
      <c r="AA90" s="499"/>
      <c r="AB90" s="500"/>
      <c r="AM90" s="3" t="str">
        <f t="shared" si="545"/>
        <v/>
      </c>
      <c r="AN90" s="3" t="str">
        <f t="shared" si="546"/>
        <v/>
      </c>
      <c r="AO90" s="3" t="str">
        <f t="shared" si="547"/>
        <v/>
      </c>
      <c r="AP90" s="3" t="str">
        <f t="shared" si="548"/>
        <v/>
      </c>
      <c r="AQ90" s="3" t="str">
        <f t="shared" si="708"/>
        <v/>
      </c>
      <c r="AR90" s="3" t="str">
        <f t="shared" si="709"/>
        <v/>
      </c>
      <c r="AS90" s="3" t="str">
        <f t="shared" ref="AS90" si="712">IF(AND(AQ90="Documentar",AR90="Asignar responsable"),CONCATENATE("- ",AQ90,", ",AR90),IF(AQ90="Documentar",CONCATENATE("- ",AQ90),IF(AR90="Asignar responsable",CONCATENATE("- ",AR90),"")))</f>
        <v/>
      </c>
      <c r="AT90" s="3" t="str">
        <f t="shared" si="710"/>
        <v/>
      </c>
      <c r="AU90" s="3" t="str">
        <f t="shared" ref="AU90" si="713">IF(AT90="",AS90,IF(AS90="",CONCATENATE("- ",AT90),CONCATENATE(AS90,", ",AT90)))</f>
        <v/>
      </c>
      <c r="AV90" s="3" t="str">
        <f t="shared" si="711"/>
        <v/>
      </c>
      <c r="AW90" s="3" t="str">
        <f t="shared" ref="AW90" si="714">IF(AV90="",AU90,IF(AU90="",CONCATENATE("- ",AV90),CONCATENATE(AU90,", ",AV90)))</f>
        <v/>
      </c>
      <c r="AX90" s="502"/>
      <c r="AY90" s="502"/>
      <c r="AZ90" s="502"/>
      <c r="BA90" s="502"/>
      <c r="BB90" s="3" t="str">
        <f t="shared" si="557"/>
        <v>SI</v>
      </c>
      <c r="BC90" s="3" t="str">
        <f t="shared" si="558"/>
        <v/>
      </c>
      <c r="BD90" s="3" t="str">
        <f t="shared" si="559"/>
        <v>SI</v>
      </c>
      <c r="BE90" s="3" t="str">
        <f t="shared" si="560"/>
        <v/>
      </c>
      <c r="BF90" s="3" t="str">
        <f t="shared" si="561"/>
        <v>SI</v>
      </c>
      <c r="BG90" s="3" t="str">
        <f t="shared" si="562"/>
        <v/>
      </c>
      <c r="BH90" s="3" t="str">
        <f t="shared" si="563"/>
        <v>P</v>
      </c>
      <c r="BI90" s="3" t="str">
        <f t="shared" si="25"/>
        <v/>
      </c>
      <c r="BJ90" s="3" t="str">
        <f t="shared" si="26"/>
        <v>M</v>
      </c>
      <c r="BK90" s="3" t="str">
        <f t="shared" si="27"/>
        <v/>
      </c>
      <c r="BL90" s="3" t="str">
        <f t="shared" si="564"/>
        <v>SI</v>
      </c>
      <c r="BM90" s="3" t="str">
        <f t="shared" si="565"/>
        <v/>
      </c>
    </row>
    <row r="91" spans="1:65" ht="36" customHeight="1" x14ac:dyDescent="0.2">
      <c r="A91" s="503" t="str">
        <f>IDENTIFICACIÓN!C36</f>
        <v>28G</v>
      </c>
      <c r="B91" s="496" t="str">
        <f>IF(IDENTIFICACIÓN!D36="","",IDENTIFICACIÓN!D36)</f>
        <v>Evaluación Independiente. Deficiente evaluación del nivel de avance de las acciones pactadas en los planes de mejoramiento</v>
      </c>
      <c r="C91" s="356">
        <v>1</v>
      </c>
      <c r="D91" s="56" t="s">
        <v>11</v>
      </c>
      <c r="E91" s="240">
        <f t="shared" si="4"/>
        <v>10</v>
      </c>
      <c r="F91" s="44" t="s">
        <v>610</v>
      </c>
      <c r="G91" s="18" t="str">
        <f t="shared" si="521"/>
        <v/>
      </c>
      <c r="H91" s="44" t="s">
        <v>20</v>
      </c>
      <c r="I91" s="18" t="str">
        <f t="shared" si="522"/>
        <v/>
      </c>
      <c r="J91" s="55" t="str">
        <f t="shared" si="523"/>
        <v>Posibilidad</v>
      </c>
      <c r="K91" s="43" t="s">
        <v>11</v>
      </c>
      <c r="L91" s="18">
        <f t="shared" si="524"/>
        <v>15</v>
      </c>
      <c r="M91" s="43" t="s">
        <v>11</v>
      </c>
      <c r="N91" s="18">
        <f t="shared" si="525"/>
        <v>30</v>
      </c>
      <c r="O91" s="43" t="s">
        <v>323</v>
      </c>
      <c r="P91" s="18">
        <f t="shared" si="526"/>
        <v>10</v>
      </c>
      <c r="Q91" s="43" t="s">
        <v>11</v>
      </c>
      <c r="R91" s="18">
        <f t="shared" si="527"/>
        <v>5</v>
      </c>
      <c r="S91" s="43" t="s">
        <v>11</v>
      </c>
      <c r="T91" s="18">
        <f t="shared" si="528"/>
        <v>15</v>
      </c>
      <c r="U91" s="43" t="s">
        <v>11</v>
      </c>
      <c r="V91" s="18">
        <f t="shared" si="529"/>
        <v>10</v>
      </c>
      <c r="W91" s="18">
        <f t="shared" si="530"/>
        <v>95</v>
      </c>
      <c r="X91" s="57" t="str">
        <f t="shared" si="531"/>
        <v>95                           Disminuye max 2 en Posibilidad</v>
      </c>
      <c r="Y91" s="57">
        <f t="shared" si="532"/>
        <v>2</v>
      </c>
      <c r="Z91" s="356">
        <f t="shared" si="533"/>
        <v>0</v>
      </c>
      <c r="AA91" s="497">
        <f t="shared" ref="AA91" si="715">IF(AB91=0,"",(ROUND((SUM(W91:W93)/AB91),0)))</f>
        <v>95</v>
      </c>
      <c r="AB91" s="500">
        <f t="shared" ref="AB91" si="716">COUNT(T91:T93)</f>
        <v>3</v>
      </c>
      <c r="AC91" s="3">
        <f t="shared" ref="AC91" si="717">SUM(Y91:Y93)</f>
        <v>6</v>
      </c>
      <c r="AD91" s="3">
        <f>ANALISIS!D38</f>
        <v>2</v>
      </c>
      <c r="AE91" s="3">
        <f t="shared" ref="AE91:AE92" si="718">IF((AD91-AC91)&gt;=1,(AD91-AC91),1)</f>
        <v>1</v>
      </c>
      <c r="AF91" s="501">
        <f t="shared" si="538"/>
        <v>41</v>
      </c>
      <c r="AG91" s="355" t="str">
        <f t="shared" ref="AG91" si="719">IF(AE92=1,AH91,IF(AE92=2,AI91,IF(AE92=3,AJ91,IF(AE92=4,AK91,AL91))))</f>
        <v>ALTA 1:4</v>
      </c>
      <c r="AH91" s="46" t="str">
        <f t="shared" si="540"/>
        <v>ALTA 5:1</v>
      </c>
      <c r="AI91" s="46" t="str">
        <f t="shared" si="541"/>
        <v>ALTA 5:2</v>
      </c>
      <c r="AJ91" s="46" t="str">
        <f t="shared" si="542"/>
        <v>EXTREMA 5:3</v>
      </c>
      <c r="AK91" s="46" t="str">
        <f t="shared" si="543"/>
        <v>ALTA 1:4</v>
      </c>
      <c r="AL91" s="46" t="str">
        <f t="shared" si="544"/>
        <v>EXTREMA 5:5</v>
      </c>
      <c r="AM91" s="3" t="str">
        <f t="shared" si="545"/>
        <v/>
      </c>
      <c r="AN91" s="3" t="str">
        <f t="shared" si="546"/>
        <v/>
      </c>
      <c r="AO91" s="3" t="str">
        <f t="shared" si="547"/>
        <v/>
      </c>
      <c r="AP91" s="3" t="str">
        <f t="shared" si="548"/>
        <v/>
      </c>
      <c r="AQ91" s="3" t="str">
        <f t="shared" ref="AQ91" si="720">AM91</f>
        <v/>
      </c>
      <c r="AR91" s="3" t="str">
        <f t="shared" ref="AR91" si="721">AN91</f>
        <v/>
      </c>
      <c r="AT91" s="3" t="str">
        <f t="shared" ref="AT91" si="722">AO91</f>
        <v/>
      </c>
      <c r="AV91" s="3" t="str">
        <f t="shared" ref="AV91" si="723">AP91</f>
        <v/>
      </c>
      <c r="AX91" s="502" t="str">
        <f t="shared" ref="AX91" si="724">IF(AW93="","",CONCATENATE(AW93," (de) el(los) control(es) Efectivo(s) "))</f>
        <v/>
      </c>
      <c r="AY91" s="502" t="str">
        <f t="shared" ref="AY91" si="725">IF(CONCATENATE(N91:N93)="","",IF(AND(SUM(E91:E93)=10,SUM(N91:N93)&lt;30),"- Replantear control(es) NO efectivo(s) ",IF(AND(SUM(E91:E93)=20,SUM(N91:N93)&lt;60),"- Replantear control(es) NO efectivo(s) ",IF(AND(SUM(E91:E93)=30,SUM(N91:N93)&lt;90),"- Replantear control(es) NO efectivo(s) ",""))))</f>
        <v/>
      </c>
      <c r="AZ91" s="502" t="str">
        <f t="shared" ref="AZ91" si="726">IF(AND(AE91&gt;1,AE92&gt;1),"- Tomar Acciones Preventivas y Correctivas",IF(AE91&gt;1,"- Tomar Acciones Preventivas",IF(AE92&gt;1,"- Tomar Acciones Correctivas","")))</f>
        <v>- Tomar Acciones Correctivas</v>
      </c>
      <c r="BA91" s="502" t="str">
        <f t="shared" ref="BA91" si="727">CONCATENATE(AX91,AY91,AZ91)</f>
        <v>- Tomar Acciones Correctivas</v>
      </c>
      <c r="BB91" s="3" t="str">
        <f t="shared" si="557"/>
        <v>SI</v>
      </c>
      <c r="BC91" s="3" t="str">
        <f t="shared" si="558"/>
        <v/>
      </c>
      <c r="BD91" s="3" t="str">
        <f t="shared" si="559"/>
        <v>SI</v>
      </c>
      <c r="BE91" s="3" t="str">
        <f t="shared" si="560"/>
        <v/>
      </c>
      <c r="BF91" s="3" t="str">
        <f t="shared" si="561"/>
        <v>SI</v>
      </c>
      <c r="BG91" s="3" t="str">
        <f t="shared" si="562"/>
        <v/>
      </c>
      <c r="BH91" s="3" t="str">
        <f t="shared" si="563"/>
        <v>P</v>
      </c>
      <c r="BI91" s="3" t="str">
        <f t="shared" si="25"/>
        <v/>
      </c>
      <c r="BJ91" s="3" t="str">
        <f t="shared" si="26"/>
        <v>M</v>
      </c>
      <c r="BK91" s="3" t="str">
        <f t="shared" si="27"/>
        <v/>
      </c>
      <c r="BL91" s="3" t="str">
        <f t="shared" si="564"/>
        <v>SI</v>
      </c>
      <c r="BM91" s="3" t="str">
        <f t="shared" si="565"/>
        <v/>
      </c>
    </row>
    <row r="92" spans="1:65" ht="36" customHeight="1" x14ac:dyDescent="0.2">
      <c r="A92" s="503"/>
      <c r="B92" s="496"/>
      <c r="C92" s="356">
        <v>2</v>
      </c>
      <c r="D92" s="56" t="s">
        <v>11</v>
      </c>
      <c r="E92" s="240">
        <f t="shared" si="4"/>
        <v>10</v>
      </c>
      <c r="F92" s="44" t="s">
        <v>611</v>
      </c>
      <c r="G92" s="18" t="str">
        <f t="shared" si="521"/>
        <v/>
      </c>
      <c r="H92" s="44" t="s">
        <v>20</v>
      </c>
      <c r="I92" s="18" t="str">
        <f t="shared" si="522"/>
        <v/>
      </c>
      <c r="J92" s="55" t="str">
        <f t="shared" si="523"/>
        <v>Posibilidad</v>
      </c>
      <c r="K92" s="43" t="s">
        <v>11</v>
      </c>
      <c r="L92" s="18">
        <f t="shared" si="524"/>
        <v>15</v>
      </c>
      <c r="M92" s="43" t="s">
        <v>11</v>
      </c>
      <c r="N92" s="18">
        <f t="shared" si="525"/>
        <v>30</v>
      </c>
      <c r="O92" s="43" t="s">
        <v>323</v>
      </c>
      <c r="P92" s="18">
        <f t="shared" si="526"/>
        <v>10</v>
      </c>
      <c r="Q92" s="43" t="s">
        <v>11</v>
      </c>
      <c r="R92" s="18">
        <f t="shared" si="527"/>
        <v>5</v>
      </c>
      <c r="S92" s="43" t="s">
        <v>11</v>
      </c>
      <c r="T92" s="18">
        <f t="shared" si="528"/>
        <v>15</v>
      </c>
      <c r="U92" s="43" t="s">
        <v>11</v>
      </c>
      <c r="V92" s="18">
        <f t="shared" si="529"/>
        <v>10</v>
      </c>
      <c r="W92" s="18">
        <f t="shared" si="530"/>
        <v>95</v>
      </c>
      <c r="X92" s="57" t="str">
        <f t="shared" si="531"/>
        <v>95                           Disminuye max 2 en Posibilidad</v>
      </c>
      <c r="Y92" s="57">
        <f t="shared" si="532"/>
        <v>2</v>
      </c>
      <c r="Z92" s="356">
        <f t="shared" si="533"/>
        <v>0</v>
      </c>
      <c r="AA92" s="498"/>
      <c r="AB92" s="500"/>
      <c r="AC92" s="3">
        <f t="shared" ref="AC92" si="728">SUM(Z91:Z93)</f>
        <v>0</v>
      </c>
      <c r="AD92" s="3">
        <f>ANALISIS!G38</f>
        <v>4</v>
      </c>
      <c r="AE92" s="3">
        <f t="shared" si="718"/>
        <v>4</v>
      </c>
      <c r="AF92" s="501"/>
      <c r="AG92" s="355" t="str">
        <f t="shared" ref="AG92" si="729">IF(AE92=1,AH92,IF(AE92=2,AI92,IF(AE92=3,AJ92,IF(AE92=4,AK92,AL92))))</f>
        <v>- Reducir el Riesgo- Compartir o Transferir el Riesgo</v>
      </c>
      <c r="AH92" s="46" t="str">
        <f t="shared" ref="AH92" si="730">IF($AF91=11,"- Asumir el Riesgo",IF($AF91=12,"- Asumir el Riesgo- Evitar Posibilidad de Ocurrencia- Reducir el Riesgo",IF($AF91=13,"- Asumir el Riesgo- Evitar Posibilidad de Ocurrencia- Reducir el Riesgo",IF($AF91=14,"-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92" s="46" t="str">
        <f t="shared" ref="AI92" si="731">IF($AF91=21,"- Asumir el Riesgo- Reducir el Riesgo",IF($AF91=22,"- Asumir el Riesgo- Evitar Posibilidad de Ocurrencia- Reducir el Riesgo",IF($AF91=23,"- Asumir el Riesgo- Evitar Posibilidad de Ocurrencia- Reducir el Riesgo- Compartir o Transferir el Riesgo",IF($AF91=24,"- Evitar Posibilidad de Ocurrencia- Reducir el Riesgo- Compartir o Transferir el Riesgo","- Evitar Posibilidad de Ocurrencia- Reducir el Riesgo- Compartir o Transferir el Riesgo"))))</f>
        <v>- Evitar Posibilidad de Ocurrencia- Reducir el Riesgo- Compartir o Transferir el Riesgo</v>
      </c>
      <c r="AJ92" s="46" t="str">
        <f t="shared" ref="AJ92" si="732">IF($AF91=31,"- Asumir el Riesgo- Reducir el Riesgo- Compartir o Transferir el Riesgo",IF($AF91=32,"- Asumir el Riesgo- Evitar Posibilidad de Ocurrencia- Reducir el Reducir- Compartir o Transferir el Riesgo",IF($AF91=33,"- Evitar Posibilidad de Ocurrencia- Reducir el Riesgo- Compartir o Transferir el Riesgo",IF($AF91=34,"-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92" s="46" t="str">
        <f t="shared" ref="AK92" si="733">IF($AF91=41,"- Reducir el Riesgo- Compartir o Transferir el Riesgo",IF($AF91=42,"- Evitar Posibilidad de Ocurrencia- Reducir el Riesgo- Compartir o Transferir el Riesgo",IF($AF91=43,"- Eliminar Causa(s)- Evitar Posibilidad de Ocurrencia- Reducir el Riesgo- Compartir o Transferir el Riesgo",IF($AF91=44,"- Eliminar Causa(s)- Evitar Posibilidad de Ocurrencia- Reducir el Riesgo- Compartir o Transferir el Riesgo","- Eliminar Causa(s)- Evitar Posibilidad de Ocurrencia- Reducir el Riesgo- Compartir o Transferir el Riesgo"))))</f>
        <v>- Reducir el Riesgo- Compartir o Transferir el Riesgo</v>
      </c>
      <c r="AL92" s="46" t="str">
        <f t="shared" ref="AL92" si="734">IF($AF91=51,"- Reducir el Riesgo- Compartir o Transferir el Riesgo",IF($AF91=52,"- Eliminar Causa(s)- Evitar Posibilidad de Ocurrencia- Reducir el Riesgo- Compartir o Transferir el Riesgo",IF($AF91=53,"- Eliminar Causa(s)- Evitar Posibilidad de Ocurrencia- Reducir el Riesgo- Compartir o Transferir el Riesgo",IF($AF91=54,"-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92" s="3" t="str">
        <f t="shared" si="545"/>
        <v/>
      </c>
      <c r="AN92" s="3" t="str">
        <f t="shared" si="546"/>
        <v/>
      </c>
      <c r="AO92" s="3" t="str">
        <f t="shared" si="547"/>
        <v/>
      </c>
      <c r="AP92" s="3" t="str">
        <f t="shared" si="548"/>
        <v/>
      </c>
      <c r="AQ92" s="3" t="str">
        <f t="shared" ref="AQ92:AQ93" si="735">IF(AQ91="Documentar",AQ91,AM92)</f>
        <v/>
      </c>
      <c r="AR92" s="3" t="str">
        <f t="shared" ref="AR92:AR93" si="736">IF(AR91="Asignar responsable",AR91,AN92)</f>
        <v/>
      </c>
      <c r="AT92" s="3" t="str">
        <f t="shared" ref="AT92:AT93" si="737">IF(AT91="Establecer periodos de seguimiento adecuados",AT91,AO92)</f>
        <v/>
      </c>
      <c r="AV92" s="3" t="str">
        <f t="shared" ref="AV92:AV93" si="738">IF(AV91="Guardar Evidencias",AV91,AP92)</f>
        <v/>
      </c>
      <c r="AX92" s="502"/>
      <c r="AY92" s="502"/>
      <c r="AZ92" s="502"/>
      <c r="BA92" s="502"/>
      <c r="BB92" s="3" t="str">
        <f t="shared" si="557"/>
        <v>SI</v>
      </c>
      <c r="BC92" s="3" t="str">
        <f t="shared" si="558"/>
        <v/>
      </c>
      <c r="BD92" s="3" t="str">
        <f t="shared" si="559"/>
        <v>SI</v>
      </c>
      <c r="BE92" s="3" t="str">
        <f t="shared" si="560"/>
        <v/>
      </c>
      <c r="BF92" s="3" t="str">
        <f t="shared" si="561"/>
        <v>SI</v>
      </c>
      <c r="BG92" s="3" t="str">
        <f t="shared" si="562"/>
        <v/>
      </c>
      <c r="BH92" s="3" t="str">
        <f t="shared" si="563"/>
        <v>P</v>
      </c>
      <c r="BI92" s="3" t="str">
        <f t="shared" si="25"/>
        <v/>
      </c>
      <c r="BJ92" s="3" t="str">
        <f t="shared" si="26"/>
        <v>M</v>
      </c>
      <c r="BK92" s="3" t="str">
        <f t="shared" si="27"/>
        <v/>
      </c>
      <c r="BL92" s="3" t="str">
        <f t="shared" si="564"/>
        <v>SI</v>
      </c>
      <c r="BM92" s="3" t="str">
        <f t="shared" si="565"/>
        <v/>
      </c>
    </row>
    <row r="93" spans="1:65" ht="36" customHeight="1" thickBot="1" x14ac:dyDescent="0.25">
      <c r="A93" s="503"/>
      <c r="B93" s="496"/>
      <c r="C93" s="356">
        <v>3</v>
      </c>
      <c r="D93" s="56" t="s">
        <v>11</v>
      </c>
      <c r="E93" s="240">
        <f t="shared" si="4"/>
        <v>10</v>
      </c>
      <c r="F93" s="44" t="s">
        <v>612</v>
      </c>
      <c r="G93" s="18" t="str">
        <f t="shared" si="521"/>
        <v/>
      </c>
      <c r="H93" s="44" t="s">
        <v>20</v>
      </c>
      <c r="I93" s="18" t="str">
        <f t="shared" si="522"/>
        <v/>
      </c>
      <c r="J93" s="55" t="str">
        <f t="shared" si="523"/>
        <v>Posibilidad</v>
      </c>
      <c r="K93" s="43" t="s">
        <v>11</v>
      </c>
      <c r="L93" s="18">
        <f t="shared" si="524"/>
        <v>15</v>
      </c>
      <c r="M93" s="43" t="s">
        <v>11</v>
      </c>
      <c r="N93" s="18">
        <f t="shared" si="525"/>
        <v>30</v>
      </c>
      <c r="O93" s="43" t="s">
        <v>323</v>
      </c>
      <c r="P93" s="18">
        <f t="shared" si="526"/>
        <v>10</v>
      </c>
      <c r="Q93" s="43" t="s">
        <v>11</v>
      </c>
      <c r="R93" s="18">
        <f t="shared" si="527"/>
        <v>5</v>
      </c>
      <c r="S93" s="43" t="s">
        <v>11</v>
      </c>
      <c r="T93" s="18">
        <f t="shared" si="528"/>
        <v>15</v>
      </c>
      <c r="U93" s="43" t="s">
        <v>11</v>
      </c>
      <c r="V93" s="18">
        <f t="shared" si="529"/>
        <v>10</v>
      </c>
      <c r="W93" s="18">
        <f t="shared" si="530"/>
        <v>95</v>
      </c>
      <c r="X93" s="57" t="str">
        <f t="shared" si="531"/>
        <v>95                           Disminuye max 2 en Posibilidad</v>
      </c>
      <c r="Y93" s="57">
        <f t="shared" si="532"/>
        <v>2</v>
      </c>
      <c r="Z93" s="356">
        <f t="shared" si="533"/>
        <v>0</v>
      </c>
      <c r="AA93" s="499"/>
      <c r="AB93" s="500"/>
      <c r="AM93" s="3" t="str">
        <f t="shared" si="545"/>
        <v/>
      </c>
      <c r="AN93" s="3" t="str">
        <f t="shared" si="546"/>
        <v/>
      </c>
      <c r="AO93" s="3" t="str">
        <f t="shared" si="547"/>
        <v/>
      </c>
      <c r="AP93" s="3" t="str">
        <f t="shared" si="548"/>
        <v/>
      </c>
      <c r="AQ93" s="3" t="str">
        <f t="shared" si="735"/>
        <v/>
      </c>
      <c r="AR93" s="3" t="str">
        <f t="shared" si="736"/>
        <v/>
      </c>
      <c r="AS93" s="3" t="str">
        <f t="shared" ref="AS93" si="739">IF(AND(AQ93="Documentar",AR93="Asignar responsable"),CONCATENATE("- ",AQ93,", ",AR93),IF(AQ93="Documentar",CONCATENATE("- ",AQ93),IF(AR93="Asignar responsable",CONCATENATE("- ",AR93),"")))</f>
        <v/>
      </c>
      <c r="AT93" s="3" t="str">
        <f t="shared" si="737"/>
        <v/>
      </c>
      <c r="AU93" s="3" t="str">
        <f t="shared" ref="AU93" si="740">IF(AT93="",AS93,IF(AS93="",CONCATENATE("- ",AT93),CONCATENATE(AS93,", ",AT93)))</f>
        <v/>
      </c>
      <c r="AV93" s="3" t="str">
        <f t="shared" si="738"/>
        <v/>
      </c>
      <c r="AW93" s="3" t="str">
        <f t="shared" ref="AW93" si="741">IF(AV93="",AU93,IF(AU93="",CONCATENATE("- ",AV93),CONCATENATE(AU93,", ",AV93)))</f>
        <v/>
      </c>
      <c r="AX93" s="502"/>
      <c r="AY93" s="502"/>
      <c r="AZ93" s="502"/>
      <c r="BA93" s="502"/>
      <c r="BB93" s="3" t="str">
        <f t="shared" si="557"/>
        <v>SI</v>
      </c>
      <c r="BC93" s="3" t="str">
        <f t="shared" si="558"/>
        <v/>
      </c>
      <c r="BD93" s="3" t="str">
        <f t="shared" si="559"/>
        <v>SI</v>
      </c>
      <c r="BE93" s="3" t="str">
        <f t="shared" si="560"/>
        <v/>
      </c>
      <c r="BF93" s="3" t="str">
        <f t="shared" si="561"/>
        <v>SI</v>
      </c>
      <c r="BG93" s="3" t="str">
        <f t="shared" si="562"/>
        <v/>
      </c>
      <c r="BH93" s="3" t="str">
        <f t="shared" si="563"/>
        <v>P</v>
      </c>
      <c r="BI93" s="3" t="str">
        <f t="shared" si="25"/>
        <v/>
      </c>
      <c r="BJ93" s="3" t="str">
        <f t="shared" si="26"/>
        <v>M</v>
      </c>
      <c r="BK93" s="3" t="str">
        <f t="shared" si="27"/>
        <v/>
      </c>
      <c r="BL93" s="3" t="str">
        <f t="shared" si="564"/>
        <v>SI</v>
      </c>
      <c r="BM93" s="3" t="str">
        <f t="shared" si="565"/>
        <v/>
      </c>
    </row>
    <row r="94" spans="1:65" ht="25.5" customHeight="1" thickTop="1" thickBot="1" x14ac:dyDescent="0.25">
      <c r="A94" s="460" t="str">
        <f>IDENTIFICACIÓN!A37</f>
        <v>RIESGOS DE CORRUPCIÓN</v>
      </c>
      <c r="B94" s="461"/>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2"/>
      <c r="AB94" s="42"/>
    </row>
    <row r="95" spans="1:65" ht="36" customHeight="1" thickTop="1" x14ac:dyDescent="0.2">
      <c r="A95" s="493" t="str">
        <f>IDENTIFICACIÓN!C38</f>
        <v>1C</v>
      </c>
      <c r="B95" s="496" t="str">
        <f>IF(IDENTIFICACIÓN!D38="","",IDENTIFICACIÓN!D38)</f>
        <v>Relaciones Interinstitucionales. Tráfico de Influencias</v>
      </c>
      <c r="C95" s="248">
        <v>1</v>
      </c>
      <c r="D95" s="56" t="s">
        <v>10</v>
      </c>
      <c r="E95" s="240">
        <f t="shared" si="4"/>
        <v>0</v>
      </c>
      <c r="F95" s="44"/>
      <c r="G95" s="18" t="str">
        <f t="shared" ref="G95:G97" si="742">IF($D95="SI",IF(ISBLANK(F95),"Decripcion",""),"")</f>
        <v/>
      </c>
      <c r="H95" s="44"/>
      <c r="I95" s="18" t="str">
        <f t="shared" ref="I95:I97" si="743">IF($D95="SI",IF(ISBLANK(H95),"Tipo",""),"")</f>
        <v/>
      </c>
      <c r="J95" s="55" t="str">
        <f t="shared" ref="J95:J109" si="744">IF(H95="Preventivo","Posibilidad",IF(H95="Correctivo","No Aplica",""))</f>
        <v/>
      </c>
      <c r="K95" s="43"/>
      <c r="L95" s="18" t="str">
        <f t="shared" ref="L95:L97" si="745">IF($D95="SI",IF(K95="SI",15,IF(K95="NO",0,"P1")),"")</f>
        <v/>
      </c>
      <c r="M95" s="43"/>
      <c r="N95" s="18" t="str">
        <f t="shared" ref="N95:N97" si="746">IF($D95="SI",IF(M95="SI",30,IF(M95="NO",0,"P2")),"")</f>
        <v/>
      </c>
      <c r="O95" s="43"/>
      <c r="P95" s="18" t="str">
        <f t="shared" ref="P95:P97" si="747">IF($D95="SI",IF(O95="Automático",15,IF(O95="Manual",10,"P3")),"")</f>
        <v/>
      </c>
      <c r="Q95" s="43"/>
      <c r="R95" s="18" t="str">
        <f t="shared" ref="R95:R97" si="748">IF($D95="SI",IF(Q95="SI",5,IF(Q95="NO",0,"P4")),"")</f>
        <v/>
      </c>
      <c r="S95" s="43"/>
      <c r="T95" s="18" t="str">
        <f t="shared" ref="T95:T97" si="749">IF($D95="SI",IF(S95="SI",15,IF(S95="NO",0,"P5")),"")</f>
        <v/>
      </c>
      <c r="U95" s="43"/>
      <c r="V95" s="18" t="str">
        <f t="shared" ref="V95:V97" si="750">IF($D95="SI",IF(U95="SI",10,IF(U95="NO",0,"P6")),"")</f>
        <v/>
      </c>
      <c r="W95" s="18">
        <f t="shared" ref="W95:W97" si="751">IF(D95="SI",E95+L95+N95+P95+R95+T95+V95,0)</f>
        <v>0</v>
      </c>
      <c r="X95" s="57">
        <f>IF(ISBLANK(D95),"",IF(D95="NO",0,IF(D95="SI",IF(OR(G95="Decripcion",I95="Tipo",L95="P1",N95="P2",P95="P3",R95="P4",T95="P5",V95="P6"),CONCATENATE("Falta diligenciar: ",G95," ",I95,IF(L95="P1"," Preg 1",),IF(N95="P2"," Preg 2",),IF(P95="P3"," Preg 3",),IF(R95="P4"," Preg 4",),IF(T95="P5"," Preg 5",),IF(V95="P6"," Preg 6",)),IF(AND(W95&gt;76,J95="Posibilidad"),CONCATENATE(W95,"                           Disminuye en ",J95),W95)))))</f>
        <v>0</v>
      </c>
      <c r="Y95" s="57">
        <f>IF(AND(W95&gt;75,W95&lt;101,J95="Posibilidad"),1,0)</f>
        <v>0</v>
      </c>
      <c r="Z95" s="248"/>
      <c r="AA95" s="497" t="str">
        <f>IF(AB95=0,"",(ROUND((SUM(W95:W97)/AB95),0)))</f>
        <v/>
      </c>
      <c r="AB95" s="500">
        <f>COUNT(T95:T97)</f>
        <v>0</v>
      </c>
      <c r="AC95" s="3">
        <f>SUM(Y95:Y97)</f>
        <v>0</v>
      </c>
      <c r="AD95" s="3">
        <f>ANALISIS!D40</f>
        <v>3</v>
      </c>
      <c r="AE95" s="3">
        <f>IF(AND(AD95=5,AC95&gt;1),3,AD95)</f>
        <v>3</v>
      </c>
      <c r="AF95" s="501">
        <f>AE95</f>
        <v>3</v>
      </c>
      <c r="AG95" s="247" t="str">
        <f>IF(AF95=3,"MODERADA",IF(AF95=5,"EXTREMA",""))</f>
        <v>MODERADA</v>
      </c>
      <c r="AH95" s="46"/>
      <c r="AI95" s="46"/>
      <c r="AJ95" s="46"/>
      <c r="AK95" s="46"/>
      <c r="AL95" s="46"/>
      <c r="AM95" s="3" t="str">
        <f t="shared" ref="AM95:AM97" si="752">IF(AND(N95=30,L95=0),$AM$8,"")</f>
        <v/>
      </c>
      <c r="AN95" s="3" t="str">
        <f t="shared" ref="AN95:AN97" si="753">IF(AND(N95=30,R95=0),$AN$8,"")</f>
        <v/>
      </c>
      <c r="AO95" s="3" t="str">
        <f t="shared" ref="AO95:AO97" si="754">IF(AND(N95=30,T95=0),$AO$8,"")</f>
        <v/>
      </c>
      <c r="AP95" s="3" t="str">
        <f t="shared" ref="AP95:AP97" si="755">IF(AND(N95=30,V95=0),$AP$8,"")</f>
        <v/>
      </c>
      <c r="AQ95" s="3" t="str">
        <f>AM95</f>
        <v/>
      </c>
      <c r="AR95" s="3" t="str">
        <f t="shared" ref="AR95" si="756">AN95</f>
        <v/>
      </c>
      <c r="AT95" s="3" t="str">
        <f t="shared" ref="AT95" si="757">AO95</f>
        <v/>
      </c>
      <c r="AV95" s="3" t="str">
        <f t="shared" ref="AV95" si="758">AP95</f>
        <v/>
      </c>
      <c r="AX95" s="502" t="str">
        <f t="shared" ref="AX95" si="759">IF(AW97="","",CONCATENATE(AW97," (de) el(los) control(es) Efectivo(s) "))</f>
        <v/>
      </c>
      <c r="AY95" s="502" t="str">
        <f t="shared" ref="AY95" si="760">IF(CONCATENATE(N95:N97)="","",IF(AND(SUM(E95:E97)=10,SUM(N95:N97)&lt;30),"- Replantear control(es) NO efectivo(s) ",IF(AND(SUM(E95:E97)=20,SUM(N95:N97)&lt;60),"- Replantear control(es) NO efectivo(s) ",IF(AND(SUM(E95:E97)=30,SUM(N95:N97)&lt;90),"- Replantear control(es) NO efectivo(s) ",""))))</f>
        <v/>
      </c>
      <c r="AZ95" s="502" t="str">
        <f>IF(AND(AE95&gt;1,AE96&gt;1),"- Tomar Acciones Preventivas y Correctivas",IF(AE95&gt;1,"- Tomar Acciones Preventivas",IF(AE96&gt;1,"- Tomar Acciones Correctivas","")))</f>
        <v>- Tomar Acciones Preventivas</v>
      </c>
      <c r="BA95" s="502" t="str">
        <f t="shared" ref="BA95" si="761">CONCATENATE(AX95,AY95,AZ95)</f>
        <v>- Tomar Acciones Preventivas</v>
      </c>
      <c r="BB95" s="3" t="str">
        <f t="shared" ref="BB95:BB97" si="762">IF(AND($N95=30,L95=15),"SI",IF(AND($N95=30,L95=0),"NO",""))</f>
        <v/>
      </c>
      <c r="BC95" s="3" t="str">
        <f t="shared" ref="BC95:BC97" si="763">IF(AND($N95=0,L95=15),"SI",IF(AND($N95=0,L95=0),"NO",""))</f>
        <v/>
      </c>
      <c r="BD95" s="3" t="str">
        <f t="shared" ref="BD95:BD97" si="764">IF(AND($N95=30,R95=5),"SI",IF(AND($N95=30,R95=0),"NO",""))</f>
        <v/>
      </c>
      <c r="BE95" s="3" t="str">
        <f t="shared" ref="BE95:BE97" si="765">IF(AND($N95=0,R95=5),"SI",IF(AND($N95=0,R95=0),"NO",""))</f>
        <v/>
      </c>
      <c r="BF95" s="3" t="str">
        <f t="shared" ref="BF95:BF97" si="766">IF(AND($N95=30,T95=15),"SI",IF(AND($N95=30,T95=0),"NO",""))</f>
        <v/>
      </c>
      <c r="BG95" s="3" t="str">
        <f t="shared" ref="BG95:BG97" si="767">IF(AND($N95=0,T95=15),"SI",IF(AND($N95=0,T95=0),"NO",""))</f>
        <v/>
      </c>
      <c r="BH95" s="3" t="str">
        <f t="shared" ref="BH95:BH97" si="768">IF(AND($N95=30,H95="Preventivo"),"P",IF(AND($N95=30,H95="Correctivo"),"C",""))</f>
        <v/>
      </c>
      <c r="BI95" s="3" t="str">
        <f t="shared" si="25"/>
        <v/>
      </c>
      <c r="BJ95" s="3" t="str">
        <f t="shared" si="26"/>
        <v/>
      </c>
      <c r="BK95" s="3" t="str">
        <f t="shared" si="27"/>
        <v/>
      </c>
      <c r="BL95" s="3" t="str">
        <f t="shared" ref="BL95:BL97" si="769">IF(AND($N95=30,V95=10),"SI",IF(AND($N95=30,V95=0),"NO",""))</f>
        <v/>
      </c>
      <c r="BM95" s="3" t="str">
        <f t="shared" ref="BM95:BM97" si="770">IF(AND($N95=0,V95=10),"SI",IF(AND($N95=0,V95=0),"NO",""))</f>
        <v/>
      </c>
    </row>
    <row r="96" spans="1:65" ht="36" customHeight="1" x14ac:dyDescent="0.2">
      <c r="A96" s="494"/>
      <c r="B96" s="496"/>
      <c r="C96" s="248">
        <v>2</v>
      </c>
      <c r="D96" s="56"/>
      <c r="E96" s="240" t="str">
        <f t="shared" si="4"/>
        <v/>
      </c>
      <c r="F96" s="44"/>
      <c r="G96" s="18" t="str">
        <f t="shared" si="742"/>
        <v/>
      </c>
      <c r="H96" s="44"/>
      <c r="I96" s="18" t="str">
        <f t="shared" si="743"/>
        <v/>
      </c>
      <c r="J96" s="55" t="str">
        <f t="shared" si="744"/>
        <v/>
      </c>
      <c r="K96" s="43"/>
      <c r="L96" s="18" t="str">
        <f t="shared" si="745"/>
        <v/>
      </c>
      <c r="M96" s="43"/>
      <c r="N96" s="18" t="str">
        <f t="shared" si="746"/>
        <v/>
      </c>
      <c r="O96" s="43"/>
      <c r="P96" s="18" t="str">
        <f t="shared" si="747"/>
        <v/>
      </c>
      <c r="Q96" s="43"/>
      <c r="R96" s="18" t="str">
        <f t="shared" si="748"/>
        <v/>
      </c>
      <c r="S96" s="43"/>
      <c r="T96" s="18" t="str">
        <f t="shared" si="749"/>
        <v/>
      </c>
      <c r="U96" s="43"/>
      <c r="V96" s="18" t="str">
        <f t="shared" si="750"/>
        <v/>
      </c>
      <c r="W96" s="18">
        <f t="shared" si="751"/>
        <v>0</v>
      </c>
      <c r="X96" s="57" t="str">
        <f t="shared" ref="X96:X97" si="771">IF(ISBLANK(D96),"",IF(D96="NO",0,IF(D96="SI",IF(OR(G96="Decripcion",I96="Tipo",L96="P1",N96="P2",P96="P3",R96="P4",T96="P5",V96="P6"),CONCATENATE("Falta diligenciar: ",G96," ",I96,IF(L96="P1"," Preg 1",),IF(N96="P2"," Preg 2",),IF(P96="P3"," Preg 3",),IF(R96="P4"," Preg 4",),IF(T96="P5"," Preg 5",),IF(V96="P6"," Preg 6",)),IF(AND(W96&gt;76,J96="Posibilidad"),CONCATENATE(W96,"                           Disminuye en ",J96),W96)))))</f>
        <v/>
      </c>
      <c r="Y96" s="57">
        <f t="shared" ref="Y96:Y97" si="772">IF(AND(W96&gt;75,W96&lt;101,J96="Posibilidad"),1,0)</f>
        <v>0</v>
      </c>
      <c r="Z96" s="248"/>
      <c r="AA96" s="498"/>
      <c r="AB96" s="500"/>
      <c r="AC96" s="3" t="s">
        <v>352</v>
      </c>
      <c r="AF96" s="501"/>
      <c r="AG96" s="46" t="str">
        <f>IF(AG95&gt;0,"- Evitar Posibilidad de Ocurrencia- Reducir el Riesgo","")</f>
        <v>- Evitar Posibilidad de Ocurrencia- Reducir el Riesgo</v>
      </c>
      <c r="AH96" s="46"/>
      <c r="AI96" s="46"/>
      <c r="AJ96" s="46"/>
      <c r="AK96" s="46"/>
      <c r="AL96" s="46"/>
      <c r="AM96" s="3" t="str">
        <f t="shared" si="752"/>
        <v/>
      </c>
      <c r="AN96" s="3" t="str">
        <f t="shared" si="753"/>
        <v/>
      </c>
      <c r="AO96" s="3" t="str">
        <f t="shared" si="754"/>
        <v/>
      </c>
      <c r="AP96" s="3" t="str">
        <f t="shared" si="755"/>
        <v/>
      </c>
      <c r="AQ96" s="3" t="str">
        <f>IF(AQ95="Documentar",AQ95,AM96)</f>
        <v/>
      </c>
      <c r="AR96" s="3" t="str">
        <f t="shared" ref="AR96:AR97" si="773">IF(AR95="Asignar responsable",AR95,AN96)</f>
        <v/>
      </c>
      <c r="AT96" s="3" t="str">
        <f t="shared" ref="AT96:AT97" si="774">IF(AT95="Establecer periodos de seguimiento adecuados",AT95,AO96)</f>
        <v/>
      </c>
      <c r="AV96" s="3" t="str">
        <f t="shared" ref="AV96:AV97" si="775">IF(AV95="Guardar Evidencias",AV95,AP96)</f>
        <v/>
      </c>
      <c r="AX96" s="502"/>
      <c r="AY96" s="502"/>
      <c r="AZ96" s="502"/>
      <c r="BA96" s="502"/>
      <c r="BB96" s="3" t="str">
        <f t="shared" si="762"/>
        <v/>
      </c>
      <c r="BC96" s="3" t="str">
        <f t="shared" si="763"/>
        <v/>
      </c>
      <c r="BD96" s="3" t="str">
        <f t="shared" si="764"/>
        <v/>
      </c>
      <c r="BE96" s="3" t="str">
        <f t="shared" si="765"/>
        <v/>
      </c>
      <c r="BF96" s="3" t="str">
        <f t="shared" si="766"/>
        <v/>
      </c>
      <c r="BG96" s="3" t="str">
        <f t="shared" si="767"/>
        <v/>
      </c>
      <c r="BH96" s="3" t="str">
        <f t="shared" si="768"/>
        <v/>
      </c>
      <c r="BI96" s="3" t="str">
        <f t="shared" si="25"/>
        <v/>
      </c>
      <c r="BJ96" s="3" t="str">
        <f t="shared" si="26"/>
        <v/>
      </c>
      <c r="BK96" s="3" t="str">
        <f t="shared" si="27"/>
        <v/>
      </c>
      <c r="BL96" s="3" t="str">
        <f t="shared" si="769"/>
        <v/>
      </c>
      <c r="BM96" s="3" t="str">
        <f t="shared" si="770"/>
        <v/>
      </c>
    </row>
    <row r="97" spans="1:65" ht="36" customHeight="1" thickBot="1" x14ac:dyDescent="0.25">
      <c r="A97" s="495"/>
      <c r="B97" s="496"/>
      <c r="C97" s="248">
        <v>3</v>
      </c>
      <c r="D97" s="56"/>
      <c r="E97" s="240" t="str">
        <f t="shared" si="4"/>
        <v/>
      </c>
      <c r="F97" s="44"/>
      <c r="G97" s="18" t="str">
        <f t="shared" si="742"/>
        <v/>
      </c>
      <c r="H97" s="44"/>
      <c r="I97" s="18" t="str">
        <f t="shared" si="743"/>
        <v/>
      </c>
      <c r="J97" s="55" t="str">
        <f t="shared" si="744"/>
        <v/>
      </c>
      <c r="K97" s="43"/>
      <c r="L97" s="18" t="str">
        <f t="shared" si="745"/>
        <v/>
      </c>
      <c r="M97" s="43"/>
      <c r="N97" s="18" t="str">
        <f t="shared" si="746"/>
        <v/>
      </c>
      <c r="O97" s="43"/>
      <c r="P97" s="18" t="str">
        <f t="shared" si="747"/>
        <v/>
      </c>
      <c r="Q97" s="43"/>
      <c r="R97" s="18" t="str">
        <f t="shared" si="748"/>
        <v/>
      </c>
      <c r="S97" s="43"/>
      <c r="T97" s="18" t="str">
        <f t="shared" si="749"/>
        <v/>
      </c>
      <c r="U97" s="43"/>
      <c r="V97" s="18" t="str">
        <f t="shared" si="750"/>
        <v/>
      </c>
      <c r="W97" s="18">
        <f t="shared" si="751"/>
        <v>0</v>
      </c>
      <c r="X97" s="57" t="str">
        <f t="shared" si="771"/>
        <v/>
      </c>
      <c r="Y97" s="57">
        <f t="shared" si="772"/>
        <v>0</v>
      </c>
      <c r="Z97" s="248"/>
      <c r="AA97" s="499"/>
      <c r="AB97" s="500"/>
      <c r="AM97" s="3" t="str">
        <f t="shared" si="752"/>
        <v/>
      </c>
      <c r="AN97" s="3" t="str">
        <f t="shared" si="753"/>
        <v/>
      </c>
      <c r="AO97" s="3" t="str">
        <f t="shared" si="754"/>
        <v/>
      </c>
      <c r="AP97" s="3" t="str">
        <f t="shared" si="755"/>
        <v/>
      </c>
      <c r="AQ97" s="3" t="str">
        <f>IF(AQ96="Documentar",AQ96,AM97)</f>
        <v/>
      </c>
      <c r="AR97" s="3" t="str">
        <f t="shared" si="773"/>
        <v/>
      </c>
      <c r="AS97" s="3" t="str">
        <f>IF(AND(AQ97="Documentar",AR97="Asignar responsable"),CONCATENATE("- ",AQ97,", ",AR97),IF(AQ97="Documentar",CONCATENATE("- ",AQ97),IF(AR97="Asignar responsable",CONCATENATE("- ",AR97),"")))</f>
        <v/>
      </c>
      <c r="AT97" s="3" t="str">
        <f t="shared" si="774"/>
        <v/>
      </c>
      <c r="AU97" s="3" t="str">
        <f t="shared" ref="AU97" si="776">IF(AT97="",AS97,IF(AS97="",CONCATENATE("- ",AT97),CONCATENATE(AS97,", ",AT97)))</f>
        <v/>
      </c>
      <c r="AV97" s="3" t="str">
        <f t="shared" si="775"/>
        <v/>
      </c>
      <c r="AW97" s="3" t="str">
        <f t="shared" ref="AW97" si="777">IF(AV97="",AU97,IF(AU97="",CONCATENATE("- ",AV97),CONCATENATE(AU97,", ",AV97)))</f>
        <v/>
      </c>
      <c r="AX97" s="502"/>
      <c r="AY97" s="502"/>
      <c r="AZ97" s="502"/>
      <c r="BA97" s="502"/>
      <c r="BB97" s="3" t="str">
        <f t="shared" si="762"/>
        <v/>
      </c>
      <c r="BC97" s="3" t="str">
        <f t="shared" si="763"/>
        <v/>
      </c>
      <c r="BD97" s="3" t="str">
        <f t="shared" si="764"/>
        <v/>
      </c>
      <c r="BE97" s="3" t="str">
        <f t="shared" si="765"/>
        <v/>
      </c>
      <c r="BF97" s="3" t="str">
        <f t="shared" si="766"/>
        <v/>
      </c>
      <c r="BG97" s="3" t="str">
        <f t="shared" si="767"/>
        <v/>
      </c>
      <c r="BH97" s="3" t="str">
        <f t="shared" si="768"/>
        <v/>
      </c>
      <c r="BI97" s="3" t="str">
        <f t="shared" si="25"/>
        <v/>
      </c>
      <c r="BJ97" s="3" t="str">
        <f t="shared" si="26"/>
        <v/>
      </c>
      <c r="BK97" s="3" t="str">
        <f t="shared" si="27"/>
        <v/>
      </c>
      <c r="BL97" s="3" t="str">
        <f t="shared" si="769"/>
        <v/>
      </c>
      <c r="BM97" s="3" t="str">
        <f t="shared" si="770"/>
        <v/>
      </c>
    </row>
    <row r="98" spans="1:65" ht="36" customHeight="1" thickTop="1" x14ac:dyDescent="0.2">
      <c r="A98" s="493" t="str">
        <f>IDENTIFICACIÓN!C39</f>
        <v>2C</v>
      </c>
      <c r="B98" s="496" t="str">
        <f>IF(IDENTIFICACIÓN!D39="","",IDENTIFICACIÓN!D39)</f>
        <v>Dirección y Planeación. Ausencia o debilidad de procesos y procedimientos para la gestión administrativa y misional</v>
      </c>
      <c r="C98" s="248">
        <v>1</v>
      </c>
      <c r="D98" s="56" t="s">
        <v>11</v>
      </c>
      <c r="E98" s="240">
        <f t="shared" si="4"/>
        <v>10</v>
      </c>
      <c r="F98" s="44" t="s">
        <v>613</v>
      </c>
      <c r="G98" s="18" t="str">
        <f t="shared" ref="G98:G100" si="778">IF($D98="SI",IF(ISBLANK(F98),"Decripcion",""),"")</f>
        <v/>
      </c>
      <c r="H98" s="44" t="s">
        <v>20</v>
      </c>
      <c r="I98" s="18" t="str">
        <f t="shared" ref="I98:I100" si="779">IF($D98="SI",IF(ISBLANK(H98),"Tipo",""),"")</f>
        <v/>
      </c>
      <c r="J98" s="55" t="str">
        <f t="shared" si="744"/>
        <v>Posibilidad</v>
      </c>
      <c r="K98" s="43" t="s">
        <v>11</v>
      </c>
      <c r="L98" s="18">
        <f t="shared" ref="L98:L100" si="780">IF($D98="SI",IF(K98="SI",15,IF(K98="NO",0,"P1")),"")</f>
        <v>15</v>
      </c>
      <c r="M98" s="43" t="s">
        <v>11</v>
      </c>
      <c r="N98" s="18">
        <f t="shared" ref="N98:N100" si="781">IF($D98="SI",IF(M98="SI",30,IF(M98="NO",0,"P2")),"")</f>
        <v>30</v>
      </c>
      <c r="O98" s="43" t="s">
        <v>323</v>
      </c>
      <c r="P98" s="18">
        <f t="shared" ref="P98:P100" si="782">IF($D98="SI",IF(O98="Automático",15,IF(O98="Manual",10,"P3")),"")</f>
        <v>10</v>
      </c>
      <c r="Q98" s="43" t="s">
        <v>11</v>
      </c>
      <c r="R98" s="18">
        <f t="shared" ref="R98:R100" si="783">IF($D98="SI",IF(Q98="SI",5,IF(Q98="NO",0,"P4")),"")</f>
        <v>5</v>
      </c>
      <c r="S98" s="43" t="s">
        <v>11</v>
      </c>
      <c r="T98" s="18">
        <f t="shared" ref="T98:T100" si="784">IF($D98="SI",IF(S98="SI",15,IF(S98="NO",0,"P5")),"")</f>
        <v>15</v>
      </c>
      <c r="U98" s="43" t="s">
        <v>11</v>
      </c>
      <c r="V98" s="18">
        <f t="shared" ref="V98:V100" si="785">IF($D98="SI",IF(U98="SI",10,IF(U98="NO",0,"P6")),"")</f>
        <v>10</v>
      </c>
      <c r="W98" s="18">
        <f t="shared" ref="W98:W100" si="786">IF(D98="SI",E98+L98+N98+P98+R98+T98+V98,0)</f>
        <v>95</v>
      </c>
      <c r="X98" s="57" t="str">
        <f>IF(ISBLANK(D98),"",IF(D98="NO",0,IF(D98="SI",IF(OR(G98="Decripcion",I98="Tipo",L98="P1",N98="P2",P98="P3",R98="P4",T98="P5",V98="P6"),CONCATENATE("Falta diligenciar: ",G98," ",I98,IF(L98="P1"," Preg 1",),IF(N98="P2"," Preg 2",),IF(P98="P3"," Preg 3",),IF(R98="P4"," Preg 4",),IF(T98="P5"," Preg 5",),IF(V98="P6"," Preg 6",)),IF(AND(W98&gt;76,J98="Posibilidad"),CONCATENATE(W98,"                           Disminuye en ",J98),W98)))))</f>
        <v>95                           Disminuye en Posibilidad</v>
      </c>
      <c r="Y98" s="57">
        <f>IF(AND(W98&gt;75,W98&lt;101,J98="Posibilidad"),1,0)</f>
        <v>1</v>
      </c>
      <c r="Z98" s="248"/>
      <c r="AA98" s="497">
        <f>IF(AB98=0,"",(ROUND((SUM(W98:W100)/AB98),0)))</f>
        <v>95</v>
      </c>
      <c r="AB98" s="500">
        <f>COUNT(T98:T100)</f>
        <v>1</v>
      </c>
      <c r="AC98" s="3">
        <f>SUM(Y98:Y100)</f>
        <v>1</v>
      </c>
      <c r="AD98" s="3">
        <f>ANALISIS!D41</f>
        <v>3</v>
      </c>
      <c r="AE98" s="3">
        <f>IF(AND(AD98=5,AC98&gt;1),3,AD98)</f>
        <v>3</v>
      </c>
      <c r="AF98" s="501">
        <f>AE98</f>
        <v>3</v>
      </c>
      <c r="AG98" s="306" t="str">
        <f>IF(AF98=3,"MODERADA",IF(AF98=5,"EXTREMA",""))</f>
        <v>MODERADA</v>
      </c>
      <c r="AH98" s="46"/>
      <c r="AI98" s="46"/>
      <c r="AJ98" s="46"/>
      <c r="AK98" s="46"/>
      <c r="AL98" s="46"/>
      <c r="AM98" s="3" t="str">
        <f t="shared" ref="AM98:AM100" si="787">IF(AND(N98=30,L98=0),$AM$8,"")</f>
        <v/>
      </c>
      <c r="AN98" s="3" t="str">
        <f t="shared" ref="AN98:AN100" si="788">IF(AND(N98=30,R98=0),$AN$8,"")</f>
        <v/>
      </c>
      <c r="AO98" s="3" t="str">
        <f t="shared" ref="AO98:AO100" si="789">IF(AND(N98=30,T98=0),$AO$8,"")</f>
        <v/>
      </c>
      <c r="AP98" s="3" t="str">
        <f t="shared" ref="AP98:AP100" si="790">IF(AND(N98=30,V98=0),$AP$8,"")</f>
        <v/>
      </c>
      <c r="AQ98" s="3" t="str">
        <f>AM98</f>
        <v/>
      </c>
      <c r="AR98" s="3" t="str">
        <f t="shared" ref="AR98" si="791">AN98</f>
        <v/>
      </c>
      <c r="AT98" s="3" t="str">
        <f t="shared" ref="AT98" si="792">AO98</f>
        <v/>
      </c>
      <c r="AV98" s="3" t="str">
        <f t="shared" ref="AV98" si="793">AP98</f>
        <v/>
      </c>
      <c r="AX98" s="502" t="str">
        <f t="shared" ref="AX98" si="794">IF(AW100="","",CONCATENATE(AW100," (de) el(los) control(es) Efectivo(s) "))</f>
        <v/>
      </c>
      <c r="AY98" s="502" t="str">
        <f t="shared" ref="AY98" si="795">IF(CONCATENATE(N98:N100)="","",IF(AND(SUM(E98:E100)=10,SUM(N98:N100)&lt;30),"- Replantear control(es) NO efectivo(s) ",IF(AND(SUM(E98:E100)=20,SUM(N98:N100)&lt;60),"- Replantear control(es) NO efectivo(s) ",IF(AND(SUM(E98:E100)=30,SUM(N98:N100)&lt;90),"- Replantear control(es) NO efectivo(s) ",""))))</f>
        <v/>
      </c>
      <c r="AZ98" s="502" t="str">
        <f>IF(AND(AE98&gt;1,AE99&gt;1),"- Tomar Acciones Preventivas y Correctivas",IF(AE98&gt;1,"- Tomar Acciones Preventivas",IF(AE99&gt;1,"- Tomar Acciones Correctivas","")))</f>
        <v>- Tomar Acciones Preventivas</v>
      </c>
      <c r="BA98" s="502" t="str">
        <f t="shared" ref="BA98" si="796">CONCATENATE(AX98,AY98,AZ98)</f>
        <v>- Tomar Acciones Preventivas</v>
      </c>
      <c r="BB98" s="3" t="str">
        <f t="shared" ref="BB98:BB100" si="797">IF(AND($N98=30,L98=15),"SI",IF(AND($N98=30,L98=0),"NO",""))</f>
        <v>SI</v>
      </c>
      <c r="BC98" s="3" t="str">
        <f t="shared" ref="BC98:BC100" si="798">IF(AND($N98=0,L98=15),"SI",IF(AND($N98=0,L98=0),"NO",""))</f>
        <v/>
      </c>
      <c r="BD98" s="3" t="str">
        <f t="shared" ref="BD98:BD100" si="799">IF(AND($N98=30,R98=5),"SI",IF(AND($N98=30,R98=0),"NO",""))</f>
        <v>SI</v>
      </c>
      <c r="BE98" s="3" t="str">
        <f t="shared" ref="BE98:BE100" si="800">IF(AND($N98=0,R98=5),"SI",IF(AND($N98=0,R98=0),"NO",""))</f>
        <v/>
      </c>
      <c r="BF98" s="3" t="str">
        <f t="shared" ref="BF98:BF100" si="801">IF(AND($N98=30,T98=15),"SI",IF(AND($N98=30,T98=0),"NO",""))</f>
        <v>SI</v>
      </c>
      <c r="BG98" s="3" t="str">
        <f t="shared" ref="BG98:BG100" si="802">IF(AND($N98=0,T98=15),"SI",IF(AND($N98=0,T98=0),"NO",""))</f>
        <v/>
      </c>
      <c r="BH98" s="3" t="str">
        <f t="shared" ref="BH98:BH100" si="803">IF(AND($N98=30,H98="Preventivo"),"P",IF(AND($N98=30,H98="Correctivo"),"C",""))</f>
        <v>P</v>
      </c>
      <c r="BI98" s="3" t="str">
        <f t="shared" si="25"/>
        <v/>
      </c>
      <c r="BJ98" s="3" t="str">
        <f t="shared" si="26"/>
        <v>M</v>
      </c>
      <c r="BK98" s="3" t="str">
        <f t="shared" si="27"/>
        <v/>
      </c>
      <c r="BL98" s="3" t="str">
        <f t="shared" ref="BL98:BL100" si="804">IF(AND($N98=30,V98=10),"SI",IF(AND($N98=30,V98=0),"NO",""))</f>
        <v>SI</v>
      </c>
      <c r="BM98" s="3" t="str">
        <f t="shared" ref="BM98:BM100" si="805">IF(AND($N98=0,V98=10),"SI",IF(AND($N98=0,V98=0),"NO",""))</f>
        <v/>
      </c>
    </row>
    <row r="99" spans="1:65" ht="36" customHeight="1" x14ac:dyDescent="0.2">
      <c r="A99" s="494"/>
      <c r="B99" s="496"/>
      <c r="C99" s="248">
        <v>2</v>
      </c>
      <c r="D99" s="56"/>
      <c r="E99" s="240" t="str">
        <f t="shared" si="4"/>
        <v/>
      </c>
      <c r="F99" s="44"/>
      <c r="G99" s="18" t="str">
        <f t="shared" si="778"/>
        <v/>
      </c>
      <c r="H99" s="44"/>
      <c r="I99" s="18" t="str">
        <f t="shared" si="779"/>
        <v/>
      </c>
      <c r="J99" s="55" t="str">
        <f t="shared" si="744"/>
        <v/>
      </c>
      <c r="K99" s="43"/>
      <c r="L99" s="18" t="str">
        <f t="shared" si="780"/>
        <v/>
      </c>
      <c r="M99" s="43"/>
      <c r="N99" s="18" t="str">
        <f t="shared" si="781"/>
        <v/>
      </c>
      <c r="O99" s="43"/>
      <c r="P99" s="18" t="str">
        <f t="shared" si="782"/>
        <v/>
      </c>
      <c r="Q99" s="43"/>
      <c r="R99" s="18" t="str">
        <f t="shared" si="783"/>
        <v/>
      </c>
      <c r="S99" s="43"/>
      <c r="T99" s="18" t="str">
        <f t="shared" si="784"/>
        <v/>
      </c>
      <c r="U99" s="43"/>
      <c r="V99" s="18" t="str">
        <f t="shared" si="785"/>
        <v/>
      </c>
      <c r="W99" s="18">
        <f t="shared" si="786"/>
        <v>0</v>
      </c>
      <c r="X99" s="57" t="str">
        <f t="shared" ref="X99:X100" si="806">IF(ISBLANK(D99),"",IF(D99="NO",0,IF(D99="SI",IF(OR(G99="Decripcion",I99="Tipo",L99="P1",N99="P2",P99="P3",R99="P4",T99="P5",V99="P6"),CONCATENATE("Falta diligenciar: ",G99," ",I99,IF(L99="P1"," Preg 1",),IF(N99="P2"," Preg 2",),IF(P99="P3"," Preg 3",),IF(R99="P4"," Preg 4",),IF(T99="P5"," Preg 5",),IF(V99="P6"," Preg 6",)),IF(AND(W99&gt;76,J99="Posibilidad"),CONCATENATE(W99,"                           Disminuye en ",J99),W99)))))</f>
        <v/>
      </c>
      <c r="Y99" s="57">
        <f t="shared" ref="Y99:Y100" si="807">IF(AND(W99&gt;75,W99&lt;101,J99="Posibilidad"),1,0)</f>
        <v>0</v>
      </c>
      <c r="Z99" s="248"/>
      <c r="AA99" s="498"/>
      <c r="AB99" s="500"/>
      <c r="AC99" s="3" t="s">
        <v>352</v>
      </c>
      <c r="AF99" s="501"/>
      <c r="AG99" s="46" t="str">
        <f>IF(AG98&gt;0,"- Evitar Posibilidad de Ocurrencia- Reducir el Riesgo","")</f>
        <v>- Evitar Posibilidad de Ocurrencia- Reducir el Riesgo</v>
      </c>
      <c r="AH99" s="46"/>
      <c r="AI99" s="46"/>
      <c r="AJ99" s="46"/>
      <c r="AK99" s="46"/>
      <c r="AL99" s="46"/>
      <c r="AM99" s="3" t="str">
        <f t="shared" si="787"/>
        <v/>
      </c>
      <c r="AN99" s="3" t="str">
        <f t="shared" si="788"/>
        <v/>
      </c>
      <c r="AO99" s="3" t="str">
        <f t="shared" si="789"/>
        <v/>
      </c>
      <c r="AP99" s="3" t="str">
        <f t="shared" si="790"/>
        <v/>
      </c>
      <c r="AQ99" s="3" t="str">
        <f>IF(AQ98="Documentar",AQ98,AM99)</f>
        <v/>
      </c>
      <c r="AR99" s="3" t="str">
        <f t="shared" ref="AR99:AR100" si="808">IF(AR98="Asignar responsable",AR98,AN99)</f>
        <v/>
      </c>
      <c r="AT99" s="3" t="str">
        <f t="shared" ref="AT99:AT100" si="809">IF(AT98="Establecer periodos de seguimiento adecuados",AT98,AO99)</f>
        <v/>
      </c>
      <c r="AV99" s="3" t="str">
        <f t="shared" ref="AV99:AV100" si="810">IF(AV98="Guardar Evidencias",AV98,AP99)</f>
        <v/>
      </c>
      <c r="AX99" s="502"/>
      <c r="AY99" s="502"/>
      <c r="AZ99" s="502"/>
      <c r="BA99" s="502"/>
      <c r="BB99" s="3" t="str">
        <f t="shared" si="797"/>
        <v/>
      </c>
      <c r="BC99" s="3" t="str">
        <f t="shared" si="798"/>
        <v/>
      </c>
      <c r="BD99" s="3" t="str">
        <f t="shared" si="799"/>
        <v/>
      </c>
      <c r="BE99" s="3" t="str">
        <f t="shared" si="800"/>
        <v/>
      </c>
      <c r="BF99" s="3" t="str">
        <f t="shared" si="801"/>
        <v/>
      </c>
      <c r="BG99" s="3" t="str">
        <f t="shared" si="802"/>
        <v/>
      </c>
      <c r="BH99" s="3" t="str">
        <f t="shared" si="803"/>
        <v/>
      </c>
      <c r="BI99" s="3" t="str">
        <f t="shared" si="25"/>
        <v/>
      </c>
      <c r="BJ99" s="3" t="str">
        <f t="shared" si="26"/>
        <v/>
      </c>
      <c r="BK99" s="3" t="str">
        <f t="shared" si="27"/>
        <v/>
      </c>
      <c r="BL99" s="3" t="str">
        <f t="shared" si="804"/>
        <v/>
      </c>
      <c r="BM99" s="3" t="str">
        <f t="shared" si="805"/>
        <v/>
      </c>
    </row>
    <row r="100" spans="1:65" ht="36" customHeight="1" thickBot="1" x14ac:dyDescent="0.25">
      <c r="A100" s="495"/>
      <c r="B100" s="496"/>
      <c r="C100" s="248">
        <v>3</v>
      </c>
      <c r="D100" s="56"/>
      <c r="E100" s="240" t="str">
        <f t="shared" si="4"/>
        <v/>
      </c>
      <c r="F100" s="44"/>
      <c r="G100" s="18" t="str">
        <f t="shared" si="778"/>
        <v/>
      </c>
      <c r="H100" s="44"/>
      <c r="I100" s="18" t="str">
        <f t="shared" si="779"/>
        <v/>
      </c>
      <c r="J100" s="55" t="str">
        <f t="shared" si="744"/>
        <v/>
      </c>
      <c r="K100" s="43"/>
      <c r="L100" s="18" t="str">
        <f t="shared" si="780"/>
        <v/>
      </c>
      <c r="M100" s="43"/>
      <c r="N100" s="18" t="str">
        <f t="shared" si="781"/>
        <v/>
      </c>
      <c r="O100" s="43"/>
      <c r="P100" s="18" t="str">
        <f t="shared" si="782"/>
        <v/>
      </c>
      <c r="Q100" s="43"/>
      <c r="R100" s="18" t="str">
        <f t="shared" si="783"/>
        <v/>
      </c>
      <c r="S100" s="43"/>
      <c r="T100" s="18" t="str">
        <f t="shared" si="784"/>
        <v/>
      </c>
      <c r="U100" s="43"/>
      <c r="V100" s="18" t="str">
        <f t="shared" si="785"/>
        <v/>
      </c>
      <c r="W100" s="18">
        <f t="shared" si="786"/>
        <v>0</v>
      </c>
      <c r="X100" s="57" t="str">
        <f t="shared" si="806"/>
        <v/>
      </c>
      <c r="Y100" s="57">
        <f t="shared" si="807"/>
        <v>0</v>
      </c>
      <c r="Z100" s="248"/>
      <c r="AA100" s="499"/>
      <c r="AB100" s="500"/>
      <c r="AM100" s="3" t="str">
        <f t="shared" si="787"/>
        <v/>
      </c>
      <c r="AN100" s="3" t="str">
        <f t="shared" si="788"/>
        <v/>
      </c>
      <c r="AO100" s="3" t="str">
        <f t="shared" si="789"/>
        <v/>
      </c>
      <c r="AP100" s="3" t="str">
        <f t="shared" si="790"/>
        <v/>
      </c>
      <c r="AQ100" s="3" t="str">
        <f>IF(AQ99="Documentar",AQ99,AM100)</f>
        <v/>
      </c>
      <c r="AR100" s="3" t="str">
        <f t="shared" si="808"/>
        <v/>
      </c>
      <c r="AS100" s="3" t="str">
        <f>IF(AND(AQ100="Documentar",AR100="Asignar responsable"),CONCATENATE("- ",AQ100,", ",AR100),IF(AQ100="Documentar",CONCATENATE("- ",AQ100),IF(AR100="Asignar responsable",CONCATENATE("- ",AR100),"")))</f>
        <v/>
      </c>
      <c r="AT100" s="3" t="str">
        <f t="shared" si="809"/>
        <v/>
      </c>
      <c r="AU100" s="3" t="str">
        <f t="shared" ref="AU100" si="811">IF(AT100="",AS100,IF(AS100="",CONCATENATE("- ",AT100),CONCATENATE(AS100,", ",AT100)))</f>
        <v/>
      </c>
      <c r="AV100" s="3" t="str">
        <f t="shared" si="810"/>
        <v/>
      </c>
      <c r="AW100" s="3" t="str">
        <f t="shared" ref="AW100" si="812">IF(AV100="",AU100,IF(AU100="",CONCATENATE("- ",AV100),CONCATENATE(AU100,", ",AV100)))</f>
        <v/>
      </c>
      <c r="AX100" s="502"/>
      <c r="AY100" s="502"/>
      <c r="AZ100" s="502"/>
      <c r="BA100" s="502"/>
      <c r="BB100" s="3" t="str">
        <f t="shared" si="797"/>
        <v/>
      </c>
      <c r="BC100" s="3" t="str">
        <f t="shared" si="798"/>
        <v/>
      </c>
      <c r="BD100" s="3" t="str">
        <f t="shared" si="799"/>
        <v/>
      </c>
      <c r="BE100" s="3" t="str">
        <f t="shared" si="800"/>
        <v/>
      </c>
      <c r="BF100" s="3" t="str">
        <f t="shared" si="801"/>
        <v/>
      </c>
      <c r="BG100" s="3" t="str">
        <f t="shared" si="802"/>
        <v/>
      </c>
      <c r="BH100" s="3" t="str">
        <f t="shared" si="803"/>
        <v/>
      </c>
      <c r="BI100" s="3" t="str">
        <f t="shared" si="25"/>
        <v/>
      </c>
      <c r="BJ100" s="3" t="str">
        <f t="shared" si="26"/>
        <v/>
      </c>
      <c r="BK100" s="3" t="str">
        <f t="shared" si="27"/>
        <v/>
      </c>
      <c r="BL100" s="3" t="str">
        <f t="shared" si="804"/>
        <v/>
      </c>
      <c r="BM100" s="3" t="str">
        <f t="shared" si="805"/>
        <v/>
      </c>
    </row>
    <row r="101" spans="1:65" ht="36" customHeight="1" thickTop="1" x14ac:dyDescent="0.2">
      <c r="A101" s="493" t="str">
        <f>IDENTIFICACIÓN!C40</f>
        <v>3C</v>
      </c>
      <c r="B101" s="496" t="str">
        <f>IF(IDENTIFICACIÓN!D40="","",IDENTIFICACIÓN!D40)</f>
        <v>Dirección y Planeación. Prevaricato</v>
      </c>
      <c r="C101" s="248">
        <v>1</v>
      </c>
      <c r="D101" s="56" t="s">
        <v>11</v>
      </c>
      <c r="E101" s="240">
        <f t="shared" si="4"/>
        <v>10</v>
      </c>
      <c r="F101" s="44" t="s">
        <v>614</v>
      </c>
      <c r="G101" s="18" t="str">
        <f t="shared" ref="G101:G103" si="813">IF($D101="SI",IF(ISBLANK(F101),"Decripcion",""),"")</f>
        <v/>
      </c>
      <c r="H101" s="44" t="s">
        <v>20</v>
      </c>
      <c r="I101" s="18" t="str">
        <f t="shared" ref="I101:I103" si="814">IF($D101="SI",IF(ISBLANK(H101),"Tipo",""),"")</f>
        <v/>
      </c>
      <c r="J101" s="55" t="str">
        <f t="shared" si="744"/>
        <v>Posibilidad</v>
      </c>
      <c r="K101" s="43" t="s">
        <v>11</v>
      </c>
      <c r="L101" s="18">
        <f t="shared" ref="L101:L103" si="815">IF($D101="SI",IF(K101="SI",15,IF(K101="NO",0,"P1")),"")</f>
        <v>15</v>
      </c>
      <c r="M101" s="43" t="s">
        <v>11</v>
      </c>
      <c r="N101" s="18">
        <f t="shared" ref="N101:N103" si="816">IF($D101="SI",IF(M101="SI",30,IF(M101="NO",0,"P2")),"")</f>
        <v>30</v>
      </c>
      <c r="O101" s="43" t="s">
        <v>323</v>
      </c>
      <c r="P101" s="18">
        <f t="shared" ref="P101:P103" si="817">IF($D101="SI",IF(O101="Automático",15,IF(O101="Manual",10,"P3")),"")</f>
        <v>10</v>
      </c>
      <c r="Q101" s="43" t="s">
        <v>11</v>
      </c>
      <c r="R101" s="18">
        <f t="shared" ref="R101:R103" si="818">IF($D101="SI",IF(Q101="SI",5,IF(Q101="NO",0,"P4")),"")</f>
        <v>5</v>
      </c>
      <c r="S101" s="43" t="s">
        <v>11</v>
      </c>
      <c r="T101" s="18">
        <f t="shared" ref="T101:T103" si="819">IF($D101="SI",IF(S101="SI",15,IF(S101="NO",0,"P5")),"")</f>
        <v>15</v>
      </c>
      <c r="U101" s="43" t="s">
        <v>11</v>
      </c>
      <c r="V101" s="18">
        <f t="shared" ref="V101:V103" si="820">IF($D101="SI",IF(U101="SI",10,IF(U101="NO",0,"P6")),"")</f>
        <v>10</v>
      </c>
      <c r="W101" s="18">
        <f t="shared" ref="W101:W103" si="821">IF(D101="SI",E101+L101+N101+P101+R101+T101+V101,0)</f>
        <v>95</v>
      </c>
      <c r="X101" s="57" t="str">
        <f>IF(ISBLANK(D101),"",IF(D101="NO",0,IF(D101="SI",IF(OR(G101="Decripcion",I101="Tipo",L101="P1",N101="P2",P101="P3",R101="P4",T101="P5",V101="P6"),CONCATENATE("Falta diligenciar: ",G101," ",I101,IF(L101="P1"," Preg 1",),IF(N101="P2"," Preg 2",),IF(P101="P3"," Preg 3",),IF(R101="P4"," Preg 4",),IF(T101="P5"," Preg 5",),IF(V101="P6"," Preg 6",)),IF(AND(W101&gt;76,J101="Posibilidad"),CONCATENATE(W101,"                           Disminuye en ",J101),W101)))))</f>
        <v>95                           Disminuye en Posibilidad</v>
      </c>
      <c r="Y101" s="57">
        <f>IF(AND(W101&gt;75,W101&lt;101,J101="Posibilidad"),1,0)</f>
        <v>1</v>
      </c>
      <c r="Z101" s="248"/>
      <c r="AA101" s="497">
        <f>IF(AB101=0,"",(ROUND((SUM(W101:W103)/AB101),0)))</f>
        <v>95</v>
      </c>
      <c r="AB101" s="500">
        <f>COUNT(T101:T103)</f>
        <v>1</v>
      </c>
      <c r="AC101" s="3">
        <f>SUM(Y101:Y103)</f>
        <v>1</v>
      </c>
      <c r="AD101" s="3">
        <f>ANALISIS!D42</f>
        <v>3</v>
      </c>
      <c r="AE101" s="3">
        <f>IF(AND(AD101=5,AC101&gt;1),3,AD101)</f>
        <v>3</v>
      </c>
      <c r="AF101" s="501">
        <f>AE101</f>
        <v>3</v>
      </c>
      <c r="AG101" s="306" t="str">
        <f>IF(AF101=3,"MODERADA",IF(AF101=5,"EXTREMA",""))</f>
        <v>MODERADA</v>
      </c>
      <c r="AH101" s="46"/>
      <c r="AI101" s="46"/>
      <c r="AJ101" s="46"/>
      <c r="AK101" s="46"/>
      <c r="AL101" s="46"/>
      <c r="AM101" s="3" t="str">
        <f t="shared" ref="AM101:AM103" si="822">IF(AND(N101=30,L101=0),$AM$8,"")</f>
        <v/>
      </c>
      <c r="AN101" s="3" t="str">
        <f t="shared" ref="AN101:AN103" si="823">IF(AND(N101=30,R101=0),$AN$8,"")</f>
        <v/>
      </c>
      <c r="AO101" s="3" t="str">
        <f t="shared" ref="AO101:AO103" si="824">IF(AND(N101=30,T101=0),$AO$8,"")</f>
        <v/>
      </c>
      <c r="AP101" s="3" t="str">
        <f t="shared" ref="AP101:AP103" si="825">IF(AND(N101=30,V101=0),$AP$8,"")</f>
        <v/>
      </c>
      <c r="AQ101" s="3" t="str">
        <f>AM101</f>
        <v/>
      </c>
      <c r="AR101" s="3" t="str">
        <f t="shared" ref="AR101" si="826">AN101</f>
        <v/>
      </c>
      <c r="AT101" s="3" t="str">
        <f t="shared" ref="AT101" si="827">AO101</f>
        <v/>
      </c>
      <c r="AV101" s="3" t="str">
        <f t="shared" ref="AV101" si="828">AP101</f>
        <v/>
      </c>
      <c r="AX101" s="502" t="str">
        <f t="shared" ref="AX101" si="829">IF(AW103="","",CONCATENATE(AW103," (de) el(los) control(es) Efectivo(s) "))</f>
        <v/>
      </c>
      <c r="AY101" s="502" t="str">
        <f t="shared" ref="AY101" si="830">IF(CONCATENATE(N101:N103)="","",IF(AND(SUM(E101:E103)=10,SUM(N101:N103)&lt;30),"- Replantear control(es) NO efectivo(s) ",IF(AND(SUM(E101:E103)=20,SUM(N101:N103)&lt;60),"- Replantear control(es) NO efectivo(s) ",IF(AND(SUM(E101:E103)=30,SUM(N101:N103)&lt;90),"- Replantear control(es) NO efectivo(s) ",""))))</f>
        <v/>
      </c>
      <c r="AZ101" s="502" t="str">
        <f>IF(AND(AE101&gt;1,AE102&gt;1),"- Tomar Acciones Preventivas y Correctivas",IF(AE101&gt;1,"- Tomar Acciones Preventivas",IF(AE102&gt;1,"- Tomar Acciones Correctivas","")))</f>
        <v>- Tomar Acciones Preventivas</v>
      </c>
      <c r="BA101" s="502" t="str">
        <f t="shared" ref="BA101" si="831">CONCATENATE(AX101,AY101,AZ101)</f>
        <v>- Tomar Acciones Preventivas</v>
      </c>
      <c r="BB101" s="3" t="str">
        <f t="shared" ref="BB101:BB103" si="832">IF(AND($N101=30,L101=15),"SI",IF(AND($N101=30,L101=0),"NO",""))</f>
        <v>SI</v>
      </c>
      <c r="BC101" s="3" t="str">
        <f t="shared" ref="BC101:BC103" si="833">IF(AND($N101=0,L101=15),"SI",IF(AND($N101=0,L101=0),"NO",""))</f>
        <v/>
      </c>
      <c r="BD101" s="3" t="str">
        <f t="shared" ref="BD101:BD103" si="834">IF(AND($N101=30,R101=5),"SI",IF(AND($N101=30,R101=0),"NO",""))</f>
        <v>SI</v>
      </c>
      <c r="BE101" s="3" t="str">
        <f t="shared" ref="BE101:BE103" si="835">IF(AND($N101=0,R101=5),"SI",IF(AND($N101=0,R101=0),"NO",""))</f>
        <v/>
      </c>
      <c r="BF101" s="3" t="str">
        <f t="shared" ref="BF101:BF103" si="836">IF(AND($N101=30,T101=15),"SI",IF(AND($N101=30,T101=0),"NO",""))</f>
        <v>SI</v>
      </c>
      <c r="BG101" s="3" t="str">
        <f t="shared" ref="BG101:BG103" si="837">IF(AND($N101=0,T101=15),"SI",IF(AND($N101=0,T101=0),"NO",""))</f>
        <v/>
      </c>
      <c r="BH101" s="3" t="str">
        <f t="shared" ref="BH101:BH103" si="838">IF(AND($N101=30,H101="Preventivo"),"P",IF(AND($N101=30,H101="Correctivo"),"C",""))</f>
        <v>P</v>
      </c>
      <c r="BI101" s="3" t="str">
        <f t="shared" si="25"/>
        <v/>
      </c>
      <c r="BJ101" s="3" t="str">
        <f t="shared" si="26"/>
        <v>M</v>
      </c>
      <c r="BK101" s="3" t="str">
        <f t="shared" si="27"/>
        <v/>
      </c>
      <c r="BL101" s="3" t="str">
        <f t="shared" ref="BL101:BL103" si="839">IF(AND($N101=30,V101=10),"SI",IF(AND($N101=30,V101=0),"NO",""))</f>
        <v>SI</v>
      </c>
      <c r="BM101" s="3" t="str">
        <f t="shared" ref="BM101:BM103" si="840">IF(AND($N101=0,V101=10),"SI",IF(AND($N101=0,V101=0),"NO",""))</f>
        <v/>
      </c>
    </row>
    <row r="102" spans="1:65" ht="36" customHeight="1" x14ac:dyDescent="0.2">
      <c r="A102" s="494"/>
      <c r="B102" s="496"/>
      <c r="C102" s="248">
        <v>2</v>
      </c>
      <c r="D102" s="56"/>
      <c r="E102" s="240" t="str">
        <f t="shared" si="4"/>
        <v/>
      </c>
      <c r="F102" s="44"/>
      <c r="G102" s="18" t="str">
        <f t="shared" si="813"/>
        <v/>
      </c>
      <c r="H102" s="44"/>
      <c r="I102" s="18" t="str">
        <f t="shared" si="814"/>
        <v/>
      </c>
      <c r="J102" s="55" t="str">
        <f t="shared" si="744"/>
        <v/>
      </c>
      <c r="K102" s="43"/>
      <c r="L102" s="18" t="str">
        <f t="shared" si="815"/>
        <v/>
      </c>
      <c r="M102" s="43"/>
      <c r="N102" s="18" t="str">
        <f t="shared" si="816"/>
        <v/>
      </c>
      <c r="O102" s="43"/>
      <c r="P102" s="18" t="str">
        <f t="shared" si="817"/>
        <v/>
      </c>
      <c r="Q102" s="43"/>
      <c r="R102" s="18" t="str">
        <f t="shared" si="818"/>
        <v/>
      </c>
      <c r="S102" s="43"/>
      <c r="T102" s="18" t="str">
        <f t="shared" si="819"/>
        <v/>
      </c>
      <c r="U102" s="43"/>
      <c r="V102" s="18" t="str">
        <f t="shared" si="820"/>
        <v/>
      </c>
      <c r="W102" s="18">
        <f t="shared" si="821"/>
        <v>0</v>
      </c>
      <c r="X102" s="57" t="str">
        <f t="shared" ref="X102:X103" si="841">IF(ISBLANK(D102),"",IF(D102="NO",0,IF(D102="SI",IF(OR(G102="Decripcion",I102="Tipo",L102="P1",N102="P2",P102="P3",R102="P4",T102="P5",V102="P6"),CONCATENATE("Falta diligenciar: ",G102," ",I102,IF(L102="P1"," Preg 1",),IF(N102="P2"," Preg 2",),IF(P102="P3"," Preg 3",),IF(R102="P4"," Preg 4",),IF(T102="P5"," Preg 5",),IF(V102="P6"," Preg 6",)),IF(AND(W102&gt;76,J102="Posibilidad"),CONCATENATE(W102,"                           Disminuye en ",J102),W102)))))</f>
        <v/>
      </c>
      <c r="Y102" s="57">
        <f t="shared" ref="Y102:Y103" si="842">IF(AND(W102&gt;75,W102&lt;101,J102="Posibilidad"),1,0)</f>
        <v>0</v>
      </c>
      <c r="Z102" s="248"/>
      <c r="AA102" s="498"/>
      <c r="AB102" s="500"/>
      <c r="AC102" s="3" t="s">
        <v>352</v>
      </c>
      <c r="AF102" s="501"/>
      <c r="AG102" s="46" t="str">
        <f>IF(AG101&gt;0,"- Evitar Posibilidad de Ocurrencia- Reducir el Riesgo","")</f>
        <v>- Evitar Posibilidad de Ocurrencia- Reducir el Riesgo</v>
      </c>
      <c r="AH102" s="46"/>
      <c r="AI102" s="46"/>
      <c r="AJ102" s="46"/>
      <c r="AK102" s="46"/>
      <c r="AL102" s="46"/>
      <c r="AM102" s="3" t="str">
        <f t="shared" si="822"/>
        <v/>
      </c>
      <c r="AN102" s="3" t="str">
        <f t="shared" si="823"/>
        <v/>
      </c>
      <c r="AO102" s="3" t="str">
        <f t="shared" si="824"/>
        <v/>
      </c>
      <c r="AP102" s="3" t="str">
        <f t="shared" si="825"/>
        <v/>
      </c>
      <c r="AQ102" s="3" t="str">
        <f>IF(AQ101="Documentar",AQ101,AM102)</f>
        <v/>
      </c>
      <c r="AR102" s="3" t="str">
        <f t="shared" ref="AR102:AR103" si="843">IF(AR101="Asignar responsable",AR101,AN102)</f>
        <v/>
      </c>
      <c r="AT102" s="3" t="str">
        <f t="shared" ref="AT102:AT103" si="844">IF(AT101="Establecer periodos de seguimiento adecuados",AT101,AO102)</f>
        <v/>
      </c>
      <c r="AV102" s="3" t="str">
        <f t="shared" ref="AV102:AV103" si="845">IF(AV101="Guardar Evidencias",AV101,AP102)</f>
        <v/>
      </c>
      <c r="AX102" s="502"/>
      <c r="AY102" s="502"/>
      <c r="AZ102" s="502"/>
      <c r="BA102" s="502"/>
      <c r="BB102" s="3" t="str">
        <f t="shared" si="832"/>
        <v/>
      </c>
      <c r="BC102" s="3" t="str">
        <f t="shared" si="833"/>
        <v/>
      </c>
      <c r="BD102" s="3" t="str">
        <f t="shared" si="834"/>
        <v/>
      </c>
      <c r="BE102" s="3" t="str">
        <f t="shared" si="835"/>
        <v/>
      </c>
      <c r="BF102" s="3" t="str">
        <f t="shared" si="836"/>
        <v/>
      </c>
      <c r="BG102" s="3" t="str">
        <f t="shared" si="837"/>
        <v/>
      </c>
      <c r="BH102" s="3" t="str">
        <f t="shared" si="838"/>
        <v/>
      </c>
      <c r="BI102" s="3" t="str">
        <f t="shared" si="25"/>
        <v/>
      </c>
      <c r="BJ102" s="3" t="str">
        <f t="shared" si="26"/>
        <v/>
      </c>
      <c r="BK102" s="3" t="str">
        <f t="shared" si="27"/>
        <v/>
      </c>
      <c r="BL102" s="3" t="str">
        <f t="shared" si="839"/>
        <v/>
      </c>
      <c r="BM102" s="3" t="str">
        <f t="shared" si="840"/>
        <v/>
      </c>
    </row>
    <row r="103" spans="1:65" ht="36" customHeight="1" thickBot="1" x14ac:dyDescent="0.25">
      <c r="A103" s="495"/>
      <c r="B103" s="496"/>
      <c r="C103" s="248">
        <v>3</v>
      </c>
      <c r="D103" s="56"/>
      <c r="E103" s="240" t="str">
        <f t="shared" si="4"/>
        <v/>
      </c>
      <c r="F103" s="44"/>
      <c r="G103" s="18" t="str">
        <f t="shared" si="813"/>
        <v/>
      </c>
      <c r="H103" s="44"/>
      <c r="I103" s="18" t="str">
        <f t="shared" si="814"/>
        <v/>
      </c>
      <c r="J103" s="55" t="str">
        <f t="shared" si="744"/>
        <v/>
      </c>
      <c r="K103" s="43"/>
      <c r="L103" s="18" t="str">
        <f t="shared" si="815"/>
        <v/>
      </c>
      <c r="M103" s="43"/>
      <c r="N103" s="18" t="str">
        <f t="shared" si="816"/>
        <v/>
      </c>
      <c r="O103" s="43"/>
      <c r="P103" s="18" t="str">
        <f t="shared" si="817"/>
        <v/>
      </c>
      <c r="Q103" s="43"/>
      <c r="R103" s="18" t="str">
        <f t="shared" si="818"/>
        <v/>
      </c>
      <c r="S103" s="43"/>
      <c r="T103" s="18" t="str">
        <f t="shared" si="819"/>
        <v/>
      </c>
      <c r="U103" s="43"/>
      <c r="V103" s="18" t="str">
        <f t="shared" si="820"/>
        <v/>
      </c>
      <c r="W103" s="18">
        <f t="shared" si="821"/>
        <v>0</v>
      </c>
      <c r="X103" s="57" t="str">
        <f t="shared" si="841"/>
        <v/>
      </c>
      <c r="Y103" s="57">
        <f t="shared" si="842"/>
        <v>0</v>
      </c>
      <c r="Z103" s="248"/>
      <c r="AA103" s="499"/>
      <c r="AB103" s="500"/>
      <c r="AM103" s="3" t="str">
        <f t="shared" si="822"/>
        <v/>
      </c>
      <c r="AN103" s="3" t="str">
        <f t="shared" si="823"/>
        <v/>
      </c>
      <c r="AO103" s="3" t="str">
        <f t="shared" si="824"/>
        <v/>
      </c>
      <c r="AP103" s="3" t="str">
        <f t="shared" si="825"/>
        <v/>
      </c>
      <c r="AQ103" s="3" t="str">
        <f>IF(AQ102="Documentar",AQ102,AM103)</f>
        <v/>
      </c>
      <c r="AR103" s="3" t="str">
        <f t="shared" si="843"/>
        <v/>
      </c>
      <c r="AS103" s="3" t="str">
        <f>IF(AND(AQ103="Documentar",AR103="Asignar responsable"),CONCATENATE("- ",AQ103,", ",AR103),IF(AQ103="Documentar",CONCATENATE("- ",AQ103),IF(AR103="Asignar responsable",CONCATENATE("- ",AR103),"")))</f>
        <v/>
      </c>
      <c r="AT103" s="3" t="str">
        <f t="shared" si="844"/>
        <v/>
      </c>
      <c r="AU103" s="3" t="str">
        <f t="shared" ref="AU103" si="846">IF(AT103="",AS103,IF(AS103="",CONCATENATE("- ",AT103),CONCATENATE(AS103,", ",AT103)))</f>
        <v/>
      </c>
      <c r="AV103" s="3" t="str">
        <f t="shared" si="845"/>
        <v/>
      </c>
      <c r="AW103" s="3" t="str">
        <f t="shared" ref="AW103" si="847">IF(AV103="",AU103,IF(AU103="",CONCATENATE("- ",AV103),CONCATENATE(AU103,", ",AV103)))</f>
        <v/>
      </c>
      <c r="AX103" s="502"/>
      <c r="AY103" s="502"/>
      <c r="AZ103" s="502"/>
      <c r="BA103" s="502"/>
      <c r="BB103" s="3" t="str">
        <f t="shared" si="832"/>
        <v/>
      </c>
      <c r="BC103" s="3" t="str">
        <f t="shared" si="833"/>
        <v/>
      </c>
      <c r="BD103" s="3" t="str">
        <f t="shared" si="834"/>
        <v/>
      </c>
      <c r="BE103" s="3" t="str">
        <f t="shared" si="835"/>
        <v/>
      </c>
      <c r="BF103" s="3" t="str">
        <f t="shared" si="836"/>
        <v/>
      </c>
      <c r="BG103" s="3" t="str">
        <f t="shared" si="837"/>
        <v/>
      </c>
      <c r="BH103" s="3" t="str">
        <f t="shared" si="838"/>
        <v/>
      </c>
      <c r="BI103" s="3" t="str">
        <f t="shared" si="25"/>
        <v/>
      </c>
      <c r="BJ103" s="3" t="str">
        <f t="shared" si="26"/>
        <v/>
      </c>
      <c r="BK103" s="3" t="str">
        <f t="shared" si="27"/>
        <v/>
      </c>
      <c r="BL103" s="3" t="str">
        <f t="shared" si="839"/>
        <v/>
      </c>
      <c r="BM103" s="3" t="str">
        <f t="shared" si="840"/>
        <v/>
      </c>
    </row>
    <row r="104" spans="1:65" ht="36" customHeight="1" thickTop="1" x14ac:dyDescent="0.2">
      <c r="A104" s="493" t="str">
        <f>IDENTIFICACIÓN!C41</f>
        <v>4C</v>
      </c>
      <c r="B104" s="496" t="str">
        <f>IF(IDENTIFICACIÓN!D41="","",IDENTIFICACIÓN!D41)</f>
        <v>Dirección y Planeación. Malversación de Recursos</v>
      </c>
      <c r="C104" s="248">
        <v>1</v>
      </c>
      <c r="D104" s="56" t="s">
        <v>11</v>
      </c>
      <c r="E104" s="240">
        <f t="shared" si="4"/>
        <v>10</v>
      </c>
      <c r="F104" s="44" t="s">
        <v>614</v>
      </c>
      <c r="G104" s="18" t="str">
        <f t="shared" ref="G104:G109" si="848">IF($D104="SI",IF(ISBLANK(F104),"Decripcion",""),"")</f>
        <v/>
      </c>
      <c r="H104" s="44" t="s">
        <v>20</v>
      </c>
      <c r="I104" s="18" t="str">
        <f t="shared" ref="I104:I109" si="849">IF($D104="SI",IF(ISBLANK(H104),"Tipo",""),"")</f>
        <v/>
      </c>
      <c r="J104" s="55" t="str">
        <f t="shared" si="744"/>
        <v>Posibilidad</v>
      </c>
      <c r="K104" s="43" t="s">
        <v>11</v>
      </c>
      <c r="L104" s="18">
        <f t="shared" ref="L104:L109" si="850">IF($D104="SI",IF(K104="SI",15,IF(K104="NO",0,"P1")),"")</f>
        <v>15</v>
      </c>
      <c r="M104" s="43" t="s">
        <v>11</v>
      </c>
      <c r="N104" s="18">
        <f t="shared" ref="N104:N109" si="851">IF($D104="SI",IF(M104="SI",30,IF(M104="NO",0,"P2")),"")</f>
        <v>30</v>
      </c>
      <c r="O104" s="43" t="s">
        <v>323</v>
      </c>
      <c r="P104" s="18">
        <f t="shared" ref="P104:P109" si="852">IF($D104="SI",IF(O104="Automático",15,IF(O104="Manual",10,"P3")),"")</f>
        <v>10</v>
      </c>
      <c r="Q104" s="43" t="s">
        <v>11</v>
      </c>
      <c r="R104" s="18">
        <f t="shared" ref="R104:R109" si="853">IF($D104="SI",IF(Q104="SI",5,IF(Q104="NO",0,"P4")),"")</f>
        <v>5</v>
      </c>
      <c r="S104" s="43" t="s">
        <v>11</v>
      </c>
      <c r="T104" s="18">
        <f t="shared" ref="T104:T109" si="854">IF($D104="SI",IF(S104="SI",15,IF(S104="NO",0,"P5")),"")</f>
        <v>15</v>
      </c>
      <c r="U104" s="43" t="s">
        <v>11</v>
      </c>
      <c r="V104" s="18">
        <f t="shared" ref="V104:V109" si="855">IF($D104="SI",IF(U104="SI",10,IF(U104="NO",0,"P6")),"")</f>
        <v>10</v>
      </c>
      <c r="W104" s="18">
        <f t="shared" ref="W104:W109" si="856">IF(D104="SI",E104+L104+N104+P104+R104+T104+V104,0)</f>
        <v>95</v>
      </c>
      <c r="X104" s="57" t="str">
        <f>IF(ISBLANK(D104),"",IF(D104="NO",0,IF(D104="SI",IF(OR(G104="Decripcion",I104="Tipo",L104="P1",N104="P2",P104="P3",R104="P4",T104="P5",V104="P6"),CONCATENATE("Falta diligenciar: ",G104," ",I104,IF(L104="P1"," Preg 1",),IF(N104="P2"," Preg 2",),IF(P104="P3"," Preg 3",),IF(R104="P4"," Preg 4",),IF(T104="P5"," Preg 5",),IF(V104="P6"," Preg 6",)),IF(AND(W104&gt;76,J104="Posibilidad"),CONCATENATE(W104,"                           Disminuye en ",J104),W104)))))</f>
        <v>95                           Disminuye en Posibilidad</v>
      </c>
      <c r="Y104" s="57">
        <f>IF(AND(W104&gt;75,W104&lt;101,J104="Posibilidad"),1,0)</f>
        <v>1</v>
      </c>
      <c r="Z104" s="248"/>
      <c r="AA104" s="497">
        <f>IF(AB104=0,"",(ROUND((SUM(W104:W106)/AB104),0)))</f>
        <v>95</v>
      </c>
      <c r="AB104" s="500">
        <f>COUNT(T104:T106)</f>
        <v>1</v>
      </c>
      <c r="AC104" s="3">
        <f>SUM(Y104:Y106)</f>
        <v>1</v>
      </c>
      <c r="AD104" s="3">
        <f>ANALISIS!D43</f>
        <v>3</v>
      </c>
      <c r="AE104" s="3">
        <f>IF(AND(AD104=5,AC104&gt;1),3,AD104)</f>
        <v>3</v>
      </c>
      <c r="AF104" s="501">
        <f>AE104</f>
        <v>3</v>
      </c>
      <c r="AG104" s="306" t="str">
        <f>IF(AF104=3,"MODERADA",IF(AF104=5,"EXTREMA",""))</f>
        <v>MODERADA</v>
      </c>
      <c r="AH104" s="46"/>
      <c r="AI104" s="46"/>
      <c r="AJ104" s="46"/>
      <c r="AK104" s="46"/>
      <c r="AL104" s="46"/>
      <c r="AM104" s="3" t="str">
        <f t="shared" ref="AM104:AM109" si="857">IF(AND(N104=30,L104=0),$AM$8,"")</f>
        <v/>
      </c>
      <c r="AN104" s="3" t="str">
        <f t="shared" ref="AN104:AN109" si="858">IF(AND(N104=30,R104=0),$AN$8,"")</f>
        <v/>
      </c>
      <c r="AO104" s="3" t="str">
        <f t="shared" ref="AO104:AO109" si="859">IF(AND(N104=30,T104=0),$AO$8,"")</f>
        <v/>
      </c>
      <c r="AP104" s="3" t="str">
        <f t="shared" ref="AP104:AP109" si="860">IF(AND(N104=30,V104=0),$AP$8,"")</f>
        <v/>
      </c>
      <c r="AQ104" s="3" t="str">
        <f>AM104</f>
        <v/>
      </c>
      <c r="AR104" s="3" t="str">
        <f t="shared" ref="AR104" si="861">AN104</f>
        <v/>
      </c>
      <c r="AT104" s="3" t="str">
        <f t="shared" ref="AT104" si="862">AO104</f>
        <v/>
      </c>
      <c r="AV104" s="3" t="str">
        <f t="shared" ref="AV104" si="863">AP104</f>
        <v/>
      </c>
      <c r="AX104" s="502" t="str">
        <f t="shared" ref="AX104" si="864">IF(AW106="","",CONCATENATE(AW106," (de) el(los) control(es) Efectivo(s) "))</f>
        <v/>
      </c>
      <c r="AY104" s="502" t="str">
        <f t="shared" ref="AY104" si="865">IF(CONCATENATE(N104:N106)="","",IF(AND(SUM(E104:E106)=10,SUM(N104:N106)&lt;30),"- Replantear control(es) NO efectivo(s) ",IF(AND(SUM(E104:E106)=20,SUM(N104:N106)&lt;60),"- Replantear control(es) NO efectivo(s) ",IF(AND(SUM(E104:E106)=30,SUM(N104:N106)&lt;90),"- Replantear control(es) NO efectivo(s) ",""))))</f>
        <v/>
      </c>
      <c r="AZ104" s="502" t="str">
        <f>IF(AND(AE104&gt;1,AE105&gt;1),"- Tomar Acciones Preventivas y Correctivas",IF(AE104&gt;1,"- Tomar Acciones Preventivas",IF(AE105&gt;1,"- Tomar Acciones Correctivas","")))</f>
        <v>- Tomar Acciones Preventivas</v>
      </c>
      <c r="BA104" s="502" t="str">
        <f t="shared" ref="BA104" si="866">CONCATENATE(AX104,AY104,AZ104)</f>
        <v>- Tomar Acciones Preventivas</v>
      </c>
      <c r="BB104" s="3" t="str">
        <f t="shared" ref="BB104:BB109" si="867">IF(AND($N104=30,L104=15),"SI",IF(AND($N104=30,L104=0),"NO",""))</f>
        <v>SI</v>
      </c>
      <c r="BC104" s="3" t="str">
        <f t="shared" ref="BC104:BC109" si="868">IF(AND($N104=0,L104=15),"SI",IF(AND($N104=0,L104=0),"NO",""))</f>
        <v/>
      </c>
      <c r="BD104" s="3" t="str">
        <f t="shared" ref="BD104:BD109" si="869">IF(AND($N104=30,R104=5),"SI",IF(AND($N104=30,R104=0),"NO",""))</f>
        <v>SI</v>
      </c>
      <c r="BE104" s="3" t="str">
        <f t="shared" ref="BE104:BE109" si="870">IF(AND($N104=0,R104=5),"SI",IF(AND($N104=0,R104=0),"NO",""))</f>
        <v/>
      </c>
      <c r="BF104" s="3" t="str">
        <f t="shared" ref="BF104:BF109" si="871">IF(AND($N104=30,T104=15),"SI",IF(AND($N104=30,T104=0),"NO",""))</f>
        <v>SI</v>
      </c>
      <c r="BG104" s="3" t="str">
        <f t="shared" ref="BG104:BG109" si="872">IF(AND($N104=0,T104=15),"SI",IF(AND($N104=0,T104=0),"NO",""))</f>
        <v/>
      </c>
      <c r="BH104" s="3" t="str">
        <f t="shared" ref="BH104:BH109" si="873">IF(AND($N104=30,H104="Preventivo"),"P",IF(AND($N104=30,H104="Correctivo"),"C",""))</f>
        <v>P</v>
      </c>
      <c r="BI104" s="3" t="str">
        <f t="shared" si="25"/>
        <v/>
      </c>
      <c r="BJ104" s="3" t="str">
        <f t="shared" si="26"/>
        <v>M</v>
      </c>
      <c r="BK104" s="3" t="str">
        <f t="shared" si="27"/>
        <v/>
      </c>
      <c r="BL104" s="3" t="str">
        <f t="shared" ref="BL104:BL109" si="874">IF(AND($N104=30,V104=10),"SI",IF(AND($N104=30,V104=0),"NO",""))</f>
        <v>SI</v>
      </c>
      <c r="BM104" s="3" t="str">
        <f t="shared" ref="BM104:BM109" si="875">IF(AND($N104=0,V104=10),"SI",IF(AND($N104=0,V104=0),"NO",""))</f>
        <v/>
      </c>
    </row>
    <row r="105" spans="1:65" ht="36" customHeight="1" x14ac:dyDescent="0.2">
      <c r="A105" s="494"/>
      <c r="B105" s="496"/>
      <c r="C105" s="248">
        <v>2</v>
      </c>
      <c r="D105" s="56"/>
      <c r="E105" s="240" t="str">
        <f t="shared" si="4"/>
        <v/>
      </c>
      <c r="F105" s="44"/>
      <c r="G105" s="18" t="str">
        <f t="shared" si="848"/>
        <v/>
      </c>
      <c r="H105" s="44"/>
      <c r="I105" s="18" t="str">
        <f t="shared" si="849"/>
        <v/>
      </c>
      <c r="J105" s="55" t="str">
        <f t="shared" si="744"/>
        <v/>
      </c>
      <c r="K105" s="43"/>
      <c r="L105" s="18" t="str">
        <f t="shared" si="850"/>
        <v/>
      </c>
      <c r="M105" s="43"/>
      <c r="N105" s="18" t="str">
        <f t="shared" si="851"/>
        <v/>
      </c>
      <c r="O105" s="43"/>
      <c r="P105" s="18" t="str">
        <f t="shared" si="852"/>
        <v/>
      </c>
      <c r="Q105" s="43"/>
      <c r="R105" s="18" t="str">
        <f t="shared" si="853"/>
        <v/>
      </c>
      <c r="S105" s="43"/>
      <c r="T105" s="18" t="str">
        <f t="shared" si="854"/>
        <v/>
      </c>
      <c r="U105" s="43"/>
      <c r="V105" s="18" t="str">
        <f t="shared" si="855"/>
        <v/>
      </c>
      <c r="W105" s="18">
        <f t="shared" si="856"/>
        <v>0</v>
      </c>
      <c r="X105" s="57" t="str">
        <f t="shared" ref="X105:X106" si="876">IF(ISBLANK(D105),"",IF(D105="NO",0,IF(D105="SI",IF(OR(G105="Decripcion",I105="Tipo",L105="P1",N105="P2",P105="P3",R105="P4",T105="P5",V105="P6"),CONCATENATE("Falta diligenciar: ",G105," ",I105,IF(L105="P1"," Preg 1",),IF(N105="P2"," Preg 2",),IF(P105="P3"," Preg 3",),IF(R105="P4"," Preg 4",),IF(T105="P5"," Preg 5",),IF(V105="P6"," Preg 6",)),IF(AND(W105&gt;76,J105="Posibilidad"),CONCATENATE(W105,"                           Disminuye en ",J105),W105)))))</f>
        <v/>
      </c>
      <c r="Y105" s="57">
        <f t="shared" ref="Y105:Y106" si="877">IF(AND(W105&gt;75,W105&lt;101,J105="Posibilidad"),1,0)</f>
        <v>0</v>
      </c>
      <c r="Z105" s="248"/>
      <c r="AA105" s="498"/>
      <c r="AB105" s="500"/>
      <c r="AC105" s="3" t="s">
        <v>352</v>
      </c>
      <c r="AF105" s="501"/>
      <c r="AG105" s="46" t="str">
        <f>IF(AG104&gt;0,"- Evitar Posibilidad de Ocurrencia- Reducir el Riesgo","")</f>
        <v>- Evitar Posibilidad de Ocurrencia- Reducir el Riesgo</v>
      </c>
      <c r="AH105" s="46"/>
      <c r="AI105" s="46"/>
      <c r="AJ105" s="46"/>
      <c r="AK105" s="46"/>
      <c r="AL105" s="46"/>
      <c r="AM105" s="3" t="str">
        <f t="shared" si="857"/>
        <v/>
      </c>
      <c r="AN105" s="3" t="str">
        <f t="shared" si="858"/>
        <v/>
      </c>
      <c r="AO105" s="3" t="str">
        <f t="shared" si="859"/>
        <v/>
      </c>
      <c r="AP105" s="3" t="str">
        <f t="shared" si="860"/>
        <v/>
      </c>
      <c r="AQ105" s="3" t="str">
        <f>IF(AQ104="Documentar",AQ104,AM105)</f>
        <v/>
      </c>
      <c r="AR105" s="3" t="str">
        <f t="shared" ref="AR105:AR106" si="878">IF(AR104="Asignar responsable",AR104,AN105)</f>
        <v/>
      </c>
      <c r="AT105" s="3" t="str">
        <f t="shared" ref="AT105:AT106" si="879">IF(AT104="Establecer periodos de seguimiento adecuados",AT104,AO105)</f>
        <v/>
      </c>
      <c r="AV105" s="3" t="str">
        <f t="shared" ref="AV105:AV106" si="880">IF(AV104="Guardar Evidencias",AV104,AP105)</f>
        <v/>
      </c>
      <c r="AX105" s="502"/>
      <c r="AY105" s="502"/>
      <c r="AZ105" s="502"/>
      <c r="BA105" s="502"/>
      <c r="BB105" s="3" t="str">
        <f t="shared" si="867"/>
        <v/>
      </c>
      <c r="BC105" s="3" t="str">
        <f t="shared" si="868"/>
        <v/>
      </c>
      <c r="BD105" s="3" t="str">
        <f t="shared" si="869"/>
        <v/>
      </c>
      <c r="BE105" s="3" t="str">
        <f t="shared" si="870"/>
        <v/>
      </c>
      <c r="BF105" s="3" t="str">
        <f t="shared" si="871"/>
        <v/>
      </c>
      <c r="BG105" s="3" t="str">
        <f t="shared" si="872"/>
        <v/>
      </c>
      <c r="BH105" s="3" t="str">
        <f t="shared" si="873"/>
        <v/>
      </c>
      <c r="BI105" s="3" t="str">
        <f t="shared" si="25"/>
        <v/>
      </c>
      <c r="BJ105" s="3" t="str">
        <f t="shared" si="26"/>
        <v/>
      </c>
      <c r="BK105" s="3" t="str">
        <f t="shared" si="27"/>
        <v/>
      </c>
      <c r="BL105" s="3" t="str">
        <f t="shared" si="874"/>
        <v/>
      </c>
      <c r="BM105" s="3" t="str">
        <f t="shared" si="875"/>
        <v/>
      </c>
    </row>
    <row r="106" spans="1:65" ht="36" customHeight="1" thickBot="1" x14ac:dyDescent="0.25">
      <c r="A106" s="495"/>
      <c r="B106" s="496"/>
      <c r="C106" s="248">
        <v>3</v>
      </c>
      <c r="D106" s="56"/>
      <c r="E106" s="240" t="str">
        <f t="shared" si="4"/>
        <v/>
      </c>
      <c r="F106" s="44"/>
      <c r="G106" s="18" t="str">
        <f t="shared" si="848"/>
        <v/>
      </c>
      <c r="H106" s="44"/>
      <c r="I106" s="18" t="str">
        <f t="shared" si="849"/>
        <v/>
      </c>
      <c r="J106" s="55" t="str">
        <f t="shared" si="744"/>
        <v/>
      </c>
      <c r="K106" s="43"/>
      <c r="L106" s="18" t="str">
        <f t="shared" si="850"/>
        <v/>
      </c>
      <c r="M106" s="43"/>
      <c r="N106" s="18" t="str">
        <f t="shared" si="851"/>
        <v/>
      </c>
      <c r="O106" s="43"/>
      <c r="P106" s="18" t="str">
        <f t="shared" si="852"/>
        <v/>
      </c>
      <c r="Q106" s="43"/>
      <c r="R106" s="18" t="str">
        <f t="shared" si="853"/>
        <v/>
      </c>
      <c r="S106" s="43"/>
      <c r="T106" s="18" t="str">
        <f t="shared" si="854"/>
        <v/>
      </c>
      <c r="U106" s="43"/>
      <c r="V106" s="18" t="str">
        <f t="shared" si="855"/>
        <v/>
      </c>
      <c r="W106" s="18">
        <f t="shared" si="856"/>
        <v>0</v>
      </c>
      <c r="X106" s="57" t="str">
        <f t="shared" si="876"/>
        <v/>
      </c>
      <c r="Y106" s="57">
        <f t="shared" si="877"/>
        <v>0</v>
      </c>
      <c r="Z106" s="248"/>
      <c r="AA106" s="499"/>
      <c r="AB106" s="500"/>
      <c r="AM106" s="3" t="str">
        <f t="shared" si="857"/>
        <v/>
      </c>
      <c r="AN106" s="3" t="str">
        <f t="shared" si="858"/>
        <v/>
      </c>
      <c r="AO106" s="3" t="str">
        <f t="shared" si="859"/>
        <v/>
      </c>
      <c r="AP106" s="3" t="str">
        <f t="shared" si="860"/>
        <v/>
      </c>
      <c r="AQ106" s="3" t="str">
        <f>IF(AQ105="Documentar",AQ105,AM106)</f>
        <v/>
      </c>
      <c r="AR106" s="3" t="str">
        <f t="shared" si="878"/>
        <v/>
      </c>
      <c r="AS106" s="3" t="str">
        <f>IF(AND(AQ106="Documentar",AR106="Asignar responsable"),CONCATENATE("- ",AQ106,", ",AR106),IF(AQ106="Documentar",CONCATENATE("- ",AQ106),IF(AR106="Asignar responsable",CONCATENATE("- ",AR106),"")))</f>
        <v/>
      </c>
      <c r="AT106" s="3" t="str">
        <f t="shared" si="879"/>
        <v/>
      </c>
      <c r="AU106" s="3" t="str">
        <f t="shared" ref="AU106" si="881">IF(AT106="",AS106,IF(AS106="",CONCATENATE("- ",AT106),CONCATENATE(AS106,", ",AT106)))</f>
        <v/>
      </c>
      <c r="AV106" s="3" t="str">
        <f t="shared" si="880"/>
        <v/>
      </c>
      <c r="AW106" s="3" t="str">
        <f t="shared" ref="AW106" si="882">IF(AV106="",AU106,IF(AU106="",CONCATENATE("- ",AV106),CONCATENATE(AU106,", ",AV106)))</f>
        <v/>
      </c>
      <c r="AX106" s="502"/>
      <c r="AY106" s="502"/>
      <c r="AZ106" s="502"/>
      <c r="BA106" s="502"/>
      <c r="BB106" s="3" t="str">
        <f t="shared" si="867"/>
        <v/>
      </c>
      <c r="BC106" s="3" t="str">
        <f t="shared" si="868"/>
        <v/>
      </c>
      <c r="BD106" s="3" t="str">
        <f t="shared" si="869"/>
        <v/>
      </c>
      <c r="BE106" s="3" t="str">
        <f t="shared" si="870"/>
        <v/>
      </c>
      <c r="BF106" s="3" t="str">
        <f t="shared" si="871"/>
        <v/>
      </c>
      <c r="BG106" s="3" t="str">
        <f t="shared" si="872"/>
        <v/>
      </c>
      <c r="BH106" s="3" t="str">
        <f t="shared" si="873"/>
        <v/>
      </c>
      <c r="BI106" s="3" t="str">
        <f t="shared" si="25"/>
        <v/>
      </c>
      <c r="BJ106" s="3" t="str">
        <f t="shared" si="26"/>
        <v/>
      </c>
      <c r="BK106" s="3" t="str">
        <f t="shared" si="27"/>
        <v/>
      </c>
      <c r="BL106" s="3" t="str">
        <f t="shared" si="874"/>
        <v/>
      </c>
      <c r="BM106" s="3" t="str">
        <f t="shared" si="875"/>
        <v/>
      </c>
    </row>
    <row r="107" spans="1:65" ht="36" customHeight="1" thickTop="1" x14ac:dyDescent="0.2">
      <c r="A107" s="493" t="str">
        <f>IDENTIFICACIÓN!C42</f>
        <v>5C</v>
      </c>
      <c r="B107" s="496" t="str">
        <f>IF(IDENTIFICACIÓN!D42="","",IDENTIFICACIÓN!D42)</f>
        <v>Acreditación. Deficiencias en el manejo documental y de archivo</v>
      </c>
      <c r="C107" s="248">
        <v>1</v>
      </c>
      <c r="D107" s="56" t="s">
        <v>11</v>
      </c>
      <c r="E107" s="240">
        <f t="shared" si="4"/>
        <v>10</v>
      </c>
      <c r="F107" s="44" t="s">
        <v>570</v>
      </c>
      <c r="G107" s="18" t="str">
        <f t="shared" si="848"/>
        <v/>
      </c>
      <c r="H107" s="44" t="s">
        <v>20</v>
      </c>
      <c r="I107" s="18" t="str">
        <f t="shared" si="849"/>
        <v/>
      </c>
      <c r="J107" s="55" t="str">
        <f t="shared" si="744"/>
        <v>Posibilidad</v>
      </c>
      <c r="K107" s="43" t="s">
        <v>11</v>
      </c>
      <c r="L107" s="18">
        <f t="shared" si="850"/>
        <v>15</v>
      </c>
      <c r="M107" s="43" t="s">
        <v>11</v>
      </c>
      <c r="N107" s="18">
        <f t="shared" si="851"/>
        <v>30</v>
      </c>
      <c r="O107" s="43" t="s">
        <v>323</v>
      </c>
      <c r="P107" s="18">
        <f t="shared" si="852"/>
        <v>10</v>
      </c>
      <c r="Q107" s="43" t="s">
        <v>11</v>
      </c>
      <c r="R107" s="18">
        <f t="shared" si="853"/>
        <v>5</v>
      </c>
      <c r="S107" s="43" t="s">
        <v>11</v>
      </c>
      <c r="T107" s="18">
        <f t="shared" si="854"/>
        <v>15</v>
      </c>
      <c r="U107" s="43" t="s">
        <v>11</v>
      </c>
      <c r="V107" s="18">
        <f t="shared" si="855"/>
        <v>10</v>
      </c>
      <c r="W107" s="18">
        <f t="shared" si="856"/>
        <v>95</v>
      </c>
      <c r="X107" s="57" t="str">
        <f>IF(ISBLANK(D107),"",IF(D107="NO",0,IF(D107="SI",IF(OR(G107="Decripcion",I107="Tipo",L107="P1",N107="P2",P107="P3",R107="P4",T107="P5",V107="P6"),CONCATENATE("Falta diligenciar: ",G107," ",I107,IF(L107="P1"," Preg 1",),IF(N107="P2"," Preg 2",),IF(P107="P3"," Preg 3",),IF(R107="P4"," Preg 4",),IF(T107="P5"," Preg 5",),IF(V107="P6"," Preg 6",)),IF(AND(W107&gt;76,J107="Posibilidad"),CONCATENATE(W107,"                           Disminuye en ",J107),W107)))))</f>
        <v>95                           Disminuye en Posibilidad</v>
      </c>
      <c r="Y107" s="57">
        <f>IF(AND(W107&gt;75,W107&lt;101,J107="Posibilidad"),1,0)</f>
        <v>1</v>
      </c>
      <c r="Z107" s="248"/>
      <c r="AA107" s="497">
        <f>IF(AB107=0,"",(ROUND((SUM(W107:W109)/AB107),0)))</f>
        <v>95</v>
      </c>
      <c r="AB107" s="500">
        <f>COUNT(T107:T109)</f>
        <v>2</v>
      </c>
      <c r="AC107" s="3">
        <f>SUM(Y107:Y109)</f>
        <v>2</v>
      </c>
      <c r="AD107" s="3">
        <f>ANALISIS!D44</f>
        <v>3</v>
      </c>
      <c r="AE107" s="3">
        <f>IF(AND(AD107=5,AC107&gt;1),3,AD107)</f>
        <v>3</v>
      </c>
      <c r="AF107" s="501">
        <f>AE107</f>
        <v>3</v>
      </c>
      <c r="AG107" s="306" t="str">
        <f>IF(AF107=3,"MODERADA",IF(AF107=5,"EXTREMA",""))</f>
        <v>MODERADA</v>
      </c>
      <c r="AH107" s="46"/>
      <c r="AI107" s="46"/>
      <c r="AJ107" s="46"/>
      <c r="AK107" s="46"/>
      <c r="AL107" s="46"/>
      <c r="AM107" s="3" t="str">
        <f t="shared" si="857"/>
        <v/>
      </c>
      <c r="AN107" s="3" t="str">
        <f t="shared" si="858"/>
        <v/>
      </c>
      <c r="AO107" s="3" t="str">
        <f t="shared" si="859"/>
        <v/>
      </c>
      <c r="AP107" s="3" t="str">
        <f t="shared" si="860"/>
        <v/>
      </c>
      <c r="AQ107" s="3" t="str">
        <f>AM107</f>
        <v/>
      </c>
      <c r="AR107" s="3" t="str">
        <f t="shared" ref="AR107" si="883">AN107</f>
        <v/>
      </c>
      <c r="AT107" s="3" t="str">
        <f t="shared" ref="AT107" si="884">AO107</f>
        <v/>
      </c>
      <c r="AV107" s="3" t="str">
        <f t="shared" ref="AV107" si="885">AP107</f>
        <v/>
      </c>
      <c r="AX107" s="502" t="str">
        <f t="shared" ref="AX107" si="886">IF(AW109="","",CONCATENATE(AW109," (de) el(los) control(es) Efectivo(s) "))</f>
        <v/>
      </c>
      <c r="AY107" s="502" t="str">
        <f t="shared" ref="AY107" si="887">IF(CONCATENATE(N107:N109)="","",IF(AND(SUM(E107:E109)=10,SUM(N107:N109)&lt;30),"- Replantear control(es) NO efectivo(s) ",IF(AND(SUM(E107:E109)=20,SUM(N107:N109)&lt;60),"- Replantear control(es) NO efectivo(s) ",IF(AND(SUM(E107:E109)=30,SUM(N107:N109)&lt;90),"- Replantear control(es) NO efectivo(s) ",""))))</f>
        <v/>
      </c>
      <c r="AZ107" s="502" t="str">
        <f>IF(AND(AE107&gt;1,AE108&gt;1),"- Tomar Acciones Preventivas y Correctivas",IF(AE107&gt;1,"- Tomar Acciones Preventivas",IF(AE108&gt;1,"- Tomar Acciones Correctivas","")))</f>
        <v>- Tomar Acciones Preventivas</v>
      </c>
      <c r="BA107" s="502" t="str">
        <f t="shared" ref="BA107" si="888">CONCATENATE(AX107,AY107,AZ107)</f>
        <v>- Tomar Acciones Preventivas</v>
      </c>
      <c r="BB107" s="3" t="str">
        <f t="shared" si="867"/>
        <v>SI</v>
      </c>
      <c r="BC107" s="3" t="str">
        <f t="shared" si="868"/>
        <v/>
      </c>
      <c r="BD107" s="3" t="str">
        <f t="shared" si="869"/>
        <v>SI</v>
      </c>
      <c r="BE107" s="3" t="str">
        <f t="shared" si="870"/>
        <v/>
      </c>
      <c r="BF107" s="3" t="str">
        <f t="shared" si="871"/>
        <v>SI</v>
      </c>
      <c r="BG107" s="3" t="str">
        <f t="shared" si="872"/>
        <v/>
      </c>
      <c r="BH107" s="3" t="str">
        <f t="shared" si="873"/>
        <v>P</v>
      </c>
      <c r="BI107" s="3" t="str">
        <f t="shared" si="25"/>
        <v/>
      </c>
      <c r="BJ107" s="3" t="str">
        <f t="shared" si="26"/>
        <v>M</v>
      </c>
      <c r="BK107" s="3" t="str">
        <f t="shared" si="27"/>
        <v/>
      </c>
      <c r="BL107" s="3" t="str">
        <f t="shared" si="874"/>
        <v>SI</v>
      </c>
      <c r="BM107" s="3" t="str">
        <f t="shared" si="875"/>
        <v/>
      </c>
    </row>
    <row r="108" spans="1:65" ht="36" customHeight="1" x14ac:dyDescent="0.2">
      <c r="A108" s="494"/>
      <c r="B108" s="496"/>
      <c r="C108" s="248">
        <v>2</v>
      </c>
      <c r="D108" s="56" t="s">
        <v>11</v>
      </c>
      <c r="E108" s="240">
        <f t="shared" si="4"/>
        <v>10</v>
      </c>
      <c r="F108" s="44" t="s">
        <v>615</v>
      </c>
      <c r="G108" s="18" t="str">
        <f t="shared" si="848"/>
        <v/>
      </c>
      <c r="H108" s="44" t="s">
        <v>20</v>
      </c>
      <c r="I108" s="18" t="str">
        <f t="shared" si="849"/>
        <v/>
      </c>
      <c r="J108" s="55" t="str">
        <f t="shared" si="744"/>
        <v>Posibilidad</v>
      </c>
      <c r="K108" s="43" t="s">
        <v>11</v>
      </c>
      <c r="L108" s="18">
        <f t="shared" si="850"/>
        <v>15</v>
      </c>
      <c r="M108" s="43" t="s">
        <v>11</v>
      </c>
      <c r="N108" s="18">
        <f t="shared" si="851"/>
        <v>30</v>
      </c>
      <c r="O108" s="43" t="s">
        <v>323</v>
      </c>
      <c r="P108" s="18">
        <f t="shared" si="852"/>
        <v>10</v>
      </c>
      <c r="Q108" s="43" t="s">
        <v>11</v>
      </c>
      <c r="R108" s="18">
        <f t="shared" si="853"/>
        <v>5</v>
      </c>
      <c r="S108" s="43" t="s">
        <v>11</v>
      </c>
      <c r="T108" s="18">
        <f t="shared" si="854"/>
        <v>15</v>
      </c>
      <c r="U108" s="43" t="s">
        <v>11</v>
      </c>
      <c r="V108" s="18">
        <f t="shared" si="855"/>
        <v>10</v>
      </c>
      <c r="W108" s="18">
        <f t="shared" si="856"/>
        <v>95</v>
      </c>
      <c r="X108" s="57" t="str">
        <f t="shared" ref="X108:X110" si="889">IF(ISBLANK(D108),"",IF(D108="NO",0,IF(D108="SI",IF(OR(G108="Decripcion",I108="Tipo",L108="P1",N108="P2",P108="P3",R108="P4",T108="P5",V108="P6"),CONCATENATE("Falta diligenciar: ",G108," ",I108,IF(L108="P1"," Preg 1",),IF(N108="P2"," Preg 2",),IF(P108="P3"," Preg 3",),IF(R108="P4"," Preg 4",),IF(T108="P5"," Preg 5",),IF(V108="P6"," Preg 6",)),IF(AND(W108&gt;76,J108="Posibilidad"),CONCATENATE(W108,"                           Disminuye en ",J108),W108)))))</f>
        <v>95                           Disminuye en Posibilidad</v>
      </c>
      <c r="Y108" s="57">
        <f t="shared" ref="Y108:Y110" si="890">IF(AND(W108&gt;75,W108&lt;101,J108="Posibilidad"),1,0)</f>
        <v>1</v>
      </c>
      <c r="Z108" s="248"/>
      <c r="AA108" s="498"/>
      <c r="AB108" s="500"/>
      <c r="AC108" s="3" t="s">
        <v>352</v>
      </c>
      <c r="AF108" s="501"/>
      <c r="AG108" s="46" t="str">
        <f>IF(AG107&gt;0,"- Evitar Posibilidad de Ocurrencia- Reducir el Riesgo","")</f>
        <v>- Evitar Posibilidad de Ocurrencia- Reducir el Riesgo</v>
      </c>
      <c r="AH108" s="46"/>
      <c r="AI108" s="46"/>
      <c r="AJ108" s="46"/>
      <c r="AK108" s="46"/>
      <c r="AL108" s="46"/>
      <c r="AM108" s="3" t="str">
        <f t="shared" si="857"/>
        <v/>
      </c>
      <c r="AN108" s="3" t="str">
        <f t="shared" si="858"/>
        <v/>
      </c>
      <c r="AO108" s="3" t="str">
        <f t="shared" si="859"/>
        <v/>
      </c>
      <c r="AP108" s="3" t="str">
        <f t="shared" si="860"/>
        <v/>
      </c>
      <c r="AQ108" s="3" t="str">
        <f>IF(AQ107="Documentar",AQ107,AM108)</f>
        <v/>
      </c>
      <c r="AR108" s="3" t="str">
        <f t="shared" ref="AR108:AR109" si="891">IF(AR107="Asignar responsable",AR107,AN108)</f>
        <v/>
      </c>
      <c r="AT108" s="3" t="str">
        <f t="shared" ref="AT108:AT109" si="892">IF(AT107="Establecer periodos de seguimiento adecuados",AT107,AO108)</f>
        <v/>
      </c>
      <c r="AV108" s="3" t="str">
        <f t="shared" ref="AV108:AV109" si="893">IF(AV107="Guardar Evidencias",AV107,AP108)</f>
        <v/>
      </c>
      <c r="AX108" s="502"/>
      <c r="AY108" s="502"/>
      <c r="AZ108" s="502"/>
      <c r="BA108" s="502"/>
      <c r="BB108" s="3" t="str">
        <f t="shared" si="867"/>
        <v>SI</v>
      </c>
      <c r="BC108" s="3" t="str">
        <f t="shared" si="868"/>
        <v/>
      </c>
      <c r="BD108" s="3" t="str">
        <f t="shared" si="869"/>
        <v>SI</v>
      </c>
      <c r="BE108" s="3" t="str">
        <f t="shared" si="870"/>
        <v/>
      </c>
      <c r="BF108" s="3" t="str">
        <f t="shared" si="871"/>
        <v>SI</v>
      </c>
      <c r="BG108" s="3" t="str">
        <f t="shared" si="872"/>
        <v/>
      </c>
      <c r="BH108" s="3" t="str">
        <f t="shared" si="873"/>
        <v>P</v>
      </c>
      <c r="BI108" s="3" t="str">
        <f t="shared" si="25"/>
        <v/>
      </c>
      <c r="BJ108" s="3" t="str">
        <f t="shared" si="26"/>
        <v>M</v>
      </c>
      <c r="BK108" s="3" t="str">
        <f t="shared" si="27"/>
        <v/>
      </c>
      <c r="BL108" s="3" t="str">
        <f t="shared" si="874"/>
        <v>SI</v>
      </c>
      <c r="BM108" s="3" t="str">
        <f t="shared" si="875"/>
        <v/>
      </c>
    </row>
    <row r="109" spans="1:65" ht="36" customHeight="1" thickBot="1" x14ac:dyDescent="0.25">
      <c r="A109" s="495"/>
      <c r="B109" s="496"/>
      <c r="C109" s="248">
        <v>3</v>
      </c>
      <c r="D109" s="56"/>
      <c r="E109" s="240" t="str">
        <f t="shared" si="4"/>
        <v/>
      </c>
      <c r="F109" s="44"/>
      <c r="G109" s="18" t="str">
        <f t="shared" si="848"/>
        <v/>
      </c>
      <c r="H109" s="44"/>
      <c r="I109" s="18" t="str">
        <f t="shared" si="849"/>
        <v/>
      </c>
      <c r="J109" s="55" t="str">
        <f t="shared" si="744"/>
        <v/>
      </c>
      <c r="K109" s="43"/>
      <c r="L109" s="18" t="str">
        <f t="shared" si="850"/>
        <v/>
      </c>
      <c r="M109" s="43"/>
      <c r="N109" s="18" t="str">
        <f t="shared" si="851"/>
        <v/>
      </c>
      <c r="O109" s="43"/>
      <c r="P109" s="18" t="str">
        <f t="shared" si="852"/>
        <v/>
      </c>
      <c r="Q109" s="43"/>
      <c r="R109" s="18" t="str">
        <f t="shared" si="853"/>
        <v/>
      </c>
      <c r="S109" s="43"/>
      <c r="T109" s="18" t="str">
        <f t="shared" si="854"/>
        <v/>
      </c>
      <c r="U109" s="43"/>
      <c r="V109" s="18" t="str">
        <f t="shared" si="855"/>
        <v/>
      </c>
      <c r="W109" s="18">
        <f t="shared" si="856"/>
        <v>0</v>
      </c>
      <c r="X109" s="57" t="str">
        <f t="shared" si="889"/>
        <v/>
      </c>
      <c r="Y109" s="57">
        <f t="shared" si="890"/>
        <v>0</v>
      </c>
      <c r="Z109" s="248"/>
      <c r="AA109" s="499"/>
      <c r="AB109" s="500"/>
      <c r="AM109" s="3" t="str">
        <f t="shared" si="857"/>
        <v/>
      </c>
      <c r="AN109" s="3" t="str">
        <f t="shared" si="858"/>
        <v/>
      </c>
      <c r="AO109" s="3" t="str">
        <f t="shared" si="859"/>
        <v/>
      </c>
      <c r="AP109" s="3" t="str">
        <f t="shared" si="860"/>
        <v/>
      </c>
      <c r="AQ109" s="3" t="str">
        <f>IF(AQ108="Documentar",AQ108,AM109)</f>
        <v/>
      </c>
      <c r="AR109" s="3" t="str">
        <f t="shared" si="891"/>
        <v/>
      </c>
      <c r="AS109" s="3" t="str">
        <f>IF(AND(AQ109="Documentar",AR109="Asignar responsable"),CONCATENATE("- ",AQ109,", ",AR109),IF(AQ109="Documentar",CONCATENATE("- ",AQ109),IF(AR109="Asignar responsable",CONCATENATE("- ",AR109),"")))</f>
        <v/>
      </c>
      <c r="AT109" s="3" t="str">
        <f t="shared" si="892"/>
        <v/>
      </c>
      <c r="AU109" s="3" t="str">
        <f t="shared" ref="AU109" si="894">IF(AT109="",AS109,IF(AS109="",CONCATENATE("- ",AT109),CONCATENATE(AS109,", ",AT109)))</f>
        <v/>
      </c>
      <c r="AV109" s="3" t="str">
        <f t="shared" si="893"/>
        <v/>
      </c>
      <c r="AW109" s="3" t="str">
        <f t="shared" ref="AW109" si="895">IF(AV109="",AU109,IF(AU109="",CONCATENATE("- ",AV109),CONCATENATE(AU109,", ",AV109)))</f>
        <v/>
      </c>
      <c r="AX109" s="502"/>
      <c r="AY109" s="502"/>
      <c r="AZ109" s="502"/>
      <c r="BA109" s="502"/>
      <c r="BB109" s="3" t="str">
        <f t="shared" si="867"/>
        <v/>
      </c>
      <c r="BC109" s="3" t="str">
        <f t="shared" si="868"/>
        <v/>
      </c>
      <c r="BD109" s="3" t="str">
        <f t="shared" si="869"/>
        <v/>
      </c>
      <c r="BE109" s="3" t="str">
        <f t="shared" si="870"/>
        <v/>
      </c>
      <c r="BF109" s="3" t="str">
        <f t="shared" si="871"/>
        <v/>
      </c>
      <c r="BG109" s="3" t="str">
        <f t="shared" si="872"/>
        <v/>
      </c>
      <c r="BH109" s="3" t="str">
        <f t="shared" si="873"/>
        <v/>
      </c>
      <c r="BI109" s="3" t="str">
        <f t="shared" si="25"/>
        <v/>
      </c>
      <c r="BJ109" s="3" t="str">
        <f t="shared" si="26"/>
        <v/>
      </c>
      <c r="BK109" s="3" t="str">
        <f t="shared" si="27"/>
        <v/>
      </c>
      <c r="BL109" s="3" t="str">
        <f t="shared" si="874"/>
        <v/>
      </c>
      <c r="BM109" s="3" t="str">
        <f t="shared" si="875"/>
        <v/>
      </c>
    </row>
    <row r="110" spans="1:65" ht="36.75" thickTop="1" x14ac:dyDescent="0.2">
      <c r="A110" s="493" t="str">
        <f>IDENTIFICACIÓN!C43</f>
        <v>6C</v>
      </c>
      <c r="B110" s="496" t="str">
        <f>IF(IDENTIFICACIÓN!D43="","",IDENTIFICACIÓN!D43)</f>
        <v>Acreditación. Concentración de información de determinadas actividades o procesos en una persona</v>
      </c>
      <c r="C110" s="356">
        <v>1</v>
      </c>
      <c r="D110" s="56" t="s">
        <v>11</v>
      </c>
      <c r="E110" s="240">
        <f t="shared" si="4"/>
        <v>10</v>
      </c>
      <c r="F110" s="44" t="s">
        <v>570</v>
      </c>
      <c r="G110" s="18" t="str">
        <f t="shared" ref="G110:G127" si="896">IF($D110="SI",IF(ISBLANK(F110),"Decripcion",""),"")</f>
        <v/>
      </c>
      <c r="H110" s="44" t="s">
        <v>20</v>
      </c>
      <c r="I110" s="18" t="str">
        <f t="shared" ref="I110:I127" si="897">IF($D110="SI",IF(ISBLANK(H110),"Tipo",""),"")</f>
        <v/>
      </c>
      <c r="J110" s="55" t="str">
        <f t="shared" ref="J110:J127" si="898">IF(H110="Preventivo","Posibilidad",IF(H110="Correctivo","No Aplica",""))</f>
        <v>Posibilidad</v>
      </c>
      <c r="K110" s="43" t="s">
        <v>11</v>
      </c>
      <c r="L110" s="18">
        <f t="shared" ref="L110:L127" si="899">IF($D110="SI",IF(K110="SI",15,IF(K110="NO",0,"P1")),"")</f>
        <v>15</v>
      </c>
      <c r="M110" s="43" t="s">
        <v>11</v>
      </c>
      <c r="N110" s="18">
        <f t="shared" ref="N110:N127" si="900">IF($D110="SI",IF(M110="SI",30,IF(M110="NO",0,"P2")),"")</f>
        <v>30</v>
      </c>
      <c r="O110" s="43" t="s">
        <v>323</v>
      </c>
      <c r="P110" s="18">
        <f t="shared" ref="P110:P127" si="901">IF($D110="SI",IF(O110="Automático",15,IF(O110="Manual",10,"P3")),"")</f>
        <v>10</v>
      </c>
      <c r="Q110" s="43" t="s">
        <v>11</v>
      </c>
      <c r="R110" s="18">
        <f t="shared" ref="R110:R127" si="902">IF($D110="SI",IF(Q110="SI",5,IF(Q110="NO",0,"P4")),"")</f>
        <v>5</v>
      </c>
      <c r="S110" s="43" t="s">
        <v>11</v>
      </c>
      <c r="T110" s="18">
        <f t="shared" ref="T110:T127" si="903">IF($D110="SI",IF(S110="SI",15,IF(S110="NO",0,"P5")),"")</f>
        <v>15</v>
      </c>
      <c r="U110" s="43" t="s">
        <v>11</v>
      </c>
      <c r="V110" s="18">
        <f t="shared" ref="V110:V127" si="904">IF($D110="SI",IF(U110="SI",10,IF(U110="NO",0,"P6")),"")</f>
        <v>10</v>
      </c>
      <c r="W110" s="18">
        <f t="shared" ref="W110:W127" si="905">IF(D110="SI",E110+L110+N110+P110+R110+T110+V110,0)</f>
        <v>95</v>
      </c>
      <c r="X110" s="57" t="str">
        <f t="shared" si="889"/>
        <v>95                           Disminuye en Posibilidad</v>
      </c>
      <c r="Y110" s="57">
        <f t="shared" si="890"/>
        <v>1</v>
      </c>
      <c r="Z110" s="356"/>
      <c r="AA110" s="497">
        <f t="shared" ref="AA110" si="906">IF(AB110=0,"",(ROUND((SUM(W110:W112)/AB110),0)))</f>
        <v>95</v>
      </c>
      <c r="AB110" s="500">
        <f t="shared" ref="AB110" si="907">COUNT(T110:T112)</f>
        <v>2</v>
      </c>
      <c r="AC110" s="3">
        <f t="shared" ref="AC110" si="908">SUM(Y110:Y112)</f>
        <v>2</v>
      </c>
      <c r="AD110" s="3">
        <f>ANALISIS!D45</f>
        <v>3</v>
      </c>
      <c r="AE110" s="3">
        <f t="shared" ref="AE110" si="909">IF(AND(AD110=5,AC110&gt;1),3,AD110)</f>
        <v>3</v>
      </c>
      <c r="AF110" s="501">
        <f t="shared" ref="AF110" si="910">AE110</f>
        <v>3</v>
      </c>
      <c r="AG110" s="355" t="str">
        <f t="shared" ref="AG110" si="911">IF(AF110=3,"MODERADA",IF(AF110=5,"EXTREMA",""))</f>
        <v>MODERADA</v>
      </c>
      <c r="AH110" s="46"/>
      <c r="AI110" s="46"/>
      <c r="AJ110" s="46"/>
      <c r="AK110" s="46"/>
      <c r="AL110" s="46"/>
      <c r="AM110" s="3" t="str">
        <f t="shared" ref="AM110:AM127" si="912">IF(AND(N110=30,L110=0),$AM$8,"")</f>
        <v/>
      </c>
      <c r="AN110" s="3" t="str">
        <f t="shared" ref="AN110:AN127" si="913">IF(AND(N110=30,R110=0),$AN$8,"")</f>
        <v/>
      </c>
      <c r="AO110" s="3" t="str">
        <f t="shared" ref="AO110:AO127" si="914">IF(AND(N110=30,T110=0),$AO$8,"")</f>
        <v/>
      </c>
      <c r="AP110" s="3" t="str">
        <f t="shared" ref="AP110:AP127" si="915">IF(AND(N110=30,V110=0),$AP$8,"")</f>
        <v/>
      </c>
      <c r="AQ110" s="3" t="str">
        <f t="shared" ref="AQ110" si="916">AM110</f>
        <v/>
      </c>
      <c r="AR110" s="3" t="str">
        <f t="shared" ref="AR110" si="917">AN110</f>
        <v/>
      </c>
      <c r="AT110" s="3" t="str">
        <f t="shared" ref="AT110" si="918">AO110</f>
        <v/>
      </c>
      <c r="AV110" s="3" t="str">
        <f t="shared" ref="AV110" si="919">AP110</f>
        <v/>
      </c>
      <c r="AX110" s="502" t="str">
        <f t="shared" ref="AX110" si="920">IF(AW112="","",CONCATENATE(AW112," (de) el(los) control(es) Efectivo(s) "))</f>
        <v/>
      </c>
      <c r="AY110" s="502" t="str">
        <f t="shared" ref="AY110" si="921">IF(CONCATENATE(N110:N112)="","",IF(AND(SUM(E110:E112)=10,SUM(N110:N112)&lt;30),"- Replantear control(es) NO efectivo(s) ",IF(AND(SUM(E110:E112)=20,SUM(N110:N112)&lt;60),"- Replantear control(es) NO efectivo(s) ",IF(AND(SUM(E110:E112)=30,SUM(N110:N112)&lt;90),"- Replantear control(es) NO efectivo(s) ",""))))</f>
        <v/>
      </c>
      <c r="AZ110" s="502" t="str">
        <f t="shared" ref="AZ110" si="922">IF(AND(AE110&gt;1,AE111&gt;1),"- Tomar Acciones Preventivas y Correctivas",IF(AE110&gt;1,"- Tomar Acciones Preventivas",IF(AE111&gt;1,"- Tomar Acciones Correctivas","")))</f>
        <v>- Tomar Acciones Preventivas</v>
      </c>
      <c r="BA110" s="502" t="str">
        <f t="shared" ref="BA110" si="923">CONCATENATE(AX110,AY110,AZ110)</f>
        <v>- Tomar Acciones Preventivas</v>
      </c>
      <c r="BB110" s="3" t="str">
        <f t="shared" ref="BB110:BB127" si="924">IF(AND($N110=30,L110=15),"SI",IF(AND($N110=30,L110=0),"NO",""))</f>
        <v>SI</v>
      </c>
      <c r="BC110" s="3" t="str">
        <f t="shared" ref="BC110:BC127" si="925">IF(AND($N110=0,L110=15),"SI",IF(AND($N110=0,L110=0),"NO",""))</f>
        <v/>
      </c>
      <c r="BD110" s="3" t="str">
        <f t="shared" ref="BD110:BD127" si="926">IF(AND($N110=30,R110=5),"SI",IF(AND($N110=30,R110=0),"NO",""))</f>
        <v>SI</v>
      </c>
      <c r="BE110" s="3" t="str">
        <f t="shared" ref="BE110:BE127" si="927">IF(AND($N110=0,R110=5),"SI",IF(AND($N110=0,R110=0),"NO",""))</f>
        <v/>
      </c>
      <c r="BF110" s="3" t="str">
        <f t="shared" ref="BF110:BF127" si="928">IF(AND($N110=30,T110=15),"SI",IF(AND($N110=30,T110=0),"NO",""))</f>
        <v>SI</v>
      </c>
      <c r="BG110" s="3" t="str">
        <f t="shared" ref="BG110:BG127" si="929">IF(AND($N110=0,T110=15),"SI",IF(AND($N110=0,T110=0),"NO",""))</f>
        <v/>
      </c>
      <c r="BH110" s="3" t="str">
        <f t="shared" ref="BH110:BH127" si="930">IF(AND($N110=30,H110="Preventivo"),"P",IF(AND($N110=30,H110="Correctivo"),"C",""))</f>
        <v>P</v>
      </c>
      <c r="BI110" s="3" t="str">
        <f t="shared" si="25"/>
        <v/>
      </c>
      <c r="BJ110" s="3" t="str">
        <f t="shared" si="26"/>
        <v>M</v>
      </c>
      <c r="BK110" s="3" t="str">
        <f t="shared" si="27"/>
        <v/>
      </c>
      <c r="BL110" s="3" t="str">
        <f t="shared" ref="BL110:BL127" si="931">IF(AND($N110=30,V110=10),"SI",IF(AND($N110=30,V110=0),"NO",""))</f>
        <v>SI</v>
      </c>
      <c r="BM110" s="3" t="str">
        <f t="shared" ref="BM110:BM127" si="932">IF(AND($N110=0,V110=10),"SI",IF(AND($N110=0,V110=0),"NO",""))</f>
        <v/>
      </c>
    </row>
    <row r="111" spans="1:65" ht="36" x14ac:dyDescent="0.2">
      <c r="A111" s="494"/>
      <c r="B111" s="496"/>
      <c r="C111" s="356">
        <v>2</v>
      </c>
      <c r="D111" s="56" t="s">
        <v>11</v>
      </c>
      <c r="E111" s="240">
        <f t="shared" ref="E111:E174" si="933">IF($D111="","",IF($D111="SI",10,0))</f>
        <v>10</v>
      </c>
      <c r="F111" s="44" t="s">
        <v>615</v>
      </c>
      <c r="G111" s="18" t="str">
        <f t="shared" si="896"/>
        <v/>
      </c>
      <c r="H111" s="44" t="s">
        <v>20</v>
      </c>
      <c r="I111" s="18" t="str">
        <f t="shared" si="897"/>
        <v/>
      </c>
      <c r="J111" s="55" t="str">
        <f t="shared" si="898"/>
        <v>Posibilidad</v>
      </c>
      <c r="K111" s="43" t="s">
        <v>11</v>
      </c>
      <c r="L111" s="18">
        <f t="shared" si="899"/>
        <v>15</v>
      </c>
      <c r="M111" s="43" t="s">
        <v>11</v>
      </c>
      <c r="N111" s="18">
        <f t="shared" si="900"/>
        <v>30</v>
      </c>
      <c r="O111" s="43" t="s">
        <v>323</v>
      </c>
      <c r="P111" s="18">
        <f t="shared" si="901"/>
        <v>10</v>
      </c>
      <c r="Q111" s="43" t="s">
        <v>11</v>
      </c>
      <c r="R111" s="18">
        <f t="shared" si="902"/>
        <v>5</v>
      </c>
      <c r="S111" s="43" t="s">
        <v>11</v>
      </c>
      <c r="T111" s="18">
        <f t="shared" si="903"/>
        <v>15</v>
      </c>
      <c r="U111" s="43" t="s">
        <v>11</v>
      </c>
      <c r="V111" s="18">
        <f t="shared" si="904"/>
        <v>10</v>
      </c>
      <c r="W111" s="18">
        <f t="shared" si="905"/>
        <v>95</v>
      </c>
      <c r="X111" s="57" t="str">
        <f t="shared" ref="X111:X127" si="934">IF(ISBLANK(D111),"",IF(D111="NO",0,IF(D111="SI",IF(OR(G111="Decripcion",I111="Tipo",L111="P1",N111="P2",P111="P3",R111="P4",T111="P5",V111="P6"),CONCATENATE("Falta diligenciar: ",G111," ",I111,IF(L111="P1"," Preg 1",),IF(N111="P2"," Preg 2",),IF(P111="P3"," Preg 3",),IF(R111="P4"," Preg 4",),IF(T111="P5"," Preg 5",),IF(V111="P6"," Preg 6",)),IF(AND(W111&gt;76,J111="Posibilidad"),CONCATENATE(W111,"                           Disminuye en ",J111),W111)))))</f>
        <v>95                           Disminuye en Posibilidad</v>
      </c>
      <c r="Y111" s="57">
        <f t="shared" ref="Y111:Y127" si="935">IF(AND(W111&gt;75,W111&lt;101,J111="Posibilidad"),1,0)</f>
        <v>1</v>
      </c>
      <c r="Z111" s="356"/>
      <c r="AA111" s="498"/>
      <c r="AB111" s="500"/>
      <c r="AC111" s="3" t="s">
        <v>352</v>
      </c>
      <c r="AF111" s="501"/>
      <c r="AG111" s="46" t="str">
        <f t="shared" ref="AG111" si="936">IF(AG110&gt;0,"- Evitar Posibilidad de Ocurrencia- Reducir el Riesgo","")</f>
        <v>- Evitar Posibilidad de Ocurrencia- Reducir el Riesgo</v>
      </c>
      <c r="AH111" s="46"/>
      <c r="AI111" s="46"/>
      <c r="AJ111" s="46"/>
      <c r="AK111" s="46"/>
      <c r="AL111" s="46"/>
      <c r="AM111" s="3" t="str">
        <f t="shared" si="912"/>
        <v/>
      </c>
      <c r="AN111" s="3" t="str">
        <f t="shared" si="913"/>
        <v/>
      </c>
      <c r="AO111" s="3" t="str">
        <f t="shared" si="914"/>
        <v/>
      </c>
      <c r="AP111" s="3" t="str">
        <f t="shared" si="915"/>
        <v/>
      </c>
      <c r="AQ111" s="3" t="str">
        <f t="shared" ref="AQ111:AQ112" si="937">IF(AQ110="Documentar",AQ110,AM111)</f>
        <v/>
      </c>
      <c r="AR111" s="3" t="str">
        <f t="shared" ref="AR111:AR112" si="938">IF(AR110="Asignar responsable",AR110,AN111)</f>
        <v/>
      </c>
      <c r="AT111" s="3" t="str">
        <f t="shared" ref="AT111:AT112" si="939">IF(AT110="Establecer periodos de seguimiento adecuados",AT110,AO111)</f>
        <v/>
      </c>
      <c r="AV111" s="3" t="str">
        <f t="shared" ref="AV111:AV112" si="940">IF(AV110="Guardar Evidencias",AV110,AP111)</f>
        <v/>
      </c>
      <c r="AX111" s="502"/>
      <c r="AY111" s="502"/>
      <c r="AZ111" s="502"/>
      <c r="BA111" s="502"/>
      <c r="BB111" s="3" t="str">
        <f t="shared" si="924"/>
        <v>SI</v>
      </c>
      <c r="BC111" s="3" t="str">
        <f t="shared" si="925"/>
        <v/>
      </c>
      <c r="BD111" s="3" t="str">
        <f t="shared" si="926"/>
        <v>SI</v>
      </c>
      <c r="BE111" s="3" t="str">
        <f t="shared" si="927"/>
        <v/>
      </c>
      <c r="BF111" s="3" t="str">
        <f t="shared" si="928"/>
        <v>SI</v>
      </c>
      <c r="BG111" s="3" t="str">
        <f t="shared" si="929"/>
        <v/>
      </c>
      <c r="BH111" s="3" t="str">
        <f t="shared" si="930"/>
        <v>P</v>
      </c>
      <c r="BI111" s="3" t="str">
        <f t="shared" ref="BI111:BI174" si="941">IF(AND($N111=0,$H111="Preventivo"),"P",IF(AND($N111=0,$H111="Correctivo"),"C",""))</f>
        <v/>
      </c>
      <c r="BJ111" s="3" t="str">
        <f t="shared" ref="BJ111:BJ174" si="942">IF(AND($N111=30,$O111="Automático"),"A",IF(AND($N111=30,$O111="Manual"),"M",""))</f>
        <v>M</v>
      </c>
      <c r="BK111" s="3" t="str">
        <f t="shared" ref="BK111:BK174" si="943">IF(AND($N111=0,$O111="Automático"),"A",IF(AND($N111=0,$O111="Manual"),"M",""))</f>
        <v/>
      </c>
      <c r="BL111" s="3" t="str">
        <f t="shared" si="931"/>
        <v>SI</v>
      </c>
      <c r="BM111" s="3" t="str">
        <f t="shared" si="932"/>
        <v/>
      </c>
    </row>
    <row r="112" spans="1:65" ht="16.5" thickBot="1" x14ac:dyDescent="0.25">
      <c r="A112" s="495"/>
      <c r="B112" s="496"/>
      <c r="C112" s="356">
        <v>3</v>
      </c>
      <c r="D112" s="56"/>
      <c r="E112" s="240" t="str">
        <f t="shared" si="933"/>
        <v/>
      </c>
      <c r="F112" s="44"/>
      <c r="G112" s="18" t="str">
        <f t="shared" si="896"/>
        <v/>
      </c>
      <c r="H112" s="44"/>
      <c r="I112" s="18" t="str">
        <f t="shared" si="897"/>
        <v/>
      </c>
      <c r="J112" s="55" t="str">
        <f t="shared" si="898"/>
        <v/>
      </c>
      <c r="K112" s="43"/>
      <c r="L112" s="18" t="str">
        <f t="shared" si="899"/>
        <v/>
      </c>
      <c r="M112" s="43"/>
      <c r="N112" s="18" t="str">
        <f t="shared" si="900"/>
        <v/>
      </c>
      <c r="O112" s="43"/>
      <c r="P112" s="18" t="str">
        <f t="shared" si="901"/>
        <v/>
      </c>
      <c r="Q112" s="43"/>
      <c r="R112" s="18" t="str">
        <f t="shared" si="902"/>
        <v/>
      </c>
      <c r="S112" s="43"/>
      <c r="T112" s="18" t="str">
        <f t="shared" si="903"/>
        <v/>
      </c>
      <c r="U112" s="43"/>
      <c r="V112" s="18" t="str">
        <f t="shared" si="904"/>
        <v/>
      </c>
      <c r="W112" s="18">
        <f t="shared" si="905"/>
        <v>0</v>
      </c>
      <c r="X112" s="57" t="str">
        <f t="shared" si="934"/>
        <v/>
      </c>
      <c r="Y112" s="57">
        <f t="shared" si="935"/>
        <v>0</v>
      </c>
      <c r="Z112" s="356"/>
      <c r="AA112" s="499"/>
      <c r="AB112" s="500"/>
      <c r="AM112" s="3" t="str">
        <f t="shared" si="912"/>
        <v/>
      </c>
      <c r="AN112" s="3" t="str">
        <f t="shared" si="913"/>
        <v/>
      </c>
      <c r="AO112" s="3" t="str">
        <f t="shared" si="914"/>
        <v/>
      </c>
      <c r="AP112" s="3" t="str">
        <f t="shared" si="915"/>
        <v/>
      </c>
      <c r="AQ112" s="3" t="str">
        <f t="shared" si="937"/>
        <v/>
      </c>
      <c r="AR112" s="3" t="str">
        <f t="shared" si="938"/>
        <v/>
      </c>
      <c r="AS112" s="3" t="str">
        <f t="shared" ref="AS112" si="944">IF(AND(AQ112="Documentar",AR112="Asignar responsable"),CONCATENATE("- ",AQ112,", ",AR112),IF(AQ112="Documentar",CONCATENATE("- ",AQ112),IF(AR112="Asignar responsable",CONCATENATE("- ",AR112),"")))</f>
        <v/>
      </c>
      <c r="AT112" s="3" t="str">
        <f t="shared" si="939"/>
        <v/>
      </c>
      <c r="AU112" s="3" t="str">
        <f t="shared" ref="AU112" si="945">IF(AT112="",AS112,IF(AS112="",CONCATENATE("- ",AT112),CONCATENATE(AS112,", ",AT112)))</f>
        <v/>
      </c>
      <c r="AV112" s="3" t="str">
        <f t="shared" si="940"/>
        <v/>
      </c>
      <c r="AW112" s="3" t="str">
        <f t="shared" ref="AW112" si="946">IF(AV112="",AU112,IF(AU112="",CONCATENATE("- ",AV112),CONCATENATE(AU112,", ",AV112)))</f>
        <v/>
      </c>
      <c r="AX112" s="502"/>
      <c r="AY112" s="502"/>
      <c r="AZ112" s="502"/>
      <c r="BA112" s="502"/>
      <c r="BB112" s="3" t="str">
        <f t="shared" si="924"/>
        <v/>
      </c>
      <c r="BC112" s="3" t="str">
        <f t="shared" si="925"/>
        <v/>
      </c>
      <c r="BD112" s="3" t="str">
        <f t="shared" si="926"/>
        <v/>
      </c>
      <c r="BE112" s="3" t="str">
        <f t="shared" si="927"/>
        <v/>
      </c>
      <c r="BF112" s="3" t="str">
        <f t="shared" si="928"/>
        <v/>
      </c>
      <c r="BG112" s="3" t="str">
        <f t="shared" si="929"/>
        <v/>
      </c>
      <c r="BH112" s="3" t="str">
        <f t="shared" si="930"/>
        <v/>
      </c>
      <c r="BI112" s="3" t="str">
        <f t="shared" si="941"/>
        <v/>
      </c>
      <c r="BJ112" s="3" t="str">
        <f t="shared" si="942"/>
        <v/>
      </c>
      <c r="BK112" s="3" t="str">
        <f t="shared" si="943"/>
        <v/>
      </c>
      <c r="BL112" s="3" t="str">
        <f t="shared" si="931"/>
        <v/>
      </c>
      <c r="BM112" s="3" t="str">
        <f t="shared" si="932"/>
        <v/>
      </c>
    </row>
    <row r="113" spans="1:65" ht="36.75" thickTop="1" x14ac:dyDescent="0.2">
      <c r="A113" s="493" t="str">
        <f>IDENTIFICACIÓN!C44</f>
        <v>7C</v>
      </c>
      <c r="B113" s="496" t="str">
        <f>IF(IDENTIFICACIÓN!D44="","",IDENTIFICACIÓN!D44)</f>
        <v>Gestión de la Calidad. Concentración de información de determinadas actividades o procesos en una persona</v>
      </c>
      <c r="C113" s="356">
        <v>1</v>
      </c>
      <c r="D113" s="56" t="s">
        <v>11</v>
      </c>
      <c r="E113" s="240">
        <f t="shared" si="933"/>
        <v>10</v>
      </c>
      <c r="F113" s="44" t="s">
        <v>616</v>
      </c>
      <c r="G113" s="18" t="str">
        <f t="shared" si="896"/>
        <v/>
      </c>
      <c r="H113" s="44" t="s">
        <v>20</v>
      </c>
      <c r="I113" s="18" t="str">
        <f t="shared" si="897"/>
        <v/>
      </c>
      <c r="J113" s="55" t="str">
        <f t="shared" si="898"/>
        <v>Posibilidad</v>
      </c>
      <c r="K113" s="43" t="s">
        <v>11</v>
      </c>
      <c r="L113" s="18">
        <f t="shared" si="899"/>
        <v>15</v>
      </c>
      <c r="M113" s="43" t="s">
        <v>11</v>
      </c>
      <c r="N113" s="18">
        <f t="shared" si="900"/>
        <v>30</v>
      </c>
      <c r="O113" s="43" t="s">
        <v>323</v>
      </c>
      <c r="P113" s="18">
        <f t="shared" si="901"/>
        <v>10</v>
      </c>
      <c r="Q113" s="43" t="s">
        <v>11</v>
      </c>
      <c r="R113" s="18">
        <f t="shared" si="902"/>
        <v>5</v>
      </c>
      <c r="S113" s="43" t="s">
        <v>11</v>
      </c>
      <c r="T113" s="18">
        <f t="shared" si="903"/>
        <v>15</v>
      </c>
      <c r="U113" s="43" t="s">
        <v>11</v>
      </c>
      <c r="V113" s="18">
        <f t="shared" si="904"/>
        <v>10</v>
      </c>
      <c r="W113" s="18">
        <f t="shared" si="905"/>
        <v>95</v>
      </c>
      <c r="X113" s="57" t="str">
        <f t="shared" si="934"/>
        <v>95                           Disminuye en Posibilidad</v>
      </c>
      <c r="Y113" s="57">
        <f t="shared" si="935"/>
        <v>1</v>
      </c>
      <c r="Z113" s="356"/>
      <c r="AA113" s="497">
        <f t="shared" ref="AA113" si="947">IF(AB113=0,"",(ROUND((SUM(W113:W115)/AB113),0)))</f>
        <v>95</v>
      </c>
      <c r="AB113" s="500">
        <f t="shared" ref="AB113" si="948">COUNT(T113:T115)</f>
        <v>1</v>
      </c>
      <c r="AC113" s="3">
        <f t="shared" ref="AC113" si="949">SUM(Y113:Y115)</f>
        <v>1</v>
      </c>
      <c r="AD113" s="3">
        <f>ANALISIS!D46</f>
        <v>3</v>
      </c>
      <c r="AE113" s="3">
        <f t="shared" ref="AE113" si="950">IF(AND(AD113=5,AC113&gt;1),3,AD113)</f>
        <v>3</v>
      </c>
      <c r="AF113" s="501">
        <f t="shared" ref="AF113" si="951">AE113</f>
        <v>3</v>
      </c>
      <c r="AG113" s="355" t="str">
        <f t="shared" ref="AG113" si="952">IF(AF113=3,"MODERADA",IF(AF113=5,"EXTREMA",""))</f>
        <v>MODERADA</v>
      </c>
      <c r="AH113" s="46"/>
      <c r="AI113" s="46"/>
      <c r="AJ113" s="46"/>
      <c r="AK113" s="46"/>
      <c r="AL113" s="46"/>
      <c r="AM113" s="3" t="str">
        <f t="shared" si="912"/>
        <v/>
      </c>
      <c r="AN113" s="3" t="str">
        <f t="shared" si="913"/>
        <v/>
      </c>
      <c r="AO113" s="3" t="str">
        <f t="shared" si="914"/>
        <v/>
      </c>
      <c r="AP113" s="3" t="str">
        <f t="shared" si="915"/>
        <v/>
      </c>
      <c r="AQ113" s="3" t="str">
        <f t="shared" ref="AQ113" si="953">AM113</f>
        <v/>
      </c>
      <c r="AR113" s="3" t="str">
        <f t="shared" ref="AR113" si="954">AN113</f>
        <v/>
      </c>
      <c r="AT113" s="3" t="str">
        <f t="shared" ref="AT113" si="955">AO113</f>
        <v/>
      </c>
      <c r="AV113" s="3" t="str">
        <f t="shared" ref="AV113" si="956">AP113</f>
        <v/>
      </c>
      <c r="AX113" s="502" t="str">
        <f t="shared" ref="AX113" si="957">IF(AW115="","",CONCATENATE(AW115," (de) el(los) control(es) Efectivo(s) "))</f>
        <v/>
      </c>
      <c r="AY113" s="502" t="str">
        <f t="shared" ref="AY113" si="958">IF(CONCATENATE(N113:N115)="","",IF(AND(SUM(E113:E115)=10,SUM(N113:N115)&lt;30),"- Replantear control(es) NO efectivo(s) ",IF(AND(SUM(E113:E115)=20,SUM(N113:N115)&lt;60),"- Replantear control(es) NO efectivo(s) ",IF(AND(SUM(E113:E115)=30,SUM(N113:N115)&lt;90),"- Replantear control(es) NO efectivo(s) ",""))))</f>
        <v/>
      </c>
      <c r="AZ113" s="502" t="str">
        <f t="shared" ref="AZ113" si="959">IF(AND(AE113&gt;1,AE114&gt;1),"- Tomar Acciones Preventivas y Correctivas",IF(AE113&gt;1,"- Tomar Acciones Preventivas",IF(AE114&gt;1,"- Tomar Acciones Correctivas","")))</f>
        <v>- Tomar Acciones Preventivas</v>
      </c>
      <c r="BA113" s="502" t="str">
        <f t="shared" ref="BA113" si="960">CONCATENATE(AX113,AY113,AZ113)</f>
        <v>- Tomar Acciones Preventivas</v>
      </c>
      <c r="BB113" s="3" t="str">
        <f t="shared" si="924"/>
        <v>SI</v>
      </c>
      <c r="BC113" s="3" t="str">
        <f t="shared" si="925"/>
        <v/>
      </c>
      <c r="BD113" s="3" t="str">
        <f t="shared" si="926"/>
        <v>SI</v>
      </c>
      <c r="BE113" s="3" t="str">
        <f t="shared" si="927"/>
        <v/>
      </c>
      <c r="BF113" s="3" t="str">
        <f t="shared" si="928"/>
        <v>SI</v>
      </c>
      <c r="BG113" s="3" t="str">
        <f t="shared" si="929"/>
        <v/>
      </c>
      <c r="BH113" s="3" t="str">
        <f t="shared" si="930"/>
        <v>P</v>
      </c>
      <c r="BI113" s="3" t="str">
        <f t="shared" si="941"/>
        <v/>
      </c>
      <c r="BJ113" s="3" t="str">
        <f t="shared" si="942"/>
        <v>M</v>
      </c>
      <c r="BK113" s="3" t="str">
        <f t="shared" si="943"/>
        <v/>
      </c>
      <c r="BL113" s="3" t="str">
        <f t="shared" si="931"/>
        <v>SI</v>
      </c>
      <c r="BM113" s="3" t="str">
        <f t="shared" si="932"/>
        <v/>
      </c>
    </row>
    <row r="114" spans="1:65" ht="31.5" x14ac:dyDescent="0.2">
      <c r="A114" s="494"/>
      <c r="B114" s="496"/>
      <c r="C114" s="356">
        <v>2</v>
      </c>
      <c r="D114" s="56"/>
      <c r="E114" s="240" t="str">
        <f t="shared" si="933"/>
        <v/>
      </c>
      <c r="F114" s="44"/>
      <c r="G114" s="18" t="str">
        <f t="shared" si="896"/>
        <v/>
      </c>
      <c r="H114" s="44"/>
      <c r="I114" s="18" t="str">
        <f t="shared" si="897"/>
        <v/>
      </c>
      <c r="J114" s="55" t="str">
        <f t="shared" si="898"/>
        <v/>
      </c>
      <c r="K114" s="43"/>
      <c r="L114" s="18" t="str">
        <f t="shared" si="899"/>
        <v/>
      </c>
      <c r="M114" s="43"/>
      <c r="N114" s="18" t="str">
        <f t="shared" si="900"/>
        <v/>
      </c>
      <c r="O114" s="43"/>
      <c r="P114" s="18" t="str">
        <f t="shared" si="901"/>
        <v/>
      </c>
      <c r="Q114" s="43"/>
      <c r="R114" s="18" t="str">
        <f t="shared" si="902"/>
        <v/>
      </c>
      <c r="S114" s="43"/>
      <c r="T114" s="18" t="str">
        <f t="shared" si="903"/>
        <v/>
      </c>
      <c r="U114" s="43"/>
      <c r="V114" s="18" t="str">
        <f t="shared" si="904"/>
        <v/>
      </c>
      <c r="W114" s="18">
        <f t="shared" si="905"/>
        <v>0</v>
      </c>
      <c r="X114" s="57" t="str">
        <f t="shared" si="934"/>
        <v/>
      </c>
      <c r="Y114" s="57">
        <f t="shared" si="935"/>
        <v>0</v>
      </c>
      <c r="Z114" s="356"/>
      <c r="AA114" s="498"/>
      <c r="AB114" s="500"/>
      <c r="AC114" s="3" t="s">
        <v>352</v>
      </c>
      <c r="AF114" s="501"/>
      <c r="AG114" s="46" t="str">
        <f t="shared" ref="AG114" si="961">IF(AG113&gt;0,"- Evitar Posibilidad de Ocurrencia- Reducir el Riesgo","")</f>
        <v>- Evitar Posibilidad de Ocurrencia- Reducir el Riesgo</v>
      </c>
      <c r="AH114" s="46"/>
      <c r="AI114" s="46"/>
      <c r="AJ114" s="46"/>
      <c r="AK114" s="46"/>
      <c r="AL114" s="46"/>
      <c r="AM114" s="3" t="str">
        <f t="shared" si="912"/>
        <v/>
      </c>
      <c r="AN114" s="3" t="str">
        <f t="shared" si="913"/>
        <v/>
      </c>
      <c r="AO114" s="3" t="str">
        <f t="shared" si="914"/>
        <v/>
      </c>
      <c r="AP114" s="3" t="str">
        <f t="shared" si="915"/>
        <v/>
      </c>
      <c r="AQ114" s="3" t="str">
        <f t="shared" ref="AQ114:AQ115" si="962">IF(AQ113="Documentar",AQ113,AM114)</f>
        <v/>
      </c>
      <c r="AR114" s="3" t="str">
        <f t="shared" ref="AR114:AR115" si="963">IF(AR113="Asignar responsable",AR113,AN114)</f>
        <v/>
      </c>
      <c r="AT114" s="3" t="str">
        <f t="shared" ref="AT114:AT115" si="964">IF(AT113="Establecer periodos de seguimiento adecuados",AT113,AO114)</f>
        <v/>
      </c>
      <c r="AV114" s="3" t="str">
        <f t="shared" ref="AV114:AV115" si="965">IF(AV113="Guardar Evidencias",AV113,AP114)</f>
        <v/>
      </c>
      <c r="AX114" s="502"/>
      <c r="AY114" s="502"/>
      <c r="AZ114" s="502"/>
      <c r="BA114" s="502"/>
      <c r="BB114" s="3" t="str">
        <f t="shared" si="924"/>
        <v/>
      </c>
      <c r="BC114" s="3" t="str">
        <f t="shared" si="925"/>
        <v/>
      </c>
      <c r="BD114" s="3" t="str">
        <f t="shared" si="926"/>
        <v/>
      </c>
      <c r="BE114" s="3" t="str">
        <f t="shared" si="927"/>
        <v/>
      </c>
      <c r="BF114" s="3" t="str">
        <f t="shared" si="928"/>
        <v/>
      </c>
      <c r="BG114" s="3" t="str">
        <f t="shared" si="929"/>
        <v/>
      </c>
      <c r="BH114" s="3" t="str">
        <f t="shared" si="930"/>
        <v/>
      </c>
      <c r="BI114" s="3" t="str">
        <f t="shared" si="941"/>
        <v/>
      </c>
      <c r="BJ114" s="3" t="str">
        <f t="shared" si="942"/>
        <v/>
      </c>
      <c r="BK114" s="3" t="str">
        <f t="shared" si="943"/>
        <v/>
      </c>
      <c r="BL114" s="3" t="str">
        <f t="shared" si="931"/>
        <v/>
      </c>
      <c r="BM114" s="3" t="str">
        <f t="shared" si="932"/>
        <v/>
      </c>
    </row>
    <row r="115" spans="1:65" ht="16.5" thickBot="1" x14ac:dyDescent="0.25">
      <c r="A115" s="495"/>
      <c r="B115" s="496"/>
      <c r="C115" s="356">
        <v>3</v>
      </c>
      <c r="D115" s="56"/>
      <c r="E115" s="240" t="str">
        <f t="shared" si="933"/>
        <v/>
      </c>
      <c r="F115" s="44"/>
      <c r="G115" s="18" t="str">
        <f t="shared" si="896"/>
        <v/>
      </c>
      <c r="H115" s="44"/>
      <c r="I115" s="18" t="str">
        <f t="shared" si="897"/>
        <v/>
      </c>
      <c r="J115" s="55" t="str">
        <f t="shared" si="898"/>
        <v/>
      </c>
      <c r="K115" s="43"/>
      <c r="L115" s="18" t="str">
        <f t="shared" si="899"/>
        <v/>
      </c>
      <c r="M115" s="43"/>
      <c r="N115" s="18" t="str">
        <f t="shared" si="900"/>
        <v/>
      </c>
      <c r="O115" s="43"/>
      <c r="P115" s="18" t="str">
        <f t="shared" si="901"/>
        <v/>
      </c>
      <c r="Q115" s="43"/>
      <c r="R115" s="18" t="str">
        <f t="shared" si="902"/>
        <v/>
      </c>
      <c r="S115" s="43"/>
      <c r="T115" s="18" t="str">
        <f t="shared" si="903"/>
        <v/>
      </c>
      <c r="U115" s="43"/>
      <c r="V115" s="18" t="str">
        <f t="shared" si="904"/>
        <v/>
      </c>
      <c r="W115" s="18">
        <f t="shared" si="905"/>
        <v>0</v>
      </c>
      <c r="X115" s="57" t="str">
        <f t="shared" si="934"/>
        <v/>
      </c>
      <c r="Y115" s="57">
        <f t="shared" si="935"/>
        <v>0</v>
      </c>
      <c r="Z115" s="356"/>
      <c r="AA115" s="499"/>
      <c r="AB115" s="500"/>
      <c r="AM115" s="3" t="str">
        <f t="shared" si="912"/>
        <v/>
      </c>
      <c r="AN115" s="3" t="str">
        <f t="shared" si="913"/>
        <v/>
      </c>
      <c r="AO115" s="3" t="str">
        <f t="shared" si="914"/>
        <v/>
      </c>
      <c r="AP115" s="3" t="str">
        <f t="shared" si="915"/>
        <v/>
      </c>
      <c r="AQ115" s="3" t="str">
        <f t="shared" si="962"/>
        <v/>
      </c>
      <c r="AR115" s="3" t="str">
        <f t="shared" si="963"/>
        <v/>
      </c>
      <c r="AS115" s="3" t="str">
        <f t="shared" ref="AS115" si="966">IF(AND(AQ115="Documentar",AR115="Asignar responsable"),CONCATENATE("- ",AQ115,", ",AR115),IF(AQ115="Documentar",CONCATENATE("- ",AQ115),IF(AR115="Asignar responsable",CONCATENATE("- ",AR115),"")))</f>
        <v/>
      </c>
      <c r="AT115" s="3" t="str">
        <f t="shared" si="964"/>
        <v/>
      </c>
      <c r="AU115" s="3" t="str">
        <f t="shared" ref="AU115" si="967">IF(AT115="",AS115,IF(AS115="",CONCATENATE("- ",AT115),CONCATENATE(AS115,", ",AT115)))</f>
        <v/>
      </c>
      <c r="AV115" s="3" t="str">
        <f t="shared" si="965"/>
        <v/>
      </c>
      <c r="AW115" s="3" t="str">
        <f t="shared" ref="AW115" si="968">IF(AV115="",AU115,IF(AU115="",CONCATENATE("- ",AV115),CONCATENATE(AU115,", ",AV115)))</f>
        <v/>
      </c>
      <c r="AX115" s="502"/>
      <c r="AY115" s="502"/>
      <c r="AZ115" s="502"/>
      <c r="BA115" s="502"/>
      <c r="BB115" s="3" t="str">
        <f t="shared" si="924"/>
        <v/>
      </c>
      <c r="BC115" s="3" t="str">
        <f t="shared" si="925"/>
        <v/>
      </c>
      <c r="BD115" s="3" t="str">
        <f t="shared" si="926"/>
        <v/>
      </c>
      <c r="BE115" s="3" t="str">
        <f t="shared" si="927"/>
        <v/>
      </c>
      <c r="BF115" s="3" t="str">
        <f t="shared" si="928"/>
        <v/>
      </c>
      <c r="BG115" s="3" t="str">
        <f t="shared" si="929"/>
        <v/>
      </c>
      <c r="BH115" s="3" t="str">
        <f t="shared" si="930"/>
        <v/>
      </c>
      <c r="BI115" s="3" t="str">
        <f t="shared" si="941"/>
        <v/>
      </c>
      <c r="BJ115" s="3" t="str">
        <f t="shared" si="942"/>
        <v/>
      </c>
      <c r="BK115" s="3" t="str">
        <f t="shared" si="943"/>
        <v/>
      </c>
      <c r="BL115" s="3" t="str">
        <f t="shared" si="931"/>
        <v/>
      </c>
      <c r="BM115" s="3" t="str">
        <f t="shared" si="932"/>
        <v/>
      </c>
    </row>
    <row r="116" spans="1:65" ht="36.75" thickTop="1" x14ac:dyDescent="0.2">
      <c r="A116" s="493" t="str">
        <f>IDENTIFICACIÓN!C45</f>
        <v>8C</v>
      </c>
      <c r="B116" s="496" t="str">
        <f>IF(IDENTIFICACIÓN!D45="","",IDENTIFICACIÓN!D45)</f>
        <v>Gestión de la Calidad. Deficiencias en el  manejo documental y de archivo</v>
      </c>
      <c r="C116" s="356">
        <v>1</v>
      </c>
      <c r="D116" s="56" t="s">
        <v>11</v>
      </c>
      <c r="E116" s="240">
        <f t="shared" si="933"/>
        <v>10</v>
      </c>
      <c r="F116" s="44" t="s">
        <v>617</v>
      </c>
      <c r="G116" s="18" t="str">
        <f t="shared" si="896"/>
        <v/>
      </c>
      <c r="H116" s="44" t="s">
        <v>20</v>
      </c>
      <c r="I116" s="18" t="str">
        <f t="shared" si="897"/>
        <v/>
      </c>
      <c r="J116" s="55" t="str">
        <f t="shared" si="898"/>
        <v>Posibilidad</v>
      </c>
      <c r="K116" s="43" t="s">
        <v>11</v>
      </c>
      <c r="L116" s="18">
        <f t="shared" si="899"/>
        <v>15</v>
      </c>
      <c r="M116" s="43" t="s">
        <v>11</v>
      </c>
      <c r="N116" s="18">
        <f t="shared" si="900"/>
        <v>30</v>
      </c>
      <c r="O116" s="43" t="s">
        <v>323</v>
      </c>
      <c r="P116" s="18">
        <f t="shared" si="901"/>
        <v>10</v>
      </c>
      <c r="Q116" s="43" t="s">
        <v>11</v>
      </c>
      <c r="R116" s="18">
        <f t="shared" si="902"/>
        <v>5</v>
      </c>
      <c r="S116" s="43" t="s">
        <v>11</v>
      </c>
      <c r="T116" s="18">
        <f t="shared" si="903"/>
        <v>15</v>
      </c>
      <c r="U116" s="43" t="s">
        <v>11</v>
      </c>
      <c r="V116" s="18">
        <f t="shared" si="904"/>
        <v>10</v>
      </c>
      <c r="W116" s="18">
        <f t="shared" si="905"/>
        <v>95</v>
      </c>
      <c r="X116" s="57" t="str">
        <f t="shared" si="934"/>
        <v>95                           Disminuye en Posibilidad</v>
      </c>
      <c r="Y116" s="57">
        <f t="shared" si="935"/>
        <v>1</v>
      </c>
      <c r="Z116" s="356"/>
      <c r="AA116" s="497">
        <f t="shared" ref="AA116" si="969">IF(AB116=0,"",(ROUND((SUM(W116:W118)/AB116),0)))</f>
        <v>95</v>
      </c>
      <c r="AB116" s="500">
        <f t="shared" ref="AB116" si="970">COUNT(T116:T118)</f>
        <v>2</v>
      </c>
      <c r="AC116" s="3">
        <f t="shared" ref="AC116" si="971">SUM(Y116:Y118)</f>
        <v>2</v>
      </c>
      <c r="AD116" s="3">
        <f>ANALISIS!D47</f>
        <v>3</v>
      </c>
      <c r="AE116" s="3">
        <f t="shared" ref="AE116" si="972">IF(AND(AD116=5,AC116&gt;1),3,AD116)</f>
        <v>3</v>
      </c>
      <c r="AF116" s="501">
        <f t="shared" ref="AF116" si="973">AE116</f>
        <v>3</v>
      </c>
      <c r="AG116" s="355" t="str">
        <f t="shared" ref="AG116" si="974">IF(AF116=3,"MODERADA",IF(AF116=5,"EXTREMA",""))</f>
        <v>MODERADA</v>
      </c>
      <c r="AH116" s="46"/>
      <c r="AI116" s="46"/>
      <c r="AJ116" s="46"/>
      <c r="AK116" s="46"/>
      <c r="AL116" s="46"/>
      <c r="AM116" s="3" t="str">
        <f t="shared" si="912"/>
        <v/>
      </c>
      <c r="AN116" s="3" t="str">
        <f t="shared" si="913"/>
        <v/>
      </c>
      <c r="AO116" s="3" t="str">
        <f t="shared" si="914"/>
        <v/>
      </c>
      <c r="AP116" s="3" t="str">
        <f t="shared" si="915"/>
        <v/>
      </c>
      <c r="AQ116" s="3" t="str">
        <f t="shared" ref="AQ116" si="975">AM116</f>
        <v/>
      </c>
      <c r="AR116" s="3" t="str">
        <f t="shared" ref="AR116" si="976">AN116</f>
        <v/>
      </c>
      <c r="AT116" s="3" t="str">
        <f t="shared" ref="AT116" si="977">AO116</f>
        <v/>
      </c>
      <c r="AV116" s="3" t="str">
        <f t="shared" ref="AV116" si="978">AP116</f>
        <v/>
      </c>
      <c r="AX116" s="502" t="str">
        <f t="shared" ref="AX116" si="979">IF(AW118="","",CONCATENATE(AW118," (de) el(los) control(es) Efectivo(s) "))</f>
        <v/>
      </c>
      <c r="AY116" s="502" t="str">
        <f t="shared" ref="AY116" si="980">IF(CONCATENATE(N116:N118)="","",IF(AND(SUM(E116:E118)=10,SUM(N116:N118)&lt;30),"- Replantear control(es) NO efectivo(s) ",IF(AND(SUM(E116:E118)=20,SUM(N116:N118)&lt;60),"- Replantear control(es) NO efectivo(s) ",IF(AND(SUM(E116:E118)=30,SUM(N116:N118)&lt;90),"- Replantear control(es) NO efectivo(s) ",""))))</f>
        <v/>
      </c>
      <c r="AZ116" s="502" t="str">
        <f t="shared" ref="AZ116" si="981">IF(AND(AE116&gt;1,AE117&gt;1),"- Tomar Acciones Preventivas y Correctivas",IF(AE116&gt;1,"- Tomar Acciones Preventivas",IF(AE117&gt;1,"- Tomar Acciones Correctivas","")))</f>
        <v>- Tomar Acciones Preventivas</v>
      </c>
      <c r="BA116" s="502" t="str">
        <f t="shared" ref="BA116" si="982">CONCATENATE(AX116,AY116,AZ116)</f>
        <v>- Tomar Acciones Preventivas</v>
      </c>
      <c r="BB116" s="3" t="str">
        <f t="shared" si="924"/>
        <v>SI</v>
      </c>
      <c r="BC116" s="3" t="str">
        <f t="shared" si="925"/>
        <v/>
      </c>
      <c r="BD116" s="3" t="str">
        <f t="shared" si="926"/>
        <v>SI</v>
      </c>
      <c r="BE116" s="3" t="str">
        <f t="shared" si="927"/>
        <v/>
      </c>
      <c r="BF116" s="3" t="str">
        <f t="shared" si="928"/>
        <v>SI</v>
      </c>
      <c r="BG116" s="3" t="str">
        <f t="shared" si="929"/>
        <v/>
      </c>
      <c r="BH116" s="3" t="str">
        <f t="shared" si="930"/>
        <v>P</v>
      </c>
      <c r="BI116" s="3" t="str">
        <f t="shared" si="941"/>
        <v/>
      </c>
      <c r="BJ116" s="3" t="str">
        <f t="shared" si="942"/>
        <v>M</v>
      </c>
      <c r="BK116" s="3" t="str">
        <f t="shared" si="943"/>
        <v/>
      </c>
      <c r="BL116" s="3" t="str">
        <f t="shared" si="931"/>
        <v>SI</v>
      </c>
      <c r="BM116" s="3" t="str">
        <f t="shared" si="932"/>
        <v/>
      </c>
    </row>
    <row r="117" spans="1:65" ht="36" x14ac:dyDescent="0.2">
      <c r="A117" s="494"/>
      <c r="B117" s="496"/>
      <c r="C117" s="356">
        <v>2</v>
      </c>
      <c r="D117" s="56" t="s">
        <v>11</v>
      </c>
      <c r="E117" s="240">
        <f t="shared" si="933"/>
        <v>10</v>
      </c>
      <c r="F117" s="44" t="s">
        <v>618</v>
      </c>
      <c r="G117" s="18" t="str">
        <f t="shared" si="896"/>
        <v/>
      </c>
      <c r="H117" s="44" t="s">
        <v>20</v>
      </c>
      <c r="I117" s="18" t="str">
        <f t="shared" si="897"/>
        <v/>
      </c>
      <c r="J117" s="55" t="str">
        <f t="shared" si="898"/>
        <v>Posibilidad</v>
      </c>
      <c r="K117" s="43" t="s">
        <v>11</v>
      </c>
      <c r="L117" s="18">
        <f t="shared" si="899"/>
        <v>15</v>
      </c>
      <c r="M117" s="43" t="s">
        <v>11</v>
      </c>
      <c r="N117" s="18">
        <f t="shared" si="900"/>
        <v>30</v>
      </c>
      <c r="O117" s="43" t="s">
        <v>323</v>
      </c>
      <c r="P117" s="18">
        <f t="shared" si="901"/>
        <v>10</v>
      </c>
      <c r="Q117" s="43" t="s">
        <v>11</v>
      </c>
      <c r="R117" s="18">
        <f t="shared" si="902"/>
        <v>5</v>
      </c>
      <c r="S117" s="43" t="s">
        <v>11</v>
      </c>
      <c r="T117" s="18">
        <f t="shared" si="903"/>
        <v>15</v>
      </c>
      <c r="U117" s="43" t="s">
        <v>11</v>
      </c>
      <c r="V117" s="18">
        <f t="shared" si="904"/>
        <v>10</v>
      </c>
      <c r="W117" s="18">
        <f t="shared" si="905"/>
        <v>95</v>
      </c>
      <c r="X117" s="57" t="str">
        <f t="shared" si="934"/>
        <v>95                           Disminuye en Posibilidad</v>
      </c>
      <c r="Y117" s="57">
        <f t="shared" si="935"/>
        <v>1</v>
      </c>
      <c r="Z117" s="356"/>
      <c r="AA117" s="498"/>
      <c r="AB117" s="500"/>
      <c r="AC117" s="3" t="s">
        <v>352</v>
      </c>
      <c r="AF117" s="501"/>
      <c r="AG117" s="46" t="str">
        <f t="shared" ref="AG117" si="983">IF(AG116&gt;0,"- Evitar Posibilidad de Ocurrencia- Reducir el Riesgo","")</f>
        <v>- Evitar Posibilidad de Ocurrencia- Reducir el Riesgo</v>
      </c>
      <c r="AH117" s="46"/>
      <c r="AI117" s="46"/>
      <c r="AJ117" s="46"/>
      <c r="AK117" s="46"/>
      <c r="AL117" s="46"/>
      <c r="AM117" s="3" t="str">
        <f t="shared" si="912"/>
        <v/>
      </c>
      <c r="AN117" s="3" t="str">
        <f t="shared" si="913"/>
        <v/>
      </c>
      <c r="AO117" s="3" t="str">
        <f t="shared" si="914"/>
        <v/>
      </c>
      <c r="AP117" s="3" t="str">
        <f t="shared" si="915"/>
        <v/>
      </c>
      <c r="AQ117" s="3" t="str">
        <f t="shared" ref="AQ117:AQ118" si="984">IF(AQ116="Documentar",AQ116,AM117)</f>
        <v/>
      </c>
      <c r="AR117" s="3" t="str">
        <f t="shared" ref="AR117:AR118" si="985">IF(AR116="Asignar responsable",AR116,AN117)</f>
        <v/>
      </c>
      <c r="AT117" s="3" t="str">
        <f t="shared" ref="AT117:AT118" si="986">IF(AT116="Establecer periodos de seguimiento adecuados",AT116,AO117)</f>
        <v/>
      </c>
      <c r="AV117" s="3" t="str">
        <f t="shared" ref="AV117:AV118" si="987">IF(AV116="Guardar Evidencias",AV116,AP117)</f>
        <v/>
      </c>
      <c r="AX117" s="502"/>
      <c r="AY117" s="502"/>
      <c r="AZ117" s="502"/>
      <c r="BA117" s="502"/>
      <c r="BB117" s="3" t="str">
        <f t="shared" si="924"/>
        <v>SI</v>
      </c>
      <c r="BC117" s="3" t="str">
        <f t="shared" si="925"/>
        <v/>
      </c>
      <c r="BD117" s="3" t="str">
        <f t="shared" si="926"/>
        <v>SI</v>
      </c>
      <c r="BE117" s="3" t="str">
        <f t="shared" si="927"/>
        <v/>
      </c>
      <c r="BF117" s="3" t="str">
        <f t="shared" si="928"/>
        <v>SI</v>
      </c>
      <c r="BG117" s="3" t="str">
        <f t="shared" si="929"/>
        <v/>
      </c>
      <c r="BH117" s="3" t="str">
        <f t="shared" si="930"/>
        <v>P</v>
      </c>
      <c r="BI117" s="3" t="str">
        <f t="shared" si="941"/>
        <v/>
      </c>
      <c r="BJ117" s="3" t="str">
        <f t="shared" si="942"/>
        <v>M</v>
      </c>
      <c r="BK117" s="3" t="str">
        <f t="shared" si="943"/>
        <v/>
      </c>
      <c r="BL117" s="3" t="str">
        <f t="shared" si="931"/>
        <v>SI</v>
      </c>
      <c r="BM117" s="3" t="str">
        <f t="shared" si="932"/>
        <v/>
      </c>
    </row>
    <row r="118" spans="1:65" ht="16.5" thickBot="1" x14ac:dyDescent="0.25">
      <c r="A118" s="495"/>
      <c r="B118" s="496"/>
      <c r="C118" s="356">
        <v>3</v>
      </c>
      <c r="D118" s="56"/>
      <c r="E118" s="240" t="str">
        <f t="shared" si="933"/>
        <v/>
      </c>
      <c r="F118" s="44"/>
      <c r="G118" s="18" t="str">
        <f t="shared" si="896"/>
        <v/>
      </c>
      <c r="H118" s="44"/>
      <c r="I118" s="18" t="str">
        <f t="shared" si="897"/>
        <v/>
      </c>
      <c r="J118" s="55" t="str">
        <f t="shared" si="898"/>
        <v/>
      </c>
      <c r="K118" s="43"/>
      <c r="L118" s="18" t="str">
        <f t="shared" si="899"/>
        <v/>
      </c>
      <c r="M118" s="43"/>
      <c r="N118" s="18" t="str">
        <f t="shared" si="900"/>
        <v/>
      </c>
      <c r="O118" s="43"/>
      <c r="P118" s="18" t="str">
        <f t="shared" si="901"/>
        <v/>
      </c>
      <c r="Q118" s="43"/>
      <c r="R118" s="18" t="str">
        <f t="shared" si="902"/>
        <v/>
      </c>
      <c r="S118" s="43"/>
      <c r="T118" s="18" t="str">
        <f t="shared" si="903"/>
        <v/>
      </c>
      <c r="U118" s="43"/>
      <c r="V118" s="18" t="str">
        <f t="shared" si="904"/>
        <v/>
      </c>
      <c r="W118" s="18">
        <f t="shared" si="905"/>
        <v>0</v>
      </c>
      <c r="X118" s="57" t="str">
        <f t="shared" si="934"/>
        <v/>
      </c>
      <c r="Y118" s="57">
        <f t="shared" si="935"/>
        <v>0</v>
      </c>
      <c r="Z118" s="356"/>
      <c r="AA118" s="499"/>
      <c r="AB118" s="500"/>
      <c r="AM118" s="3" t="str">
        <f t="shared" si="912"/>
        <v/>
      </c>
      <c r="AN118" s="3" t="str">
        <f t="shared" si="913"/>
        <v/>
      </c>
      <c r="AO118" s="3" t="str">
        <f t="shared" si="914"/>
        <v/>
      </c>
      <c r="AP118" s="3" t="str">
        <f t="shared" si="915"/>
        <v/>
      </c>
      <c r="AQ118" s="3" t="str">
        <f t="shared" si="984"/>
        <v/>
      </c>
      <c r="AR118" s="3" t="str">
        <f t="shared" si="985"/>
        <v/>
      </c>
      <c r="AS118" s="3" t="str">
        <f t="shared" ref="AS118" si="988">IF(AND(AQ118="Documentar",AR118="Asignar responsable"),CONCATENATE("- ",AQ118,", ",AR118),IF(AQ118="Documentar",CONCATENATE("- ",AQ118),IF(AR118="Asignar responsable",CONCATENATE("- ",AR118),"")))</f>
        <v/>
      </c>
      <c r="AT118" s="3" t="str">
        <f t="shared" si="986"/>
        <v/>
      </c>
      <c r="AU118" s="3" t="str">
        <f t="shared" ref="AU118" si="989">IF(AT118="",AS118,IF(AS118="",CONCATENATE("- ",AT118),CONCATENATE(AS118,", ",AT118)))</f>
        <v/>
      </c>
      <c r="AV118" s="3" t="str">
        <f t="shared" si="987"/>
        <v/>
      </c>
      <c r="AW118" s="3" t="str">
        <f t="shared" ref="AW118" si="990">IF(AV118="",AU118,IF(AU118="",CONCATENATE("- ",AV118),CONCATENATE(AU118,", ",AV118)))</f>
        <v/>
      </c>
      <c r="AX118" s="502"/>
      <c r="AY118" s="502"/>
      <c r="AZ118" s="502"/>
      <c r="BA118" s="502"/>
      <c r="BB118" s="3" t="str">
        <f t="shared" si="924"/>
        <v/>
      </c>
      <c r="BC118" s="3" t="str">
        <f t="shared" si="925"/>
        <v/>
      </c>
      <c r="BD118" s="3" t="str">
        <f t="shared" si="926"/>
        <v/>
      </c>
      <c r="BE118" s="3" t="str">
        <f t="shared" si="927"/>
        <v/>
      </c>
      <c r="BF118" s="3" t="str">
        <f t="shared" si="928"/>
        <v/>
      </c>
      <c r="BG118" s="3" t="str">
        <f t="shared" si="929"/>
        <v/>
      </c>
      <c r="BH118" s="3" t="str">
        <f t="shared" si="930"/>
        <v/>
      </c>
      <c r="BI118" s="3" t="str">
        <f t="shared" si="941"/>
        <v/>
      </c>
      <c r="BJ118" s="3" t="str">
        <f t="shared" si="942"/>
        <v/>
      </c>
      <c r="BK118" s="3" t="str">
        <f t="shared" si="943"/>
        <v/>
      </c>
      <c r="BL118" s="3" t="str">
        <f t="shared" si="931"/>
        <v/>
      </c>
      <c r="BM118" s="3" t="str">
        <f t="shared" si="932"/>
        <v/>
      </c>
    </row>
    <row r="119" spans="1:65" ht="36.75" thickTop="1" x14ac:dyDescent="0.2">
      <c r="A119" s="493" t="str">
        <f>IDENTIFICACIÓN!C46</f>
        <v>9C</v>
      </c>
      <c r="B119" s="496" t="str">
        <f>IF(IDENTIFICACIÓN!D46="","",IDENTIFICACIÓN!D46)</f>
        <v>Comunicaciones Concentración de información de determinadas actividades o procesos en una persona</v>
      </c>
      <c r="C119" s="356">
        <v>1</v>
      </c>
      <c r="D119" s="56" t="s">
        <v>11</v>
      </c>
      <c r="E119" s="240">
        <f t="shared" si="933"/>
        <v>10</v>
      </c>
      <c r="F119" s="44" t="s">
        <v>616</v>
      </c>
      <c r="G119" s="18" t="str">
        <f t="shared" si="896"/>
        <v/>
      </c>
      <c r="H119" s="44" t="s">
        <v>20</v>
      </c>
      <c r="I119" s="18" t="str">
        <f t="shared" si="897"/>
        <v/>
      </c>
      <c r="J119" s="55" t="str">
        <f t="shared" si="898"/>
        <v>Posibilidad</v>
      </c>
      <c r="K119" s="43" t="s">
        <v>11</v>
      </c>
      <c r="L119" s="18">
        <f t="shared" si="899"/>
        <v>15</v>
      </c>
      <c r="M119" s="43" t="s">
        <v>11</v>
      </c>
      <c r="N119" s="18">
        <f t="shared" si="900"/>
        <v>30</v>
      </c>
      <c r="O119" s="43" t="s">
        <v>323</v>
      </c>
      <c r="P119" s="18">
        <f t="shared" si="901"/>
        <v>10</v>
      </c>
      <c r="Q119" s="43" t="s">
        <v>11</v>
      </c>
      <c r="R119" s="18">
        <f t="shared" si="902"/>
        <v>5</v>
      </c>
      <c r="S119" s="43" t="s">
        <v>11</v>
      </c>
      <c r="T119" s="18">
        <f t="shared" si="903"/>
        <v>15</v>
      </c>
      <c r="U119" s="43" t="s">
        <v>11</v>
      </c>
      <c r="V119" s="18">
        <f t="shared" si="904"/>
        <v>10</v>
      </c>
      <c r="W119" s="18">
        <f t="shared" si="905"/>
        <v>95</v>
      </c>
      <c r="X119" s="57" t="str">
        <f t="shared" si="934"/>
        <v>95                           Disminuye en Posibilidad</v>
      </c>
      <c r="Y119" s="57">
        <f t="shared" si="935"/>
        <v>1</v>
      </c>
      <c r="Z119" s="356"/>
      <c r="AA119" s="497">
        <f t="shared" ref="AA119" si="991">IF(AB119=0,"",(ROUND((SUM(W119:W121)/AB119),0)))</f>
        <v>95</v>
      </c>
      <c r="AB119" s="500">
        <f t="shared" ref="AB119" si="992">COUNT(T119:T121)</f>
        <v>1</v>
      </c>
      <c r="AC119" s="3">
        <f t="shared" ref="AC119" si="993">SUM(Y119:Y121)</f>
        <v>1</v>
      </c>
      <c r="AD119" s="3">
        <f>ANALISIS!D48</f>
        <v>3</v>
      </c>
      <c r="AE119" s="3">
        <f t="shared" ref="AE119" si="994">IF(AND(AD119=5,AC119&gt;1),3,AD119)</f>
        <v>3</v>
      </c>
      <c r="AF119" s="501">
        <f t="shared" ref="AF119" si="995">AE119</f>
        <v>3</v>
      </c>
      <c r="AG119" s="355" t="str">
        <f t="shared" ref="AG119" si="996">IF(AF119=3,"MODERADA",IF(AF119=5,"EXTREMA",""))</f>
        <v>MODERADA</v>
      </c>
      <c r="AH119" s="46"/>
      <c r="AI119" s="46"/>
      <c r="AJ119" s="46"/>
      <c r="AK119" s="46"/>
      <c r="AL119" s="46"/>
      <c r="AM119" s="3" t="str">
        <f t="shared" si="912"/>
        <v/>
      </c>
      <c r="AN119" s="3" t="str">
        <f t="shared" si="913"/>
        <v/>
      </c>
      <c r="AO119" s="3" t="str">
        <f t="shared" si="914"/>
        <v/>
      </c>
      <c r="AP119" s="3" t="str">
        <f t="shared" si="915"/>
        <v/>
      </c>
      <c r="AQ119" s="3" t="str">
        <f t="shared" ref="AQ119" si="997">AM119</f>
        <v/>
      </c>
      <c r="AR119" s="3" t="str">
        <f t="shared" ref="AR119" si="998">AN119</f>
        <v/>
      </c>
      <c r="AT119" s="3" t="str">
        <f t="shared" ref="AT119" si="999">AO119</f>
        <v/>
      </c>
      <c r="AV119" s="3" t="str">
        <f t="shared" ref="AV119" si="1000">AP119</f>
        <v/>
      </c>
      <c r="AX119" s="502" t="str">
        <f t="shared" ref="AX119" si="1001">IF(AW121="","",CONCATENATE(AW121," (de) el(los) control(es) Efectivo(s) "))</f>
        <v/>
      </c>
      <c r="AY119" s="502" t="str">
        <f t="shared" ref="AY119" si="1002">IF(CONCATENATE(N119:N121)="","",IF(AND(SUM(E119:E121)=10,SUM(N119:N121)&lt;30),"- Replantear control(es) NO efectivo(s) ",IF(AND(SUM(E119:E121)=20,SUM(N119:N121)&lt;60),"- Replantear control(es) NO efectivo(s) ",IF(AND(SUM(E119:E121)=30,SUM(N119:N121)&lt;90),"- Replantear control(es) NO efectivo(s) ",""))))</f>
        <v/>
      </c>
      <c r="AZ119" s="502" t="str">
        <f t="shared" ref="AZ119" si="1003">IF(AND(AE119&gt;1,AE120&gt;1),"- Tomar Acciones Preventivas y Correctivas",IF(AE119&gt;1,"- Tomar Acciones Preventivas",IF(AE120&gt;1,"- Tomar Acciones Correctivas","")))</f>
        <v>- Tomar Acciones Preventivas</v>
      </c>
      <c r="BA119" s="502" t="str">
        <f t="shared" ref="BA119" si="1004">CONCATENATE(AX119,AY119,AZ119)</f>
        <v>- Tomar Acciones Preventivas</v>
      </c>
      <c r="BB119" s="3" t="str">
        <f t="shared" si="924"/>
        <v>SI</v>
      </c>
      <c r="BC119" s="3" t="str">
        <f t="shared" si="925"/>
        <v/>
      </c>
      <c r="BD119" s="3" t="str">
        <f t="shared" si="926"/>
        <v>SI</v>
      </c>
      <c r="BE119" s="3" t="str">
        <f t="shared" si="927"/>
        <v/>
      </c>
      <c r="BF119" s="3" t="str">
        <f t="shared" si="928"/>
        <v>SI</v>
      </c>
      <c r="BG119" s="3" t="str">
        <f t="shared" si="929"/>
        <v/>
      </c>
      <c r="BH119" s="3" t="str">
        <f t="shared" si="930"/>
        <v>P</v>
      </c>
      <c r="BI119" s="3" t="str">
        <f t="shared" si="941"/>
        <v/>
      </c>
      <c r="BJ119" s="3" t="str">
        <f t="shared" si="942"/>
        <v>M</v>
      </c>
      <c r="BK119" s="3" t="str">
        <f t="shared" si="943"/>
        <v/>
      </c>
      <c r="BL119" s="3" t="str">
        <f t="shared" si="931"/>
        <v>SI</v>
      </c>
      <c r="BM119" s="3" t="str">
        <f t="shared" si="932"/>
        <v/>
      </c>
    </row>
    <row r="120" spans="1:65" ht="31.5" x14ac:dyDescent="0.2">
      <c r="A120" s="494"/>
      <c r="B120" s="496"/>
      <c r="C120" s="356">
        <v>2</v>
      </c>
      <c r="D120" s="56"/>
      <c r="E120" s="240" t="str">
        <f t="shared" si="933"/>
        <v/>
      </c>
      <c r="F120" s="44"/>
      <c r="G120" s="18" t="str">
        <f t="shared" si="896"/>
        <v/>
      </c>
      <c r="H120" s="44"/>
      <c r="I120" s="18" t="str">
        <f t="shared" si="897"/>
        <v/>
      </c>
      <c r="J120" s="55" t="str">
        <f t="shared" si="898"/>
        <v/>
      </c>
      <c r="K120" s="43"/>
      <c r="L120" s="18" t="str">
        <f t="shared" si="899"/>
        <v/>
      </c>
      <c r="M120" s="43"/>
      <c r="N120" s="18" t="str">
        <f t="shared" si="900"/>
        <v/>
      </c>
      <c r="O120" s="43"/>
      <c r="P120" s="18" t="str">
        <f t="shared" si="901"/>
        <v/>
      </c>
      <c r="Q120" s="43"/>
      <c r="R120" s="18" t="str">
        <f t="shared" si="902"/>
        <v/>
      </c>
      <c r="S120" s="43"/>
      <c r="T120" s="18" t="str">
        <f t="shared" si="903"/>
        <v/>
      </c>
      <c r="U120" s="43"/>
      <c r="V120" s="18" t="str">
        <f t="shared" si="904"/>
        <v/>
      </c>
      <c r="W120" s="18">
        <f t="shared" si="905"/>
        <v>0</v>
      </c>
      <c r="X120" s="57" t="str">
        <f t="shared" si="934"/>
        <v/>
      </c>
      <c r="Y120" s="57">
        <f t="shared" si="935"/>
        <v>0</v>
      </c>
      <c r="Z120" s="356"/>
      <c r="AA120" s="498"/>
      <c r="AB120" s="500"/>
      <c r="AC120" s="3" t="s">
        <v>352</v>
      </c>
      <c r="AF120" s="501"/>
      <c r="AG120" s="46" t="str">
        <f t="shared" ref="AG120" si="1005">IF(AG119&gt;0,"- Evitar Posibilidad de Ocurrencia- Reducir el Riesgo","")</f>
        <v>- Evitar Posibilidad de Ocurrencia- Reducir el Riesgo</v>
      </c>
      <c r="AH120" s="46"/>
      <c r="AI120" s="46"/>
      <c r="AJ120" s="46"/>
      <c r="AK120" s="46"/>
      <c r="AL120" s="46"/>
      <c r="AM120" s="3" t="str">
        <f t="shared" si="912"/>
        <v/>
      </c>
      <c r="AN120" s="3" t="str">
        <f t="shared" si="913"/>
        <v/>
      </c>
      <c r="AO120" s="3" t="str">
        <f t="shared" si="914"/>
        <v/>
      </c>
      <c r="AP120" s="3" t="str">
        <f t="shared" si="915"/>
        <v/>
      </c>
      <c r="AQ120" s="3" t="str">
        <f t="shared" ref="AQ120:AQ121" si="1006">IF(AQ119="Documentar",AQ119,AM120)</f>
        <v/>
      </c>
      <c r="AR120" s="3" t="str">
        <f t="shared" ref="AR120:AR121" si="1007">IF(AR119="Asignar responsable",AR119,AN120)</f>
        <v/>
      </c>
      <c r="AT120" s="3" t="str">
        <f t="shared" ref="AT120:AT121" si="1008">IF(AT119="Establecer periodos de seguimiento adecuados",AT119,AO120)</f>
        <v/>
      </c>
      <c r="AV120" s="3" t="str">
        <f t="shared" ref="AV120:AV121" si="1009">IF(AV119="Guardar Evidencias",AV119,AP120)</f>
        <v/>
      </c>
      <c r="AX120" s="502"/>
      <c r="AY120" s="502"/>
      <c r="AZ120" s="502"/>
      <c r="BA120" s="502"/>
      <c r="BB120" s="3" t="str">
        <f t="shared" si="924"/>
        <v/>
      </c>
      <c r="BC120" s="3" t="str">
        <f t="shared" si="925"/>
        <v/>
      </c>
      <c r="BD120" s="3" t="str">
        <f t="shared" si="926"/>
        <v/>
      </c>
      <c r="BE120" s="3" t="str">
        <f t="shared" si="927"/>
        <v/>
      </c>
      <c r="BF120" s="3" t="str">
        <f t="shared" si="928"/>
        <v/>
      </c>
      <c r="BG120" s="3" t="str">
        <f t="shared" si="929"/>
        <v/>
      </c>
      <c r="BH120" s="3" t="str">
        <f t="shared" si="930"/>
        <v/>
      </c>
      <c r="BI120" s="3" t="str">
        <f t="shared" si="941"/>
        <v/>
      </c>
      <c r="BJ120" s="3" t="str">
        <f t="shared" si="942"/>
        <v/>
      </c>
      <c r="BK120" s="3" t="str">
        <f t="shared" si="943"/>
        <v/>
      </c>
      <c r="BL120" s="3" t="str">
        <f t="shared" si="931"/>
        <v/>
      </c>
      <c r="BM120" s="3" t="str">
        <f t="shared" si="932"/>
        <v/>
      </c>
    </row>
    <row r="121" spans="1:65" ht="16.5" thickBot="1" x14ac:dyDescent="0.25">
      <c r="A121" s="495"/>
      <c r="B121" s="496"/>
      <c r="C121" s="356">
        <v>3</v>
      </c>
      <c r="D121" s="56"/>
      <c r="E121" s="240" t="str">
        <f t="shared" si="933"/>
        <v/>
      </c>
      <c r="F121" s="44"/>
      <c r="G121" s="18" t="str">
        <f t="shared" si="896"/>
        <v/>
      </c>
      <c r="H121" s="44"/>
      <c r="I121" s="18" t="str">
        <f t="shared" si="897"/>
        <v/>
      </c>
      <c r="J121" s="55" t="str">
        <f t="shared" si="898"/>
        <v/>
      </c>
      <c r="K121" s="43"/>
      <c r="L121" s="18" t="str">
        <f t="shared" si="899"/>
        <v/>
      </c>
      <c r="M121" s="43"/>
      <c r="N121" s="18" t="str">
        <f t="shared" si="900"/>
        <v/>
      </c>
      <c r="O121" s="43"/>
      <c r="P121" s="18" t="str">
        <f t="shared" si="901"/>
        <v/>
      </c>
      <c r="Q121" s="43"/>
      <c r="R121" s="18" t="str">
        <f t="shared" si="902"/>
        <v/>
      </c>
      <c r="S121" s="43"/>
      <c r="T121" s="18" t="str">
        <f t="shared" si="903"/>
        <v/>
      </c>
      <c r="U121" s="43"/>
      <c r="V121" s="18" t="str">
        <f t="shared" si="904"/>
        <v/>
      </c>
      <c r="W121" s="18">
        <f t="shared" si="905"/>
        <v>0</v>
      </c>
      <c r="X121" s="57" t="str">
        <f t="shared" si="934"/>
        <v/>
      </c>
      <c r="Y121" s="57">
        <f t="shared" si="935"/>
        <v>0</v>
      </c>
      <c r="Z121" s="356"/>
      <c r="AA121" s="499"/>
      <c r="AB121" s="500"/>
      <c r="AM121" s="3" t="str">
        <f t="shared" si="912"/>
        <v/>
      </c>
      <c r="AN121" s="3" t="str">
        <f t="shared" si="913"/>
        <v/>
      </c>
      <c r="AO121" s="3" t="str">
        <f t="shared" si="914"/>
        <v/>
      </c>
      <c r="AP121" s="3" t="str">
        <f t="shared" si="915"/>
        <v/>
      </c>
      <c r="AQ121" s="3" t="str">
        <f t="shared" si="1006"/>
        <v/>
      </c>
      <c r="AR121" s="3" t="str">
        <f t="shared" si="1007"/>
        <v/>
      </c>
      <c r="AS121" s="3" t="str">
        <f t="shared" ref="AS121" si="1010">IF(AND(AQ121="Documentar",AR121="Asignar responsable"),CONCATENATE("- ",AQ121,", ",AR121),IF(AQ121="Documentar",CONCATENATE("- ",AQ121),IF(AR121="Asignar responsable",CONCATENATE("- ",AR121),"")))</f>
        <v/>
      </c>
      <c r="AT121" s="3" t="str">
        <f t="shared" si="1008"/>
        <v/>
      </c>
      <c r="AU121" s="3" t="str">
        <f t="shared" ref="AU121" si="1011">IF(AT121="",AS121,IF(AS121="",CONCATENATE("- ",AT121),CONCATENATE(AS121,", ",AT121)))</f>
        <v/>
      </c>
      <c r="AV121" s="3" t="str">
        <f t="shared" si="1009"/>
        <v/>
      </c>
      <c r="AW121" s="3" t="str">
        <f t="shared" ref="AW121" si="1012">IF(AV121="",AU121,IF(AU121="",CONCATENATE("- ",AV121),CONCATENATE(AU121,", ",AV121)))</f>
        <v/>
      </c>
      <c r="AX121" s="502"/>
      <c r="AY121" s="502"/>
      <c r="AZ121" s="502"/>
      <c r="BA121" s="502"/>
      <c r="BB121" s="3" t="str">
        <f t="shared" si="924"/>
        <v/>
      </c>
      <c r="BC121" s="3" t="str">
        <f t="shared" si="925"/>
        <v/>
      </c>
      <c r="BD121" s="3" t="str">
        <f t="shared" si="926"/>
        <v/>
      </c>
      <c r="BE121" s="3" t="str">
        <f t="shared" si="927"/>
        <v/>
      </c>
      <c r="BF121" s="3" t="str">
        <f t="shared" si="928"/>
        <v/>
      </c>
      <c r="BG121" s="3" t="str">
        <f t="shared" si="929"/>
        <v/>
      </c>
      <c r="BH121" s="3" t="str">
        <f t="shared" si="930"/>
        <v/>
      </c>
      <c r="BI121" s="3" t="str">
        <f t="shared" si="941"/>
        <v/>
      </c>
      <c r="BJ121" s="3" t="str">
        <f t="shared" si="942"/>
        <v/>
      </c>
      <c r="BK121" s="3" t="str">
        <f t="shared" si="943"/>
        <v/>
      </c>
      <c r="BL121" s="3" t="str">
        <f t="shared" si="931"/>
        <v/>
      </c>
      <c r="BM121" s="3" t="str">
        <f t="shared" si="932"/>
        <v/>
      </c>
    </row>
    <row r="122" spans="1:65" ht="16.5" thickTop="1" x14ac:dyDescent="0.2">
      <c r="A122" s="493" t="str">
        <f>IDENTIFICACIÓN!C47</f>
        <v>10C</v>
      </c>
      <c r="B122" s="496" t="str">
        <f>IF(IDENTIFICACIÓN!D47="","",IDENTIFICACIÓN!D47)</f>
        <v xml:space="preserve">Gestión Academica. Ausencia de canales de comunicación
</v>
      </c>
      <c r="C122" s="356">
        <v>1</v>
      </c>
      <c r="D122" s="56" t="s">
        <v>11</v>
      </c>
      <c r="E122" s="240">
        <f t="shared" si="933"/>
        <v>10</v>
      </c>
      <c r="F122" s="44" t="s">
        <v>619</v>
      </c>
      <c r="G122" s="18" t="str">
        <f t="shared" si="896"/>
        <v/>
      </c>
      <c r="H122" s="44" t="s">
        <v>20</v>
      </c>
      <c r="I122" s="18" t="str">
        <f t="shared" si="897"/>
        <v/>
      </c>
      <c r="J122" s="55" t="str">
        <f t="shared" si="898"/>
        <v>Posibilidad</v>
      </c>
      <c r="K122" s="43" t="s">
        <v>10</v>
      </c>
      <c r="L122" s="18">
        <f t="shared" si="899"/>
        <v>0</v>
      </c>
      <c r="M122" s="43" t="s">
        <v>10</v>
      </c>
      <c r="N122" s="18">
        <f t="shared" si="900"/>
        <v>0</v>
      </c>
      <c r="O122" s="43" t="s">
        <v>323</v>
      </c>
      <c r="P122" s="18">
        <f t="shared" si="901"/>
        <v>10</v>
      </c>
      <c r="Q122" s="43" t="s">
        <v>11</v>
      </c>
      <c r="R122" s="18">
        <f t="shared" si="902"/>
        <v>5</v>
      </c>
      <c r="S122" s="43" t="s">
        <v>10</v>
      </c>
      <c r="T122" s="18">
        <f t="shared" si="903"/>
        <v>0</v>
      </c>
      <c r="U122" s="43" t="s">
        <v>10</v>
      </c>
      <c r="V122" s="18">
        <f t="shared" si="904"/>
        <v>0</v>
      </c>
      <c r="W122" s="18">
        <f t="shared" si="905"/>
        <v>25</v>
      </c>
      <c r="X122" s="57">
        <f t="shared" si="934"/>
        <v>25</v>
      </c>
      <c r="Y122" s="57">
        <f t="shared" si="935"/>
        <v>0</v>
      </c>
      <c r="Z122" s="356"/>
      <c r="AA122" s="497">
        <f t="shared" ref="AA122" si="1013">IF(AB122=0,"",(ROUND((SUM(W122:W124)/AB122),0)))</f>
        <v>25</v>
      </c>
      <c r="AB122" s="500">
        <f t="shared" ref="AB122" si="1014">COUNT(T122:T124)</f>
        <v>1</v>
      </c>
      <c r="AC122" s="3">
        <f t="shared" ref="AC122" si="1015">SUM(Y122:Y124)</f>
        <v>0</v>
      </c>
      <c r="AD122" s="3">
        <f>ANALISIS!D49</f>
        <v>3</v>
      </c>
      <c r="AE122" s="3">
        <f t="shared" ref="AE122" si="1016">IF(AND(AD122=5,AC122&gt;1),3,AD122)</f>
        <v>3</v>
      </c>
      <c r="AF122" s="501">
        <f t="shared" ref="AF122" si="1017">AE122</f>
        <v>3</v>
      </c>
      <c r="AG122" s="355" t="str">
        <f t="shared" ref="AG122" si="1018">IF(AF122=3,"MODERADA",IF(AF122=5,"EXTREMA",""))</f>
        <v>MODERADA</v>
      </c>
      <c r="AH122" s="46"/>
      <c r="AI122" s="46"/>
      <c r="AJ122" s="46"/>
      <c r="AK122" s="46"/>
      <c r="AL122" s="46"/>
      <c r="AM122" s="3" t="str">
        <f t="shared" si="912"/>
        <v/>
      </c>
      <c r="AN122" s="3" t="str">
        <f t="shared" si="913"/>
        <v/>
      </c>
      <c r="AO122" s="3" t="str">
        <f t="shared" si="914"/>
        <v/>
      </c>
      <c r="AP122" s="3" t="str">
        <f t="shared" si="915"/>
        <v/>
      </c>
      <c r="AQ122" s="3" t="str">
        <f t="shared" ref="AQ122" si="1019">AM122</f>
        <v/>
      </c>
      <c r="AR122" s="3" t="str">
        <f t="shared" ref="AR122" si="1020">AN122</f>
        <v/>
      </c>
      <c r="AT122" s="3" t="str">
        <f t="shared" ref="AT122" si="1021">AO122</f>
        <v/>
      </c>
      <c r="AV122" s="3" t="str">
        <f t="shared" ref="AV122" si="1022">AP122</f>
        <v/>
      </c>
      <c r="AX122" s="502" t="str">
        <f t="shared" ref="AX122" si="1023">IF(AW124="","",CONCATENATE(AW124," (de) el(los) control(es) Efectivo(s) "))</f>
        <v/>
      </c>
      <c r="AY122" s="502" t="str">
        <f t="shared" ref="AY122" si="1024">IF(CONCATENATE(N122:N124)="","",IF(AND(SUM(E122:E124)=10,SUM(N122:N124)&lt;30),"- Replantear control(es) NO efectivo(s) ",IF(AND(SUM(E122:E124)=20,SUM(N122:N124)&lt;60),"- Replantear control(es) NO efectivo(s) ",IF(AND(SUM(E122:E124)=30,SUM(N122:N124)&lt;90),"- Replantear control(es) NO efectivo(s) ",""))))</f>
        <v xml:space="preserve">- Replantear control(es) NO efectivo(s) </v>
      </c>
      <c r="AZ122" s="502" t="str">
        <f t="shared" ref="AZ122" si="1025">IF(AND(AE122&gt;1,AE123&gt;1),"- Tomar Acciones Preventivas y Correctivas",IF(AE122&gt;1,"- Tomar Acciones Preventivas",IF(AE123&gt;1,"- Tomar Acciones Correctivas","")))</f>
        <v>- Tomar Acciones Preventivas</v>
      </c>
      <c r="BA122" s="502" t="str">
        <f t="shared" ref="BA122" si="1026">CONCATENATE(AX122,AY122,AZ122)</f>
        <v>- Replantear control(es) NO efectivo(s) - Tomar Acciones Preventivas</v>
      </c>
      <c r="BB122" s="3" t="str">
        <f t="shared" si="924"/>
        <v/>
      </c>
      <c r="BC122" s="3" t="str">
        <f t="shared" si="925"/>
        <v>NO</v>
      </c>
      <c r="BD122" s="3" t="str">
        <f t="shared" si="926"/>
        <v/>
      </c>
      <c r="BE122" s="3" t="str">
        <f t="shared" si="927"/>
        <v>SI</v>
      </c>
      <c r="BF122" s="3" t="str">
        <f t="shared" si="928"/>
        <v/>
      </c>
      <c r="BG122" s="3" t="str">
        <f t="shared" si="929"/>
        <v>NO</v>
      </c>
      <c r="BH122" s="3" t="str">
        <f t="shared" si="930"/>
        <v/>
      </c>
      <c r="BI122" s="3" t="str">
        <f t="shared" si="941"/>
        <v>P</v>
      </c>
      <c r="BJ122" s="3" t="str">
        <f t="shared" si="942"/>
        <v/>
      </c>
      <c r="BK122" s="3" t="str">
        <f t="shared" si="943"/>
        <v>M</v>
      </c>
      <c r="BL122" s="3" t="str">
        <f t="shared" si="931"/>
        <v/>
      </c>
      <c r="BM122" s="3" t="str">
        <f t="shared" si="932"/>
        <v>NO</v>
      </c>
    </row>
    <row r="123" spans="1:65" ht="31.5" x14ac:dyDescent="0.2">
      <c r="A123" s="494"/>
      <c r="B123" s="496"/>
      <c r="C123" s="356">
        <v>2</v>
      </c>
      <c r="D123" s="56"/>
      <c r="E123" s="240" t="str">
        <f t="shared" si="933"/>
        <v/>
      </c>
      <c r="F123" s="44"/>
      <c r="G123" s="18" t="str">
        <f t="shared" si="896"/>
        <v/>
      </c>
      <c r="H123" s="44"/>
      <c r="I123" s="18" t="str">
        <f t="shared" si="897"/>
        <v/>
      </c>
      <c r="J123" s="55" t="str">
        <f t="shared" si="898"/>
        <v/>
      </c>
      <c r="K123" s="43"/>
      <c r="L123" s="18" t="str">
        <f t="shared" si="899"/>
        <v/>
      </c>
      <c r="M123" s="43"/>
      <c r="N123" s="18" t="str">
        <f t="shared" si="900"/>
        <v/>
      </c>
      <c r="O123" s="43"/>
      <c r="P123" s="18" t="str">
        <f t="shared" si="901"/>
        <v/>
      </c>
      <c r="Q123" s="43"/>
      <c r="R123" s="18" t="str">
        <f t="shared" si="902"/>
        <v/>
      </c>
      <c r="S123" s="43"/>
      <c r="T123" s="18" t="str">
        <f t="shared" si="903"/>
        <v/>
      </c>
      <c r="U123" s="43"/>
      <c r="V123" s="18" t="str">
        <f t="shared" si="904"/>
        <v/>
      </c>
      <c r="W123" s="18">
        <f t="shared" si="905"/>
        <v>0</v>
      </c>
      <c r="X123" s="57" t="str">
        <f t="shared" si="934"/>
        <v/>
      </c>
      <c r="Y123" s="57">
        <f t="shared" si="935"/>
        <v>0</v>
      </c>
      <c r="Z123" s="356"/>
      <c r="AA123" s="498"/>
      <c r="AB123" s="500"/>
      <c r="AC123" s="3" t="s">
        <v>352</v>
      </c>
      <c r="AF123" s="501"/>
      <c r="AG123" s="46" t="str">
        <f t="shared" ref="AG123" si="1027">IF(AG122&gt;0,"- Evitar Posibilidad de Ocurrencia- Reducir el Riesgo","")</f>
        <v>- Evitar Posibilidad de Ocurrencia- Reducir el Riesgo</v>
      </c>
      <c r="AH123" s="46"/>
      <c r="AI123" s="46"/>
      <c r="AJ123" s="46"/>
      <c r="AK123" s="46"/>
      <c r="AL123" s="46"/>
      <c r="AM123" s="3" t="str">
        <f t="shared" si="912"/>
        <v/>
      </c>
      <c r="AN123" s="3" t="str">
        <f t="shared" si="913"/>
        <v/>
      </c>
      <c r="AO123" s="3" t="str">
        <f t="shared" si="914"/>
        <v/>
      </c>
      <c r="AP123" s="3" t="str">
        <f t="shared" si="915"/>
        <v/>
      </c>
      <c r="AQ123" s="3" t="str">
        <f t="shared" ref="AQ123:AQ124" si="1028">IF(AQ122="Documentar",AQ122,AM123)</f>
        <v/>
      </c>
      <c r="AR123" s="3" t="str">
        <f t="shared" ref="AR123:AR124" si="1029">IF(AR122="Asignar responsable",AR122,AN123)</f>
        <v/>
      </c>
      <c r="AT123" s="3" t="str">
        <f t="shared" ref="AT123:AT124" si="1030">IF(AT122="Establecer periodos de seguimiento adecuados",AT122,AO123)</f>
        <v/>
      </c>
      <c r="AV123" s="3" t="str">
        <f t="shared" ref="AV123:AV124" si="1031">IF(AV122="Guardar Evidencias",AV122,AP123)</f>
        <v/>
      </c>
      <c r="AX123" s="502"/>
      <c r="AY123" s="502"/>
      <c r="AZ123" s="502"/>
      <c r="BA123" s="502"/>
      <c r="BB123" s="3" t="str">
        <f t="shared" si="924"/>
        <v/>
      </c>
      <c r="BC123" s="3" t="str">
        <f t="shared" si="925"/>
        <v/>
      </c>
      <c r="BD123" s="3" t="str">
        <f t="shared" si="926"/>
        <v/>
      </c>
      <c r="BE123" s="3" t="str">
        <f t="shared" si="927"/>
        <v/>
      </c>
      <c r="BF123" s="3" t="str">
        <f t="shared" si="928"/>
        <v/>
      </c>
      <c r="BG123" s="3" t="str">
        <f t="shared" si="929"/>
        <v/>
      </c>
      <c r="BH123" s="3" t="str">
        <f t="shared" si="930"/>
        <v/>
      </c>
      <c r="BI123" s="3" t="str">
        <f t="shared" si="941"/>
        <v/>
      </c>
      <c r="BJ123" s="3" t="str">
        <f t="shared" si="942"/>
        <v/>
      </c>
      <c r="BK123" s="3" t="str">
        <f t="shared" si="943"/>
        <v/>
      </c>
      <c r="BL123" s="3" t="str">
        <f t="shared" si="931"/>
        <v/>
      </c>
      <c r="BM123" s="3" t="str">
        <f t="shared" si="932"/>
        <v/>
      </c>
    </row>
    <row r="124" spans="1:65" ht="16.5" thickBot="1" x14ac:dyDescent="0.25">
      <c r="A124" s="495"/>
      <c r="B124" s="496"/>
      <c r="C124" s="356">
        <v>3</v>
      </c>
      <c r="D124" s="56"/>
      <c r="E124" s="240" t="str">
        <f t="shared" si="933"/>
        <v/>
      </c>
      <c r="F124" s="44"/>
      <c r="G124" s="18" t="str">
        <f t="shared" si="896"/>
        <v/>
      </c>
      <c r="H124" s="44"/>
      <c r="I124" s="18" t="str">
        <f t="shared" si="897"/>
        <v/>
      </c>
      <c r="J124" s="55" t="str">
        <f t="shared" si="898"/>
        <v/>
      </c>
      <c r="K124" s="43"/>
      <c r="L124" s="18" t="str">
        <f t="shared" si="899"/>
        <v/>
      </c>
      <c r="M124" s="43"/>
      <c r="N124" s="18" t="str">
        <f t="shared" si="900"/>
        <v/>
      </c>
      <c r="O124" s="43"/>
      <c r="P124" s="18" t="str">
        <f t="shared" si="901"/>
        <v/>
      </c>
      <c r="Q124" s="43"/>
      <c r="R124" s="18" t="str">
        <f t="shared" si="902"/>
        <v/>
      </c>
      <c r="S124" s="43"/>
      <c r="T124" s="18" t="str">
        <f t="shared" si="903"/>
        <v/>
      </c>
      <c r="U124" s="43"/>
      <c r="V124" s="18" t="str">
        <f t="shared" si="904"/>
        <v/>
      </c>
      <c r="W124" s="18">
        <f t="shared" si="905"/>
        <v>0</v>
      </c>
      <c r="X124" s="57" t="str">
        <f t="shared" si="934"/>
        <v/>
      </c>
      <c r="Y124" s="57">
        <f t="shared" si="935"/>
        <v>0</v>
      </c>
      <c r="Z124" s="356"/>
      <c r="AA124" s="499"/>
      <c r="AB124" s="500"/>
      <c r="AM124" s="3" t="str">
        <f t="shared" si="912"/>
        <v/>
      </c>
      <c r="AN124" s="3" t="str">
        <f t="shared" si="913"/>
        <v/>
      </c>
      <c r="AO124" s="3" t="str">
        <f t="shared" si="914"/>
        <v/>
      </c>
      <c r="AP124" s="3" t="str">
        <f t="shared" si="915"/>
        <v/>
      </c>
      <c r="AQ124" s="3" t="str">
        <f t="shared" si="1028"/>
        <v/>
      </c>
      <c r="AR124" s="3" t="str">
        <f t="shared" si="1029"/>
        <v/>
      </c>
      <c r="AS124" s="3" t="str">
        <f t="shared" ref="AS124" si="1032">IF(AND(AQ124="Documentar",AR124="Asignar responsable"),CONCATENATE("- ",AQ124,", ",AR124),IF(AQ124="Documentar",CONCATENATE("- ",AQ124),IF(AR124="Asignar responsable",CONCATENATE("- ",AR124),"")))</f>
        <v/>
      </c>
      <c r="AT124" s="3" t="str">
        <f t="shared" si="1030"/>
        <v/>
      </c>
      <c r="AU124" s="3" t="str">
        <f t="shared" ref="AU124" si="1033">IF(AT124="",AS124,IF(AS124="",CONCATENATE("- ",AT124),CONCATENATE(AS124,", ",AT124)))</f>
        <v/>
      </c>
      <c r="AV124" s="3" t="str">
        <f t="shared" si="1031"/>
        <v/>
      </c>
      <c r="AW124" s="3" t="str">
        <f t="shared" ref="AW124" si="1034">IF(AV124="",AU124,IF(AU124="",CONCATENATE("- ",AV124),CONCATENATE(AU124,", ",AV124)))</f>
        <v/>
      </c>
      <c r="AX124" s="502"/>
      <c r="AY124" s="502"/>
      <c r="AZ124" s="502"/>
      <c r="BA124" s="502"/>
      <c r="BB124" s="3" t="str">
        <f t="shared" si="924"/>
        <v/>
      </c>
      <c r="BC124" s="3" t="str">
        <f t="shared" si="925"/>
        <v/>
      </c>
      <c r="BD124" s="3" t="str">
        <f t="shared" si="926"/>
        <v/>
      </c>
      <c r="BE124" s="3" t="str">
        <f t="shared" si="927"/>
        <v/>
      </c>
      <c r="BF124" s="3" t="str">
        <f t="shared" si="928"/>
        <v/>
      </c>
      <c r="BG124" s="3" t="str">
        <f t="shared" si="929"/>
        <v/>
      </c>
      <c r="BH124" s="3" t="str">
        <f t="shared" si="930"/>
        <v/>
      </c>
      <c r="BI124" s="3" t="str">
        <f t="shared" si="941"/>
        <v/>
      </c>
      <c r="BJ124" s="3" t="str">
        <f t="shared" si="942"/>
        <v/>
      </c>
      <c r="BK124" s="3" t="str">
        <f t="shared" si="943"/>
        <v/>
      </c>
      <c r="BL124" s="3" t="str">
        <f t="shared" si="931"/>
        <v/>
      </c>
      <c r="BM124" s="3" t="str">
        <f t="shared" si="932"/>
        <v/>
      </c>
    </row>
    <row r="125" spans="1:65" ht="16.5" thickTop="1" x14ac:dyDescent="0.2">
      <c r="A125" s="493" t="str">
        <f>IDENTIFICACIÓN!C48</f>
        <v>11C</v>
      </c>
      <c r="B125" s="496" t="str">
        <f>IF(IDENTIFICACIÓN!D48="","",IDENTIFICACIÓN!D48)</f>
        <v>Gestión Academica. Concentración de información de determinadas actividades o procesos en una persona</v>
      </c>
      <c r="C125" s="356">
        <v>1</v>
      </c>
      <c r="D125" s="56" t="s">
        <v>10</v>
      </c>
      <c r="E125" s="240">
        <f t="shared" si="933"/>
        <v>0</v>
      </c>
      <c r="F125" s="44"/>
      <c r="G125" s="18" t="str">
        <f t="shared" si="896"/>
        <v/>
      </c>
      <c r="H125" s="44"/>
      <c r="I125" s="18" t="str">
        <f t="shared" si="897"/>
        <v/>
      </c>
      <c r="J125" s="55" t="str">
        <f t="shared" si="898"/>
        <v/>
      </c>
      <c r="K125" s="43"/>
      <c r="L125" s="18" t="str">
        <f t="shared" si="899"/>
        <v/>
      </c>
      <c r="M125" s="43"/>
      <c r="N125" s="18" t="str">
        <f t="shared" si="900"/>
        <v/>
      </c>
      <c r="O125" s="43"/>
      <c r="P125" s="18" t="str">
        <f t="shared" si="901"/>
        <v/>
      </c>
      <c r="Q125" s="43"/>
      <c r="R125" s="18" t="str">
        <f t="shared" si="902"/>
        <v/>
      </c>
      <c r="S125" s="43"/>
      <c r="T125" s="18" t="str">
        <f t="shared" si="903"/>
        <v/>
      </c>
      <c r="U125" s="43"/>
      <c r="V125" s="18" t="str">
        <f t="shared" si="904"/>
        <v/>
      </c>
      <c r="W125" s="18">
        <f t="shared" si="905"/>
        <v>0</v>
      </c>
      <c r="X125" s="57">
        <f t="shared" si="934"/>
        <v>0</v>
      </c>
      <c r="Y125" s="57">
        <f t="shared" si="935"/>
        <v>0</v>
      </c>
      <c r="Z125" s="356"/>
      <c r="AA125" s="497" t="str">
        <f t="shared" ref="AA125" si="1035">IF(AB125=0,"",(ROUND((SUM(W125:W127)/AB125),0)))</f>
        <v/>
      </c>
      <c r="AB125" s="500">
        <f t="shared" ref="AB125" si="1036">COUNT(T125:T127)</f>
        <v>0</v>
      </c>
      <c r="AC125" s="3">
        <f t="shared" ref="AC125" si="1037">SUM(Y125:Y127)</f>
        <v>0</v>
      </c>
      <c r="AD125" s="3">
        <f>ANALISIS!D50</f>
        <v>3</v>
      </c>
      <c r="AE125" s="3">
        <f t="shared" ref="AE125" si="1038">IF(AND(AD125=5,AC125&gt;1),3,AD125)</f>
        <v>3</v>
      </c>
      <c r="AF125" s="501">
        <f t="shared" ref="AF125" si="1039">AE125</f>
        <v>3</v>
      </c>
      <c r="AG125" s="355" t="str">
        <f t="shared" ref="AG125" si="1040">IF(AF125=3,"MODERADA",IF(AF125=5,"EXTREMA",""))</f>
        <v>MODERADA</v>
      </c>
      <c r="AH125" s="46"/>
      <c r="AI125" s="46"/>
      <c r="AJ125" s="46"/>
      <c r="AK125" s="46"/>
      <c r="AL125" s="46"/>
      <c r="AM125" s="3" t="str">
        <f t="shared" si="912"/>
        <v/>
      </c>
      <c r="AN125" s="3" t="str">
        <f t="shared" si="913"/>
        <v/>
      </c>
      <c r="AO125" s="3" t="str">
        <f t="shared" si="914"/>
        <v/>
      </c>
      <c r="AP125" s="3" t="str">
        <f t="shared" si="915"/>
        <v/>
      </c>
      <c r="AQ125" s="3" t="str">
        <f t="shared" ref="AQ125" si="1041">AM125</f>
        <v/>
      </c>
      <c r="AR125" s="3" t="str">
        <f t="shared" ref="AR125" si="1042">AN125</f>
        <v/>
      </c>
      <c r="AT125" s="3" t="str">
        <f t="shared" ref="AT125" si="1043">AO125</f>
        <v/>
      </c>
      <c r="AV125" s="3" t="str">
        <f t="shared" ref="AV125" si="1044">AP125</f>
        <v/>
      </c>
      <c r="AX125" s="502" t="str">
        <f t="shared" ref="AX125" si="1045">IF(AW127="","",CONCATENATE(AW127," (de) el(los) control(es) Efectivo(s) "))</f>
        <v/>
      </c>
      <c r="AY125" s="502" t="str">
        <f t="shared" ref="AY125" si="1046">IF(CONCATENATE(N125:N127)="","",IF(AND(SUM(E125:E127)=10,SUM(N125:N127)&lt;30),"- Replantear control(es) NO efectivo(s) ",IF(AND(SUM(E125:E127)=20,SUM(N125:N127)&lt;60),"- Replantear control(es) NO efectivo(s) ",IF(AND(SUM(E125:E127)=30,SUM(N125:N127)&lt;90),"- Replantear control(es) NO efectivo(s) ",""))))</f>
        <v/>
      </c>
      <c r="AZ125" s="502" t="str">
        <f t="shared" ref="AZ125" si="1047">IF(AND(AE125&gt;1,AE126&gt;1),"- Tomar Acciones Preventivas y Correctivas",IF(AE125&gt;1,"- Tomar Acciones Preventivas",IF(AE126&gt;1,"- Tomar Acciones Correctivas","")))</f>
        <v>- Tomar Acciones Preventivas</v>
      </c>
      <c r="BA125" s="502" t="str">
        <f t="shared" ref="BA125" si="1048">CONCATENATE(AX125,AY125,AZ125)</f>
        <v>- Tomar Acciones Preventivas</v>
      </c>
      <c r="BB125" s="3" t="str">
        <f t="shared" si="924"/>
        <v/>
      </c>
      <c r="BC125" s="3" t="str">
        <f t="shared" si="925"/>
        <v/>
      </c>
      <c r="BD125" s="3" t="str">
        <f t="shared" si="926"/>
        <v/>
      </c>
      <c r="BE125" s="3" t="str">
        <f t="shared" si="927"/>
        <v/>
      </c>
      <c r="BF125" s="3" t="str">
        <f t="shared" si="928"/>
        <v/>
      </c>
      <c r="BG125" s="3" t="str">
        <f t="shared" si="929"/>
        <v/>
      </c>
      <c r="BH125" s="3" t="str">
        <f t="shared" si="930"/>
        <v/>
      </c>
      <c r="BI125" s="3" t="str">
        <f t="shared" si="941"/>
        <v/>
      </c>
      <c r="BJ125" s="3" t="str">
        <f t="shared" si="942"/>
        <v/>
      </c>
      <c r="BK125" s="3" t="str">
        <f t="shared" si="943"/>
        <v/>
      </c>
      <c r="BL125" s="3" t="str">
        <f t="shared" si="931"/>
        <v/>
      </c>
      <c r="BM125" s="3" t="str">
        <f t="shared" si="932"/>
        <v/>
      </c>
    </row>
    <row r="126" spans="1:65" ht="31.5" x14ac:dyDescent="0.2">
      <c r="A126" s="494"/>
      <c r="B126" s="496"/>
      <c r="C126" s="356">
        <v>2</v>
      </c>
      <c r="D126" s="56"/>
      <c r="E126" s="240" t="str">
        <f t="shared" si="933"/>
        <v/>
      </c>
      <c r="F126" s="44"/>
      <c r="G126" s="18" t="str">
        <f t="shared" si="896"/>
        <v/>
      </c>
      <c r="H126" s="44"/>
      <c r="I126" s="18" t="str">
        <f t="shared" si="897"/>
        <v/>
      </c>
      <c r="J126" s="55" t="str">
        <f t="shared" si="898"/>
        <v/>
      </c>
      <c r="K126" s="43"/>
      <c r="L126" s="18" t="str">
        <f t="shared" si="899"/>
        <v/>
      </c>
      <c r="M126" s="43"/>
      <c r="N126" s="18" t="str">
        <f t="shared" si="900"/>
        <v/>
      </c>
      <c r="O126" s="43"/>
      <c r="P126" s="18" t="str">
        <f t="shared" si="901"/>
        <v/>
      </c>
      <c r="Q126" s="43"/>
      <c r="R126" s="18" t="str">
        <f t="shared" si="902"/>
        <v/>
      </c>
      <c r="S126" s="43"/>
      <c r="T126" s="18" t="str">
        <f t="shared" si="903"/>
        <v/>
      </c>
      <c r="U126" s="43"/>
      <c r="V126" s="18" t="str">
        <f t="shared" si="904"/>
        <v/>
      </c>
      <c r="W126" s="18">
        <f t="shared" si="905"/>
        <v>0</v>
      </c>
      <c r="X126" s="57" t="str">
        <f t="shared" si="934"/>
        <v/>
      </c>
      <c r="Y126" s="57">
        <f t="shared" si="935"/>
        <v>0</v>
      </c>
      <c r="Z126" s="356"/>
      <c r="AA126" s="498"/>
      <c r="AB126" s="500"/>
      <c r="AC126" s="3" t="s">
        <v>352</v>
      </c>
      <c r="AF126" s="501"/>
      <c r="AG126" s="46" t="str">
        <f t="shared" ref="AG126" si="1049">IF(AG125&gt;0,"- Evitar Posibilidad de Ocurrencia- Reducir el Riesgo","")</f>
        <v>- Evitar Posibilidad de Ocurrencia- Reducir el Riesgo</v>
      </c>
      <c r="AH126" s="46"/>
      <c r="AI126" s="46"/>
      <c r="AJ126" s="46"/>
      <c r="AK126" s="46"/>
      <c r="AL126" s="46"/>
      <c r="AM126" s="3" t="str">
        <f t="shared" si="912"/>
        <v/>
      </c>
      <c r="AN126" s="3" t="str">
        <f t="shared" si="913"/>
        <v/>
      </c>
      <c r="AO126" s="3" t="str">
        <f t="shared" si="914"/>
        <v/>
      </c>
      <c r="AP126" s="3" t="str">
        <f t="shared" si="915"/>
        <v/>
      </c>
      <c r="AQ126" s="3" t="str">
        <f t="shared" ref="AQ126:AQ127" si="1050">IF(AQ125="Documentar",AQ125,AM126)</f>
        <v/>
      </c>
      <c r="AR126" s="3" t="str">
        <f t="shared" ref="AR126:AR127" si="1051">IF(AR125="Asignar responsable",AR125,AN126)</f>
        <v/>
      </c>
      <c r="AT126" s="3" t="str">
        <f t="shared" ref="AT126:AT127" si="1052">IF(AT125="Establecer periodos de seguimiento adecuados",AT125,AO126)</f>
        <v/>
      </c>
      <c r="AV126" s="3" t="str">
        <f t="shared" ref="AV126:AV127" si="1053">IF(AV125="Guardar Evidencias",AV125,AP126)</f>
        <v/>
      </c>
      <c r="AX126" s="502"/>
      <c r="AY126" s="502"/>
      <c r="AZ126" s="502"/>
      <c r="BA126" s="502"/>
      <c r="BB126" s="3" t="str">
        <f t="shared" si="924"/>
        <v/>
      </c>
      <c r="BC126" s="3" t="str">
        <f t="shared" si="925"/>
        <v/>
      </c>
      <c r="BD126" s="3" t="str">
        <f t="shared" si="926"/>
        <v/>
      </c>
      <c r="BE126" s="3" t="str">
        <f t="shared" si="927"/>
        <v/>
      </c>
      <c r="BF126" s="3" t="str">
        <f t="shared" si="928"/>
        <v/>
      </c>
      <c r="BG126" s="3" t="str">
        <f t="shared" si="929"/>
        <v/>
      </c>
      <c r="BH126" s="3" t="str">
        <f t="shared" si="930"/>
        <v/>
      </c>
      <c r="BI126" s="3" t="str">
        <f t="shared" si="941"/>
        <v/>
      </c>
      <c r="BJ126" s="3" t="str">
        <f t="shared" si="942"/>
        <v/>
      </c>
      <c r="BK126" s="3" t="str">
        <f t="shared" si="943"/>
        <v/>
      </c>
      <c r="BL126" s="3" t="str">
        <f t="shared" si="931"/>
        <v/>
      </c>
      <c r="BM126" s="3" t="str">
        <f t="shared" si="932"/>
        <v/>
      </c>
    </row>
    <row r="127" spans="1:65" ht="16.5" thickBot="1" x14ac:dyDescent="0.25">
      <c r="A127" s="495"/>
      <c r="B127" s="496"/>
      <c r="C127" s="356">
        <v>3</v>
      </c>
      <c r="D127" s="56"/>
      <c r="E127" s="240" t="str">
        <f t="shared" si="933"/>
        <v/>
      </c>
      <c r="F127" s="44"/>
      <c r="G127" s="18" t="str">
        <f t="shared" si="896"/>
        <v/>
      </c>
      <c r="H127" s="44"/>
      <c r="I127" s="18" t="str">
        <f t="shared" si="897"/>
        <v/>
      </c>
      <c r="J127" s="55" t="str">
        <f t="shared" si="898"/>
        <v/>
      </c>
      <c r="K127" s="43"/>
      <c r="L127" s="18" t="str">
        <f t="shared" si="899"/>
        <v/>
      </c>
      <c r="M127" s="43"/>
      <c r="N127" s="18" t="str">
        <f t="shared" si="900"/>
        <v/>
      </c>
      <c r="O127" s="43"/>
      <c r="P127" s="18" t="str">
        <f t="shared" si="901"/>
        <v/>
      </c>
      <c r="Q127" s="43"/>
      <c r="R127" s="18" t="str">
        <f t="shared" si="902"/>
        <v/>
      </c>
      <c r="S127" s="43"/>
      <c r="T127" s="18" t="str">
        <f t="shared" si="903"/>
        <v/>
      </c>
      <c r="U127" s="43"/>
      <c r="V127" s="18" t="str">
        <f t="shared" si="904"/>
        <v/>
      </c>
      <c r="W127" s="18">
        <f t="shared" si="905"/>
        <v>0</v>
      </c>
      <c r="X127" s="57" t="str">
        <f t="shared" si="934"/>
        <v/>
      </c>
      <c r="Y127" s="57">
        <f t="shared" si="935"/>
        <v>0</v>
      </c>
      <c r="Z127" s="356"/>
      <c r="AA127" s="499"/>
      <c r="AB127" s="500"/>
      <c r="AM127" s="3" t="str">
        <f t="shared" si="912"/>
        <v/>
      </c>
      <c r="AN127" s="3" t="str">
        <f t="shared" si="913"/>
        <v/>
      </c>
      <c r="AO127" s="3" t="str">
        <f t="shared" si="914"/>
        <v/>
      </c>
      <c r="AP127" s="3" t="str">
        <f t="shared" si="915"/>
        <v/>
      </c>
      <c r="AQ127" s="3" t="str">
        <f t="shared" si="1050"/>
        <v/>
      </c>
      <c r="AR127" s="3" t="str">
        <f t="shared" si="1051"/>
        <v/>
      </c>
      <c r="AS127" s="3" t="str">
        <f t="shared" ref="AS127" si="1054">IF(AND(AQ127="Documentar",AR127="Asignar responsable"),CONCATENATE("- ",AQ127,", ",AR127),IF(AQ127="Documentar",CONCATENATE("- ",AQ127),IF(AR127="Asignar responsable",CONCATENATE("- ",AR127),"")))</f>
        <v/>
      </c>
      <c r="AT127" s="3" t="str">
        <f t="shared" si="1052"/>
        <v/>
      </c>
      <c r="AU127" s="3" t="str">
        <f t="shared" ref="AU127" si="1055">IF(AT127="",AS127,IF(AS127="",CONCATENATE("- ",AT127),CONCATENATE(AS127,", ",AT127)))</f>
        <v/>
      </c>
      <c r="AV127" s="3" t="str">
        <f t="shared" si="1053"/>
        <v/>
      </c>
      <c r="AW127" s="3" t="str">
        <f t="shared" ref="AW127" si="1056">IF(AV127="",AU127,IF(AU127="",CONCATENATE("- ",AV127),CONCATENATE(AU127,", ",AV127)))</f>
        <v/>
      </c>
      <c r="AX127" s="502"/>
      <c r="AY127" s="502"/>
      <c r="AZ127" s="502"/>
      <c r="BA127" s="502"/>
      <c r="BB127" s="3" t="str">
        <f t="shared" si="924"/>
        <v/>
      </c>
      <c r="BC127" s="3" t="str">
        <f t="shared" si="925"/>
        <v/>
      </c>
      <c r="BD127" s="3" t="str">
        <f t="shared" si="926"/>
        <v/>
      </c>
      <c r="BE127" s="3" t="str">
        <f t="shared" si="927"/>
        <v/>
      </c>
      <c r="BF127" s="3" t="str">
        <f t="shared" si="928"/>
        <v/>
      </c>
      <c r="BG127" s="3" t="str">
        <f t="shared" si="929"/>
        <v/>
      </c>
      <c r="BH127" s="3" t="str">
        <f t="shared" si="930"/>
        <v/>
      </c>
      <c r="BI127" s="3" t="str">
        <f t="shared" si="941"/>
        <v/>
      </c>
      <c r="BJ127" s="3" t="str">
        <f t="shared" si="942"/>
        <v/>
      </c>
      <c r="BK127" s="3" t="str">
        <f t="shared" si="943"/>
        <v/>
      </c>
      <c r="BL127" s="3" t="str">
        <f t="shared" si="931"/>
        <v/>
      </c>
      <c r="BM127" s="3" t="str">
        <f t="shared" si="932"/>
        <v/>
      </c>
    </row>
    <row r="128" spans="1:65" ht="16.5" thickTop="1" x14ac:dyDescent="0.2">
      <c r="A128" s="493" t="str">
        <f>IDENTIFICACIÓN!C49</f>
        <v>12C</v>
      </c>
      <c r="B128" s="496" t="str">
        <f>IF(IDENTIFICACIÓN!D49="","",IDENTIFICACIÓN!D49)</f>
        <v>Gestión Academica. Deficiencias en el manejo documental y de archivo</v>
      </c>
      <c r="C128" s="356">
        <v>1</v>
      </c>
      <c r="D128" s="56" t="s">
        <v>10</v>
      </c>
      <c r="E128" s="240">
        <f t="shared" si="933"/>
        <v>0</v>
      </c>
      <c r="F128" s="44"/>
      <c r="G128" s="18" t="str">
        <f t="shared" ref="G128:G151" si="1057">IF($D128="SI",IF(ISBLANK(F128),"Decripcion",""),"")</f>
        <v/>
      </c>
      <c r="H128" s="44"/>
      <c r="I128" s="18" t="str">
        <f t="shared" ref="I128:I151" si="1058">IF($D128="SI",IF(ISBLANK(H128),"Tipo",""),"")</f>
        <v/>
      </c>
      <c r="J128" s="55" t="str">
        <f t="shared" ref="J128:J151" si="1059">IF(H128="Preventivo","Posibilidad",IF(H128="Correctivo","No Aplica",""))</f>
        <v/>
      </c>
      <c r="K128" s="43"/>
      <c r="L128" s="18" t="str">
        <f t="shared" ref="L128:L151" si="1060">IF($D128="SI",IF(K128="SI",15,IF(K128="NO",0,"P1")),"")</f>
        <v/>
      </c>
      <c r="M128" s="43"/>
      <c r="N128" s="18" t="str">
        <f t="shared" ref="N128:N151" si="1061">IF($D128="SI",IF(M128="SI",30,IF(M128="NO",0,"P2")),"")</f>
        <v/>
      </c>
      <c r="O128" s="43"/>
      <c r="P128" s="18" t="str">
        <f t="shared" ref="P128:P151" si="1062">IF($D128="SI",IF(O128="Automático",15,IF(O128="Manual",10,"P3")),"")</f>
        <v/>
      </c>
      <c r="Q128" s="43"/>
      <c r="R128" s="18" t="str">
        <f t="shared" ref="R128:R151" si="1063">IF($D128="SI",IF(Q128="SI",5,IF(Q128="NO",0,"P4")),"")</f>
        <v/>
      </c>
      <c r="S128" s="43"/>
      <c r="T128" s="18" t="str">
        <f t="shared" ref="T128:T151" si="1064">IF($D128="SI",IF(S128="SI",15,IF(S128="NO",0,"P5")),"")</f>
        <v/>
      </c>
      <c r="U128" s="43"/>
      <c r="V128" s="18" t="str">
        <f t="shared" ref="V128:V151" si="1065">IF($D128="SI",IF(U128="SI",10,IF(U128="NO",0,"P6")),"")</f>
        <v/>
      </c>
      <c r="W128" s="18">
        <f t="shared" ref="W128:W151" si="1066">IF(D128="SI",E128+L128+N128+P128+R128+T128+V128,0)</f>
        <v>0</v>
      </c>
      <c r="X128" s="57">
        <f t="shared" ref="X128:X151" si="1067">IF(ISBLANK(D128),"",IF(D128="NO",0,IF(D128="SI",IF(OR(G128="Decripcion",I128="Tipo",L128="P1",N128="P2",P128="P3",R128="P4",T128="P5",V128="P6"),CONCATENATE("Falta diligenciar: ",G128," ",I128,IF(L128="P1"," Preg 1",),IF(N128="P2"," Preg 2",),IF(P128="P3"," Preg 3",),IF(R128="P4"," Preg 4",),IF(T128="P5"," Preg 5",),IF(V128="P6"," Preg 6",)),IF(AND(W128&gt;76,J128="Posibilidad"),CONCATENATE(W128,"                           Disminuye en ",J128),W128)))))</f>
        <v>0</v>
      </c>
      <c r="Y128" s="57">
        <f t="shared" ref="Y128:Y151" si="1068">IF(AND(W128&gt;75,W128&lt;101,J128="Posibilidad"),1,0)</f>
        <v>0</v>
      </c>
      <c r="Z128" s="356"/>
      <c r="AA128" s="497" t="str">
        <f t="shared" ref="AA128" si="1069">IF(AB128=0,"",(ROUND((SUM(W128:W130)/AB128),0)))</f>
        <v/>
      </c>
      <c r="AB128" s="500">
        <f t="shared" ref="AB128" si="1070">COUNT(T128:T130)</f>
        <v>0</v>
      </c>
      <c r="AC128" s="3">
        <f t="shared" ref="AC128" si="1071">SUM(Y128:Y130)</f>
        <v>0</v>
      </c>
      <c r="AD128" s="3">
        <f>ANALISIS!D51</f>
        <v>3</v>
      </c>
      <c r="AE128" s="3">
        <f t="shared" ref="AE128" si="1072">IF(AND(AD128=5,AC128&gt;1),3,AD128)</f>
        <v>3</v>
      </c>
      <c r="AF128" s="501">
        <f t="shared" ref="AF128:AF149" si="1073">AE128</f>
        <v>3</v>
      </c>
      <c r="AG128" s="355" t="str">
        <f t="shared" ref="AG128:AG149" si="1074">IF(AF128=3,"MODERADA",IF(AF128=5,"EXTREMA",""))</f>
        <v>MODERADA</v>
      </c>
      <c r="AH128" s="46"/>
      <c r="AI128" s="46"/>
      <c r="AJ128" s="46"/>
      <c r="AK128" s="46"/>
      <c r="AL128" s="46"/>
      <c r="AM128" s="3" t="str">
        <f t="shared" ref="AM128:AM151" si="1075">IF(AND(N128=30,L128=0),$AM$8,"")</f>
        <v/>
      </c>
      <c r="AN128" s="3" t="str">
        <f t="shared" ref="AN128:AN151" si="1076">IF(AND(N128=30,R128=0),$AN$8,"")</f>
        <v/>
      </c>
      <c r="AO128" s="3" t="str">
        <f t="shared" ref="AO128:AO151" si="1077">IF(AND(N128=30,T128=0),$AO$8,"")</f>
        <v/>
      </c>
      <c r="AP128" s="3" t="str">
        <f t="shared" ref="AP128:AP151" si="1078">IF(AND(N128=30,V128=0),$AP$8,"")</f>
        <v/>
      </c>
      <c r="AQ128" s="3" t="str">
        <f t="shared" ref="AQ128" si="1079">AM128</f>
        <v/>
      </c>
      <c r="AR128" s="3" t="str">
        <f t="shared" ref="AR128" si="1080">AN128</f>
        <v/>
      </c>
      <c r="AT128" s="3" t="str">
        <f t="shared" ref="AT128" si="1081">AO128</f>
        <v/>
      </c>
      <c r="AV128" s="3" t="str">
        <f t="shared" ref="AV128" si="1082">AP128</f>
        <v/>
      </c>
      <c r="AX128" s="502" t="str">
        <f t="shared" ref="AX128" si="1083">IF(AW130="","",CONCATENATE(AW130," (de) el(los) control(es) Efectivo(s) "))</f>
        <v/>
      </c>
      <c r="AY128" s="502" t="str">
        <f t="shared" ref="AY128" si="1084">IF(CONCATENATE(N128:N130)="","",IF(AND(SUM(E128:E130)=10,SUM(N128:N130)&lt;30),"- Replantear control(es) NO efectivo(s) ",IF(AND(SUM(E128:E130)=20,SUM(N128:N130)&lt;60),"- Replantear control(es) NO efectivo(s) ",IF(AND(SUM(E128:E130)=30,SUM(N128:N130)&lt;90),"- Replantear control(es) NO efectivo(s) ",""))))</f>
        <v/>
      </c>
      <c r="AZ128" s="502" t="str">
        <f t="shared" ref="AZ128" si="1085">IF(AND(AE128&gt;1,AE129&gt;1),"- Tomar Acciones Preventivas y Correctivas",IF(AE128&gt;1,"- Tomar Acciones Preventivas",IF(AE129&gt;1,"- Tomar Acciones Correctivas","")))</f>
        <v>- Tomar Acciones Preventivas</v>
      </c>
      <c r="BA128" s="502" t="str">
        <f t="shared" ref="BA128" si="1086">CONCATENATE(AX128,AY128,AZ128)</f>
        <v>- Tomar Acciones Preventivas</v>
      </c>
      <c r="BB128" s="3" t="str">
        <f t="shared" ref="BB128:BB151" si="1087">IF(AND($N128=30,L128=15),"SI",IF(AND($N128=30,L128=0),"NO",""))</f>
        <v/>
      </c>
      <c r="BC128" s="3" t="str">
        <f t="shared" ref="BC128:BC151" si="1088">IF(AND($N128=0,L128=15),"SI",IF(AND($N128=0,L128=0),"NO",""))</f>
        <v/>
      </c>
      <c r="BD128" s="3" t="str">
        <f t="shared" ref="BD128:BD151" si="1089">IF(AND($N128=30,R128=5),"SI",IF(AND($N128=30,R128=0),"NO",""))</f>
        <v/>
      </c>
      <c r="BE128" s="3" t="str">
        <f t="shared" ref="BE128:BE151" si="1090">IF(AND($N128=0,R128=5),"SI",IF(AND($N128=0,R128=0),"NO",""))</f>
        <v/>
      </c>
      <c r="BF128" s="3" t="str">
        <f t="shared" ref="BF128:BF151" si="1091">IF(AND($N128=30,T128=15),"SI",IF(AND($N128=30,T128=0),"NO",""))</f>
        <v/>
      </c>
      <c r="BG128" s="3" t="str">
        <f t="shared" ref="BG128:BG151" si="1092">IF(AND($N128=0,T128=15),"SI",IF(AND($N128=0,T128=0),"NO",""))</f>
        <v/>
      </c>
      <c r="BH128" s="3" t="str">
        <f t="shared" ref="BH128:BH151" si="1093">IF(AND($N128=30,H128="Preventivo"),"P",IF(AND($N128=30,H128="Correctivo"),"C",""))</f>
        <v/>
      </c>
      <c r="BI128" s="3" t="str">
        <f t="shared" si="941"/>
        <v/>
      </c>
      <c r="BJ128" s="3" t="str">
        <f t="shared" si="942"/>
        <v/>
      </c>
      <c r="BK128" s="3" t="str">
        <f t="shared" si="943"/>
        <v/>
      </c>
      <c r="BL128" s="3" t="str">
        <f t="shared" ref="BL128:BL151" si="1094">IF(AND($N128=30,V128=10),"SI",IF(AND($N128=30,V128=0),"NO",""))</f>
        <v/>
      </c>
      <c r="BM128" s="3" t="str">
        <f t="shared" ref="BM128:BM151" si="1095">IF(AND($N128=0,V128=10),"SI",IF(AND($N128=0,V128=0),"NO",""))</f>
        <v/>
      </c>
    </row>
    <row r="129" spans="1:65" ht="31.5" x14ac:dyDescent="0.2">
      <c r="A129" s="494"/>
      <c r="B129" s="496"/>
      <c r="C129" s="356">
        <v>2</v>
      </c>
      <c r="D129" s="56"/>
      <c r="E129" s="240" t="str">
        <f t="shared" si="933"/>
        <v/>
      </c>
      <c r="F129" s="44"/>
      <c r="G129" s="18" t="str">
        <f t="shared" si="1057"/>
        <v/>
      </c>
      <c r="H129" s="44"/>
      <c r="I129" s="18" t="str">
        <f t="shared" si="1058"/>
        <v/>
      </c>
      <c r="J129" s="55" t="str">
        <f t="shared" si="1059"/>
        <v/>
      </c>
      <c r="K129" s="43"/>
      <c r="L129" s="18" t="str">
        <f t="shared" si="1060"/>
        <v/>
      </c>
      <c r="M129" s="43"/>
      <c r="N129" s="18" t="str">
        <f t="shared" si="1061"/>
        <v/>
      </c>
      <c r="O129" s="43"/>
      <c r="P129" s="18" t="str">
        <f t="shared" si="1062"/>
        <v/>
      </c>
      <c r="Q129" s="43"/>
      <c r="R129" s="18" t="str">
        <f t="shared" si="1063"/>
        <v/>
      </c>
      <c r="S129" s="43"/>
      <c r="T129" s="18" t="str">
        <f t="shared" si="1064"/>
        <v/>
      </c>
      <c r="U129" s="43"/>
      <c r="V129" s="18" t="str">
        <f t="shared" si="1065"/>
        <v/>
      </c>
      <c r="W129" s="18">
        <f t="shared" si="1066"/>
        <v>0</v>
      </c>
      <c r="X129" s="57" t="str">
        <f t="shared" si="1067"/>
        <v/>
      </c>
      <c r="Y129" s="57">
        <f t="shared" si="1068"/>
        <v>0</v>
      </c>
      <c r="Z129" s="356"/>
      <c r="AA129" s="498"/>
      <c r="AB129" s="500"/>
      <c r="AC129" s="3" t="s">
        <v>352</v>
      </c>
      <c r="AF129" s="501"/>
      <c r="AG129" s="46" t="str">
        <f t="shared" ref="AG129" si="1096">IF(AG128&gt;0,"- Evitar Posibilidad de Ocurrencia- Reducir el Riesgo","")</f>
        <v>- Evitar Posibilidad de Ocurrencia- Reducir el Riesgo</v>
      </c>
      <c r="AH129" s="46"/>
      <c r="AI129" s="46"/>
      <c r="AJ129" s="46"/>
      <c r="AK129" s="46"/>
      <c r="AL129" s="46"/>
      <c r="AM129" s="3" t="str">
        <f t="shared" si="1075"/>
        <v/>
      </c>
      <c r="AN129" s="3" t="str">
        <f t="shared" si="1076"/>
        <v/>
      </c>
      <c r="AO129" s="3" t="str">
        <f t="shared" si="1077"/>
        <v/>
      </c>
      <c r="AP129" s="3" t="str">
        <f t="shared" si="1078"/>
        <v/>
      </c>
      <c r="AQ129" s="3" t="str">
        <f t="shared" ref="AQ129:AQ130" si="1097">IF(AQ128="Documentar",AQ128,AM129)</f>
        <v/>
      </c>
      <c r="AR129" s="3" t="str">
        <f t="shared" ref="AR129:AR130" si="1098">IF(AR128="Asignar responsable",AR128,AN129)</f>
        <v/>
      </c>
      <c r="AT129" s="3" t="str">
        <f t="shared" ref="AT129:AT130" si="1099">IF(AT128="Establecer periodos de seguimiento adecuados",AT128,AO129)</f>
        <v/>
      </c>
      <c r="AV129" s="3" t="str">
        <f t="shared" ref="AV129:AV130" si="1100">IF(AV128="Guardar Evidencias",AV128,AP129)</f>
        <v/>
      </c>
      <c r="AX129" s="502"/>
      <c r="AY129" s="502"/>
      <c r="AZ129" s="502"/>
      <c r="BA129" s="502"/>
      <c r="BB129" s="3" t="str">
        <f t="shared" si="1087"/>
        <v/>
      </c>
      <c r="BC129" s="3" t="str">
        <f t="shared" si="1088"/>
        <v/>
      </c>
      <c r="BD129" s="3" t="str">
        <f t="shared" si="1089"/>
        <v/>
      </c>
      <c r="BE129" s="3" t="str">
        <f t="shared" si="1090"/>
        <v/>
      </c>
      <c r="BF129" s="3" t="str">
        <f t="shared" si="1091"/>
        <v/>
      </c>
      <c r="BG129" s="3" t="str">
        <f t="shared" si="1092"/>
        <v/>
      </c>
      <c r="BH129" s="3" t="str">
        <f t="shared" si="1093"/>
        <v/>
      </c>
      <c r="BI129" s="3" t="str">
        <f t="shared" si="941"/>
        <v/>
      </c>
      <c r="BJ129" s="3" t="str">
        <f t="shared" si="942"/>
        <v/>
      </c>
      <c r="BK129" s="3" t="str">
        <f t="shared" si="943"/>
        <v/>
      </c>
      <c r="BL129" s="3" t="str">
        <f t="shared" si="1094"/>
        <v/>
      </c>
      <c r="BM129" s="3" t="str">
        <f t="shared" si="1095"/>
        <v/>
      </c>
    </row>
    <row r="130" spans="1:65" ht="16.5" thickBot="1" x14ac:dyDescent="0.25">
      <c r="A130" s="495"/>
      <c r="B130" s="496"/>
      <c r="C130" s="356">
        <v>3</v>
      </c>
      <c r="D130" s="56"/>
      <c r="E130" s="240" t="str">
        <f t="shared" si="933"/>
        <v/>
      </c>
      <c r="F130" s="44"/>
      <c r="G130" s="18" t="str">
        <f t="shared" si="1057"/>
        <v/>
      </c>
      <c r="H130" s="44"/>
      <c r="I130" s="18" t="str">
        <f t="shared" si="1058"/>
        <v/>
      </c>
      <c r="J130" s="55" t="str">
        <f t="shared" si="1059"/>
        <v/>
      </c>
      <c r="K130" s="43"/>
      <c r="L130" s="18" t="str">
        <f t="shared" si="1060"/>
        <v/>
      </c>
      <c r="M130" s="43"/>
      <c r="N130" s="18" t="str">
        <f t="shared" si="1061"/>
        <v/>
      </c>
      <c r="O130" s="43"/>
      <c r="P130" s="18" t="str">
        <f t="shared" si="1062"/>
        <v/>
      </c>
      <c r="Q130" s="43"/>
      <c r="R130" s="18" t="str">
        <f t="shared" si="1063"/>
        <v/>
      </c>
      <c r="S130" s="43"/>
      <c r="T130" s="18" t="str">
        <f t="shared" si="1064"/>
        <v/>
      </c>
      <c r="U130" s="43"/>
      <c r="V130" s="18" t="str">
        <f t="shared" si="1065"/>
        <v/>
      </c>
      <c r="W130" s="18">
        <f t="shared" si="1066"/>
        <v>0</v>
      </c>
      <c r="X130" s="57" t="str">
        <f t="shared" si="1067"/>
        <v/>
      </c>
      <c r="Y130" s="57">
        <f t="shared" si="1068"/>
        <v>0</v>
      </c>
      <c r="Z130" s="356"/>
      <c r="AA130" s="499"/>
      <c r="AB130" s="500"/>
      <c r="AM130" s="3" t="str">
        <f t="shared" si="1075"/>
        <v/>
      </c>
      <c r="AN130" s="3" t="str">
        <f t="shared" si="1076"/>
        <v/>
      </c>
      <c r="AO130" s="3" t="str">
        <f t="shared" si="1077"/>
        <v/>
      </c>
      <c r="AP130" s="3" t="str">
        <f t="shared" si="1078"/>
        <v/>
      </c>
      <c r="AQ130" s="3" t="str">
        <f t="shared" si="1097"/>
        <v/>
      </c>
      <c r="AR130" s="3" t="str">
        <f t="shared" si="1098"/>
        <v/>
      </c>
      <c r="AS130" s="3" t="str">
        <f t="shared" ref="AS130" si="1101">IF(AND(AQ130="Documentar",AR130="Asignar responsable"),CONCATENATE("- ",AQ130,", ",AR130),IF(AQ130="Documentar",CONCATENATE("- ",AQ130),IF(AR130="Asignar responsable",CONCATENATE("- ",AR130),"")))</f>
        <v/>
      </c>
      <c r="AT130" s="3" t="str">
        <f t="shared" si="1099"/>
        <v/>
      </c>
      <c r="AU130" s="3" t="str">
        <f t="shared" ref="AU130" si="1102">IF(AT130="",AS130,IF(AS130="",CONCATENATE("- ",AT130),CONCATENATE(AS130,", ",AT130)))</f>
        <v/>
      </c>
      <c r="AV130" s="3" t="str">
        <f t="shared" si="1100"/>
        <v/>
      </c>
      <c r="AW130" s="3" t="str">
        <f t="shared" ref="AW130" si="1103">IF(AV130="",AU130,IF(AU130="",CONCATENATE("- ",AV130),CONCATENATE(AU130,", ",AV130)))</f>
        <v/>
      </c>
      <c r="AX130" s="502"/>
      <c r="AY130" s="502"/>
      <c r="AZ130" s="502"/>
      <c r="BA130" s="502"/>
      <c r="BB130" s="3" t="str">
        <f t="shared" si="1087"/>
        <v/>
      </c>
      <c r="BC130" s="3" t="str">
        <f t="shared" si="1088"/>
        <v/>
      </c>
      <c r="BD130" s="3" t="str">
        <f t="shared" si="1089"/>
        <v/>
      </c>
      <c r="BE130" s="3" t="str">
        <f t="shared" si="1090"/>
        <v/>
      </c>
      <c r="BF130" s="3" t="str">
        <f t="shared" si="1091"/>
        <v/>
      </c>
      <c r="BG130" s="3" t="str">
        <f t="shared" si="1092"/>
        <v/>
      </c>
      <c r="BH130" s="3" t="str">
        <f t="shared" si="1093"/>
        <v/>
      </c>
      <c r="BI130" s="3" t="str">
        <f t="shared" si="941"/>
        <v/>
      </c>
      <c r="BJ130" s="3" t="str">
        <f t="shared" si="942"/>
        <v/>
      </c>
      <c r="BK130" s="3" t="str">
        <f t="shared" si="943"/>
        <v/>
      </c>
      <c r="BL130" s="3" t="str">
        <f t="shared" si="1094"/>
        <v/>
      </c>
      <c r="BM130" s="3" t="str">
        <f t="shared" si="1095"/>
        <v/>
      </c>
    </row>
    <row r="131" spans="1:65" ht="36.75" thickTop="1" x14ac:dyDescent="0.2">
      <c r="A131" s="493" t="str">
        <f>IDENTIFICACIÓN!C50</f>
        <v>13C</v>
      </c>
      <c r="B131" s="496" t="str">
        <f>IF(IDENTIFICACIÓN!D50="","",IDENTIFICACIÓN!D50)</f>
        <v>Gestión de Investigación. Vulnerabilidad en el manejo de la información de la actividad investigativa</v>
      </c>
      <c r="C131" s="356">
        <v>1</v>
      </c>
      <c r="D131" s="56" t="s">
        <v>11</v>
      </c>
      <c r="E131" s="240">
        <f t="shared" si="933"/>
        <v>10</v>
      </c>
      <c r="F131" s="44" t="s">
        <v>590</v>
      </c>
      <c r="G131" s="18" t="str">
        <f t="shared" si="1057"/>
        <v/>
      </c>
      <c r="H131" s="44" t="s">
        <v>20</v>
      </c>
      <c r="I131" s="18" t="str">
        <f t="shared" si="1058"/>
        <v/>
      </c>
      <c r="J131" s="55" t="str">
        <f t="shared" si="1059"/>
        <v>Posibilidad</v>
      </c>
      <c r="K131" s="43" t="s">
        <v>11</v>
      </c>
      <c r="L131" s="18">
        <f t="shared" si="1060"/>
        <v>15</v>
      </c>
      <c r="M131" s="43" t="s">
        <v>11</v>
      </c>
      <c r="N131" s="18">
        <f t="shared" si="1061"/>
        <v>30</v>
      </c>
      <c r="O131" s="43" t="s">
        <v>322</v>
      </c>
      <c r="P131" s="18">
        <f t="shared" si="1062"/>
        <v>15</v>
      </c>
      <c r="Q131" s="43" t="s">
        <v>11</v>
      </c>
      <c r="R131" s="18">
        <f t="shared" si="1063"/>
        <v>5</v>
      </c>
      <c r="S131" s="43" t="s">
        <v>11</v>
      </c>
      <c r="T131" s="18">
        <f t="shared" si="1064"/>
        <v>15</v>
      </c>
      <c r="U131" s="43" t="s">
        <v>11</v>
      </c>
      <c r="V131" s="18">
        <f t="shared" si="1065"/>
        <v>10</v>
      </c>
      <c r="W131" s="18">
        <f t="shared" si="1066"/>
        <v>100</v>
      </c>
      <c r="X131" s="57" t="str">
        <f t="shared" si="1067"/>
        <v>100                           Disminuye en Posibilidad</v>
      </c>
      <c r="Y131" s="57">
        <f t="shared" si="1068"/>
        <v>1</v>
      </c>
      <c r="Z131" s="356"/>
      <c r="AA131" s="497">
        <f t="shared" ref="AA131" si="1104">IF(AB131=0,"",(ROUND((SUM(W131:W133)/AB131),0)))</f>
        <v>100</v>
      </c>
      <c r="AB131" s="500">
        <f t="shared" ref="AB131" si="1105">COUNT(T131:T133)</f>
        <v>1</v>
      </c>
      <c r="AC131" s="3">
        <f t="shared" ref="AC131" si="1106">SUM(Y131:Y133)</f>
        <v>1</v>
      </c>
      <c r="AD131" s="3">
        <f>ANALISIS!D52</f>
        <v>5</v>
      </c>
      <c r="AE131" s="3">
        <f t="shared" ref="AE131" si="1107">IF(AND(AD131=5,AC131&gt;1),3,AD131)</f>
        <v>5</v>
      </c>
      <c r="AF131" s="501">
        <f t="shared" si="1073"/>
        <v>5</v>
      </c>
      <c r="AG131" s="355" t="str">
        <f t="shared" si="1074"/>
        <v>EXTREMA</v>
      </c>
      <c r="AH131" s="46"/>
      <c r="AI131" s="46"/>
      <c r="AJ131" s="46"/>
      <c r="AK131" s="46"/>
      <c r="AL131" s="46"/>
      <c r="AM131" s="3" t="str">
        <f t="shared" si="1075"/>
        <v/>
      </c>
      <c r="AN131" s="3" t="str">
        <f t="shared" si="1076"/>
        <v/>
      </c>
      <c r="AO131" s="3" t="str">
        <f t="shared" si="1077"/>
        <v/>
      </c>
      <c r="AP131" s="3" t="str">
        <f t="shared" si="1078"/>
        <v/>
      </c>
      <c r="AQ131" s="3" t="str">
        <f t="shared" ref="AQ131" si="1108">AM131</f>
        <v/>
      </c>
      <c r="AR131" s="3" t="str">
        <f t="shared" ref="AR131" si="1109">AN131</f>
        <v/>
      </c>
      <c r="AT131" s="3" t="str">
        <f t="shared" ref="AT131" si="1110">AO131</f>
        <v/>
      </c>
      <c r="AV131" s="3" t="str">
        <f t="shared" ref="AV131" si="1111">AP131</f>
        <v/>
      </c>
      <c r="AX131" s="502" t="str">
        <f t="shared" ref="AX131" si="1112">IF(AW133="","",CONCATENATE(AW133," (de) el(los) control(es) Efectivo(s) "))</f>
        <v/>
      </c>
      <c r="AY131" s="502" t="str">
        <f t="shared" ref="AY131" si="1113">IF(CONCATENATE(N131:N133)="","",IF(AND(SUM(E131:E133)=10,SUM(N131:N133)&lt;30),"- Replantear control(es) NO efectivo(s) ",IF(AND(SUM(E131:E133)=20,SUM(N131:N133)&lt;60),"- Replantear control(es) NO efectivo(s) ",IF(AND(SUM(E131:E133)=30,SUM(N131:N133)&lt;90),"- Replantear control(es) NO efectivo(s) ",""))))</f>
        <v/>
      </c>
      <c r="AZ131" s="502" t="str">
        <f t="shared" ref="AZ131" si="1114">IF(AND(AE131&gt;1,AE132&gt;1),"- Tomar Acciones Preventivas y Correctivas",IF(AE131&gt;1,"- Tomar Acciones Preventivas",IF(AE132&gt;1,"- Tomar Acciones Correctivas","")))</f>
        <v>- Tomar Acciones Preventivas</v>
      </c>
      <c r="BA131" s="502" t="str">
        <f t="shared" ref="BA131" si="1115">CONCATENATE(AX131,AY131,AZ131)</f>
        <v>- Tomar Acciones Preventivas</v>
      </c>
      <c r="BB131" s="3" t="str">
        <f t="shared" si="1087"/>
        <v>SI</v>
      </c>
      <c r="BC131" s="3" t="str">
        <f t="shared" si="1088"/>
        <v/>
      </c>
      <c r="BD131" s="3" t="str">
        <f t="shared" si="1089"/>
        <v>SI</v>
      </c>
      <c r="BE131" s="3" t="str">
        <f t="shared" si="1090"/>
        <v/>
      </c>
      <c r="BF131" s="3" t="str">
        <f t="shared" si="1091"/>
        <v>SI</v>
      </c>
      <c r="BG131" s="3" t="str">
        <f t="shared" si="1092"/>
        <v/>
      </c>
      <c r="BH131" s="3" t="str">
        <f t="shared" si="1093"/>
        <v>P</v>
      </c>
      <c r="BI131" s="3" t="str">
        <f t="shared" si="941"/>
        <v/>
      </c>
      <c r="BJ131" s="3" t="str">
        <f t="shared" si="942"/>
        <v>A</v>
      </c>
      <c r="BK131" s="3" t="str">
        <f t="shared" si="943"/>
        <v/>
      </c>
      <c r="BL131" s="3" t="str">
        <f t="shared" si="1094"/>
        <v>SI</v>
      </c>
      <c r="BM131" s="3" t="str">
        <f t="shared" si="1095"/>
        <v/>
      </c>
    </row>
    <row r="132" spans="1:65" ht="31.5" x14ac:dyDescent="0.2">
      <c r="A132" s="494"/>
      <c r="B132" s="496"/>
      <c r="C132" s="356">
        <v>2</v>
      </c>
      <c r="D132" s="56"/>
      <c r="E132" s="240" t="str">
        <f t="shared" si="933"/>
        <v/>
      </c>
      <c r="F132" s="44"/>
      <c r="G132" s="18" t="str">
        <f t="shared" si="1057"/>
        <v/>
      </c>
      <c r="H132" s="44"/>
      <c r="I132" s="18" t="str">
        <f t="shared" si="1058"/>
        <v/>
      </c>
      <c r="J132" s="55" t="str">
        <f t="shared" si="1059"/>
        <v/>
      </c>
      <c r="K132" s="43"/>
      <c r="L132" s="18" t="str">
        <f t="shared" si="1060"/>
        <v/>
      </c>
      <c r="M132" s="43"/>
      <c r="N132" s="18" t="str">
        <f t="shared" si="1061"/>
        <v/>
      </c>
      <c r="O132" s="43"/>
      <c r="P132" s="18" t="str">
        <f t="shared" si="1062"/>
        <v/>
      </c>
      <c r="Q132" s="43"/>
      <c r="R132" s="18" t="str">
        <f t="shared" si="1063"/>
        <v/>
      </c>
      <c r="S132" s="43"/>
      <c r="T132" s="18" t="str">
        <f t="shared" si="1064"/>
        <v/>
      </c>
      <c r="U132" s="43"/>
      <c r="V132" s="18" t="str">
        <f t="shared" si="1065"/>
        <v/>
      </c>
      <c r="W132" s="18">
        <f t="shared" si="1066"/>
        <v>0</v>
      </c>
      <c r="X132" s="57" t="str">
        <f t="shared" si="1067"/>
        <v/>
      </c>
      <c r="Y132" s="57">
        <f t="shared" si="1068"/>
        <v>0</v>
      </c>
      <c r="Z132" s="356"/>
      <c r="AA132" s="498"/>
      <c r="AB132" s="500"/>
      <c r="AC132" s="3" t="s">
        <v>352</v>
      </c>
      <c r="AF132" s="501"/>
      <c r="AG132" s="46" t="str">
        <f t="shared" ref="AG132" si="1116">IF(AG131&gt;0,"- Evitar Posibilidad de Ocurrencia- Reducir el Riesgo","")</f>
        <v>- Evitar Posibilidad de Ocurrencia- Reducir el Riesgo</v>
      </c>
      <c r="AH132" s="46"/>
      <c r="AI132" s="46"/>
      <c r="AJ132" s="46"/>
      <c r="AK132" s="46"/>
      <c r="AL132" s="46"/>
      <c r="AM132" s="3" t="str">
        <f t="shared" si="1075"/>
        <v/>
      </c>
      <c r="AN132" s="3" t="str">
        <f t="shared" si="1076"/>
        <v/>
      </c>
      <c r="AO132" s="3" t="str">
        <f t="shared" si="1077"/>
        <v/>
      </c>
      <c r="AP132" s="3" t="str">
        <f t="shared" si="1078"/>
        <v/>
      </c>
      <c r="AQ132" s="3" t="str">
        <f t="shared" ref="AQ132:AQ133" si="1117">IF(AQ131="Documentar",AQ131,AM132)</f>
        <v/>
      </c>
      <c r="AR132" s="3" t="str">
        <f t="shared" ref="AR132:AR133" si="1118">IF(AR131="Asignar responsable",AR131,AN132)</f>
        <v/>
      </c>
      <c r="AT132" s="3" t="str">
        <f t="shared" ref="AT132:AT133" si="1119">IF(AT131="Establecer periodos de seguimiento adecuados",AT131,AO132)</f>
        <v/>
      </c>
      <c r="AV132" s="3" t="str">
        <f t="shared" ref="AV132:AV133" si="1120">IF(AV131="Guardar Evidencias",AV131,AP132)</f>
        <v/>
      </c>
      <c r="AX132" s="502"/>
      <c r="AY132" s="502"/>
      <c r="AZ132" s="502"/>
      <c r="BA132" s="502"/>
      <c r="BB132" s="3" t="str">
        <f t="shared" si="1087"/>
        <v/>
      </c>
      <c r="BC132" s="3" t="str">
        <f t="shared" si="1088"/>
        <v/>
      </c>
      <c r="BD132" s="3" t="str">
        <f t="shared" si="1089"/>
        <v/>
      </c>
      <c r="BE132" s="3" t="str">
        <f t="shared" si="1090"/>
        <v/>
      </c>
      <c r="BF132" s="3" t="str">
        <f t="shared" si="1091"/>
        <v/>
      </c>
      <c r="BG132" s="3" t="str">
        <f t="shared" si="1092"/>
        <v/>
      </c>
      <c r="BH132" s="3" t="str">
        <f t="shared" si="1093"/>
        <v/>
      </c>
      <c r="BI132" s="3" t="str">
        <f t="shared" si="941"/>
        <v/>
      </c>
      <c r="BJ132" s="3" t="str">
        <f t="shared" si="942"/>
        <v/>
      </c>
      <c r="BK132" s="3" t="str">
        <f t="shared" si="943"/>
        <v/>
      </c>
      <c r="BL132" s="3" t="str">
        <f t="shared" si="1094"/>
        <v/>
      </c>
      <c r="BM132" s="3" t="str">
        <f t="shared" si="1095"/>
        <v/>
      </c>
    </row>
    <row r="133" spans="1:65" ht="16.5" thickBot="1" x14ac:dyDescent="0.25">
      <c r="A133" s="495"/>
      <c r="B133" s="496"/>
      <c r="C133" s="356">
        <v>3</v>
      </c>
      <c r="D133" s="56"/>
      <c r="E133" s="240" t="str">
        <f t="shared" si="933"/>
        <v/>
      </c>
      <c r="F133" s="44"/>
      <c r="G133" s="18" t="str">
        <f t="shared" si="1057"/>
        <v/>
      </c>
      <c r="H133" s="44"/>
      <c r="I133" s="18" t="str">
        <f t="shared" si="1058"/>
        <v/>
      </c>
      <c r="J133" s="55" t="str">
        <f t="shared" si="1059"/>
        <v/>
      </c>
      <c r="K133" s="43"/>
      <c r="L133" s="18" t="str">
        <f t="shared" si="1060"/>
        <v/>
      </c>
      <c r="M133" s="43"/>
      <c r="N133" s="18" t="str">
        <f t="shared" si="1061"/>
        <v/>
      </c>
      <c r="O133" s="43"/>
      <c r="P133" s="18" t="str">
        <f t="shared" si="1062"/>
        <v/>
      </c>
      <c r="Q133" s="43"/>
      <c r="R133" s="18" t="str">
        <f t="shared" si="1063"/>
        <v/>
      </c>
      <c r="S133" s="43"/>
      <c r="T133" s="18" t="str">
        <f t="shared" si="1064"/>
        <v/>
      </c>
      <c r="U133" s="43"/>
      <c r="V133" s="18" t="str">
        <f t="shared" si="1065"/>
        <v/>
      </c>
      <c r="W133" s="18">
        <f t="shared" si="1066"/>
        <v>0</v>
      </c>
      <c r="X133" s="57" t="str">
        <f t="shared" si="1067"/>
        <v/>
      </c>
      <c r="Y133" s="57">
        <f t="shared" si="1068"/>
        <v>0</v>
      </c>
      <c r="Z133" s="356"/>
      <c r="AA133" s="499"/>
      <c r="AB133" s="500"/>
      <c r="AM133" s="3" t="str">
        <f t="shared" si="1075"/>
        <v/>
      </c>
      <c r="AN133" s="3" t="str">
        <f t="shared" si="1076"/>
        <v/>
      </c>
      <c r="AO133" s="3" t="str">
        <f t="shared" si="1077"/>
        <v/>
      </c>
      <c r="AP133" s="3" t="str">
        <f t="shared" si="1078"/>
        <v/>
      </c>
      <c r="AQ133" s="3" t="str">
        <f t="shared" si="1117"/>
        <v/>
      </c>
      <c r="AR133" s="3" t="str">
        <f t="shared" si="1118"/>
        <v/>
      </c>
      <c r="AS133" s="3" t="str">
        <f t="shared" ref="AS133" si="1121">IF(AND(AQ133="Documentar",AR133="Asignar responsable"),CONCATENATE("- ",AQ133,", ",AR133),IF(AQ133="Documentar",CONCATENATE("- ",AQ133),IF(AR133="Asignar responsable",CONCATENATE("- ",AR133),"")))</f>
        <v/>
      </c>
      <c r="AT133" s="3" t="str">
        <f t="shared" si="1119"/>
        <v/>
      </c>
      <c r="AU133" s="3" t="str">
        <f t="shared" ref="AU133" si="1122">IF(AT133="",AS133,IF(AS133="",CONCATENATE("- ",AT133),CONCATENATE(AS133,", ",AT133)))</f>
        <v/>
      </c>
      <c r="AV133" s="3" t="str">
        <f t="shared" si="1120"/>
        <v/>
      </c>
      <c r="AW133" s="3" t="str">
        <f t="shared" ref="AW133" si="1123">IF(AV133="",AU133,IF(AU133="",CONCATENATE("- ",AV133),CONCATENATE(AU133,", ",AV133)))</f>
        <v/>
      </c>
      <c r="AX133" s="502"/>
      <c r="AY133" s="502"/>
      <c r="AZ133" s="502"/>
      <c r="BA133" s="502"/>
      <c r="BB133" s="3" t="str">
        <f t="shared" si="1087"/>
        <v/>
      </c>
      <c r="BC133" s="3" t="str">
        <f t="shared" si="1088"/>
        <v/>
      </c>
      <c r="BD133" s="3" t="str">
        <f t="shared" si="1089"/>
        <v/>
      </c>
      <c r="BE133" s="3" t="str">
        <f t="shared" si="1090"/>
        <v/>
      </c>
      <c r="BF133" s="3" t="str">
        <f t="shared" si="1091"/>
        <v/>
      </c>
      <c r="BG133" s="3" t="str">
        <f t="shared" si="1092"/>
        <v/>
      </c>
      <c r="BH133" s="3" t="str">
        <f t="shared" si="1093"/>
        <v/>
      </c>
      <c r="BI133" s="3" t="str">
        <f t="shared" si="941"/>
        <v/>
      </c>
      <c r="BJ133" s="3" t="str">
        <f t="shared" si="942"/>
        <v/>
      </c>
      <c r="BK133" s="3" t="str">
        <f t="shared" si="943"/>
        <v/>
      </c>
      <c r="BL133" s="3" t="str">
        <f t="shared" si="1094"/>
        <v/>
      </c>
      <c r="BM133" s="3" t="str">
        <f t="shared" si="1095"/>
        <v/>
      </c>
    </row>
    <row r="134" spans="1:65" ht="36.75" thickTop="1" x14ac:dyDescent="0.2">
      <c r="A134" s="493" t="str">
        <f>IDENTIFICACIÓN!C51</f>
        <v>14C</v>
      </c>
      <c r="B134" s="496" t="str">
        <f>IF(IDENTIFICACIÓN!D51="","",IDENTIFICACIÓN!D51)</f>
        <v>Gestión de Investigación. Violación de la propiedad Intelectual.</v>
      </c>
      <c r="C134" s="356">
        <v>1</v>
      </c>
      <c r="D134" s="56" t="s">
        <v>11</v>
      </c>
      <c r="E134" s="240">
        <f t="shared" si="933"/>
        <v>10</v>
      </c>
      <c r="F134" s="44" t="s">
        <v>620</v>
      </c>
      <c r="G134" s="18" t="str">
        <f t="shared" si="1057"/>
        <v/>
      </c>
      <c r="H134" s="44" t="s">
        <v>20</v>
      </c>
      <c r="I134" s="18" t="str">
        <f t="shared" si="1058"/>
        <v/>
      </c>
      <c r="J134" s="55" t="str">
        <f t="shared" si="1059"/>
        <v>Posibilidad</v>
      </c>
      <c r="K134" s="43" t="s">
        <v>11</v>
      </c>
      <c r="L134" s="18">
        <f t="shared" si="1060"/>
        <v>15</v>
      </c>
      <c r="M134" s="43" t="s">
        <v>11</v>
      </c>
      <c r="N134" s="18">
        <f t="shared" si="1061"/>
        <v>30</v>
      </c>
      <c r="O134" s="43" t="s">
        <v>323</v>
      </c>
      <c r="P134" s="18">
        <f t="shared" si="1062"/>
        <v>10</v>
      </c>
      <c r="Q134" s="43" t="s">
        <v>11</v>
      </c>
      <c r="R134" s="18">
        <f t="shared" si="1063"/>
        <v>5</v>
      </c>
      <c r="S134" s="43" t="s">
        <v>11</v>
      </c>
      <c r="T134" s="18">
        <f t="shared" si="1064"/>
        <v>15</v>
      </c>
      <c r="U134" s="43" t="s">
        <v>11</v>
      </c>
      <c r="V134" s="18">
        <f t="shared" si="1065"/>
        <v>10</v>
      </c>
      <c r="W134" s="18">
        <f t="shared" si="1066"/>
        <v>95</v>
      </c>
      <c r="X134" s="57" t="str">
        <f t="shared" si="1067"/>
        <v>95                           Disminuye en Posibilidad</v>
      </c>
      <c r="Y134" s="57">
        <f t="shared" si="1068"/>
        <v>1</v>
      </c>
      <c r="Z134" s="356"/>
      <c r="AA134" s="497">
        <f t="shared" ref="AA134" si="1124">IF(AB134=0,"",(ROUND((SUM(W134:W136)/AB134),0)))</f>
        <v>95</v>
      </c>
      <c r="AB134" s="500">
        <f t="shared" ref="AB134" si="1125">COUNT(T134:T136)</f>
        <v>2</v>
      </c>
      <c r="AC134" s="3">
        <f t="shared" ref="AC134" si="1126">SUM(Y134:Y136)</f>
        <v>2</v>
      </c>
      <c r="AD134" s="3">
        <f>ANALISIS!D53</f>
        <v>5</v>
      </c>
      <c r="AE134" s="3">
        <f t="shared" ref="AE134" si="1127">IF(AND(AD134=5,AC134&gt;1),3,AD134)</f>
        <v>3</v>
      </c>
      <c r="AF134" s="501">
        <f t="shared" si="1073"/>
        <v>3</v>
      </c>
      <c r="AG134" s="355" t="str">
        <f t="shared" si="1074"/>
        <v>MODERADA</v>
      </c>
      <c r="AH134" s="46"/>
      <c r="AI134" s="46"/>
      <c r="AJ134" s="46"/>
      <c r="AK134" s="46"/>
      <c r="AL134" s="46"/>
      <c r="AM134" s="3" t="str">
        <f t="shared" si="1075"/>
        <v/>
      </c>
      <c r="AN134" s="3" t="str">
        <f t="shared" si="1076"/>
        <v/>
      </c>
      <c r="AO134" s="3" t="str">
        <f t="shared" si="1077"/>
        <v/>
      </c>
      <c r="AP134" s="3" t="str">
        <f t="shared" si="1078"/>
        <v/>
      </c>
      <c r="AQ134" s="3" t="str">
        <f t="shared" ref="AQ134" si="1128">AM134</f>
        <v/>
      </c>
      <c r="AR134" s="3" t="str">
        <f t="shared" ref="AR134" si="1129">AN134</f>
        <v/>
      </c>
      <c r="AT134" s="3" t="str">
        <f t="shared" ref="AT134" si="1130">AO134</f>
        <v/>
      </c>
      <c r="AV134" s="3" t="str">
        <f t="shared" ref="AV134" si="1131">AP134</f>
        <v/>
      </c>
      <c r="AX134" s="502" t="str">
        <f t="shared" ref="AX134" si="1132">IF(AW136="","",CONCATENATE(AW136," (de) el(los) control(es) Efectivo(s) "))</f>
        <v/>
      </c>
      <c r="AY134" s="502" t="str">
        <f t="shared" ref="AY134" si="1133">IF(CONCATENATE(N134:N136)="","",IF(AND(SUM(E134:E136)=10,SUM(N134:N136)&lt;30),"- Replantear control(es) NO efectivo(s) ",IF(AND(SUM(E134:E136)=20,SUM(N134:N136)&lt;60),"- Replantear control(es) NO efectivo(s) ",IF(AND(SUM(E134:E136)=30,SUM(N134:N136)&lt;90),"- Replantear control(es) NO efectivo(s) ",""))))</f>
        <v/>
      </c>
      <c r="AZ134" s="502" t="str">
        <f t="shared" ref="AZ134" si="1134">IF(AND(AE134&gt;1,AE135&gt;1),"- Tomar Acciones Preventivas y Correctivas",IF(AE134&gt;1,"- Tomar Acciones Preventivas",IF(AE135&gt;1,"- Tomar Acciones Correctivas","")))</f>
        <v>- Tomar Acciones Preventivas</v>
      </c>
      <c r="BA134" s="502" t="str">
        <f t="shared" ref="BA134" si="1135">CONCATENATE(AX134,AY134,AZ134)</f>
        <v>- Tomar Acciones Preventivas</v>
      </c>
      <c r="BB134" s="3" t="str">
        <f t="shared" si="1087"/>
        <v>SI</v>
      </c>
      <c r="BC134" s="3" t="str">
        <f t="shared" si="1088"/>
        <v/>
      </c>
      <c r="BD134" s="3" t="str">
        <f t="shared" si="1089"/>
        <v>SI</v>
      </c>
      <c r="BE134" s="3" t="str">
        <f t="shared" si="1090"/>
        <v/>
      </c>
      <c r="BF134" s="3" t="str">
        <f t="shared" si="1091"/>
        <v>SI</v>
      </c>
      <c r="BG134" s="3" t="str">
        <f t="shared" si="1092"/>
        <v/>
      </c>
      <c r="BH134" s="3" t="str">
        <f t="shared" si="1093"/>
        <v>P</v>
      </c>
      <c r="BI134" s="3" t="str">
        <f t="shared" si="941"/>
        <v/>
      </c>
      <c r="BJ134" s="3" t="str">
        <f t="shared" si="942"/>
        <v>M</v>
      </c>
      <c r="BK134" s="3" t="str">
        <f t="shared" si="943"/>
        <v/>
      </c>
      <c r="BL134" s="3" t="str">
        <f t="shared" si="1094"/>
        <v>SI</v>
      </c>
      <c r="BM134" s="3" t="str">
        <f t="shared" si="1095"/>
        <v/>
      </c>
    </row>
    <row r="135" spans="1:65" ht="36" x14ac:dyDescent="0.2">
      <c r="A135" s="494"/>
      <c r="B135" s="496"/>
      <c r="C135" s="356">
        <v>2</v>
      </c>
      <c r="D135" s="56" t="s">
        <v>11</v>
      </c>
      <c r="E135" s="240">
        <f t="shared" si="933"/>
        <v>10</v>
      </c>
      <c r="F135" s="44" t="s">
        <v>621</v>
      </c>
      <c r="G135" s="18" t="str">
        <f t="shared" si="1057"/>
        <v/>
      </c>
      <c r="H135" s="44" t="s">
        <v>20</v>
      </c>
      <c r="I135" s="18" t="str">
        <f t="shared" si="1058"/>
        <v/>
      </c>
      <c r="J135" s="55" t="str">
        <f t="shared" si="1059"/>
        <v>Posibilidad</v>
      </c>
      <c r="K135" s="43" t="s">
        <v>11</v>
      </c>
      <c r="L135" s="18">
        <f t="shared" si="1060"/>
        <v>15</v>
      </c>
      <c r="M135" s="43" t="s">
        <v>11</v>
      </c>
      <c r="N135" s="18">
        <f t="shared" si="1061"/>
        <v>30</v>
      </c>
      <c r="O135" s="43" t="s">
        <v>323</v>
      </c>
      <c r="P135" s="18">
        <f t="shared" si="1062"/>
        <v>10</v>
      </c>
      <c r="Q135" s="43" t="s">
        <v>11</v>
      </c>
      <c r="R135" s="18">
        <f t="shared" si="1063"/>
        <v>5</v>
      </c>
      <c r="S135" s="43" t="s">
        <v>11</v>
      </c>
      <c r="T135" s="18">
        <f t="shared" si="1064"/>
        <v>15</v>
      </c>
      <c r="U135" s="43" t="s">
        <v>11</v>
      </c>
      <c r="V135" s="18">
        <f t="shared" si="1065"/>
        <v>10</v>
      </c>
      <c r="W135" s="18">
        <f t="shared" si="1066"/>
        <v>95</v>
      </c>
      <c r="X135" s="57" t="str">
        <f t="shared" si="1067"/>
        <v>95                           Disminuye en Posibilidad</v>
      </c>
      <c r="Y135" s="57">
        <f t="shared" si="1068"/>
        <v>1</v>
      </c>
      <c r="Z135" s="356"/>
      <c r="AA135" s="498"/>
      <c r="AB135" s="500"/>
      <c r="AC135" s="3" t="s">
        <v>352</v>
      </c>
      <c r="AF135" s="501"/>
      <c r="AG135" s="46" t="str">
        <f t="shared" ref="AG135" si="1136">IF(AG134&gt;0,"- Evitar Posibilidad de Ocurrencia- Reducir el Riesgo","")</f>
        <v>- Evitar Posibilidad de Ocurrencia- Reducir el Riesgo</v>
      </c>
      <c r="AH135" s="46"/>
      <c r="AI135" s="46"/>
      <c r="AJ135" s="46"/>
      <c r="AK135" s="46"/>
      <c r="AL135" s="46"/>
      <c r="AM135" s="3" t="str">
        <f t="shared" si="1075"/>
        <v/>
      </c>
      <c r="AN135" s="3" t="str">
        <f t="shared" si="1076"/>
        <v/>
      </c>
      <c r="AO135" s="3" t="str">
        <f t="shared" si="1077"/>
        <v/>
      </c>
      <c r="AP135" s="3" t="str">
        <f t="shared" si="1078"/>
        <v/>
      </c>
      <c r="AQ135" s="3" t="str">
        <f t="shared" ref="AQ135:AQ136" si="1137">IF(AQ134="Documentar",AQ134,AM135)</f>
        <v/>
      </c>
      <c r="AR135" s="3" t="str">
        <f t="shared" ref="AR135:AR136" si="1138">IF(AR134="Asignar responsable",AR134,AN135)</f>
        <v/>
      </c>
      <c r="AT135" s="3" t="str">
        <f t="shared" ref="AT135:AT136" si="1139">IF(AT134="Establecer periodos de seguimiento adecuados",AT134,AO135)</f>
        <v/>
      </c>
      <c r="AV135" s="3" t="str">
        <f t="shared" ref="AV135:AV136" si="1140">IF(AV134="Guardar Evidencias",AV134,AP135)</f>
        <v/>
      </c>
      <c r="AX135" s="502"/>
      <c r="AY135" s="502"/>
      <c r="AZ135" s="502"/>
      <c r="BA135" s="502"/>
      <c r="BB135" s="3" t="str">
        <f t="shared" si="1087"/>
        <v>SI</v>
      </c>
      <c r="BC135" s="3" t="str">
        <f t="shared" si="1088"/>
        <v/>
      </c>
      <c r="BD135" s="3" t="str">
        <f t="shared" si="1089"/>
        <v>SI</v>
      </c>
      <c r="BE135" s="3" t="str">
        <f t="shared" si="1090"/>
        <v/>
      </c>
      <c r="BF135" s="3" t="str">
        <f t="shared" si="1091"/>
        <v>SI</v>
      </c>
      <c r="BG135" s="3" t="str">
        <f t="shared" si="1092"/>
        <v/>
      </c>
      <c r="BH135" s="3" t="str">
        <f t="shared" si="1093"/>
        <v>P</v>
      </c>
      <c r="BI135" s="3" t="str">
        <f t="shared" si="941"/>
        <v/>
      </c>
      <c r="BJ135" s="3" t="str">
        <f t="shared" si="942"/>
        <v>M</v>
      </c>
      <c r="BK135" s="3" t="str">
        <f t="shared" si="943"/>
        <v/>
      </c>
      <c r="BL135" s="3" t="str">
        <f t="shared" si="1094"/>
        <v>SI</v>
      </c>
      <c r="BM135" s="3" t="str">
        <f t="shared" si="1095"/>
        <v/>
      </c>
    </row>
    <row r="136" spans="1:65" ht="16.5" thickBot="1" x14ac:dyDescent="0.25">
      <c r="A136" s="495"/>
      <c r="B136" s="496"/>
      <c r="C136" s="356">
        <v>3</v>
      </c>
      <c r="D136" s="56"/>
      <c r="E136" s="240" t="str">
        <f t="shared" si="933"/>
        <v/>
      </c>
      <c r="F136" s="44"/>
      <c r="G136" s="18" t="str">
        <f t="shared" si="1057"/>
        <v/>
      </c>
      <c r="H136" s="44"/>
      <c r="I136" s="18" t="str">
        <f t="shared" si="1058"/>
        <v/>
      </c>
      <c r="J136" s="55" t="str">
        <f t="shared" si="1059"/>
        <v/>
      </c>
      <c r="K136" s="43"/>
      <c r="L136" s="18" t="str">
        <f t="shared" si="1060"/>
        <v/>
      </c>
      <c r="M136" s="43"/>
      <c r="N136" s="18" t="str">
        <f t="shared" si="1061"/>
        <v/>
      </c>
      <c r="O136" s="43"/>
      <c r="P136" s="18" t="str">
        <f t="shared" si="1062"/>
        <v/>
      </c>
      <c r="Q136" s="43"/>
      <c r="R136" s="18" t="str">
        <f t="shared" si="1063"/>
        <v/>
      </c>
      <c r="S136" s="43"/>
      <c r="T136" s="18" t="str">
        <f t="shared" si="1064"/>
        <v/>
      </c>
      <c r="U136" s="43"/>
      <c r="V136" s="18" t="str">
        <f t="shared" si="1065"/>
        <v/>
      </c>
      <c r="W136" s="18">
        <f t="shared" si="1066"/>
        <v>0</v>
      </c>
      <c r="X136" s="57" t="str">
        <f t="shared" si="1067"/>
        <v/>
      </c>
      <c r="Y136" s="57">
        <f t="shared" si="1068"/>
        <v>0</v>
      </c>
      <c r="Z136" s="356"/>
      <c r="AA136" s="499"/>
      <c r="AB136" s="500"/>
      <c r="AM136" s="3" t="str">
        <f t="shared" si="1075"/>
        <v/>
      </c>
      <c r="AN136" s="3" t="str">
        <f t="shared" si="1076"/>
        <v/>
      </c>
      <c r="AO136" s="3" t="str">
        <f t="shared" si="1077"/>
        <v/>
      </c>
      <c r="AP136" s="3" t="str">
        <f t="shared" si="1078"/>
        <v/>
      </c>
      <c r="AQ136" s="3" t="str">
        <f t="shared" si="1137"/>
        <v/>
      </c>
      <c r="AR136" s="3" t="str">
        <f t="shared" si="1138"/>
        <v/>
      </c>
      <c r="AS136" s="3" t="str">
        <f t="shared" ref="AS136" si="1141">IF(AND(AQ136="Documentar",AR136="Asignar responsable"),CONCATENATE("- ",AQ136,", ",AR136),IF(AQ136="Documentar",CONCATENATE("- ",AQ136),IF(AR136="Asignar responsable",CONCATENATE("- ",AR136),"")))</f>
        <v/>
      </c>
      <c r="AT136" s="3" t="str">
        <f t="shared" si="1139"/>
        <v/>
      </c>
      <c r="AU136" s="3" t="str">
        <f t="shared" ref="AU136" si="1142">IF(AT136="",AS136,IF(AS136="",CONCATENATE("- ",AT136),CONCATENATE(AS136,", ",AT136)))</f>
        <v/>
      </c>
      <c r="AV136" s="3" t="str">
        <f t="shared" si="1140"/>
        <v/>
      </c>
      <c r="AW136" s="3" t="str">
        <f t="shared" ref="AW136" si="1143">IF(AV136="",AU136,IF(AU136="",CONCATENATE("- ",AV136),CONCATENATE(AU136,", ",AV136)))</f>
        <v/>
      </c>
      <c r="AX136" s="502"/>
      <c r="AY136" s="502"/>
      <c r="AZ136" s="502"/>
      <c r="BA136" s="502"/>
      <c r="BB136" s="3" t="str">
        <f t="shared" si="1087"/>
        <v/>
      </c>
      <c r="BC136" s="3" t="str">
        <f t="shared" si="1088"/>
        <v/>
      </c>
      <c r="BD136" s="3" t="str">
        <f t="shared" si="1089"/>
        <v/>
      </c>
      <c r="BE136" s="3" t="str">
        <f t="shared" si="1090"/>
        <v/>
      </c>
      <c r="BF136" s="3" t="str">
        <f t="shared" si="1091"/>
        <v/>
      </c>
      <c r="BG136" s="3" t="str">
        <f t="shared" si="1092"/>
        <v/>
      </c>
      <c r="BH136" s="3" t="str">
        <f t="shared" si="1093"/>
        <v/>
      </c>
      <c r="BI136" s="3" t="str">
        <f t="shared" si="941"/>
        <v/>
      </c>
      <c r="BJ136" s="3" t="str">
        <f t="shared" si="942"/>
        <v/>
      </c>
      <c r="BK136" s="3" t="str">
        <f t="shared" si="943"/>
        <v/>
      </c>
      <c r="BL136" s="3" t="str">
        <f t="shared" si="1094"/>
        <v/>
      </c>
      <c r="BM136" s="3" t="str">
        <f t="shared" si="1095"/>
        <v/>
      </c>
    </row>
    <row r="137" spans="1:65" ht="48" thickTop="1" x14ac:dyDescent="0.2">
      <c r="A137" s="493" t="str">
        <f>IDENTIFICACIÓN!C52</f>
        <v>15C</v>
      </c>
      <c r="B137" s="496" t="str">
        <f>IF(IDENTIFICACIÓN!D52="","",IDENTIFICACIÓN!D52)</f>
        <v>Gestión de Extensión y Proyección Social. Desviación o uso indebido de recursos, que impidan la ejecución de los proyectos y actividades misionales de la vicerrectoria de extensión y proyección social</v>
      </c>
      <c r="C137" s="356">
        <v>1</v>
      </c>
      <c r="D137" s="56" t="s">
        <v>11</v>
      </c>
      <c r="E137" s="240">
        <f t="shared" si="933"/>
        <v>10</v>
      </c>
      <c r="F137" s="44" t="s">
        <v>594</v>
      </c>
      <c r="G137" s="18" t="str">
        <f t="shared" si="1057"/>
        <v/>
      </c>
      <c r="H137" s="44" t="s">
        <v>20</v>
      </c>
      <c r="I137" s="18" t="str">
        <f t="shared" si="1058"/>
        <v/>
      </c>
      <c r="J137" s="55" t="str">
        <f t="shared" si="1059"/>
        <v>Posibilidad</v>
      </c>
      <c r="K137" s="43" t="s">
        <v>11</v>
      </c>
      <c r="L137" s="18">
        <f t="shared" si="1060"/>
        <v>15</v>
      </c>
      <c r="M137" s="43" t="s">
        <v>11</v>
      </c>
      <c r="N137" s="18">
        <f t="shared" si="1061"/>
        <v>30</v>
      </c>
      <c r="O137" s="43" t="s">
        <v>323</v>
      </c>
      <c r="P137" s="18">
        <f t="shared" si="1062"/>
        <v>10</v>
      </c>
      <c r="Q137" s="43" t="s">
        <v>11</v>
      </c>
      <c r="R137" s="18">
        <f t="shared" si="1063"/>
        <v>5</v>
      </c>
      <c r="S137" s="43" t="s">
        <v>11</v>
      </c>
      <c r="T137" s="18">
        <f t="shared" si="1064"/>
        <v>15</v>
      </c>
      <c r="U137" s="43" t="s">
        <v>11</v>
      </c>
      <c r="V137" s="18">
        <f t="shared" si="1065"/>
        <v>10</v>
      </c>
      <c r="W137" s="18">
        <f t="shared" si="1066"/>
        <v>95</v>
      </c>
      <c r="X137" s="57" t="str">
        <f t="shared" si="1067"/>
        <v>95                           Disminuye en Posibilidad</v>
      </c>
      <c r="Y137" s="57">
        <f t="shared" si="1068"/>
        <v>1</v>
      </c>
      <c r="Z137" s="356"/>
      <c r="AA137" s="497">
        <f t="shared" ref="AA137" si="1144">IF(AB137=0,"",(ROUND((SUM(W137:W139)/AB137),0)))</f>
        <v>95</v>
      </c>
      <c r="AB137" s="500">
        <f t="shared" ref="AB137" si="1145">COUNT(T137:T139)</f>
        <v>3</v>
      </c>
      <c r="AC137" s="3">
        <f t="shared" ref="AC137" si="1146">SUM(Y137:Y139)</f>
        <v>3</v>
      </c>
      <c r="AD137" s="3">
        <f>ANALISIS!D54</f>
        <v>3</v>
      </c>
      <c r="AE137" s="3">
        <f t="shared" ref="AE137" si="1147">IF(AND(AD137=5,AC137&gt;1),3,AD137)</f>
        <v>3</v>
      </c>
      <c r="AF137" s="501">
        <f t="shared" si="1073"/>
        <v>3</v>
      </c>
      <c r="AG137" s="355" t="str">
        <f t="shared" si="1074"/>
        <v>MODERADA</v>
      </c>
      <c r="AH137" s="46"/>
      <c r="AI137" s="46"/>
      <c r="AJ137" s="46"/>
      <c r="AK137" s="46"/>
      <c r="AL137" s="46"/>
      <c r="AM137" s="3" t="str">
        <f t="shared" si="1075"/>
        <v/>
      </c>
      <c r="AN137" s="3" t="str">
        <f t="shared" si="1076"/>
        <v/>
      </c>
      <c r="AO137" s="3" t="str">
        <f t="shared" si="1077"/>
        <v/>
      </c>
      <c r="AP137" s="3" t="str">
        <f t="shared" si="1078"/>
        <v/>
      </c>
      <c r="AQ137" s="3" t="str">
        <f t="shared" ref="AQ137" si="1148">AM137</f>
        <v/>
      </c>
      <c r="AR137" s="3" t="str">
        <f t="shared" ref="AR137" si="1149">AN137</f>
        <v/>
      </c>
      <c r="AT137" s="3" t="str">
        <f t="shared" ref="AT137" si="1150">AO137</f>
        <v/>
      </c>
      <c r="AV137" s="3" t="str">
        <f t="shared" ref="AV137" si="1151">AP137</f>
        <v/>
      </c>
      <c r="AX137" s="502" t="str">
        <f t="shared" ref="AX137" si="1152">IF(AW139="","",CONCATENATE(AW139," (de) el(los) control(es) Efectivo(s) "))</f>
        <v/>
      </c>
      <c r="AY137" s="502" t="str">
        <f t="shared" ref="AY137" si="1153">IF(CONCATENATE(N137:N139)="","",IF(AND(SUM(E137:E139)=10,SUM(N137:N139)&lt;30),"- Replantear control(es) NO efectivo(s) ",IF(AND(SUM(E137:E139)=20,SUM(N137:N139)&lt;60),"- Replantear control(es) NO efectivo(s) ",IF(AND(SUM(E137:E139)=30,SUM(N137:N139)&lt;90),"- Replantear control(es) NO efectivo(s) ",""))))</f>
        <v/>
      </c>
      <c r="AZ137" s="502" t="str">
        <f t="shared" ref="AZ137" si="1154">IF(AND(AE137&gt;1,AE138&gt;1),"- Tomar Acciones Preventivas y Correctivas",IF(AE137&gt;1,"- Tomar Acciones Preventivas",IF(AE138&gt;1,"- Tomar Acciones Correctivas","")))</f>
        <v>- Tomar Acciones Preventivas</v>
      </c>
      <c r="BA137" s="502" t="str">
        <f t="shared" ref="BA137" si="1155">CONCATENATE(AX137,AY137,AZ137)</f>
        <v>- Tomar Acciones Preventivas</v>
      </c>
      <c r="BB137" s="3" t="str">
        <f t="shared" si="1087"/>
        <v>SI</v>
      </c>
      <c r="BC137" s="3" t="str">
        <f t="shared" si="1088"/>
        <v/>
      </c>
      <c r="BD137" s="3" t="str">
        <f t="shared" si="1089"/>
        <v>SI</v>
      </c>
      <c r="BE137" s="3" t="str">
        <f t="shared" si="1090"/>
        <v/>
      </c>
      <c r="BF137" s="3" t="str">
        <f t="shared" si="1091"/>
        <v>SI</v>
      </c>
      <c r="BG137" s="3" t="str">
        <f t="shared" si="1092"/>
        <v/>
      </c>
      <c r="BH137" s="3" t="str">
        <f t="shared" si="1093"/>
        <v>P</v>
      </c>
      <c r="BI137" s="3" t="str">
        <f t="shared" si="941"/>
        <v/>
      </c>
      <c r="BJ137" s="3" t="str">
        <f t="shared" si="942"/>
        <v>M</v>
      </c>
      <c r="BK137" s="3" t="str">
        <f t="shared" si="943"/>
        <v/>
      </c>
      <c r="BL137" s="3" t="str">
        <f t="shared" si="1094"/>
        <v>SI</v>
      </c>
      <c r="BM137" s="3" t="str">
        <f t="shared" si="1095"/>
        <v/>
      </c>
    </row>
    <row r="138" spans="1:65" ht="36" x14ac:dyDescent="0.2">
      <c r="A138" s="494"/>
      <c r="B138" s="496"/>
      <c r="C138" s="356">
        <v>2</v>
      </c>
      <c r="D138" s="56" t="s">
        <v>11</v>
      </c>
      <c r="E138" s="240">
        <f t="shared" si="933"/>
        <v>10</v>
      </c>
      <c r="F138" s="44" t="s">
        <v>595</v>
      </c>
      <c r="G138" s="18" t="str">
        <f t="shared" si="1057"/>
        <v/>
      </c>
      <c r="H138" s="44" t="s">
        <v>20</v>
      </c>
      <c r="I138" s="18" t="str">
        <f t="shared" si="1058"/>
        <v/>
      </c>
      <c r="J138" s="55" t="str">
        <f t="shared" si="1059"/>
        <v>Posibilidad</v>
      </c>
      <c r="K138" s="43" t="s">
        <v>11</v>
      </c>
      <c r="L138" s="18">
        <f t="shared" si="1060"/>
        <v>15</v>
      </c>
      <c r="M138" s="43" t="s">
        <v>11</v>
      </c>
      <c r="N138" s="18">
        <f t="shared" si="1061"/>
        <v>30</v>
      </c>
      <c r="O138" s="43" t="s">
        <v>323</v>
      </c>
      <c r="P138" s="18">
        <f t="shared" si="1062"/>
        <v>10</v>
      </c>
      <c r="Q138" s="43" t="s">
        <v>11</v>
      </c>
      <c r="R138" s="18">
        <f t="shared" si="1063"/>
        <v>5</v>
      </c>
      <c r="S138" s="43" t="s">
        <v>11</v>
      </c>
      <c r="T138" s="18">
        <f t="shared" si="1064"/>
        <v>15</v>
      </c>
      <c r="U138" s="43" t="s">
        <v>11</v>
      </c>
      <c r="V138" s="18">
        <f t="shared" si="1065"/>
        <v>10</v>
      </c>
      <c r="W138" s="18">
        <f t="shared" si="1066"/>
        <v>95</v>
      </c>
      <c r="X138" s="57" t="str">
        <f t="shared" si="1067"/>
        <v>95                           Disminuye en Posibilidad</v>
      </c>
      <c r="Y138" s="57">
        <f t="shared" si="1068"/>
        <v>1</v>
      </c>
      <c r="Z138" s="356"/>
      <c r="AA138" s="498"/>
      <c r="AB138" s="500"/>
      <c r="AC138" s="3" t="s">
        <v>352</v>
      </c>
      <c r="AF138" s="501"/>
      <c r="AG138" s="46" t="str">
        <f t="shared" ref="AG138" si="1156">IF(AG137&gt;0,"- Evitar Posibilidad de Ocurrencia- Reducir el Riesgo","")</f>
        <v>- Evitar Posibilidad de Ocurrencia- Reducir el Riesgo</v>
      </c>
      <c r="AH138" s="46"/>
      <c r="AI138" s="46"/>
      <c r="AJ138" s="46"/>
      <c r="AK138" s="46"/>
      <c r="AL138" s="46"/>
      <c r="AM138" s="3" t="str">
        <f t="shared" si="1075"/>
        <v/>
      </c>
      <c r="AN138" s="3" t="str">
        <f t="shared" si="1076"/>
        <v/>
      </c>
      <c r="AO138" s="3" t="str">
        <f t="shared" si="1077"/>
        <v/>
      </c>
      <c r="AP138" s="3" t="str">
        <f t="shared" si="1078"/>
        <v/>
      </c>
      <c r="AQ138" s="3" t="str">
        <f t="shared" ref="AQ138:AQ139" si="1157">IF(AQ137="Documentar",AQ137,AM138)</f>
        <v/>
      </c>
      <c r="AR138" s="3" t="str">
        <f t="shared" ref="AR138:AR139" si="1158">IF(AR137="Asignar responsable",AR137,AN138)</f>
        <v/>
      </c>
      <c r="AT138" s="3" t="str">
        <f t="shared" ref="AT138:AT139" si="1159">IF(AT137="Establecer periodos de seguimiento adecuados",AT137,AO138)</f>
        <v/>
      </c>
      <c r="AV138" s="3" t="str">
        <f t="shared" ref="AV138:AV139" si="1160">IF(AV137="Guardar Evidencias",AV137,AP138)</f>
        <v/>
      </c>
      <c r="AX138" s="502"/>
      <c r="AY138" s="502"/>
      <c r="AZ138" s="502"/>
      <c r="BA138" s="502"/>
      <c r="BB138" s="3" t="str">
        <f t="shared" si="1087"/>
        <v>SI</v>
      </c>
      <c r="BC138" s="3" t="str">
        <f t="shared" si="1088"/>
        <v/>
      </c>
      <c r="BD138" s="3" t="str">
        <f t="shared" si="1089"/>
        <v>SI</v>
      </c>
      <c r="BE138" s="3" t="str">
        <f t="shared" si="1090"/>
        <v/>
      </c>
      <c r="BF138" s="3" t="str">
        <f t="shared" si="1091"/>
        <v>SI</v>
      </c>
      <c r="BG138" s="3" t="str">
        <f t="shared" si="1092"/>
        <v/>
      </c>
      <c r="BH138" s="3" t="str">
        <f t="shared" si="1093"/>
        <v>P</v>
      </c>
      <c r="BI138" s="3" t="str">
        <f t="shared" si="941"/>
        <v/>
      </c>
      <c r="BJ138" s="3" t="str">
        <f t="shared" si="942"/>
        <v>M</v>
      </c>
      <c r="BK138" s="3" t="str">
        <f t="shared" si="943"/>
        <v/>
      </c>
      <c r="BL138" s="3" t="str">
        <f t="shared" si="1094"/>
        <v>SI</v>
      </c>
      <c r="BM138" s="3" t="str">
        <f t="shared" si="1095"/>
        <v/>
      </c>
    </row>
    <row r="139" spans="1:65" ht="63.75" thickBot="1" x14ac:dyDescent="0.25">
      <c r="A139" s="495"/>
      <c r="B139" s="496"/>
      <c r="C139" s="356">
        <v>3</v>
      </c>
      <c r="D139" s="56" t="s">
        <v>11</v>
      </c>
      <c r="E139" s="240">
        <f t="shared" si="933"/>
        <v>10</v>
      </c>
      <c r="F139" s="44" t="s">
        <v>622</v>
      </c>
      <c r="G139" s="18" t="str">
        <f t="shared" si="1057"/>
        <v/>
      </c>
      <c r="H139" s="44" t="s">
        <v>20</v>
      </c>
      <c r="I139" s="18" t="str">
        <f t="shared" si="1058"/>
        <v/>
      </c>
      <c r="J139" s="55" t="str">
        <f t="shared" si="1059"/>
        <v>Posibilidad</v>
      </c>
      <c r="K139" s="43" t="s">
        <v>11</v>
      </c>
      <c r="L139" s="18">
        <f t="shared" si="1060"/>
        <v>15</v>
      </c>
      <c r="M139" s="43" t="s">
        <v>11</v>
      </c>
      <c r="N139" s="18">
        <f t="shared" si="1061"/>
        <v>30</v>
      </c>
      <c r="O139" s="43" t="s">
        <v>323</v>
      </c>
      <c r="P139" s="18">
        <f t="shared" si="1062"/>
        <v>10</v>
      </c>
      <c r="Q139" s="43" t="s">
        <v>11</v>
      </c>
      <c r="R139" s="18">
        <f t="shared" si="1063"/>
        <v>5</v>
      </c>
      <c r="S139" s="43" t="s">
        <v>11</v>
      </c>
      <c r="T139" s="18">
        <f t="shared" si="1064"/>
        <v>15</v>
      </c>
      <c r="U139" s="43" t="s">
        <v>11</v>
      </c>
      <c r="V139" s="18">
        <f t="shared" si="1065"/>
        <v>10</v>
      </c>
      <c r="W139" s="18">
        <f t="shared" si="1066"/>
        <v>95</v>
      </c>
      <c r="X139" s="57" t="str">
        <f t="shared" si="1067"/>
        <v>95                           Disminuye en Posibilidad</v>
      </c>
      <c r="Y139" s="57">
        <f t="shared" si="1068"/>
        <v>1</v>
      </c>
      <c r="Z139" s="356"/>
      <c r="AA139" s="499"/>
      <c r="AB139" s="500"/>
      <c r="AM139" s="3" t="str">
        <f t="shared" si="1075"/>
        <v/>
      </c>
      <c r="AN139" s="3" t="str">
        <f t="shared" si="1076"/>
        <v/>
      </c>
      <c r="AO139" s="3" t="str">
        <f t="shared" si="1077"/>
        <v/>
      </c>
      <c r="AP139" s="3" t="str">
        <f t="shared" si="1078"/>
        <v/>
      </c>
      <c r="AQ139" s="3" t="str">
        <f t="shared" si="1157"/>
        <v/>
      </c>
      <c r="AR139" s="3" t="str">
        <f t="shared" si="1158"/>
        <v/>
      </c>
      <c r="AS139" s="3" t="str">
        <f t="shared" ref="AS139" si="1161">IF(AND(AQ139="Documentar",AR139="Asignar responsable"),CONCATENATE("- ",AQ139,", ",AR139),IF(AQ139="Documentar",CONCATENATE("- ",AQ139),IF(AR139="Asignar responsable",CONCATENATE("- ",AR139),"")))</f>
        <v/>
      </c>
      <c r="AT139" s="3" t="str">
        <f t="shared" si="1159"/>
        <v/>
      </c>
      <c r="AU139" s="3" t="str">
        <f t="shared" ref="AU139" si="1162">IF(AT139="",AS139,IF(AS139="",CONCATENATE("- ",AT139),CONCATENATE(AS139,", ",AT139)))</f>
        <v/>
      </c>
      <c r="AV139" s="3" t="str">
        <f t="shared" si="1160"/>
        <v/>
      </c>
      <c r="AW139" s="3" t="str">
        <f t="shared" ref="AW139" si="1163">IF(AV139="",AU139,IF(AU139="",CONCATENATE("- ",AV139),CONCATENATE(AU139,", ",AV139)))</f>
        <v/>
      </c>
      <c r="AX139" s="502"/>
      <c r="AY139" s="502"/>
      <c r="AZ139" s="502"/>
      <c r="BA139" s="502"/>
      <c r="BB139" s="3" t="str">
        <f t="shared" si="1087"/>
        <v>SI</v>
      </c>
      <c r="BC139" s="3" t="str">
        <f t="shared" si="1088"/>
        <v/>
      </c>
      <c r="BD139" s="3" t="str">
        <f t="shared" si="1089"/>
        <v>SI</v>
      </c>
      <c r="BE139" s="3" t="str">
        <f t="shared" si="1090"/>
        <v/>
      </c>
      <c r="BF139" s="3" t="str">
        <f t="shared" si="1091"/>
        <v>SI</v>
      </c>
      <c r="BG139" s="3" t="str">
        <f t="shared" si="1092"/>
        <v/>
      </c>
      <c r="BH139" s="3" t="str">
        <f t="shared" si="1093"/>
        <v>P</v>
      </c>
      <c r="BI139" s="3" t="str">
        <f t="shared" si="941"/>
        <v/>
      </c>
      <c r="BJ139" s="3" t="str">
        <f t="shared" si="942"/>
        <v>M</v>
      </c>
      <c r="BK139" s="3" t="str">
        <f t="shared" si="943"/>
        <v/>
      </c>
      <c r="BL139" s="3" t="str">
        <f t="shared" si="1094"/>
        <v>SI</v>
      </c>
      <c r="BM139" s="3" t="str">
        <f t="shared" si="1095"/>
        <v/>
      </c>
    </row>
    <row r="140" spans="1:65" ht="36.75" thickTop="1" x14ac:dyDescent="0.2">
      <c r="A140" s="493" t="str">
        <f>IDENTIFICACIÓN!C53</f>
        <v>16C</v>
      </c>
      <c r="B140" s="496" t="str">
        <f>IF(IDENTIFICACIÓN!D53="","",IDENTIFICACIÓN!D53)</f>
        <v xml:space="preserve">Gestión de Extensión y Proyección Social. Concentración de la información en una persona. </v>
      </c>
      <c r="C140" s="356">
        <v>1</v>
      </c>
      <c r="D140" s="56" t="s">
        <v>11</v>
      </c>
      <c r="E140" s="240">
        <f t="shared" si="933"/>
        <v>10</v>
      </c>
      <c r="F140" s="44" t="s">
        <v>623</v>
      </c>
      <c r="G140" s="18" t="str">
        <f t="shared" si="1057"/>
        <v/>
      </c>
      <c r="H140" s="44" t="s">
        <v>20</v>
      </c>
      <c r="I140" s="18" t="str">
        <f t="shared" si="1058"/>
        <v/>
      </c>
      <c r="J140" s="55" t="str">
        <f t="shared" si="1059"/>
        <v>Posibilidad</v>
      </c>
      <c r="K140" s="43" t="s">
        <v>11</v>
      </c>
      <c r="L140" s="18">
        <f t="shared" si="1060"/>
        <v>15</v>
      </c>
      <c r="M140" s="43" t="s">
        <v>11</v>
      </c>
      <c r="N140" s="18">
        <f t="shared" si="1061"/>
        <v>30</v>
      </c>
      <c r="O140" s="43" t="s">
        <v>323</v>
      </c>
      <c r="P140" s="18">
        <f t="shared" si="1062"/>
        <v>10</v>
      </c>
      <c r="Q140" s="43" t="s">
        <v>11</v>
      </c>
      <c r="R140" s="18">
        <f t="shared" si="1063"/>
        <v>5</v>
      </c>
      <c r="S140" s="43" t="s">
        <v>11</v>
      </c>
      <c r="T140" s="18">
        <f t="shared" si="1064"/>
        <v>15</v>
      </c>
      <c r="U140" s="43" t="s">
        <v>11</v>
      </c>
      <c r="V140" s="18">
        <f t="shared" si="1065"/>
        <v>10</v>
      </c>
      <c r="W140" s="18">
        <f t="shared" si="1066"/>
        <v>95</v>
      </c>
      <c r="X140" s="57" t="str">
        <f t="shared" si="1067"/>
        <v>95                           Disminuye en Posibilidad</v>
      </c>
      <c r="Y140" s="57">
        <f t="shared" si="1068"/>
        <v>1</v>
      </c>
      <c r="Z140" s="356"/>
      <c r="AA140" s="497">
        <f t="shared" ref="AA140" si="1164">IF(AB140=0,"",(ROUND((SUM(W140:W142)/AB140),0)))</f>
        <v>95</v>
      </c>
      <c r="AB140" s="500">
        <f t="shared" ref="AB140" si="1165">COUNT(T140:T142)</f>
        <v>2</v>
      </c>
      <c r="AC140" s="3">
        <f t="shared" ref="AC140" si="1166">SUM(Y140:Y142)</f>
        <v>2</v>
      </c>
      <c r="AD140" s="3">
        <f>ANALISIS!D55</f>
        <v>3</v>
      </c>
      <c r="AE140" s="3">
        <f t="shared" ref="AE140" si="1167">IF(AND(AD140=5,AC140&gt;1),3,AD140)</f>
        <v>3</v>
      </c>
      <c r="AF140" s="501">
        <f t="shared" si="1073"/>
        <v>3</v>
      </c>
      <c r="AG140" s="355" t="str">
        <f t="shared" si="1074"/>
        <v>MODERADA</v>
      </c>
      <c r="AH140" s="46"/>
      <c r="AI140" s="46"/>
      <c r="AJ140" s="46"/>
      <c r="AK140" s="46"/>
      <c r="AL140" s="46"/>
      <c r="AM140" s="3" t="str">
        <f t="shared" si="1075"/>
        <v/>
      </c>
      <c r="AN140" s="3" t="str">
        <f t="shared" si="1076"/>
        <v/>
      </c>
      <c r="AO140" s="3" t="str">
        <f t="shared" si="1077"/>
        <v/>
      </c>
      <c r="AP140" s="3" t="str">
        <f t="shared" si="1078"/>
        <v/>
      </c>
      <c r="AQ140" s="3" t="str">
        <f t="shared" ref="AQ140" si="1168">AM140</f>
        <v/>
      </c>
      <c r="AR140" s="3" t="str">
        <f t="shared" ref="AR140" si="1169">AN140</f>
        <v/>
      </c>
      <c r="AT140" s="3" t="str">
        <f t="shared" ref="AT140" si="1170">AO140</f>
        <v/>
      </c>
      <c r="AV140" s="3" t="str">
        <f t="shared" ref="AV140" si="1171">AP140</f>
        <v/>
      </c>
      <c r="AX140" s="502" t="str">
        <f t="shared" ref="AX140" si="1172">IF(AW142="","",CONCATENATE(AW142," (de) el(los) control(es) Efectivo(s) "))</f>
        <v/>
      </c>
      <c r="AY140" s="502" t="str">
        <f t="shared" ref="AY140" si="1173">IF(CONCATENATE(N140:N142)="","",IF(AND(SUM(E140:E142)=10,SUM(N140:N142)&lt;30),"- Replantear control(es) NO efectivo(s) ",IF(AND(SUM(E140:E142)=20,SUM(N140:N142)&lt;60),"- Replantear control(es) NO efectivo(s) ",IF(AND(SUM(E140:E142)=30,SUM(N140:N142)&lt;90),"- Replantear control(es) NO efectivo(s) ",""))))</f>
        <v/>
      </c>
      <c r="AZ140" s="502" t="str">
        <f t="shared" ref="AZ140" si="1174">IF(AND(AE140&gt;1,AE141&gt;1),"- Tomar Acciones Preventivas y Correctivas",IF(AE140&gt;1,"- Tomar Acciones Preventivas",IF(AE141&gt;1,"- Tomar Acciones Correctivas","")))</f>
        <v>- Tomar Acciones Preventivas</v>
      </c>
      <c r="BA140" s="502" t="str">
        <f t="shared" ref="BA140" si="1175">CONCATENATE(AX140,AY140,AZ140)</f>
        <v>- Tomar Acciones Preventivas</v>
      </c>
      <c r="BB140" s="3" t="str">
        <f t="shared" si="1087"/>
        <v>SI</v>
      </c>
      <c r="BC140" s="3" t="str">
        <f t="shared" si="1088"/>
        <v/>
      </c>
      <c r="BD140" s="3" t="str">
        <f t="shared" si="1089"/>
        <v>SI</v>
      </c>
      <c r="BE140" s="3" t="str">
        <f t="shared" si="1090"/>
        <v/>
      </c>
      <c r="BF140" s="3" t="str">
        <f t="shared" si="1091"/>
        <v>SI</v>
      </c>
      <c r="BG140" s="3" t="str">
        <f t="shared" si="1092"/>
        <v/>
      </c>
      <c r="BH140" s="3" t="str">
        <f t="shared" si="1093"/>
        <v>P</v>
      </c>
      <c r="BI140" s="3" t="str">
        <f t="shared" si="941"/>
        <v/>
      </c>
      <c r="BJ140" s="3" t="str">
        <f t="shared" si="942"/>
        <v>M</v>
      </c>
      <c r="BK140" s="3" t="str">
        <f t="shared" si="943"/>
        <v/>
      </c>
      <c r="BL140" s="3" t="str">
        <f t="shared" si="1094"/>
        <v>SI</v>
      </c>
      <c r="BM140" s="3" t="str">
        <f t="shared" si="1095"/>
        <v/>
      </c>
    </row>
    <row r="141" spans="1:65" ht="36" x14ac:dyDescent="0.2">
      <c r="A141" s="494"/>
      <c r="B141" s="496"/>
      <c r="C141" s="356">
        <v>2</v>
      </c>
      <c r="D141" s="56" t="s">
        <v>11</v>
      </c>
      <c r="E141" s="240">
        <f t="shared" si="933"/>
        <v>10</v>
      </c>
      <c r="F141" s="44" t="s">
        <v>624</v>
      </c>
      <c r="G141" s="18" t="str">
        <f t="shared" si="1057"/>
        <v/>
      </c>
      <c r="H141" s="44" t="s">
        <v>20</v>
      </c>
      <c r="I141" s="18" t="str">
        <f t="shared" si="1058"/>
        <v/>
      </c>
      <c r="J141" s="55" t="str">
        <f t="shared" si="1059"/>
        <v>Posibilidad</v>
      </c>
      <c r="K141" s="43" t="s">
        <v>11</v>
      </c>
      <c r="L141" s="18">
        <f t="shared" si="1060"/>
        <v>15</v>
      </c>
      <c r="M141" s="43" t="s">
        <v>11</v>
      </c>
      <c r="N141" s="18">
        <f t="shared" si="1061"/>
        <v>30</v>
      </c>
      <c r="O141" s="43" t="s">
        <v>323</v>
      </c>
      <c r="P141" s="18">
        <f t="shared" si="1062"/>
        <v>10</v>
      </c>
      <c r="Q141" s="43" t="s">
        <v>11</v>
      </c>
      <c r="R141" s="18">
        <f t="shared" si="1063"/>
        <v>5</v>
      </c>
      <c r="S141" s="43" t="s">
        <v>11</v>
      </c>
      <c r="T141" s="18">
        <f t="shared" si="1064"/>
        <v>15</v>
      </c>
      <c r="U141" s="43" t="s">
        <v>11</v>
      </c>
      <c r="V141" s="18">
        <f t="shared" si="1065"/>
        <v>10</v>
      </c>
      <c r="W141" s="18">
        <f t="shared" si="1066"/>
        <v>95</v>
      </c>
      <c r="X141" s="57" t="str">
        <f t="shared" si="1067"/>
        <v>95                           Disminuye en Posibilidad</v>
      </c>
      <c r="Y141" s="57">
        <f t="shared" si="1068"/>
        <v>1</v>
      </c>
      <c r="Z141" s="356"/>
      <c r="AA141" s="498"/>
      <c r="AB141" s="500"/>
      <c r="AC141" s="3" t="s">
        <v>352</v>
      </c>
      <c r="AF141" s="501"/>
      <c r="AG141" s="46" t="str">
        <f t="shared" ref="AG141" si="1176">IF(AG140&gt;0,"- Evitar Posibilidad de Ocurrencia- Reducir el Riesgo","")</f>
        <v>- Evitar Posibilidad de Ocurrencia- Reducir el Riesgo</v>
      </c>
      <c r="AH141" s="46"/>
      <c r="AI141" s="46"/>
      <c r="AJ141" s="46"/>
      <c r="AK141" s="46"/>
      <c r="AL141" s="46"/>
      <c r="AM141" s="3" t="str">
        <f t="shared" si="1075"/>
        <v/>
      </c>
      <c r="AN141" s="3" t="str">
        <f t="shared" si="1076"/>
        <v/>
      </c>
      <c r="AO141" s="3" t="str">
        <f t="shared" si="1077"/>
        <v/>
      </c>
      <c r="AP141" s="3" t="str">
        <f t="shared" si="1078"/>
        <v/>
      </c>
      <c r="AQ141" s="3" t="str">
        <f t="shared" ref="AQ141:AQ142" si="1177">IF(AQ140="Documentar",AQ140,AM141)</f>
        <v/>
      </c>
      <c r="AR141" s="3" t="str">
        <f t="shared" ref="AR141:AR142" si="1178">IF(AR140="Asignar responsable",AR140,AN141)</f>
        <v/>
      </c>
      <c r="AT141" s="3" t="str">
        <f t="shared" ref="AT141:AT142" si="1179">IF(AT140="Establecer periodos de seguimiento adecuados",AT140,AO141)</f>
        <v/>
      </c>
      <c r="AV141" s="3" t="str">
        <f t="shared" ref="AV141:AV142" si="1180">IF(AV140="Guardar Evidencias",AV140,AP141)</f>
        <v/>
      </c>
      <c r="AX141" s="502"/>
      <c r="AY141" s="502"/>
      <c r="AZ141" s="502"/>
      <c r="BA141" s="502"/>
      <c r="BB141" s="3" t="str">
        <f t="shared" si="1087"/>
        <v>SI</v>
      </c>
      <c r="BC141" s="3" t="str">
        <f t="shared" si="1088"/>
        <v/>
      </c>
      <c r="BD141" s="3" t="str">
        <f t="shared" si="1089"/>
        <v>SI</v>
      </c>
      <c r="BE141" s="3" t="str">
        <f t="shared" si="1090"/>
        <v/>
      </c>
      <c r="BF141" s="3" t="str">
        <f t="shared" si="1091"/>
        <v>SI</v>
      </c>
      <c r="BG141" s="3" t="str">
        <f t="shared" si="1092"/>
        <v/>
      </c>
      <c r="BH141" s="3" t="str">
        <f t="shared" si="1093"/>
        <v>P</v>
      </c>
      <c r="BI141" s="3" t="str">
        <f t="shared" si="941"/>
        <v/>
      </c>
      <c r="BJ141" s="3" t="str">
        <f t="shared" si="942"/>
        <v>M</v>
      </c>
      <c r="BK141" s="3" t="str">
        <f t="shared" si="943"/>
        <v/>
      </c>
      <c r="BL141" s="3" t="str">
        <f t="shared" si="1094"/>
        <v>SI</v>
      </c>
      <c r="BM141" s="3" t="str">
        <f t="shared" si="1095"/>
        <v/>
      </c>
    </row>
    <row r="142" spans="1:65" ht="16.5" thickBot="1" x14ac:dyDescent="0.25">
      <c r="A142" s="495"/>
      <c r="B142" s="496"/>
      <c r="C142" s="356">
        <v>3</v>
      </c>
      <c r="D142" s="56"/>
      <c r="E142" s="240" t="str">
        <f t="shared" si="933"/>
        <v/>
      </c>
      <c r="F142" s="44"/>
      <c r="G142" s="18" t="str">
        <f t="shared" si="1057"/>
        <v/>
      </c>
      <c r="H142" s="44"/>
      <c r="I142" s="18" t="str">
        <f t="shared" si="1058"/>
        <v/>
      </c>
      <c r="J142" s="55" t="str">
        <f t="shared" si="1059"/>
        <v/>
      </c>
      <c r="K142" s="43"/>
      <c r="L142" s="18" t="str">
        <f t="shared" si="1060"/>
        <v/>
      </c>
      <c r="M142" s="43"/>
      <c r="N142" s="18" t="str">
        <f t="shared" si="1061"/>
        <v/>
      </c>
      <c r="O142" s="43"/>
      <c r="P142" s="18" t="str">
        <f t="shared" si="1062"/>
        <v/>
      </c>
      <c r="Q142" s="43"/>
      <c r="R142" s="18" t="str">
        <f t="shared" si="1063"/>
        <v/>
      </c>
      <c r="S142" s="43"/>
      <c r="T142" s="18" t="str">
        <f t="shared" si="1064"/>
        <v/>
      </c>
      <c r="U142" s="43"/>
      <c r="V142" s="18" t="str">
        <f t="shared" si="1065"/>
        <v/>
      </c>
      <c r="W142" s="18">
        <f t="shared" si="1066"/>
        <v>0</v>
      </c>
      <c r="X142" s="57" t="str">
        <f t="shared" si="1067"/>
        <v/>
      </c>
      <c r="Y142" s="57">
        <f t="shared" si="1068"/>
        <v>0</v>
      </c>
      <c r="Z142" s="356"/>
      <c r="AA142" s="499"/>
      <c r="AB142" s="500"/>
      <c r="AM142" s="3" t="str">
        <f t="shared" si="1075"/>
        <v/>
      </c>
      <c r="AN142" s="3" t="str">
        <f t="shared" si="1076"/>
        <v/>
      </c>
      <c r="AO142" s="3" t="str">
        <f t="shared" si="1077"/>
        <v/>
      </c>
      <c r="AP142" s="3" t="str">
        <f t="shared" si="1078"/>
        <v/>
      </c>
      <c r="AQ142" s="3" t="str">
        <f t="shared" si="1177"/>
        <v/>
      </c>
      <c r="AR142" s="3" t="str">
        <f t="shared" si="1178"/>
        <v/>
      </c>
      <c r="AS142" s="3" t="str">
        <f t="shared" ref="AS142" si="1181">IF(AND(AQ142="Documentar",AR142="Asignar responsable"),CONCATENATE("- ",AQ142,", ",AR142),IF(AQ142="Documentar",CONCATENATE("- ",AQ142),IF(AR142="Asignar responsable",CONCATENATE("- ",AR142),"")))</f>
        <v/>
      </c>
      <c r="AT142" s="3" t="str">
        <f t="shared" si="1179"/>
        <v/>
      </c>
      <c r="AU142" s="3" t="str">
        <f t="shared" ref="AU142" si="1182">IF(AT142="",AS142,IF(AS142="",CONCATENATE("- ",AT142),CONCATENATE(AS142,", ",AT142)))</f>
        <v/>
      </c>
      <c r="AV142" s="3" t="str">
        <f t="shared" si="1180"/>
        <v/>
      </c>
      <c r="AW142" s="3" t="str">
        <f t="shared" ref="AW142" si="1183">IF(AV142="",AU142,IF(AU142="",CONCATENATE("- ",AV142),CONCATENATE(AU142,", ",AV142)))</f>
        <v/>
      </c>
      <c r="AX142" s="502"/>
      <c r="AY142" s="502"/>
      <c r="AZ142" s="502"/>
      <c r="BA142" s="502"/>
      <c r="BB142" s="3" t="str">
        <f t="shared" si="1087"/>
        <v/>
      </c>
      <c r="BC142" s="3" t="str">
        <f t="shared" si="1088"/>
        <v/>
      </c>
      <c r="BD142" s="3" t="str">
        <f t="shared" si="1089"/>
        <v/>
      </c>
      <c r="BE142" s="3" t="str">
        <f t="shared" si="1090"/>
        <v/>
      </c>
      <c r="BF142" s="3" t="str">
        <f t="shared" si="1091"/>
        <v/>
      </c>
      <c r="BG142" s="3" t="str">
        <f t="shared" si="1092"/>
        <v/>
      </c>
      <c r="BH142" s="3" t="str">
        <f t="shared" si="1093"/>
        <v/>
      </c>
      <c r="BI142" s="3" t="str">
        <f t="shared" si="941"/>
        <v/>
      </c>
      <c r="BJ142" s="3" t="str">
        <f t="shared" si="942"/>
        <v/>
      </c>
      <c r="BK142" s="3" t="str">
        <f t="shared" si="943"/>
        <v/>
      </c>
      <c r="BL142" s="3" t="str">
        <f t="shared" si="1094"/>
        <v/>
      </c>
      <c r="BM142" s="3" t="str">
        <f t="shared" si="1095"/>
        <v/>
      </c>
    </row>
    <row r="143" spans="1:65" ht="48" thickTop="1" x14ac:dyDescent="0.2">
      <c r="A143" s="493" t="str">
        <f>IDENTIFICACIÓN!C54</f>
        <v>17C</v>
      </c>
      <c r="B143" s="496" t="str">
        <f>IF(IDENTIFICACIÓN!D54="","",IDENTIFICACIÓN!D54)</f>
        <v xml:space="preserve">Gestión de Extensión y Proyección Social. Inadecuada ejecución de los recursos asignados </v>
      </c>
      <c r="C143" s="356">
        <v>1</v>
      </c>
      <c r="D143" s="56" t="s">
        <v>11</v>
      </c>
      <c r="E143" s="240">
        <f t="shared" si="933"/>
        <v>10</v>
      </c>
      <c r="F143" s="44" t="s">
        <v>594</v>
      </c>
      <c r="G143" s="18" t="str">
        <f t="shared" si="1057"/>
        <v/>
      </c>
      <c r="H143" s="44" t="s">
        <v>20</v>
      </c>
      <c r="I143" s="18" t="str">
        <f t="shared" si="1058"/>
        <v/>
      </c>
      <c r="J143" s="55" t="str">
        <f t="shared" si="1059"/>
        <v>Posibilidad</v>
      </c>
      <c r="K143" s="43" t="s">
        <v>11</v>
      </c>
      <c r="L143" s="18">
        <f t="shared" si="1060"/>
        <v>15</v>
      </c>
      <c r="M143" s="43" t="s">
        <v>11</v>
      </c>
      <c r="N143" s="18">
        <f t="shared" si="1061"/>
        <v>30</v>
      </c>
      <c r="O143" s="43" t="s">
        <v>323</v>
      </c>
      <c r="P143" s="18">
        <f t="shared" si="1062"/>
        <v>10</v>
      </c>
      <c r="Q143" s="43" t="s">
        <v>11</v>
      </c>
      <c r="R143" s="18">
        <f t="shared" si="1063"/>
        <v>5</v>
      </c>
      <c r="S143" s="43" t="s">
        <v>11</v>
      </c>
      <c r="T143" s="18">
        <f t="shared" si="1064"/>
        <v>15</v>
      </c>
      <c r="U143" s="43" t="s">
        <v>11</v>
      </c>
      <c r="V143" s="18">
        <f t="shared" si="1065"/>
        <v>10</v>
      </c>
      <c r="W143" s="18">
        <f t="shared" si="1066"/>
        <v>95</v>
      </c>
      <c r="X143" s="57" t="str">
        <f t="shared" si="1067"/>
        <v>95                           Disminuye en Posibilidad</v>
      </c>
      <c r="Y143" s="57">
        <f t="shared" si="1068"/>
        <v>1</v>
      </c>
      <c r="Z143" s="356"/>
      <c r="AA143" s="497">
        <f t="shared" ref="AA143" si="1184">IF(AB143=0,"",(ROUND((SUM(W143:W145)/AB143),0)))</f>
        <v>95</v>
      </c>
      <c r="AB143" s="500">
        <f t="shared" ref="AB143" si="1185">COUNT(T143:T145)</f>
        <v>2</v>
      </c>
      <c r="AC143" s="3">
        <f t="shared" ref="AC143" si="1186">SUM(Y143:Y145)</f>
        <v>2</v>
      </c>
      <c r="AD143" s="3">
        <f>ANALISIS!D56</f>
        <v>3</v>
      </c>
      <c r="AE143" s="3">
        <f t="shared" ref="AE143" si="1187">IF(AND(AD143=5,AC143&gt;1),3,AD143)</f>
        <v>3</v>
      </c>
      <c r="AF143" s="501">
        <f t="shared" si="1073"/>
        <v>3</v>
      </c>
      <c r="AG143" s="355" t="str">
        <f t="shared" si="1074"/>
        <v>MODERADA</v>
      </c>
      <c r="AH143" s="46"/>
      <c r="AI143" s="46"/>
      <c r="AJ143" s="46"/>
      <c r="AK143" s="46"/>
      <c r="AL143" s="46"/>
      <c r="AM143" s="3" t="str">
        <f t="shared" si="1075"/>
        <v/>
      </c>
      <c r="AN143" s="3" t="str">
        <f t="shared" si="1076"/>
        <v/>
      </c>
      <c r="AO143" s="3" t="str">
        <f t="shared" si="1077"/>
        <v/>
      </c>
      <c r="AP143" s="3" t="str">
        <f t="shared" si="1078"/>
        <v/>
      </c>
      <c r="AQ143" s="3" t="str">
        <f t="shared" ref="AQ143" si="1188">AM143</f>
        <v/>
      </c>
      <c r="AR143" s="3" t="str">
        <f t="shared" ref="AR143" si="1189">AN143</f>
        <v/>
      </c>
      <c r="AT143" s="3" t="str">
        <f t="shared" ref="AT143" si="1190">AO143</f>
        <v/>
      </c>
      <c r="AV143" s="3" t="str">
        <f t="shared" ref="AV143" si="1191">AP143</f>
        <v/>
      </c>
      <c r="AX143" s="502" t="str">
        <f t="shared" ref="AX143" si="1192">IF(AW145="","",CONCATENATE(AW145," (de) el(los) control(es) Efectivo(s) "))</f>
        <v/>
      </c>
      <c r="AY143" s="502" t="str">
        <f t="shared" ref="AY143" si="1193">IF(CONCATENATE(N143:N145)="","",IF(AND(SUM(E143:E145)=10,SUM(N143:N145)&lt;30),"- Replantear control(es) NO efectivo(s) ",IF(AND(SUM(E143:E145)=20,SUM(N143:N145)&lt;60),"- Replantear control(es) NO efectivo(s) ",IF(AND(SUM(E143:E145)=30,SUM(N143:N145)&lt;90),"- Replantear control(es) NO efectivo(s) ",""))))</f>
        <v/>
      </c>
      <c r="AZ143" s="502" t="str">
        <f t="shared" ref="AZ143" si="1194">IF(AND(AE143&gt;1,AE144&gt;1),"- Tomar Acciones Preventivas y Correctivas",IF(AE143&gt;1,"- Tomar Acciones Preventivas",IF(AE144&gt;1,"- Tomar Acciones Correctivas","")))</f>
        <v>- Tomar Acciones Preventivas</v>
      </c>
      <c r="BA143" s="502" t="str">
        <f t="shared" ref="BA143" si="1195">CONCATENATE(AX143,AY143,AZ143)</f>
        <v>- Tomar Acciones Preventivas</v>
      </c>
      <c r="BB143" s="3" t="str">
        <f t="shared" si="1087"/>
        <v>SI</v>
      </c>
      <c r="BC143" s="3" t="str">
        <f t="shared" si="1088"/>
        <v/>
      </c>
      <c r="BD143" s="3" t="str">
        <f t="shared" si="1089"/>
        <v>SI</v>
      </c>
      <c r="BE143" s="3" t="str">
        <f t="shared" si="1090"/>
        <v/>
      </c>
      <c r="BF143" s="3" t="str">
        <f t="shared" si="1091"/>
        <v>SI</v>
      </c>
      <c r="BG143" s="3" t="str">
        <f t="shared" si="1092"/>
        <v/>
      </c>
      <c r="BH143" s="3" t="str">
        <f t="shared" si="1093"/>
        <v>P</v>
      </c>
      <c r="BI143" s="3" t="str">
        <f t="shared" si="941"/>
        <v/>
      </c>
      <c r="BJ143" s="3" t="str">
        <f t="shared" si="942"/>
        <v>M</v>
      </c>
      <c r="BK143" s="3" t="str">
        <f t="shared" si="943"/>
        <v/>
      </c>
      <c r="BL143" s="3" t="str">
        <f t="shared" si="1094"/>
        <v>SI</v>
      </c>
      <c r="BM143" s="3" t="str">
        <f t="shared" si="1095"/>
        <v/>
      </c>
    </row>
    <row r="144" spans="1:65" ht="36" x14ac:dyDescent="0.2">
      <c r="A144" s="494"/>
      <c r="B144" s="496"/>
      <c r="C144" s="356">
        <v>2</v>
      </c>
      <c r="D144" s="56" t="s">
        <v>11</v>
      </c>
      <c r="E144" s="240">
        <f t="shared" si="933"/>
        <v>10</v>
      </c>
      <c r="F144" s="44" t="s">
        <v>595</v>
      </c>
      <c r="G144" s="18" t="str">
        <f t="shared" si="1057"/>
        <v/>
      </c>
      <c r="H144" s="44" t="s">
        <v>20</v>
      </c>
      <c r="I144" s="18" t="str">
        <f t="shared" si="1058"/>
        <v/>
      </c>
      <c r="J144" s="55" t="str">
        <f t="shared" si="1059"/>
        <v>Posibilidad</v>
      </c>
      <c r="K144" s="43" t="s">
        <v>11</v>
      </c>
      <c r="L144" s="18">
        <f t="shared" si="1060"/>
        <v>15</v>
      </c>
      <c r="M144" s="43" t="s">
        <v>11</v>
      </c>
      <c r="N144" s="18">
        <f t="shared" si="1061"/>
        <v>30</v>
      </c>
      <c r="O144" s="43" t="s">
        <v>323</v>
      </c>
      <c r="P144" s="18">
        <f t="shared" si="1062"/>
        <v>10</v>
      </c>
      <c r="Q144" s="43" t="s">
        <v>11</v>
      </c>
      <c r="R144" s="18">
        <f t="shared" si="1063"/>
        <v>5</v>
      </c>
      <c r="S144" s="43" t="s">
        <v>11</v>
      </c>
      <c r="T144" s="18">
        <f t="shared" si="1064"/>
        <v>15</v>
      </c>
      <c r="U144" s="43" t="s">
        <v>11</v>
      </c>
      <c r="V144" s="18">
        <f t="shared" si="1065"/>
        <v>10</v>
      </c>
      <c r="W144" s="18">
        <f t="shared" si="1066"/>
        <v>95</v>
      </c>
      <c r="X144" s="57" t="str">
        <f t="shared" si="1067"/>
        <v>95                           Disminuye en Posibilidad</v>
      </c>
      <c r="Y144" s="57">
        <f t="shared" si="1068"/>
        <v>1</v>
      </c>
      <c r="Z144" s="356"/>
      <c r="AA144" s="498"/>
      <c r="AB144" s="500"/>
      <c r="AC144" s="3" t="s">
        <v>352</v>
      </c>
      <c r="AF144" s="501"/>
      <c r="AG144" s="46" t="str">
        <f t="shared" ref="AG144" si="1196">IF(AG143&gt;0,"- Evitar Posibilidad de Ocurrencia- Reducir el Riesgo","")</f>
        <v>- Evitar Posibilidad de Ocurrencia- Reducir el Riesgo</v>
      </c>
      <c r="AH144" s="46"/>
      <c r="AI144" s="46"/>
      <c r="AJ144" s="46"/>
      <c r="AK144" s="46"/>
      <c r="AL144" s="46"/>
      <c r="AM144" s="3" t="str">
        <f t="shared" si="1075"/>
        <v/>
      </c>
      <c r="AN144" s="3" t="str">
        <f t="shared" si="1076"/>
        <v/>
      </c>
      <c r="AO144" s="3" t="str">
        <f t="shared" si="1077"/>
        <v/>
      </c>
      <c r="AP144" s="3" t="str">
        <f t="shared" si="1078"/>
        <v/>
      </c>
      <c r="AQ144" s="3" t="str">
        <f t="shared" ref="AQ144:AQ145" si="1197">IF(AQ143="Documentar",AQ143,AM144)</f>
        <v/>
      </c>
      <c r="AR144" s="3" t="str">
        <f t="shared" ref="AR144:AR145" si="1198">IF(AR143="Asignar responsable",AR143,AN144)</f>
        <v/>
      </c>
      <c r="AT144" s="3" t="str">
        <f t="shared" ref="AT144:AT145" si="1199">IF(AT143="Establecer periodos de seguimiento adecuados",AT143,AO144)</f>
        <v/>
      </c>
      <c r="AV144" s="3" t="str">
        <f t="shared" ref="AV144:AV145" si="1200">IF(AV143="Guardar Evidencias",AV143,AP144)</f>
        <v/>
      </c>
      <c r="AX144" s="502"/>
      <c r="AY144" s="502"/>
      <c r="AZ144" s="502"/>
      <c r="BA144" s="502"/>
      <c r="BB144" s="3" t="str">
        <f t="shared" si="1087"/>
        <v>SI</v>
      </c>
      <c r="BC144" s="3" t="str">
        <f t="shared" si="1088"/>
        <v/>
      </c>
      <c r="BD144" s="3" t="str">
        <f t="shared" si="1089"/>
        <v>SI</v>
      </c>
      <c r="BE144" s="3" t="str">
        <f t="shared" si="1090"/>
        <v/>
      </c>
      <c r="BF144" s="3" t="str">
        <f t="shared" si="1091"/>
        <v>SI</v>
      </c>
      <c r="BG144" s="3" t="str">
        <f t="shared" si="1092"/>
        <v/>
      </c>
      <c r="BH144" s="3" t="str">
        <f t="shared" si="1093"/>
        <v>P</v>
      </c>
      <c r="BI144" s="3" t="str">
        <f t="shared" si="941"/>
        <v/>
      </c>
      <c r="BJ144" s="3" t="str">
        <f t="shared" si="942"/>
        <v>M</v>
      </c>
      <c r="BK144" s="3" t="str">
        <f t="shared" si="943"/>
        <v/>
      </c>
      <c r="BL144" s="3" t="str">
        <f t="shared" si="1094"/>
        <v>SI</v>
      </c>
      <c r="BM144" s="3" t="str">
        <f t="shared" si="1095"/>
        <v/>
      </c>
    </row>
    <row r="145" spans="1:65" ht="16.5" thickBot="1" x14ac:dyDescent="0.25">
      <c r="A145" s="495"/>
      <c r="B145" s="496"/>
      <c r="C145" s="356">
        <v>3</v>
      </c>
      <c r="D145" s="56"/>
      <c r="E145" s="240" t="str">
        <f t="shared" si="933"/>
        <v/>
      </c>
      <c r="F145" s="44"/>
      <c r="G145" s="18" t="str">
        <f t="shared" si="1057"/>
        <v/>
      </c>
      <c r="H145" s="44"/>
      <c r="I145" s="18" t="str">
        <f t="shared" si="1058"/>
        <v/>
      </c>
      <c r="J145" s="55" t="str">
        <f t="shared" si="1059"/>
        <v/>
      </c>
      <c r="K145" s="43"/>
      <c r="L145" s="18" t="str">
        <f t="shared" si="1060"/>
        <v/>
      </c>
      <c r="M145" s="43"/>
      <c r="N145" s="18" t="str">
        <f t="shared" si="1061"/>
        <v/>
      </c>
      <c r="O145" s="43"/>
      <c r="P145" s="18" t="str">
        <f t="shared" si="1062"/>
        <v/>
      </c>
      <c r="Q145" s="43"/>
      <c r="R145" s="18" t="str">
        <f t="shared" si="1063"/>
        <v/>
      </c>
      <c r="S145" s="43"/>
      <c r="T145" s="18" t="str">
        <f t="shared" si="1064"/>
        <v/>
      </c>
      <c r="U145" s="43"/>
      <c r="V145" s="18" t="str">
        <f t="shared" si="1065"/>
        <v/>
      </c>
      <c r="W145" s="18">
        <f t="shared" si="1066"/>
        <v>0</v>
      </c>
      <c r="X145" s="57" t="str">
        <f t="shared" si="1067"/>
        <v/>
      </c>
      <c r="Y145" s="57">
        <f t="shared" si="1068"/>
        <v>0</v>
      </c>
      <c r="Z145" s="356"/>
      <c r="AA145" s="499"/>
      <c r="AB145" s="500"/>
      <c r="AM145" s="3" t="str">
        <f t="shared" si="1075"/>
        <v/>
      </c>
      <c r="AN145" s="3" t="str">
        <f t="shared" si="1076"/>
        <v/>
      </c>
      <c r="AO145" s="3" t="str">
        <f t="shared" si="1077"/>
        <v/>
      </c>
      <c r="AP145" s="3" t="str">
        <f t="shared" si="1078"/>
        <v/>
      </c>
      <c r="AQ145" s="3" t="str">
        <f t="shared" si="1197"/>
        <v/>
      </c>
      <c r="AR145" s="3" t="str">
        <f t="shared" si="1198"/>
        <v/>
      </c>
      <c r="AS145" s="3" t="str">
        <f t="shared" ref="AS145" si="1201">IF(AND(AQ145="Documentar",AR145="Asignar responsable"),CONCATENATE("- ",AQ145,", ",AR145),IF(AQ145="Documentar",CONCATENATE("- ",AQ145),IF(AR145="Asignar responsable",CONCATENATE("- ",AR145),"")))</f>
        <v/>
      </c>
      <c r="AT145" s="3" t="str">
        <f t="shared" si="1199"/>
        <v/>
      </c>
      <c r="AU145" s="3" t="str">
        <f t="shared" ref="AU145" si="1202">IF(AT145="",AS145,IF(AS145="",CONCATENATE("- ",AT145),CONCATENATE(AS145,", ",AT145)))</f>
        <v/>
      </c>
      <c r="AV145" s="3" t="str">
        <f t="shared" si="1200"/>
        <v/>
      </c>
      <c r="AW145" s="3" t="str">
        <f t="shared" ref="AW145" si="1203">IF(AV145="",AU145,IF(AU145="",CONCATENATE("- ",AV145),CONCATENATE(AU145,", ",AV145)))</f>
        <v/>
      </c>
      <c r="AX145" s="502"/>
      <c r="AY145" s="502"/>
      <c r="AZ145" s="502"/>
      <c r="BA145" s="502"/>
      <c r="BB145" s="3" t="str">
        <f t="shared" si="1087"/>
        <v/>
      </c>
      <c r="BC145" s="3" t="str">
        <f t="shared" si="1088"/>
        <v/>
      </c>
      <c r="BD145" s="3" t="str">
        <f t="shared" si="1089"/>
        <v/>
      </c>
      <c r="BE145" s="3" t="str">
        <f t="shared" si="1090"/>
        <v/>
      </c>
      <c r="BF145" s="3" t="str">
        <f t="shared" si="1091"/>
        <v/>
      </c>
      <c r="BG145" s="3" t="str">
        <f t="shared" si="1092"/>
        <v/>
      </c>
      <c r="BH145" s="3" t="str">
        <f t="shared" si="1093"/>
        <v/>
      </c>
      <c r="BI145" s="3" t="str">
        <f t="shared" si="941"/>
        <v/>
      </c>
      <c r="BJ145" s="3" t="str">
        <f t="shared" si="942"/>
        <v/>
      </c>
      <c r="BK145" s="3" t="str">
        <f t="shared" si="943"/>
        <v/>
      </c>
      <c r="BL145" s="3" t="str">
        <f t="shared" si="1094"/>
        <v/>
      </c>
      <c r="BM145" s="3" t="str">
        <f t="shared" si="1095"/>
        <v/>
      </c>
    </row>
    <row r="146" spans="1:65" ht="48" thickTop="1" x14ac:dyDescent="0.2">
      <c r="A146" s="493" t="str">
        <f>IDENTIFICACIÓN!C55</f>
        <v>18C</v>
      </c>
      <c r="B146" s="496" t="str">
        <f>IF(IDENTIFICACIÓN!D55="","",IDENTIFICACIÓN!D55)</f>
        <v>Gestión de Extensión y Proyección Social. Extralimitación de funciones.</v>
      </c>
      <c r="C146" s="356">
        <v>1</v>
      </c>
      <c r="D146" s="56" t="s">
        <v>11</v>
      </c>
      <c r="E146" s="240">
        <f t="shared" si="933"/>
        <v>10</v>
      </c>
      <c r="F146" s="44" t="s">
        <v>594</v>
      </c>
      <c r="G146" s="18" t="str">
        <f t="shared" si="1057"/>
        <v/>
      </c>
      <c r="H146" s="44" t="s">
        <v>20</v>
      </c>
      <c r="I146" s="18" t="str">
        <f t="shared" si="1058"/>
        <v/>
      </c>
      <c r="J146" s="55" t="str">
        <f t="shared" si="1059"/>
        <v>Posibilidad</v>
      </c>
      <c r="K146" s="43" t="s">
        <v>11</v>
      </c>
      <c r="L146" s="18">
        <f t="shared" si="1060"/>
        <v>15</v>
      </c>
      <c r="M146" s="43" t="s">
        <v>11</v>
      </c>
      <c r="N146" s="18">
        <f t="shared" si="1061"/>
        <v>30</v>
      </c>
      <c r="O146" s="43" t="s">
        <v>323</v>
      </c>
      <c r="P146" s="18">
        <f t="shared" si="1062"/>
        <v>10</v>
      </c>
      <c r="Q146" s="43" t="s">
        <v>11</v>
      </c>
      <c r="R146" s="18">
        <f t="shared" si="1063"/>
        <v>5</v>
      </c>
      <c r="S146" s="43" t="s">
        <v>11</v>
      </c>
      <c r="T146" s="18">
        <f t="shared" si="1064"/>
        <v>15</v>
      </c>
      <c r="U146" s="43" t="s">
        <v>11</v>
      </c>
      <c r="V146" s="18">
        <f t="shared" si="1065"/>
        <v>10</v>
      </c>
      <c r="W146" s="18">
        <f t="shared" si="1066"/>
        <v>95</v>
      </c>
      <c r="X146" s="57" t="str">
        <f t="shared" si="1067"/>
        <v>95                           Disminuye en Posibilidad</v>
      </c>
      <c r="Y146" s="57">
        <f t="shared" si="1068"/>
        <v>1</v>
      </c>
      <c r="Z146" s="356"/>
      <c r="AA146" s="497">
        <f t="shared" ref="AA146" si="1204">IF(AB146=0,"",(ROUND((SUM(W146:W148)/AB146),0)))</f>
        <v>95</v>
      </c>
      <c r="AB146" s="500">
        <f t="shared" ref="AB146" si="1205">COUNT(T146:T148)</f>
        <v>2</v>
      </c>
      <c r="AC146" s="3">
        <f t="shared" ref="AC146" si="1206">SUM(Y146:Y148)</f>
        <v>2</v>
      </c>
      <c r="AD146" s="3">
        <f>ANALISIS!D57</f>
        <v>3</v>
      </c>
      <c r="AE146" s="3">
        <f t="shared" ref="AE146" si="1207">IF(AND(AD146=5,AC146&gt;1),3,AD146)</f>
        <v>3</v>
      </c>
      <c r="AF146" s="501">
        <f t="shared" si="1073"/>
        <v>3</v>
      </c>
      <c r="AG146" s="355" t="str">
        <f t="shared" si="1074"/>
        <v>MODERADA</v>
      </c>
      <c r="AH146" s="46"/>
      <c r="AI146" s="46"/>
      <c r="AJ146" s="46"/>
      <c r="AK146" s="46"/>
      <c r="AL146" s="46"/>
      <c r="AM146" s="3" t="str">
        <f t="shared" si="1075"/>
        <v/>
      </c>
      <c r="AN146" s="3" t="str">
        <f t="shared" si="1076"/>
        <v/>
      </c>
      <c r="AO146" s="3" t="str">
        <f t="shared" si="1077"/>
        <v/>
      </c>
      <c r="AP146" s="3" t="str">
        <f t="shared" si="1078"/>
        <v/>
      </c>
      <c r="AQ146" s="3" t="str">
        <f t="shared" ref="AQ146" si="1208">AM146</f>
        <v/>
      </c>
      <c r="AR146" s="3" t="str">
        <f t="shared" ref="AR146" si="1209">AN146</f>
        <v/>
      </c>
      <c r="AT146" s="3" t="str">
        <f t="shared" ref="AT146" si="1210">AO146</f>
        <v/>
      </c>
      <c r="AV146" s="3" t="str">
        <f t="shared" ref="AV146" si="1211">AP146</f>
        <v/>
      </c>
      <c r="AX146" s="502" t="str">
        <f t="shared" ref="AX146" si="1212">IF(AW148="","",CONCATENATE(AW148," (de) el(los) control(es) Efectivo(s) "))</f>
        <v/>
      </c>
      <c r="AY146" s="502" t="str">
        <f t="shared" ref="AY146" si="1213">IF(CONCATENATE(N146:N148)="","",IF(AND(SUM(E146:E148)=10,SUM(N146:N148)&lt;30),"- Replantear control(es) NO efectivo(s) ",IF(AND(SUM(E146:E148)=20,SUM(N146:N148)&lt;60),"- Replantear control(es) NO efectivo(s) ",IF(AND(SUM(E146:E148)=30,SUM(N146:N148)&lt;90),"- Replantear control(es) NO efectivo(s) ",""))))</f>
        <v/>
      </c>
      <c r="AZ146" s="502" t="str">
        <f t="shared" ref="AZ146" si="1214">IF(AND(AE146&gt;1,AE147&gt;1),"- Tomar Acciones Preventivas y Correctivas",IF(AE146&gt;1,"- Tomar Acciones Preventivas",IF(AE147&gt;1,"- Tomar Acciones Correctivas","")))</f>
        <v>- Tomar Acciones Preventivas</v>
      </c>
      <c r="BA146" s="502" t="str">
        <f t="shared" ref="BA146" si="1215">CONCATENATE(AX146,AY146,AZ146)</f>
        <v>- Tomar Acciones Preventivas</v>
      </c>
      <c r="BB146" s="3" t="str">
        <f t="shared" si="1087"/>
        <v>SI</v>
      </c>
      <c r="BC146" s="3" t="str">
        <f t="shared" si="1088"/>
        <v/>
      </c>
      <c r="BD146" s="3" t="str">
        <f t="shared" si="1089"/>
        <v>SI</v>
      </c>
      <c r="BE146" s="3" t="str">
        <f t="shared" si="1090"/>
        <v/>
      </c>
      <c r="BF146" s="3" t="str">
        <f t="shared" si="1091"/>
        <v>SI</v>
      </c>
      <c r="BG146" s="3" t="str">
        <f t="shared" si="1092"/>
        <v/>
      </c>
      <c r="BH146" s="3" t="str">
        <f t="shared" si="1093"/>
        <v>P</v>
      </c>
      <c r="BI146" s="3" t="str">
        <f t="shared" si="941"/>
        <v/>
      </c>
      <c r="BJ146" s="3" t="str">
        <f t="shared" si="942"/>
        <v>M</v>
      </c>
      <c r="BK146" s="3" t="str">
        <f t="shared" si="943"/>
        <v/>
      </c>
      <c r="BL146" s="3" t="str">
        <f t="shared" si="1094"/>
        <v>SI</v>
      </c>
      <c r="BM146" s="3" t="str">
        <f t="shared" si="1095"/>
        <v/>
      </c>
    </row>
    <row r="147" spans="1:65" ht="36" x14ac:dyDescent="0.2">
      <c r="A147" s="494"/>
      <c r="B147" s="496"/>
      <c r="C147" s="356">
        <v>2</v>
      </c>
      <c r="D147" s="56" t="s">
        <v>11</v>
      </c>
      <c r="E147" s="240">
        <f t="shared" si="933"/>
        <v>10</v>
      </c>
      <c r="F147" s="44" t="s">
        <v>595</v>
      </c>
      <c r="G147" s="18" t="str">
        <f t="shared" si="1057"/>
        <v/>
      </c>
      <c r="H147" s="44" t="s">
        <v>20</v>
      </c>
      <c r="I147" s="18" t="str">
        <f t="shared" si="1058"/>
        <v/>
      </c>
      <c r="J147" s="55" t="str">
        <f t="shared" si="1059"/>
        <v>Posibilidad</v>
      </c>
      <c r="K147" s="43" t="s">
        <v>11</v>
      </c>
      <c r="L147" s="18">
        <f t="shared" si="1060"/>
        <v>15</v>
      </c>
      <c r="M147" s="43" t="s">
        <v>11</v>
      </c>
      <c r="N147" s="18">
        <f t="shared" si="1061"/>
        <v>30</v>
      </c>
      <c r="O147" s="43" t="s">
        <v>323</v>
      </c>
      <c r="P147" s="18">
        <f t="shared" si="1062"/>
        <v>10</v>
      </c>
      <c r="Q147" s="43" t="s">
        <v>11</v>
      </c>
      <c r="R147" s="18">
        <f t="shared" si="1063"/>
        <v>5</v>
      </c>
      <c r="S147" s="43" t="s">
        <v>11</v>
      </c>
      <c r="T147" s="18">
        <f t="shared" si="1064"/>
        <v>15</v>
      </c>
      <c r="U147" s="43" t="s">
        <v>11</v>
      </c>
      <c r="V147" s="18">
        <f t="shared" si="1065"/>
        <v>10</v>
      </c>
      <c r="W147" s="18">
        <f t="shared" si="1066"/>
        <v>95</v>
      </c>
      <c r="X147" s="57" t="str">
        <f t="shared" si="1067"/>
        <v>95                           Disminuye en Posibilidad</v>
      </c>
      <c r="Y147" s="57">
        <f t="shared" si="1068"/>
        <v>1</v>
      </c>
      <c r="Z147" s="356"/>
      <c r="AA147" s="498"/>
      <c r="AB147" s="500"/>
      <c r="AC147" s="3" t="s">
        <v>352</v>
      </c>
      <c r="AF147" s="501"/>
      <c r="AG147" s="46" t="str">
        <f t="shared" ref="AG147" si="1216">IF(AG146&gt;0,"- Evitar Posibilidad de Ocurrencia- Reducir el Riesgo","")</f>
        <v>- Evitar Posibilidad de Ocurrencia- Reducir el Riesgo</v>
      </c>
      <c r="AH147" s="46"/>
      <c r="AI147" s="46"/>
      <c r="AJ147" s="46"/>
      <c r="AK147" s="46"/>
      <c r="AL147" s="46"/>
      <c r="AM147" s="3" t="str">
        <f t="shared" si="1075"/>
        <v/>
      </c>
      <c r="AN147" s="3" t="str">
        <f t="shared" si="1076"/>
        <v/>
      </c>
      <c r="AO147" s="3" t="str">
        <f t="shared" si="1077"/>
        <v/>
      </c>
      <c r="AP147" s="3" t="str">
        <f t="shared" si="1078"/>
        <v/>
      </c>
      <c r="AQ147" s="3" t="str">
        <f t="shared" ref="AQ147:AQ148" si="1217">IF(AQ146="Documentar",AQ146,AM147)</f>
        <v/>
      </c>
      <c r="AR147" s="3" t="str">
        <f t="shared" ref="AR147:AR148" si="1218">IF(AR146="Asignar responsable",AR146,AN147)</f>
        <v/>
      </c>
      <c r="AT147" s="3" t="str">
        <f t="shared" ref="AT147:AT148" si="1219">IF(AT146="Establecer periodos de seguimiento adecuados",AT146,AO147)</f>
        <v/>
      </c>
      <c r="AV147" s="3" t="str">
        <f t="shared" ref="AV147:AV148" si="1220">IF(AV146="Guardar Evidencias",AV146,AP147)</f>
        <v/>
      </c>
      <c r="AX147" s="502"/>
      <c r="AY147" s="502"/>
      <c r="AZ147" s="502"/>
      <c r="BA147" s="502"/>
      <c r="BB147" s="3" t="str">
        <f t="shared" si="1087"/>
        <v>SI</v>
      </c>
      <c r="BC147" s="3" t="str">
        <f t="shared" si="1088"/>
        <v/>
      </c>
      <c r="BD147" s="3" t="str">
        <f t="shared" si="1089"/>
        <v>SI</v>
      </c>
      <c r="BE147" s="3" t="str">
        <f t="shared" si="1090"/>
        <v/>
      </c>
      <c r="BF147" s="3" t="str">
        <f t="shared" si="1091"/>
        <v>SI</v>
      </c>
      <c r="BG147" s="3" t="str">
        <f t="shared" si="1092"/>
        <v/>
      </c>
      <c r="BH147" s="3" t="str">
        <f t="shared" si="1093"/>
        <v>P</v>
      </c>
      <c r="BI147" s="3" t="str">
        <f t="shared" si="941"/>
        <v/>
      </c>
      <c r="BJ147" s="3" t="str">
        <f t="shared" si="942"/>
        <v>M</v>
      </c>
      <c r="BK147" s="3" t="str">
        <f t="shared" si="943"/>
        <v/>
      </c>
      <c r="BL147" s="3" t="str">
        <f t="shared" si="1094"/>
        <v>SI</v>
      </c>
      <c r="BM147" s="3" t="str">
        <f t="shared" si="1095"/>
        <v/>
      </c>
    </row>
    <row r="148" spans="1:65" ht="16.5" thickBot="1" x14ac:dyDescent="0.25">
      <c r="A148" s="495"/>
      <c r="B148" s="496"/>
      <c r="C148" s="356">
        <v>3</v>
      </c>
      <c r="D148" s="56"/>
      <c r="E148" s="240" t="str">
        <f t="shared" si="933"/>
        <v/>
      </c>
      <c r="F148" s="44"/>
      <c r="G148" s="18" t="str">
        <f t="shared" si="1057"/>
        <v/>
      </c>
      <c r="H148" s="44"/>
      <c r="I148" s="18" t="str">
        <f t="shared" si="1058"/>
        <v/>
      </c>
      <c r="J148" s="55" t="str">
        <f t="shared" si="1059"/>
        <v/>
      </c>
      <c r="K148" s="43"/>
      <c r="L148" s="18" t="str">
        <f t="shared" si="1060"/>
        <v/>
      </c>
      <c r="M148" s="43"/>
      <c r="N148" s="18" t="str">
        <f t="shared" si="1061"/>
        <v/>
      </c>
      <c r="O148" s="43"/>
      <c r="P148" s="18" t="str">
        <f t="shared" si="1062"/>
        <v/>
      </c>
      <c r="Q148" s="43"/>
      <c r="R148" s="18" t="str">
        <f t="shared" si="1063"/>
        <v/>
      </c>
      <c r="S148" s="43"/>
      <c r="T148" s="18" t="str">
        <f t="shared" si="1064"/>
        <v/>
      </c>
      <c r="U148" s="43"/>
      <c r="V148" s="18" t="str">
        <f t="shared" si="1065"/>
        <v/>
      </c>
      <c r="W148" s="18">
        <f t="shared" si="1066"/>
        <v>0</v>
      </c>
      <c r="X148" s="57" t="str">
        <f t="shared" si="1067"/>
        <v/>
      </c>
      <c r="Y148" s="57">
        <f t="shared" si="1068"/>
        <v>0</v>
      </c>
      <c r="Z148" s="356"/>
      <c r="AA148" s="499"/>
      <c r="AB148" s="500"/>
      <c r="AM148" s="3" t="str">
        <f t="shared" si="1075"/>
        <v/>
      </c>
      <c r="AN148" s="3" t="str">
        <f t="shared" si="1076"/>
        <v/>
      </c>
      <c r="AO148" s="3" t="str">
        <f t="shared" si="1077"/>
        <v/>
      </c>
      <c r="AP148" s="3" t="str">
        <f t="shared" si="1078"/>
        <v/>
      </c>
      <c r="AQ148" s="3" t="str">
        <f t="shared" si="1217"/>
        <v/>
      </c>
      <c r="AR148" s="3" t="str">
        <f t="shared" si="1218"/>
        <v/>
      </c>
      <c r="AS148" s="3" t="str">
        <f t="shared" ref="AS148" si="1221">IF(AND(AQ148="Documentar",AR148="Asignar responsable"),CONCATENATE("- ",AQ148,", ",AR148),IF(AQ148="Documentar",CONCATENATE("- ",AQ148),IF(AR148="Asignar responsable",CONCATENATE("- ",AR148),"")))</f>
        <v/>
      </c>
      <c r="AT148" s="3" t="str">
        <f t="shared" si="1219"/>
        <v/>
      </c>
      <c r="AU148" s="3" t="str">
        <f t="shared" ref="AU148" si="1222">IF(AT148="",AS148,IF(AS148="",CONCATENATE("- ",AT148),CONCATENATE(AS148,", ",AT148)))</f>
        <v/>
      </c>
      <c r="AV148" s="3" t="str">
        <f t="shared" si="1220"/>
        <v/>
      </c>
      <c r="AW148" s="3" t="str">
        <f t="shared" ref="AW148" si="1223">IF(AV148="",AU148,IF(AU148="",CONCATENATE("- ",AV148),CONCATENATE(AU148,", ",AV148)))</f>
        <v/>
      </c>
      <c r="AX148" s="502"/>
      <c r="AY148" s="502"/>
      <c r="AZ148" s="502"/>
      <c r="BA148" s="502"/>
      <c r="BB148" s="3" t="str">
        <f t="shared" si="1087"/>
        <v/>
      </c>
      <c r="BC148" s="3" t="str">
        <f t="shared" si="1088"/>
        <v/>
      </c>
      <c r="BD148" s="3" t="str">
        <f t="shared" si="1089"/>
        <v/>
      </c>
      <c r="BE148" s="3" t="str">
        <f t="shared" si="1090"/>
        <v/>
      </c>
      <c r="BF148" s="3" t="str">
        <f t="shared" si="1091"/>
        <v/>
      </c>
      <c r="BG148" s="3" t="str">
        <f t="shared" si="1092"/>
        <v/>
      </c>
      <c r="BH148" s="3" t="str">
        <f t="shared" si="1093"/>
        <v/>
      </c>
      <c r="BI148" s="3" t="str">
        <f t="shared" si="941"/>
        <v/>
      </c>
      <c r="BJ148" s="3" t="str">
        <f t="shared" si="942"/>
        <v/>
      </c>
      <c r="BK148" s="3" t="str">
        <f t="shared" si="943"/>
        <v/>
      </c>
      <c r="BL148" s="3" t="str">
        <f t="shared" si="1094"/>
        <v/>
      </c>
      <c r="BM148" s="3" t="str">
        <f t="shared" si="1095"/>
        <v/>
      </c>
    </row>
    <row r="149" spans="1:65" ht="63.75" thickTop="1" x14ac:dyDescent="0.2">
      <c r="A149" s="493" t="str">
        <f>IDENTIFICACIÓN!C56</f>
        <v>19C</v>
      </c>
      <c r="B149" s="496" t="str">
        <f>IF(IDENTIFICACIÓN!D56="","",IDENTIFICACIÓN!D56)</f>
        <v>Gestión de Extensión y Proyección Social. Omisión de la ley para beneficio propio.</v>
      </c>
      <c r="C149" s="356">
        <v>1</v>
      </c>
      <c r="D149" s="56" t="s">
        <v>11</v>
      </c>
      <c r="E149" s="240">
        <f t="shared" si="933"/>
        <v>10</v>
      </c>
      <c r="F149" s="44" t="s">
        <v>625</v>
      </c>
      <c r="G149" s="18" t="str">
        <f t="shared" si="1057"/>
        <v/>
      </c>
      <c r="H149" s="44" t="s">
        <v>20</v>
      </c>
      <c r="I149" s="18" t="str">
        <f t="shared" si="1058"/>
        <v/>
      </c>
      <c r="J149" s="55" t="str">
        <f t="shared" si="1059"/>
        <v>Posibilidad</v>
      </c>
      <c r="K149" s="43" t="s">
        <v>11</v>
      </c>
      <c r="L149" s="18">
        <f t="shared" si="1060"/>
        <v>15</v>
      </c>
      <c r="M149" s="43" t="s">
        <v>11</v>
      </c>
      <c r="N149" s="18">
        <f t="shared" si="1061"/>
        <v>30</v>
      </c>
      <c r="O149" s="43" t="s">
        <v>323</v>
      </c>
      <c r="P149" s="18">
        <f t="shared" si="1062"/>
        <v>10</v>
      </c>
      <c r="Q149" s="43" t="s">
        <v>11</v>
      </c>
      <c r="R149" s="18">
        <f t="shared" si="1063"/>
        <v>5</v>
      </c>
      <c r="S149" s="43" t="s">
        <v>11</v>
      </c>
      <c r="T149" s="18">
        <f t="shared" si="1064"/>
        <v>15</v>
      </c>
      <c r="U149" s="43" t="s">
        <v>11</v>
      </c>
      <c r="V149" s="18">
        <f t="shared" si="1065"/>
        <v>10</v>
      </c>
      <c r="W149" s="18">
        <f t="shared" si="1066"/>
        <v>95</v>
      </c>
      <c r="X149" s="57" t="str">
        <f t="shared" si="1067"/>
        <v>95                           Disminuye en Posibilidad</v>
      </c>
      <c r="Y149" s="57">
        <f t="shared" si="1068"/>
        <v>1</v>
      </c>
      <c r="Z149" s="356"/>
      <c r="AA149" s="497">
        <f t="shared" ref="AA149" si="1224">IF(AB149=0,"",(ROUND((SUM(W149:W151)/AB149),0)))</f>
        <v>95</v>
      </c>
      <c r="AB149" s="500">
        <f t="shared" ref="AB149" si="1225">COUNT(T149:T151)</f>
        <v>2</v>
      </c>
      <c r="AC149" s="3">
        <f t="shared" ref="AC149" si="1226">SUM(Y149:Y151)</f>
        <v>2</v>
      </c>
      <c r="AD149" s="3">
        <f>ANALISIS!D58</f>
        <v>3</v>
      </c>
      <c r="AE149" s="3">
        <f t="shared" ref="AE149" si="1227">IF(AND(AD149=5,AC149&gt;1),3,AD149)</f>
        <v>3</v>
      </c>
      <c r="AF149" s="501">
        <f t="shared" si="1073"/>
        <v>3</v>
      </c>
      <c r="AG149" s="355" t="str">
        <f t="shared" si="1074"/>
        <v>MODERADA</v>
      </c>
      <c r="AH149" s="46"/>
      <c r="AI149" s="46"/>
      <c r="AJ149" s="46"/>
      <c r="AK149" s="46"/>
      <c r="AL149" s="46"/>
      <c r="AM149" s="3" t="str">
        <f t="shared" si="1075"/>
        <v/>
      </c>
      <c r="AN149" s="3" t="str">
        <f t="shared" si="1076"/>
        <v/>
      </c>
      <c r="AO149" s="3" t="str">
        <f t="shared" si="1077"/>
        <v/>
      </c>
      <c r="AP149" s="3" t="str">
        <f t="shared" si="1078"/>
        <v/>
      </c>
      <c r="AQ149" s="3" t="str">
        <f t="shared" ref="AQ149" si="1228">AM149</f>
        <v/>
      </c>
      <c r="AR149" s="3" t="str">
        <f t="shared" ref="AR149" si="1229">AN149</f>
        <v/>
      </c>
      <c r="AT149" s="3" t="str">
        <f t="shared" ref="AT149" si="1230">AO149</f>
        <v/>
      </c>
      <c r="AV149" s="3" t="str">
        <f t="shared" ref="AV149" si="1231">AP149</f>
        <v/>
      </c>
      <c r="AX149" s="502" t="str">
        <f t="shared" ref="AX149" si="1232">IF(AW151="","",CONCATENATE(AW151," (de) el(los) control(es) Efectivo(s) "))</f>
        <v/>
      </c>
      <c r="AY149" s="502" t="str">
        <f t="shared" ref="AY149" si="1233">IF(CONCATENATE(N149:N151)="","",IF(AND(SUM(E149:E151)=10,SUM(N149:N151)&lt;30),"- Replantear control(es) NO efectivo(s) ",IF(AND(SUM(E149:E151)=20,SUM(N149:N151)&lt;60),"- Replantear control(es) NO efectivo(s) ",IF(AND(SUM(E149:E151)=30,SUM(N149:N151)&lt;90),"- Replantear control(es) NO efectivo(s) ",""))))</f>
        <v/>
      </c>
      <c r="AZ149" s="502" t="str">
        <f t="shared" ref="AZ149" si="1234">IF(AND(AE149&gt;1,AE150&gt;1),"- Tomar Acciones Preventivas y Correctivas",IF(AE149&gt;1,"- Tomar Acciones Preventivas",IF(AE150&gt;1,"- Tomar Acciones Correctivas","")))</f>
        <v>- Tomar Acciones Preventivas</v>
      </c>
      <c r="BA149" s="502" t="str">
        <f t="shared" ref="BA149" si="1235">CONCATENATE(AX149,AY149,AZ149)</f>
        <v>- Tomar Acciones Preventivas</v>
      </c>
      <c r="BB149" s="3" t="str">
        <f t="shared" si="1087"/>
        <v>SI</v>
      </c>
      <c r="BC149" s="3" t="str">
        <f t="shared" si="1088"/>
        <v/>
      </c>
      <c r="BD149" s="3" t="str">
        <f t="shared" si="1089"/>
        <v>SI</v>
      </c>
      <c r="BE149" s="3" t="str">
        <f t="shared" si="1090"/>
        <v/>
      </c>
      <c r="BF149" s="3" t="str">
        <f t="shared" si="1091"/>
        <v>SI</v>
      </c>
      <c r="BG149" s="3" t="str">
        <f t="shared" si="1092"/>
        <v/>
      </c>
      <c r="BH149" s="3" t="str">
        <f t="shared" si="1093"/>
        <v>P</v>
      </c>
      <c r="BI149" s="3" t="str">
        <f t="shared" si="941"/>
        <v/>
      </c>
      <c r="BJ149" s="3" t="str">
        <f t="shared" si="942"/>
        <v>M</v>
      </c>
      <c r="BK149" s="3" t="str">
        <f t="shared" si="943"/>
        <v/>
      </c>
      <c r="BL149" s="3" t="str">
        <f t="shared" si="1094"/>
        <v>SI</v>
      </c>
      <c r="BM149" s="3" t="str">
        <f t="shared" si="1095"/>
        <v/>
      </c>
    </row>
    <row r="150" spans="1:65" ht="47.25" x14ac:dyDescent="0.2">
      <c r="A150" s="494"/>
      <c r="B150" s="496"/>
      <c r="C150" s="356">
        <v>2</v>
      </c>
      <c r="D150" s="56" t="s">
        <v>11</v>
      </c>
      <c r="E150" s="240">
        <f t="shared" si="933"/>
        <v>10</v>
      </c>
      <c r="F150" s="44" t="s">
        <v>626</v>
      </c>
      <c r="G150" s="18" t="str">
        <f t="shared" si="1057"/>
        <v/>
      </c>
      <c r="H150" s="44" t="s">
        <v>20</v>
      </c>
      <c r="I150" s="18" t="str">
        <f t="shared" si="1058"/>
        <v/>
      </c>
      <c r="J150" s="55" t="str">
        <f t="shared" si="1059"/>
        <v>Posibilidad</v>
      </c>
      <c r="K150" s="43" t="s">
        <v>11</v>
      </c>
      <c r="L150" s="18">
        <f t="shared" si="1060"/>
        <v>15</v>
      </c>
      <c r="M150" s="43" t="s">
        <v>11</v>
      </c>
      <c r="N150" s="18">
        <f t="shared" si="1061"/>
        <v>30</v>
      </c>
      <c r="O150" s="43" t="s">
        <v>323</v>
      </c>
      <c r="P150" s="18">
        <f t="shared" si="1062"/>
        <v>10</v>
      </c>
      <c r="Q150" s="43" t="s">
        <v>11</v>
      </c>
      <c r="R150" s="18">
        <f t="shared" si="1063"/>
        <v>5</v>
      </c>
      <c r="S150" s="43" t="s">
        <v>11</v>
      </c>
      <c r="T150" s="18">
        <f t="shared" si="1064"/>
        <v>15</v>
      </c>
      <c r="U150" s="43" t="s">
        <v>11</v>
      </c>
      <c r="V150" s="18">
        <f t="shared" si="1065"/>
        <v>10</v>
      </c>
      <c r="W150" s="18">
        <f t="shared" si="1066"/>
        <v>95</v>
      </c>
      <c r="X150" s="57" t="str">
        <f t="shared" si="1067"/>
        <v>95                           Disminuye en Posibilidad</v>
      </c>
      <c r="Y150" s="57">
        <f t="shared" si="1068"/>
        <v>1</v>
      </c>
      <c r="Z150" s="356"/>
      <c r="AA150" s="498"/>
      <c r="AB150" s="500"/>
      <c r="AC150" s="3" t="s">
        <v>352</v>
      </c>
      <c r="AF150" s="501"/>
      <c r="AG150" s="46" t="str">
        <f t="shared" ref="AG150" si="1236">IF(AG149&gt;0,"- Evitar Posibilidad de Ocurrencia- Reducir el Riesgo","")</f>
        <v>- Evitar Posibilidad de Ocurrencia- Reducir el Riesgo</v>
      </c>
      <c r="AH150" s="46"/>
      <c r="AI150" s="46"/>
      <c r="AJ150" s="46"/>
      <c r="AK150" s="46"/>
      <c r="AL150" s="46"/>
      <c r="AM150" s="3" t="str">
        <f t="shared" si="1075"/>
        <v/>
      </c>
      <c r="AN150" s="3" t="str">
        <f t="shared" si="1076"/>
        <v/>
      </c>
      <c r="AO150" s="3" t="str">
        <f t="shared" si="1077"/>
        <v/>
      </c>
      <c r="AP150" s="3" t="str">
        <f t="shared" si="1078"/>
        <v/>
      </c>
      <c r="AQ150" s="3" t="str">
        <f t="shared" ref="AQ150:AQ151" si="1237">IF(AQ149="Documentar",AQ149,AM150)</f>
        <v/>
      </c>
      <c r="AR150" s="3" t="str">
        <f t="shared" ref="AR150:AR151" si="1238">IF(AR149="Asignar responsable",AR149,AN150)</f>
        <v/>
      </c>
      <c r="AT150" s="3" t="str">
        <f t="shared" ref="AT150:AT151" si="1239">IF(AT149="Establecer periodos de seguimiento adecuados",AT149,AO150)</f>
        <v/>
      </c>
      <c r="AV150" s="3" t="str">
        <f t="shared" ref="AV150:AV151" si="1240">IF(AV149="Guardar Evidencias",AV149,AP150)</f>
        <v/>
      </c>
      <c r="AX150" s="502"/>
      <c r="AY150" s="502"/>
      <c r="AZ150" s="502"/>
      <c r="BA150" s="502"/>
      <c r="BB150" s="3" t="str">
        <f t="shared" si="1087"/>
        <v>SI</v>
      </c>
      <c r="BC150" s="3" t="str">
        <f t="shared" si="1088"/>
        <v/>
      </c>
      <c r="BD150" s="3" t="str">
        <f t="shared" si="1089"/>
        <v>SI</v>
      </c>
      <c r="BE150" s="3" t="str">
        <f t="shared" si="1090"/>
        <v/>
      </c>
      <c r="BF150" s="3" t="str">
        <f t="shared" si="1091"/>
        <v>SI</v>
      </c>
      <c r="BG150" s="3" t="str">
        <f t="shared" si="1092"/>
        <v/>
      </c>
      <c r="BH150" s="3" t="str">
        <f t="shared" si="1093"/>
        <v>P</v>
      </c>
      <c r="BI150" s="3" t="str">
        <f t="shared" si="941"/>
        <v/>
      </c>
      <c r="BJ150" s="3" t="str">
        <f t="shared" si="942"/>
        <v>M</v>
      </c>
      <c r="BK150" s="3" t="str">
        <f t="shared" si="943"/>
        <v/>
      </c>
      <c r="BL150" s="3" t="str">
        <f t="shared" si="1094"/>
        <v>SI</v>
      </c>
      <c r="BM150" s="3" t="str">
        <f t="shared" si="1095"/>
        <v/>
      </c>
    </row>
    <row r="151" spans="1:65" ht="16.5" thickBot="1" x14ac:dyDescent="0.25">
      <c r="A151" s="495"/>
      <c r="B151" s="496"/>
      <c r="C151" s="356">
        <v>3</v>
      </c>
      <c r="D151" s="56"/>
      <c r="E151" s="240" t="str">
        <f t="shared" si="933"/>
        <v/>
      </c>
      <c r="F151" s="44"/>
      <c r="G151" s="18" t="str">
        <f t="shared" si="1057"/>
        <v/>
      </c>
      <c r="H151" s="44"/>
      <c r="I151" s="18" t="str">
        <f t="shared" si="1058"/>
        <v/>
      </c>
      <c r="J151" s="55" t="str">
        <f t="shared" si="1059"/>
        <v/>
      </c>
      <c r="K151" s="43"/>
      <c r="L151" s="18" t="str">
        <f t="shared" si="1060"/>
        <v/>
      </c>
      <c r="M151" s="43"/>
      <c r="N151" s="18" t="str">
        <f t="shared" si="1061"/>
        <v/>
      </c>
      <c r="O151" s="43"/>
      <c r="P151" s="18" t="str">
        <f t="shared" si="1062"/>
        <v/>
      </c>
      <c r="Q151" s="43"/>
      <c r="R151" s="18" t="str">
        <f t="shared" si="1063"/>
        <v/>
      </c>
      <c r="S151" s="43"/>
      <c r="T151" s="18" t="str">
        <f t="shared" si="1064"/>
        <v/>
      </c>
      <c r="U151" s="43"/>
      <c r="V151" s="18" t="str">
        <f t="shared" si="1065"/>
        <v/>
      </c>
      <c r="W151" s="18">
        <f t="shared" si="1066"/>
        <v>0</v>
      </c>
      <c r="X151" s="57" t="str">
        <f t="shared" si="1067"/>
        <v/>
      </c>
      <c r="Y151" s="57">
        <f t="shared" si="1068"/>
        <v>0</v>
      </c>
      <c r="Z151" s="356"/>
      <c r="AA151" s="499"/>
      <c r="AB151" s="500"/>
      <c r="AM151" s="3" t="str">
        <f t="shared" si="1075"/>
        <v/>
      </c>
      <c r="AN151" s="3" t="str">
        <f t="shared" si="1076"/>
        <v/>
      </c>
      <c r="AO151" s="3" t="str">
        <f t="shared" si="1077"/>
        <v/>
      </c>
      <c r="AP151" s="3" t="str">
        <f t="shared" si="1078"/>
        <v/>
      </c>
      <c r="AQ151" s="3" t="str">
        <f t="shared" si="1237"/>
        <v/>
      </c>
      <c r="AR151" s="3" t="str">
        <f t="shared" si="1238"/>
        <v/>
      </c>
      <c r="AS151" s="3" t="str">
        <f t="shared" ref="AS151" si="1241">IF(AND(AQ151="Documentar",AR151="Asignar responsable"),CONCATENATE("- ",AQ151,", ",AR151),IF(AQ151="Documentar",CONCATENATE("- ",AQ151),IF(AR151="Asignar responsable",CONCATENATE("- ",AR151),"")))</f>
        <v/>
      </c>
      <c r="AT151" s="3" t="str">
        <f t="shared" si="1239"/>
        <v/>
      </c>
      <c r="AU151" s="3" t="str">
        <f t="shared" ref="AU151" si="1242">IF(AT151="",AS151,IF(AS151="",CONCATENATE("- ",AT151),CONCATENATE(AS151,", ",AT151)))</f>
        <v/>
      </c>
      <c r="AV151" s="3" t="str">
        <f t="shared" si="1240"/>
        <v/>
      </c>
      <c r="AW151" s="3" t="str">
        <f t="shared" ref="AW151" si="1243">IF(AV151="",AU151,IF(AU151="",CONCATENATE("- ",AV151),CONCATENATE(AU151,", ",AV151)))</f>
        <v/>
      </c>
      <c r="AX151" s="502"/>
      <c r="AY151" s="502"/>
      <c r="AZ151" s="502"/>
      <c r="BA151" s="502"/>
      <c r="BB151" s="3" t="str">
        <f t="shared" si="1087"/>
        <v/>
      </c>
      <c r="BC151" s="3" t="str">
        <f t="shared" si="1088"/>
        <v/>
      </c>
      <c r="BD151" s="3" t="str">
        <f t="shared" si="1089"/>
        <v/>
      </c>
      <c r="BE151" s="3" t="str">
        <f t="shared" si="1090"/>
        <v/>
      </c>
      <c r="BF151" s="3" t="str">
        <f t="shared" si="1091"/>
        <v/>
      </c>
      <c r="BG151" s="3" t="str">
        <f t="shared" si="1092"/>
        <v/>
      </c>
      <c r="BH151" s="3" t="str">
        <f t="shared" si="1093"/>
        <v/>
      </c>
      <c r="BI151" s="3" t="str">
        <f t="shared" si="941"/>
        <v/>
      </c>
      <c r="BJ151" s="3" t="str">
        <f t="shared" si="942"/>
        <v/>
      </c>
      <c r="BK151" s="3" t="str">
        <f t="shared" si="943"/>
        <v/>
      </c>
      <c r="BL151" s="3" t="str">
        <f t="shared" si="1094"/>
        <v/>
      </c>
      <c r="BM151" s="3" t="str">
        <f t="shared" si="1095"/>
        <v/>
      </c>
    </row>
    <row r="152" spans="1:65" ht="48" thickTop="1" x14ac:dyDescent="0.2">
      <c r="A152" s="493" t="str">
        <f>IDENTIFICACIÓN!C57</f>
        <v>20C</v>
      </c>
      <c r="B152" s="496" t="str">
        <f>IF(IDENTIFICACIÓN!D57="","",IDENTIFICACIÓN!D57)</f>
        <v>Gestión de Contratación. Pliegos de condiciones hechos a la medida de una firma en particular.</v>
      </c>
      <c r="C152" s="356">
        <v>1</v>
      </c>
      <c r="D152" s="56" t="s">
        <v>11</v>
      </c>
      <c r="E152" s="240">
        <f t="shared" si="933"/>
        <v>10</v>
      </c>
      <c r="F152" s="44" t="s">
        <v>627</v>
      </c>
      <c r="G152" s="18" t="str">
        <f t="shared" ref="G152:G196" si="1244">IF($D152="SI",IF(ISBLANK(F152),"Decripcion",""),"")</f>
        <v/>
      </c>
      <c r="H152" s="44" t="s">
        <v>20</v>
      </c>
      <c r="I152" s="18" t="str">
        <f t="shared" ref="I152:I196" si="1245">IF($D152="SI",IF(ISBLANK(H152),"Tipo",""),"")</f>
        <v/>
      </c>
      <c r="J152" s="55" t="str">
        <f t="shared" ref="J152:J196" si="1246">IF(H152="Preventivo","Posibilidad",IF(H152="Correctivo","No Aplica",""))</f>
        <v>Posibilidad</v>
      </c>
      <c r="K152" s="43" t="s">
        <v>11</v>
      </c>
      <c r="L152" s="18">
        <f t="shared" ref="L152:L196" si="1247">IF($D152="SI",IF(K152="SI",15,IF(K152="NO",0,"P1")),"")</f>
        <v>15</v>
      </c>
      <c r="M152" s="43" t="s">
        <v>11</v>
      </c>
      <c r="N152" s="18">
        <f t="shared" ref="N152:N196" si="1248">IF($D152="SI",IF(M152="SI",30,IF(M152="NO",0,"P2")),"")</f>
        <v>30</v>
      </c>
      <c r="O152" s="43" t="s">
        <v>323</v>
      </c>
      <c r="P152" s="18">
        <f t="shared" ref="P152:P196" si="1249">IF($D152="SI",IF(O152="Automático",15,IF(O152="Manual",10,"P3")),"")</f>
        <v>10</v>
      </c>
      <c r="Q152" s="43" t="s">
        <v>11</v>
      </c>
      <c r="R152" s="18">
        <f t="shared" ref="R152:R196" si="1250">IF($D152="SI",IF(Q152="SI",5,IF(Q152="NO",0,"P4")),"")</f>
        <v>5</v>
      </c>
      <c r="S152" s="43" t="s">
        <v>11</v>
      </c>
      <c r="T152" s="18">
        <f t="shared" ref="T152:T196" si="1251">IF($D152="SI",IF(S152="SI",15,IF(S152="NO",0,"P5")),"")</f>
        <v>15</v>
      </c>
      <c r="U152" s="43" t="s">
        <v>11</v>
      </c>
      <c r="V152" s="18">
        <f t="shared" ref="V152:V196" si="1252">IF($D152="SI",IF(U152="SI",10,IF(U152="NO",0,"P6")),"")</f>
        <v>10</v>
      </c>
      <c r="W152" s="18">
        <f t="shared" ref="W152:W196" si="1253">IF(D152="SI",E152+L152+N152+P152+R152+T152+V152,0)</f>
        <v>95</v>
      </c>
      <c r="X152" s="57" t="str">
        <f t="shared" ref="X152:X196" si="1254">IF(ISBLANK(D152),"",IF(D152="NO",0,IF(D152="SI",IF(OR(G152="Decripcion",I152="Tipo",L152="P1",N152="P2",P152="P3",R152="P4",T152="P5",V152="P6"),CONCATENATE("Falta diligenciar: ",G152," ",I152,IF(L152="P1"," Preg 1",),IF(N152="P2"," Preg 2",),IF(P152="P3"," Preg 3",),IF(R152="P4"," Preg 4",),IF(T152="P5"," Preg 5",),IF(V152="P6"," Preg 6",)),IF(AND(W152&gt;76,J152="Posibilidad"),CONCATENATE(W152,"                           Disminuye en ",J152),W152)))))</f>
        <v>95                           Disminuye en Posibilidad</v>
      </c>
      <c r="Y152" s="57">
        <f t="shared" ref="Y152:Y196" si="1255">IF(AND(W152&gt;75,W152&lt;101,J152="Posibilidad"),1,0)</f>
        <v>1</v>
      </c>
      <c r="Z152" s="356"/>
      <c r="AA152" s="497">
        <f t="shared" ref="AA152" si="1256">IF(AB152=0,"",(ROUND((SUM(W152:W154)/AB152),0)))</f>
        <v>95</v>
      </c>
      <c r="AB152" s="500">
        <f t="shared" ref="AB152" si="1257">COUNT(T152:T154)</f>
        <v>1</v>
      </c>
      <c r="AC152" s="3">
        <f t="shared" ref="AC152" si="1258">SUM(Y152:Y154)</f>
        <v>1</v>
      </c>
      <c r="AD152" s="3">
        <f>ANALISIS!D59</f>
        <v>3</v>
      </c>
      <c r="AE152" s="3">
        <f t="shared" ref="AE152" si="1259">IF(AND(AD152=5,AC152&gt;1),3,AD152)</f>
        <v>3</v>
      </c>
      <c r="AF152" s="501">
        <f t="shared" ref="AF152:AF194" si="1260">AE152</f>
        <v>3</v>
      </c>
      <c r="AG152" s="355" t="str">
        <f t="shared" ref="AG152:AG194" si="1261">IF(AF152=3,"MODERADA",IF(AF152=5,"EXTREMA",""))</f>
        <v>MODERADA</v>
      </c>
      <c r="AH152" s="46"/>
      <c r="AI152" s="46"/>
      <c r="AJ152" s="46"/>
      <c r="AK152" s="46"/>
      <c r="AL152" s="46"/>
      <c r="AM152" s="3" t="str">
        <f t="shared" ref="AM152:AM196" si="1262">IF(AND(N152=30,L152=0),$AM$8,"")</f>
        <v/>
      </c>
      <c r="AN152" s="3" t="str">
        <f t="shared" ref="AN152:AN196" si="1263">IF(AND(N152=30,R152=0),$AN$8,"")</f>
        <v/>
      </c>
      <c r="AO152" s="3" t="str">
        <f t="shared" ref="AO152:AO196" si="1264">IF(AND(N152=30,T152=0),$AO$8,"")</f>
        <v/>
      </c>
      <c r="AP152" s="3" t="str">
        <f t="shared" ref="AP152:AP196" si="1265">IF(AND(N152=30,V152=0),$AP$8,"")</f>
        <v/>
      </c>
      <c r="AQ152" s="3" t="str">
        <f t="shared" ref="AQ152" si="1266">AM152</f>
        <v/>
      </c>
      <c r="AR152" s="3" t="str">
        <f t="shared" ref="AR152" si="1267">AN152</f>
        <v/>
      </c>
      <c r="AT152" s="3" t="str">
        <f t="shared" ref="AT152" si="1268">AO152</f>
        <v/>
      </c>
      <c r="AV152" s="3" t="str">
        <f t="shared" ref="AV152" si="1269">AP152</f>
        <v/>
      </c>
      <c r="AX152" s="502" t="str">
        <f t="shared" ref="AX152" si="1270">IF(AW154="","",CONCATENATE(AW154," (de) el(los) control(es) Efectivo(s) "))</f>
        <v/>
      </c>
      <c r="AY152" s="502" t="str">
        <f t="shared" ref="AY152" si="1271">IF(CONCATENATE(N152:N154)="","",IF(AND(SUM(E152:E154)=10,SUM(N152:N154)&lt;30),"- Replantear control(es) NO efectivo(s) ",IF(AND(SUM(E152:E154)=20,SUM(N152:N154)&lt;60),"- Replantear control(es) NO efectivo(s) ",IF(AND(SUM(E152:E154)=30,SUM(N152:N154)&lt;90),"- Replantear control(es) NO efectivo(s) ",""))))</f>
        <v/>
      </c>
      <c r="AZ152" s="502" t="str">
        <f t="shared" ref="AZ152" si="1272">IF(AND(AE152&gt;1,AE153&gt;1),"- Tomar Acciones Preventivas y Correctivas",IF(AE152&gt;1,"- Tomar Acciones Preventivas",IF(AE153&gt;1,"- Tomar Acciones Correctivas","")))</f>
        <v>- Tomar Acciones Preventivas</v>
      </c>
      <c r="BA152" s="502" t="str">
        <f t="shared" ref="BA152" si="1273">CONCATENATE(AX152,AY152,AZ152)</f>
        <v>- Tomar Acciones Preventivas</v>
      </c>
      <c r="BB152" s="3" t="str">
        <f t="shared" ref="BB152:BB196" si="1274">IF(AND($N152=30,L152=15),"SI",IF(AND($N152=30,L152=0),"NO",""))</f>
        <v>SI</v>
      </c>
      <c r="BC152" s="3" t="str">
        <f t="shared" ref="BC152:BC196" si="1275">IF(AND($N152=0,L152=15),"SI",IF(AND($N152=0,L152=0),"NO",""))</f>
        <v/>
      </c>
      <c r="BD152" s="3" t="str">
        <f t="shared" ref="BD152:BD196" si="1276">IF(AND($N152=30,R152=5),"SI",IF(AND($N152=30,R152=0),"NO",""))</f>
        <v>SI</v>
      </c>
      <c r="BE152" s="3" t="str">
        <f t="shared" ref="BE152:BE196" si="1277">IF(AND($N152=0,R152=5),"SI",IF(AND($N152=0,R152=0),"NO",""))</f>
        <v/>
      </c>
      <c r="BF152" s="3" t="str">
        <f t="shared" ref="BF152:BF196" si="1278">IF(AND($N152=30,T152=15),"SI",IF(AND($N152=30,T152=0),"NO",""))</f>
        <v>SI</v>
      </c>
      <c r="BG152" s="3" t="str">
        <f t="shared" ref="BG152:BG196" si="1279">IF(AND($N152=0,T152=15),"SI",IF(AND($N152=0,T152=0),"NO",""))</f>
        <v/>
      </c>
      <c r="BH152" s="3" t="str">
        <f t="shared" ref="BH152:BH196" si="1280">IF(AND($N152=30,H152="Preventivo"),"P",IF(AND($N152=30,H152="Correctivo"),"C",""))</f>
        <v>P</v>
      </c>
      <c r="BI152" s="3" t="str">
        <f t="shared" si="941"/>
        <v/>
      </c>
      <c r="BJ152" s="3" t="str">
        <f t="shared" si="942"/>
        <v>M</v>
      </c>
      <c r="BK152" s="3" t="str">
        <f t="shared" si="943"/>
        <v/>
      </c>
      <c r="BL152" s="3" t="str">
        <f t="shared" ref="BL152:BL196" si="1281">IF(AND($N152=30,V152=10),"SI",IF(AND($N152=30,V152=0),"NO",""))</f>
        <v>SI</v>
      </c>
      <c r="BM152" s="3" t="str">
        <f t="shared" ref="BM152:BM196" si="1282">IF(AND($N152=0,V152=10),"SI",IF(AND($N152=0,V152=0),"NO",""))</f>
        <v/>
      </c>
    </row>
    <row r="153" spans="1:65" ht="31.5" x14ac:dyDescent="0.2">
      <c r="A153" s="494"/>
      <c r="B153" s="496"/>
      <c r="C153" s="356">
        <v>2</v>
      </c>
      <c r="D153" s="56"/>
      <c r="E153" s="240" t="str">
        <f t="shared" si="933"/>
        <v/>
      </c>
      <c r="F153" s="44"/>
      <c r="G153" s="18" t="str">
        <f t="shared" si="1244"/>
        <v/>
      </c>
      <c r="H153" s="44"/>
      <c r="I153" s="18" t="str">
        <f t="shared" si="1245"/>
        <v/>
      </c>
      <c r="J153" s="55" t="str">
        <f t="shared" si="1246"/>
        <v/>
      </c>
      <c r="K153" s="43"/>
      <c r="L153" s="18" t="str">
        <f t="shared" si="1247"/>
        <v/>
      </c>
      <c r="M153" s="43"/>
      <c r="N153" s="18" t="str">
        <f t="shared" si="1248"/>
        <v/>
      </c>
      <c r="O153" s="43"/>
      <c r="P153" s="18" t="str">
        <f t="shared" si="1249"/>
        <v/>
      </c>
      <c r="Q153" s="43"/>
      <c r="R153" s="18" t="str">
        <f t="shared" si="1250"/>
        <v/>
      </c>
      <c r="S153" s="43"/>
      <c r="T153" s="18" t="str">
        <f t="shared" si="1251"/>
        <v/>
      </c>
      <c r="U153" s="43"/>
      <c r="V153" s="18" t="str">
        <f t="shared" si="1252"/>
        <v/>
      </c>
      <c r="W153" s="18">
        <f t="shared" si="1253"/>
        <v>0</v>
      </c>
      <c r="X153" s="57" t="str">
        <f t="shared" si="1254"/>
        <v/>
      </c>
      <c r="Y153" s="57">
        <f t="shared" si="1255"/>
        <v>0</v>
      </c>
      <c r="Z153" s="356"/>
      <c r="AA153" s="498"/>
      <c r="AB153" s="500"/>
      <c r="AC153" s="3" t="s">
        <v>352</v>
      </c>
      <c r="AF153" s="501"/>
      <c r="AG153" s="46" t="str">
        <f t="shared" ref="AG153" si="1283">IF(AG152&gt;0,"- Evitar Posibilidad de Ocurrencia- Reducir el Riesgo","")</f>
        <v>- Evitar Posibilidad de Ocurrencia- Reducir el Riesgo</v>
      </c>
      <c r="AH153" s="46"/>
      <c r="AI153" s="46"/>
      <c r="AJ153" s="46"/>
      <c r="AK153" s="46"/>
      <c r="AL153" s="46"/>
      <c r="AM153" s="3" t="str">
        <f t="shared" si="1262"/>
        <v/>
      </c>
      <c r="AN153" s="3" t="str">
        <f t="shared" si="1263"/>
        <v/>
      </c>
      <c r="AO153" s="3" t="str">
        <f t="shared" si="1264"/>
        <v/>
      </c>
      <c r="AP153" s="3" t="str">
        <f t="shared" si="1265"/>
        <v/>
      </c>
      <c r="AQ153" s="3" t="str">
        <f t="shared" ref="AQ153:AQ154" si="1284">IF(AQ152="Documentar",AQ152,AM153)</f>
        <v/>
      </c>
      <c r="AR153" s="3" t="str">
        <f t="shared" ref="AR153:AR154" si="1285">IF(AR152="Asignar responsable",AR152,AN153)</f>
        <v/>
      </c>
      <c r="AT153" s="3" t="str">
        <f t="shared" ref="AT153:AT154" si="1286">IF(AT152="Establecer periodos de seguimiento adecuados",AT152,AO153)</f>
        <v/>
      </c>
      <c r="AV153" s="3" t="str">
        <f t="shared" ref="AV153:AV154" si="1287">IF(AV152="Guardar Evidencias",AV152,AP153)</f>
        <v/>
      </c>
      <c r="AX153" s="502"/>
      <c r="AY153" s="502"/>
      <c r="AZ153" s="502"/>
      <c r="BA153" s="502"/>
      <c r="BB153" s="3" t="str">
        <f t="shared" si="1274"/>
        <v/>
      </c>
      <c r="BC153" s="3" t="str">
        <f t="shared" si="1275"/>
        <v/>
      </c>
      <c r="BD153" s="3" t="str">
        <f t="shared" si="1276"/>
        <v/>
      </c>
      <c r="BE153" s="3" t="str">
        <f t="shared" si="1277"/>
        <v/>
      </c>
      <c r="BF153" s="3" t="str">
        <f t="shared" si="1278"/>
        <v/>
      </c>
      <c r="BG153" s="3" t="str">
        <f t="shared" si="1279"/>
        <v/>
      </c>
      <c r="BH153" s="3" t="str">
        <f t="shared" si="1280"/>
        <v/>
      </c>
      <c r="BI153" s="3" t="str">
        <f t="shared" si="941"/>
        <v/>
      </c>
      <c r="BJ153" s="3" t="str">
        <f t="shared" si="942"/>
        <v/>
      </c>
      <c r="BK153" s="3" t="str">
        <f t="shared" si="943"/>
        <v/>
      </c>
      <c r="BL153" s="3" t="str">
        <f t="shared" si="1281"/>
        <v/>
      </c>
      <c r="BM153" s="3" t="str">
        <f t="shared" si="1282"/>
        <v/>
      </c>
    </row>
    <row r="154" spans="1:65" ht="16.5" thickBot="1" x14ac:dyDescent="0.25">
      <c r="A154" s="495"/>
      <c r="B154" s="496"/>
      <c r="C154" s="356">
        <v>3</v>
      </c>
      <c r="D154" s="56"/>
      <c r="E154" s="240" t="str">
        <f t="shared" si="933"/>
        <v/>
      </c>
      <c r="F154" s="44"/>
      <c r="G154" s="18" t="str">
        <f t="shared" si="1244"/>
        <v/>
      </c>
      <c r="H154" s="44"/>
      <c r="I154" s="18" t="str">
        <f t="shared" si="1245"/>
        <v/>
      </c>
      <c r="J154" s="55" t="str">
        <f t="shared" si="1246"/>
        <v/>
      </c>
      <c r="K154" s="43"/>
      <c r="L154" s="18" t="str">
        <f t="shared" si="1247"/>
        <v/>
      </c>
      <c r="M154" s="43"/>
      <c r="N154" s="18" t="str">
        <f t="shared" si="1248"/>
        <v/>
      </c>
      <c r="O154" s="43"/>
      <c r="P154" s="18" t="str">
        <f t="shared" si="1249"/>
        <v/>
      </c>
      <c r="Q154" s="43"/>
      <c r="R154" s="18" t="str">
        <f t="shared" si="1250"/>
        <v/>
      </c>
      <c r="S154" s="43"/>
      <c r="T154" s="18" t="str">
        <f t="shared" si="1251"/>
        <v/>
      </c>
      <c r="U154" s="43"/>
      <c r="V154" s="18" t="str">
        <f t="shared" si="1252"/>
        <v/>
      </c>
      <c r="W154" s="18">
        <f t="shared" si="1253"/>
        <v>0</v>
      </c>
      <c r="X154" s="57" t="str">
        <f t="shared" si="1254"/>
        <v/>
      </c>
      <c r="Y154" s="57">
        <f t="shared" si="1255"/>
        <v>0</v>
      </c>
      <c r="Z154" s="356"/>
      <c r="AA154" s="499"/>
      <c r="AB154" s="500"/>
      <c r="AM154" s="3" t="str">
        <f t="shared" si="1262"/>
        <v/>
      </c>
      <c r="AN154" s="3" t="str">
        <f t="shared" si="1263"/>
        <v/>
      </c>
      <c r="AO154" s="3" t="str">
        <f t="shared" si="1264"/>
        <v/>
      </c>
      <c r="AP154" s="3" t="str">
        <f t="shared" si="1265"/>
        <v/>
      </c>
      <c r="AQ154" s="3" t="str">
        <f t="shared" si="1284"/>
        <v/>
      </c>
      <c r="AR154" s="3" t="str">
        <f t="shared" si="1285"/>
        <v/>
      </c>
      <c r="AS154" s="3" t="str">
        <f t="shared" ref="AS154" si="1288">IF(AND(AQ154="Documentar",AR154="Asignar responsable"),CONCATENATE("- ",AQ154,", ",AR154),IF(AQ154="Documentar",CONCATENATE("- ",AQ154),IF(AR154="Asignar responsable",CONCATENATE("- ",AR154),"")))</f>
        <v/>
      </c>
      <c r="AT154" s="3" t="str">
        <f t="shared" si="1286"/>
        <v/>
      </c>
      <c r="AU154" s="3" t="str">
        <f t="shared" ref="AU154" si="1289">IF(AT154="",AS154,IF(AS154="",CONCATENATE("- ",AT154),CONCATENATE(AS154,", ",AT154)))</f>
        <v/>
      </c>
      <c r="AV154" s="3" t="str">
        <f t="shared" si="1287"/>
        <v/>
      </c>
      <c r="AW154" s="3" t="str">
        <f t="shared" ref="AW154" si="1290">IF(AV154="",AU154,IF(AU154="",CONCATENATE("- ",AV154),CONCATENATE(AU154,", ",AV154)))</f>
        <v/>
      </c>
      <c r="AX154" s="502"/>
      <c r="AY154" s="502"/>
      <c r="AZ154" s="502"/>
      <c r="BA154" s="502"/>
      <c r="BB154" s="3" t="str">
        <f t="shared" si="1274"/>
        <v/>
      </c>
      <c r="BC154" s="3" t="str">
        <f t="shared" si="1275"/>
        <v/>
      </c>
      <c r="BD154" s="3" t="str">
        <f t="shared" si="1276"/>
        <v/>
      </c>
      <c r="BE154" s="3" t="str">
        <f t="shared" si="1277"/>
        <v/>
      </c>
      <c r="BF154" s="3" t="str">
        <f t="shared" si="1278"/>
        <v/>
      </c>
      <c r="BG154" s="3" t="str">
        <f t="shared" si="1279"/>
        <v/>
      </c>
      <c r="BH154" s="3" t="str">
        <f t="shared" si="1280"/>
        <v/>
      </c>
      <c r="BI154" s="3" t="str">
        <f t="shared" si="941"/>
        <v/>
      </c>
      <c r="BJ154" s="3" t="str">
        <f t="shared" si="942"/>
        <v/>
      </c>
      <c r="BK154" s="3" t="str">
        <f t="shared" si="943"/>
        <v/>
      </c>
      <c r="BL154" s="3" t="str">
        <f t="shared" si="1281"/>
        <v/>
      </c>
      <c r="BM154" s="3" t="str">
        <f t="shared" si="1282"/>
        <v/>
      </c>
    </row>
    <row r="155" spans="1:65" ht="63.75" thickTop="1" x14ac:dyDescent="0.2">
      <c r="A155" s="493" t="str">
        <f>IDENTIFICACIÓN!C58</f>
        <v>21C</v>
      </c>
      <c r="B155" s="496" t="str">
        <f>IF(IDENTIFICACIÓN!D58="","",IDENTIFICACIÓN!D58)</f>
        <v xml:space="preserve">Gestión Financiera. Pago de obligaciones sin el lleno de requisitos. </v>
      </c>
      <c r="C155" s="356">
        <v>1</v>
      </c>
      <c r="D155" s="56" t="s">
        <v>11</v>
      </c>
      <c r="E155" s="240">
        <f t="shared" si="933"/>
        <v>10</v>
      </c>
      <c r="F155" s="44" t="s">
        <v>628</v>
      </c>
      <c r="G155" s="18" t="str">
        <f t="shared" si="1244"/>
        <v/>
      </c>
      <c r="H155" s="44" t="s">
        <v>20</v>
      </c>
      <c r="I155" s="18" t="str">
        <f t="shared" si="1245"/>
        <v/>
      </c>
      <c r="J155" s="55" t="str">
        <f t="shared" si="1246"/>
        <v>Posibilidad</v>
      </c>
      <c r="K155" s="43" t="s">
        <v>11</v>
      </c>
      <c r="L155" s="18">
        <f t="shared" si="1247"/>
        <v>15</v>
      </c>
      <c r="M155" s="43" t="s">
        <v>11</v>
      </c>
      <c r="N155" s="18">
        <f t="shared" si="1248"/>
        <v>30</v>
      </c>
      <c r="O155" s="43" t="s">
        <v>323</v>
      </c>
      <c r="P155" s="18">
        <f t="shared" si="1249"/>
        <v>10</v>
      </c>
      <c r="Q155" s="43" t="s">
        <v>11</v>
      </c>
      <c r="R155" s="18">
        <f t="shared" si="1250"/>
        <v>5</v>
      </c>
      <c r="S155" s="43" t="s">
        <v>11</v>
      </c>
      <c r="T155" s="18">
        <f t="shared" si="1251"/>
        <v>15</v>
      </c>
      <c r="U155" s="43" t="s">
        <v>11</v>
      </c>
      <c r="V155" s="18">
        <f t="shared" si="1252"/>
        <v>10</v>
      </c>
      <c r="W155" s="18">
        <f t="shared" si="1253"/>
        <v>95</v>
      </c>
      <c r="X155" s="57" t="str">
        <f t="shared" si="1254"/>
        <v>95                           Disminuye en Posibilidad</v>
      </c>
      <c r="Y155" s="57">
        <f t="shared" si="1255"/>
        <v>1</v>
      </c>
      <c r="Z155" s="356"/>
      <c r="AA155" s="497">
        <f t="shared" ref="AA155" si="1291">IF(AB155=0,"",(ROUND((SUM(W155:W157)/AB155),0)))</f>
        <v>95</v>
      </c>
      <c r="AB155" s="500">
        <f t="shared" ref="AB155" si="1292">COUNT(T155:T157)</f>
        <v>2</v>
      </c>
      <c r="AC155" s="3">
        <f t="shared" ref="AC155" si="1293">SUM(Y155:Y157)</f>
        <v>2</v>
      </c>
      <c r="AD155" s="3">
        <f>ANALISIS!D60</f>
        <v>3</v>
      </c>
      <c r="AE155" s="3">
        <f t="shared" ref="AE155" si="1294">IF(AND(AD155=5,AC155&gt;1),3,AD155)</f>
        <v>3</v>
      </c>
      <c r="AF155" s="501">
        <f t="shared" si="1260"/>
        <v>3</v>
      </c>
      <c r="AG155" s="355" t="str">
        <f t="shared" si="1261"/>
        <v>MODERADA</v>
      </c>
      <c r="AH155" s="46"/>
      <c r="AI155" s="46"/>
      <c r="AJ155" s="46"/>
      <c r="AK155" s="46"/>
      <c r="AL155" s="46"/>
      <c r="AM155" s="3" t="str">
        <f t="shared" si="1262"/>
        <v/>
      </c>
      <c r="AN155" s="3" t="str">
        <f t="shared" si="1263"/>
        <v/>
      </c>
      <c r="AO155" s="3" t="str">
        <f t="shared" si="1264"/>
        <v/>
      </c>
      <c r="AP155" s="3" t="str">
        <f t="shared" si="1265"/>
        <v/>
      </c>
      <c r="AQ155" s="3" t="str">
        <f t="shared" ref="AQ155" si="1295">AM155</f>
        <v/>
      </c>
      <c r="AR155" s="3" t="str">
        <f t="shared" ref="AR155" si="1296">AN155</f>
        <v/>
      </c>
      <c r="AT155" s="3" t="str">
        <f t="shared" ref="AT155" si="1297">AO155</f>
        <v/>
      </c>
      <c r="AV155" s="3" t="str">
        <f t="shared" ref="AV155" si="1298">AP155</f>
        <v/>
      </c>
      <c r="AX155" s="502" t="str">
        <f t="shared" ref="AX155" si="1299">IF(AW157="","",CONCATENATE(AW157," (de) el(los) control(es) Efectivo(s) "))</f>
        <v/>
      </c>
      <c r="AY155" s="502" t="str">
        <f t="shared" ref="AY155" si="1300">IF(CONCATENATE(N155:N157)="","",IF(AND(SUM(E155:E157)=10,SUM(N155:N157)&lt;30),"- Replantear control(es) NO efectivo(s) ",IF(AND(SUM(E155:E157)=20,SUM(N155:N157)&lt;60),"- Replantear control(es) NO efectivo(s) ",IF(AND(SUM(E155:E157)=30,SUM(N155:N157)&lt;90),"- Replantear control(es) NO efectivo(s) ",""))))</f>
        <v/>
      </c>
      <c r="AZ155" s="502" t="str">
        <f t="shared" ref="AZ155" si="1301">IF(AND(AE155&gt;1,AE156&gt;1),"- Tomar Acciones Preventivas y Correctivas",IF(AE155&gt;1,"- Tomar Acciones Preventivas",IF(AE156&gt;1,"- Tomar Acciones Correctivas","")))</f>
        <v>- Tomar Acciones Preventivas</v>
      </c>
      <c r="BA155" s="502" t="str">
        <f t="shared" ref="BA155" si="1302">CONCATENATE(AX155,AY155,AZ155)</f>
        <v>- Tomar Acciones Preventivas</v>
      </c>
      <c r="BB155" s="3" t="str">
        <f t="shared" si="1274"/>
        <v>SI</v>
      </c>
      <c r="BC155" s="3" t="str">
        <f t="shared" si="1275"/>
        <v/>
      </c>
      <c r="BD155" s="3" t="str">
        <f t="shared" si="1276"/>
        <v>SI</v>
      </c>
      <c r="BE155" s="3" t="str">
        <f t="shared" si="1277"/>
        <v/>
      </c>
      <c r="BF155" s="3" t="str">
        <f t="shared" si="1278"/>
        <v>SI</v>
      </c>
      <c r="BG155" s="3" t="str">
        <f t="shared" si="1279"/>
        <v/>
      </c>
      <c r="BH155" s="3" t="str">
        <f t="shared" si="1280"/>
        <v>P</v>
      </c>
      <c r="BI155" s="3" t="str">
        <f t="shared" si="941"/>
        <v/>
      </c>
      <c r="BJ155" s="3" t="str">
        <f t="shared" si="942"/>
        <v>M</v>
      </c>
      <c r="BK155" s="3" t="str">
        <f t="shared" si="943"/>
        <v/>
      </c>
      <c r="BL155" s="3" t="str">
        <f t="shared" si="1281"/>
        <v>SI</v>
      </c>
      <c r="BM155" s="3" t="str">
        <f t="shared" si="1282"/>
        <v/>
      </c>
    </row>
    <row r="156" spans="1:65" ht="63" x14ac:dyDescent="0.2">
      <c r="A156" s="494"/>
      <c r="B156" s="496"/>
      <c r="C156" s="356">
        <v>2</v>
      </c>
      <c r="D156" s="56" t="s">
        <v>11</v>
      </c>
      <c r="E156" s="240">
        <f t="shared" si="933"/>
        <v>10</v>
      </c>
      <c r="F156" s="44" t="s">
        <v>629</v>
      </c>
      <c r="G156" s="18" t="str">
        <f t="shared" si="1244"/>
        <v/>
      </c>
      <c r="H156" s="44" t="s">
        <v>20</v>
      </c>
      <c r="I156" s="18" t="str">
        <f t="shared" si="1245"/>
        <v/>
      </c>
      <c r="J156" s="55" t="str">
        <f t="shared" si="1246"/>
        <v>Posibilidad</v>
      </c>
      <c r="K156" s="43" t="s">
        <v>11</v>
      </c>
      <c r="L156" s="18">
        <f t="shared" si="1247"/>
        <v>15</v>
      </c>
      <c r="M156" s="43" t="s">
        <v>11</v>
      </c>
      <c r="N156" s="18">
        <f t="shared" si="1248"/>
        <v>30</v>
      </c>
      <c r="O156" s="43" t="s">
        <v>323</v>
      </c>
      <c r="P156" s="18">
        <f t="shared" si="1249"/>
        <v>10</v>
      </c>
      <c r="Q156" s="43" t="s">
        <v>11</v>
      </c>
      <c r="R156" s="18">
        <f t="shared" si="1250"/>
        <v>5</v>
      </c>
      <c r="S156" s="43" t="s">
        <v>11</v>
      </c>
      <c r="T156" s="18">
        <f t="shared" si="1251"/>
        <v>15</v>
      </c>
      <c r="U156" s="43" t="s">
        <v>11</v>
      </c>
      <c r="V156" s="18">
        <f t="shared" si="1252"/>
        <v>10</v>
      </c>
      <c r="W156" s="18">
        <f t="shared" si="1253"/>
        <v>95</v>
      </c>
      <c r="X156" s="57" t="str">
        <f t="shared" si="1254"/>
        <v>95                           Disminuye en Posibilidad</v>
      </c>
      <c r="Y156" s="57">
        <f t="shared" si="1255"/>
        <v>1</v>
      </c>
      <c r="Z156" s="356"/>
      <c r="AA156" s="498"/>
      <c r="AB156" s="500"/>
      <c r="AC156" s="3" t="s">
        <v>352</v>
      </c>
      <c r="AF156" s="501"/>
      <c r="AG156" s="46" t="str">
        <f t="shared" ref="AG156" si="1303">IF(AG155&gt;0,"- Evitar Posibilidad de Ocurrencia- Reducir el Riesgo","")</f>
        <v>- Evitar Posibilidad de Ocurrencia- Reducir el Riesgo</v>
      </c>
      <c r="AH156" s="46"/>
      <c r="AI156" s="46"/>
      <c r="AJ156" s="46"/>
      <c r="AK156" s="46"/>
      <c r="AL156" s="46"/>
      <c r="AM156" s="3" t="str">
        <f t="shared" si="1262"/>
        <v/>
      </c>
      <c r="AN156" s="3" t="str">
        <f t="shared" si="1263"/>
        <v/>
      </c>
      <c r="AO156" s="3" t="str">
        <f t="shared" si="1264"/>
        <v/>
      </c>
      <c r="AP156" s="3" t="str">
        <f t="shared" si="1265"/>
        <v/>
      </c>
      <c r="AQ156" s="3" t="str">
        <f t="shared" ref="AQ156:AQ157" si="1304">IF(AQ155="Documentar",AQ155,AM156)</f>
        <v/>
      </c>
      <c r="AR156" s="3" t="str">
        <f t="shared" ref="AR156:AR157" si="1305">IF(AR155="Asignar responsable",AR155,AN156)</f>
        <v/>
      </c>
      <c r="AT156" s="3" t="str">
        <f t="shared" ref="AT156:AT157" si="1306">IF(AT155="Establecer periodos de seguimiento adecuados",AT155,AO156)</f>
        <v/>
      </c>
      <c r="AV156" s="3" t="str">
        <f t="shared" ref="AV156:AV157" si="1307">IF(AV155="Guardar Evidencias",AV155,AP156)</f>
        <v/>
      </c>
      <c r="AX156" s="502"/>
      <c r="AY156" s="502"/>
      <c r="AZ156" s="502"/>
      <c r="BA156" s="502"/>
      <c r="BB156" s="3" t="str">
        <f t="shared" si="1274"/>
        <v>SI</v>
      </c>
      <c r="BC156" s="3" t="str">
        <f t="shared" si="1275"/>
        <v/>
      </c>
      <c r="BD156" s="3" t="str">
        <f t="shared" si="1276"/>
        <v>SI</v>
      </c>
      <c r="BE156" s="3" t="str">
        <f t="shared" si="1277"/>
        <v/>
      </c>
      <c r="BF156" s="3" t="str">
        <f t="shared" si="1278"/>
        <v>SI</v>
      </c>
      <c r="BG156" s="3" t="str">
        <f t="shared" si="1279"/>
        <v/>
      </c>
      <c r="BH156" s="3" t="str">
        <f t="shared" si="1280"/>
        <v>P</v>
      </c>
      <c r="BI156" s="3" t="str">
        <f t="shared" si="941"/>
        <v/>
      </c>
      <c r="BJ156" s="3" t="str">
        <f t="shared" si="942"/>
        <v>M</v>
      </c>
      <c r="BK156" s="3" t="str">
        <f t="shared" si="943"/>
        <v/>
      </c>
      <c r="BL156" s="3" t="str">
        <f t="shared" si="1281"/>
        <v>SI</v>
      </c>
      <c r="BM156" s="3" t="str">
        <f t="shared" si="1282"/>
        <v/>
      </c>
    </row>
    <row r="157" spans="1:65" ht="16.5" thickBot="1" x14ac:dyDescent="0.25">
      <c r="A157" s="495"/>
      <c r="B157" s="496"/>
      <c r="C157" s="356">
        <v>3</v>
      </c>
      <c r="D157" s="56"/>
      <c r="E157" s="240" t="str">
        <f t="shared" si="933"/>
        <v/>
      </c>
      <c r="F157" s="44"/>
      <c r="G157" s="18" t="str">
        <f t="shared" si="1244"/>
        <v/>
      </c>
      <c r="H157" s="44"/>
      <c r="I157" s="18" t="str">
        <f t="shared" si="1245"/>
        <v/>
      </c>
      <c r="J157" s="55" t="str">
        <f t="shared" si="1246"/>
        <v/>
      </c>
      <c r="K157" s="43"/>
      <c r="L157" s="18" t="str">
        <f t="shared" si="1247"/>
        <v/>
      </c>
      <c r="M157" s="43"/>
      <c r="N157" s="18" t="str">
        <f t="shared" si="1248"/>
        <v/>
      </c>
      <c r="O157" s="43"/>
      <c r="P157" s="18" t="str">
        <f t="shared" si="1249"/>
        <v/>
      </c>
      <c r="Q157" s="43"/>
      <c r="R157" s="18" t="str">
        <f t="shared" si="1250"/>
        <v/>
      </c>
      <c r="S157" s="43"/>
      <c r="T157" s="18" t="str">
        <f t="shared" si="1251"/>
        <v/>
      </c>
      <c r="U157" s="43"/>
      <c r="V157" s="18" t="str">
        <f t="shared" si="1252"/>
        <v/>
      </c>
      <c r="W157" s="18">
        <f t="shared" si="1253"/>
        <v>0</v>
      </c>
      <c r="X157" s="57" t="str">
        <f t="shared" si="1254"/>
        <v/>
      </c>
      <c r="Y157" s="57">
        <f t="shared" si="1255"/>
        <v>0</v>
      </c>
      <c r="Z157" s="356"/>
      <c r="AA157" s="499"/>
      <c r="AB157" s="500"/>
      <c r="AM157" s="3" t="str">
        <f t="shared" si="1262"/>
        <v/>
      </c>
      <c r="AN157" s="3" t="str">
        <f t="shared" si="1263"/>
        <v/>
      </c>
      <c r="AO157" s="3" t="str">
        <f t="shared" si="1264"/>
        <v/>
      </c>
      <c r="AP157" s="3" t="str">
        <f t="shared" si="1265"/>
        <v/>
      </c>
      <c r="AQ157" s="3" t="str">
        <f t="shared" si="1304"/>
        <v/>
      </c>
      <c r="AR157" s="3" t="str">
        <f t="shared" si="1305"/>
        <v/>
      </c>
      <c r="AS157" s="3" t="str">
        <f t="shared" ref="AS157" si="1308">IF(AND(AQ157="Documentar",AR157="Asignar responsable"),CONCATENATE("- ",AQ157,", ",AR157),IF(AQ157="Documentar",CONCATENATE("- ",AQ157),IF(AR157="Asignar responsable",CONCATENATE("- ",AR157),"")))</f>
        <v/>
      </c>
      <c r="AT157" s="3" t="str">
        <f t="shared" si="1306"/>
        <v/>
      </c>
      <c r="AU157" s="3" t="str">
        <f t="shared" ref="AU157" si="1309">IF(AT157="",AS157,IF(AS157="",CONCATENATE("- ",AT157),CONCATENATE(AS157,", ",AT157)))</f>
        <v/>
      </c>
      <c r="AV157" s="3" t="str">
        <f t="shared" si="1307"/>
        <v/>
      </c>
      <c r="AW157" s="3" t="str">
        <f t="shared" ref="AW157" si="1310">IF(AV157="",AU157,IF(AU157="",CONCATENATE("- ",AV157),CONCATENATE(AU157,", ",AV157)))</f>
        <v/>
      </c>
      <c r="AX157" s="502"/>
      <c r="AY157" s="502"/>
      <c r="AZ157" s="502"/>
      <c r="BA157" s="502"/>
      <c r="BB157" s="3" t="str">
        <f t="shared" si="1274"/>
        <v/>
      </c>
      <c r="BC157" s="3" t="str">
        <f t="shared" si="1275"/>
        <v/>
      </c>
      <c r="BD157" s="3" t="str">
        <f t="shared" si="1276"/>
        <v/>
      </c>
      <c r="BE157" s="3" t="str">
        <f t="shared" si="1277"/>
        <v/>
      </c>
      <c r="BF157" s="3" t="str">
        <f t="shared" si="1278"/>
        <v/>
      </c>
      <c r="BG157" s="3" t="str">
        <f t="shared" si="1279"/>
        <v/>
      </c>
      <c r="BH157" s="3" t="str">
        <f t="shared" si="1280"/>
        <v/>
      </c>
      <c r="BI157" s="3" t="str">
        <f t="shared" si="941"/>
        <v/>
      </c>
      <c r="BJ157" s="3" t="str">
        <f t="shared" si="942"/>
        <v/>
      </c>
      <c r="BK157" s="3" t="str">
        <f t="shared" si="943"/>
        <v/>
      </c>
      <c r="BL157" s="3" t="str">
        <f t="shared" si="1281"/>
        <v/>
      </c>
      <c r="BM157" s="3" t="str">
        <f t="shared" si="1282"/>
        <v/>
      </c>
    </row>
    <row r="158" spans="1:65" ht="36.75" thickTop="1" x14ac:dyDescent="0.2">
      <c r="A158" s="493" t="str">
        <f>IDENTIFICACIÓN!C59</f>
        <v>22C</v>
      </c>
      <c r="B158" s="496" t="str">
        <f>IF(IDENTIFICACIÓN!D59="","",IDENTIFICACIÓN!D59)</f>
        <v>Gestión Financiera. Perdida de titulos valores</v>
      </c>
      <c r="C158" s="356">
        <v>1</v>
      </c>
      <c r="D158" s="56" t="s">
        <v>11</v>
      </c>
      <c r="E158" s="240">
        <f t="shared" si="933"/>
        <v>10</v>
      </c>
      <c r="F158" s="44" t="s">
        <v>630</v>
      </c>
      <c r="G158" s="18" t="str">
        <f t="shared" si="1244"/>
        <v/>
      </c>
      <c r="H158" s="44" t="s">
        <v>20</v>
      </c>
      <c r="I158" s="18" t="str">
        <f t="shared" si="1245"/>
        <v/>
      </c>
      <c r="J158" s="55" t="str">
        <f t="shared" si="1246"/>
        <v>Posibilidad</v>
      </c>
      <c r="K158" s="43" t="s">
        <v>11</v>
      </c>
      <c r="L158" s="18">
        <f t="shared" si="1247"/>
        <v>15</v>
      </c>
      <c r="M158" s="43" t="s">
        <v>11</v>
      </c>
      <c r="N158" s="18">
        <f t="shared" si="1248"/>
        <v>30</v>
      </c>
      <c r="O158" s="43" t="s">
        <v>323</v>
      </c>
      <c r="P158" s="18">
        <f t="shared" si="1249"/>
        <v>10</v>
      </c>
      <c r="Q158" s="43" t="s">
        <v>11</v>
      </c>
      <c r="R158" s="18">
        <f t="shared" si="1250"/>
        <v>5</v>
      </c>
      <c r="S158" s="43" t="s">
        <v>11</v>
      </c>
      <c r="T158" s="18">
        <f t="shared" si="1251"/>
        <v>15</v>
      </c>
      <c r="U158" s="43" t="s">
        <v>11</v>
      </c>
      <c r="V158" s="18">
        <f t="shared" si="1252"/>
        <v>10</v>
      </c>
      <c r="W158" s="18">
        <f t="shared" si="1253"/>
        <v>95</v>
      </c>
      <c r="X158" s="57" t="str">
        <f t="shared" si="1254"/>
        <v>95                           Disminuye en Posibilidad</v>
      </c>
      <c r="Y158" s="57">
        <f t="shared" si="1255"/>
        <v>1</v>
      </c>
      <c r="Z158" s="356"/>
      <c r="AA158" s="497">
        <f t="shared" ref="AA158" si="1311">IF(AB158=0,"",(ROUND((SUM(W158:W160)/AB158),0)))</f>
        <v>95</v>
      </c>
      <c r="AB158" s="500">
        <f t="shared" ref="AB158" si="1312">COUNT(T158:T160)</f>
        <v>2</v>
      </c>
      <c r="AC158" s="3">
        <f t="shared" ref="AC158" si="1313">SUM(Y158:Y160)</f>
        <v>2</v>
      </c>
      <c r="AD158" s="3">
        <f>ANALISIS!D61</f>
        <v>3</v>
      </c>
      <c r="AE158" s="3">
        <f t="shared" ref="AE158" si="1314">IF(AND(AD158=5,AC158&gt;1),3,AD158)</f>
        <v>3</v>
      </c>
      <c r="AF158" s="501">
        <f t="shared" si="1260"/>
        <v>3</v>
      </c>
      <c r="AG158" s="355" t="str">
        <f t="shared" si="1261"/>
        <v>MODERADA</v>
      </c>
      <c r="AH158" s="46"/>
      <c r="AI158" s="46"/>
      <c r="AJ158" s="46"/>
      <c r="AK158" s="46"/>
      <c r="AL158" s="46"/>
      <c r="AM158" s="3" t="str">
        <f t="shared" si="1262"/>
        <v/>
      </c>
      <c r="AN158" s="3" t="str">
        <f t="shared" si="1263"/>
        <v/>
      </c>
      <c r="AO158" s="3" t="str">
        <f t="shared" si="1264"/>
        <v/>
      </c>
      <c r="AP158" s="3" t="str">
        <f t="shared" si="1265"/>
        <v/>
      </c>
      <c r="AQ158" s="3" t="str">
        <f t="shared" ref="AQ158" si="1315">AM158</f>
        <v/>
      </c>
      <c r="AR158" s="3" t="str">
        <f t="shared" ref="AR158" si="1316">AN158</f>
        <v/>
      </c>
      <c r="AT158" s="3" t="str">
        <f t="shared" ref="AT158" si="1317">AO158</f>
        <v/>
      </c>
      <c r="AV158" s="3" t="str">
        <f t="shared" ref="AV158" si="1318">AP158</f>
        <v/>
      </c>
      <c r="AX158" s="502" t="str">
        <f t="shared" ref="AX158" si="1319">IF(AW160="","",CONCATENATE(AW160," (de) el(los) control(es) Efectivo(s) "))</f>
        <v/>
      </c>
      <c r="AY158" s="502" t="str">
        <f t="shared" ref="AY158" si="1320">IF(CONCATENATE(N158:N160)="","",IF(AND(SUM(E158:E160)=10,SUM(N158:N160)&lt;30),"- Replantear control(es) NO efectivo(s) ",IF(AND(SUM(E158:E160)=20,SUM(N158:N160)&lt;60),"- Replantear control(es) NO efectivo(s) ",IF(AND(SUM(E158:E160)=30,SUM(N158:N160)&lt;90),"- Replantear control(es) NO efectivo(s) ",""))))</f>
        <v/>
      </c>
      <c r="AZ158" s="502" t="str">
        <f t="shared" ref="AZ158" si="1321">IF(AND(AE158&gt;1,AE159&gt;1),"- Tomar Acciones Preventivas y Correctivas",IF(AE158&gt;1,"- Tomar Acciones Preventivas",IF(AE159&gt;1,"- Tomar Acciones Correctivas","")))</f>
        <v>- Tomar Acciones Preventivas</v>
      </c>
      <c r="BA158" s="502" t="str">
        <f t="shared" ref="BA158" si="1322">CONCATENATE(AX158,AY158,AZ158)</f>
        <v>- Tomar Acciones Preventivas</v>
      </c>
      <c r="BB158" s="3" t="str">
        <f t="shared" si="1274"/>
        <v>SI</v>
      </c>
      <c r="BC158" s="3" t="str">
        <f t="shared" si="1275"/>
        <v/>
      </c>
      <c r="BD158" s="3" t="str">
        <f t="shared" si="1276"/>
        <v>SI</v>
      </c>
      <c r="BE158" s="3" t="str">
        <f t="shared" si="1277"/>
        <v/>
      </c>
      <c r="BF158" s="3" t="str">
        <f t="shared" si="1278"/>
        <v>SI</v>
      </c>
      <c r="BG158" s="3" t="str">
        <f t="shared" si="1279"/>
        <v/>
      </c>
      <c r="BH158" s="3" t="str">
        <f t="shared" si="1280"/>
        <v>P</v>
      </c>
      <c r="BI158" s="3" t="str">
        <f t="shared" si="941"/>
        <v/>
      </c>
      <c r="BJ158" s="3" t="str">
        <f t="shared" si="942"/>
        <v>M</v>
      </c>
      <c r="BK158" s="3" t="str">
        <f t="shared" si="943"/>
        <v/>
      </c>
      <c r="BL158" s="3" t="str">
        <f t="shared" si="1281"/>
        <v>SI</v>
      </c>
      <c r="BM158" s="3" t="str">
        <f t="shared" si="1282"/>
        <v/>
      </c>
    </row>
    <row r="159" spans="1:65" ht="63" x14ac:dyDescent="0.2">
      <c r="A159" s="494"/>
      <c r="B159" s="496"/>
      <c r="C159" s="356">
        <v>2</v>
      </c>
      <c r="D159" s="56" t="s">
        <v>11</v>
      </c>
      <c r="E159" s="240">
        <f t="shared" si="933"/>
        <v>10</v>
      </c>
      <c r="F159" s="44" t="s">
        <v>631</v>
      </c>
      <c r="G159" s="18" t="str">
        <f t="shared" si="1244"/>
        <v/>
      </c>
      <c r="H159" s="44" t="s">
        <v>20</v>
      </c>
      <c r="I159" s="18" t="str">
        <f t="shared" si="1245"/>
        <v/>
      </c>
      <c r="J159" s="55" t="str">
        <f t="shared" si="1246"/>
        <v>Posibilidad</v>
      </c>
      <c r="K159" s="43" t="s">
        <v>11</v>
      </c>
      <c r="L159" s="18">
        <f t="shared" si="1247"/>
        <v>15</v>
      </c>
      <c r="M159" s="43" t="s">
        <v>11</v>
      </c>
      <c r="N159" s="18">
        <f t="shared" si="1248"/>
        <v>30</v>
      </c>
      <c r="O159" s="43" t="s">
        <v>323</v>
      </c>
      <c r="P159" s="18">
        <f t="shared" si="1249"/>
        <v>10</v>
      </c>
      <c r="Q159" s="43" t="s">
        <v>11</v>
      </c>
      <c r="R159" s="18">
        <f t="shared" si="1250"/>
        <v>5</v>
      </c>
      <c r="S159" s="43" t="s">
        <v>11</v>
      </c>
      <c r="T159" s="18">
        <f t="shared" si="1251"/>
        <v>15</v>
      </c>
      <c r="U159" s="43" t="s">
        <v>11</v>
      </c>
      <c r="V159" s="18">
        <f t="shared" si="1252"/>
        <v>10</v>
      </c>
      <c r="W159" s="18">
        <f t="shared" si="1253"/>
        <v>95</v>
      </c>
      <c r="X159" s="57" t="str">
        <f t="shared" si="1254"/>
        <v>95                           Disminuye en Posibilidad</v>
      </c>
      <c r="Y159" s="57">
        <f t="shared" si="1255"/>
        <v>1</v>
      </c>
      <c r="Z159" s="356"/>
      <c r="AA159" s="498"/>
      <c r="AB159" s="500"/>
      <c r="AC159" s="3" t="s">
        <v>352</v>
      </c>
      <c r="AF159" s="501"/>
      <c r="AG159" s="46" t="str">
        <f t="shared" ref="AG159" si="1323">IF(AG158&gt;0,"- Evitar Posibilidad de Ocurrencia- Reducir el Riesgo","")</f>
        <v>- Evitar Posibilidad de Ocurrencia- Reducir el Riesgo</v>
      </c>
      <c r="AH159" s="46"/>
      <c r="AI159" s="46"/>
      <c r="AJ159" s="46"/>
      <c r="AK159" s="46"/>
      <c r="AL159" s="46"/>
      <c r="AM159" s="3" t="str">
        <f t="shared" si="1262"/>
        <v/>
      </c>
      <c r="AN159" s="3" t="str">
        <f t="shared" si="1263"/>
        <v/>
      </c>
      <c r="AO159" s="3" t="str">
        <f t="shared" si="1264"/>
        <v/>
      </c>
      <c r="AP159" s="3" t="str">
        <f t="shared" si="1265"/>
        <v/>
      </c>
      <c r="AQ159" s="3" t="str">
        <f t="shared" ref="AQ159:AQ160" si="1324">IF(AQ158="Documentar",AQ158,AM159)</f>
        <v/>
      </c>
      <c r="AR159" s="3" t="str">
        <f t="shared" ref="AR159:AR160" si="1325">IF(AR158="Asignar responsable",AR158,AN159)</f>
        <v/>
      </c>
      <c r="AT159" s="3" t="str">
        <f t="shared" ref="AT159:AT160" si="1326">IF(AT158="Establecer periodos de seguimiento adecuados",AT158,AO159)</f>
        <v/>
      </c>
      <c r="AV159" s="3" t="str">
        <f t="shared" ref="AV159:AV160" si="1327">IF(AV158="Guardar Evidencias",AV158,AP159)</f>
        <v/>
      </c>
      <c r="AX159" s="502"/>
      <c r="AY159" s="502"/>
      <c r="AZ159" s="502"/>
      <c r="BA159" s="502"/>
      <c r="BB159" s="3" t="str">
        <f t="shared" si="1274"/>
        <v>SI</v>
      </c>
      <c r="BC159" s="3" t="str">
        <f t="shared" si="1275"/>
        <v/>
      </c>
      <c r="BD159" s="3" t="str">
        <f t="shared" si="1276"/>
        <v>SI</v>
      </c>
      <c r="BE159" s="3" t="str">
        <f t="shared" si="1277"/>
        <v/>
      </c>
      <c r="BF159" s="3" t="str">
        <f t="shared" si="1278"/>
        <v>SI</v>
      </c>
      <c r="BG159" s="3" t="str">
        <f t="shared" si="1279"/>
        <v/>
      </c>
      <c r="BH159" s="3" t="str">
        <f t="shared" si="1280"/>
        <v>P</v>
      </c>
      <c r="BI159" s="3" t="str">
        <f t="shared" si="941"/>
        <v/>
      </c>
      <c r="BJ159" s="3" t="str">
        <f t="shared" si="942"/>
        <v>M</v>
      </c>
      <c r="BK159" s="3" t="str">
        <f t="shared" si="943"/>
        <v/>
      </c>
      <c r="BL159" s="3" t="str">
        <f t="shared" si="1281"/>
        <v>SI</v>
      </c>
      <c r="BM159" s="3" t="str">
        <f t="shared" si="1282"/>
        <v/>
      </c>
    </row>
    <row r="160" spans="1:65" ht="16.5" thickBot="1" x14ac:dyDescent="0.25">
      <c r="A160" s="495"/>
      <c r="B160" s="496"/>
      <c r="C160" s="356">
        <v>3</v>
      </c>
      <c r="D160" s="56"/>
      <c r="E160" s="240" t="str">
        <f t="shared" si="933"/>
        <v/>
      </c>
      <c r="F160" s="44"/>
      <c r="G160" s="18" t="str">
        <f t="shared" si="1244"/>
        <v/>
      </c>
      <c r="H160" s="44"/>
      <c r="I160" s="18" t="str">
        <f t="shared" si="1245"/>
        <v/>
      </c>
      <c r="J160" s="55" t="str">
        <f t="shared" si="1246"/>
        <v/>
      </c>
      <c r="K160" s="43"/>
      <c r="L160" s="18" t="str">
        <f t="shared" si="1247"/>
        <v/>
      </c>
      <c r="M160" s="43"/>
      <c r="N160" s="18" t="str">
        <f t="shared" si="1248"/>
        <v/>
      </c>
      <c r="O160" s="43"/>
      <c r="P160" s="18" t="str">
        <f t="shared" si="1249"/>
        <v/>
      </c>
      <c r="Q160" s="43"/>
      <c r="R160" s="18" t="str">
        <f t="shared" si="1250"/>
        <v/>
      </c>
      <c r="S160" s="43"/>
      <c r="T160" s="18" t="str">
        <f t="shared" si="1251"/>
        <v/>
      </c>
      <c r="U160" s="43"/>
      <c r="V160" s="18" t="str">
        <f t="shared" si="1252"/>
        <v/>
      </c>
      <c r="W160" s="18">
        <f t="shared" si="1253"/>
        <v>0</v>
      </c>
      <c r="X160" s="57" t="str">
        <f t="shared" si="1254"/>
        <v/>
      </c>
      <c r="Y160" s="57">
        <f t="shared" si="1255"/>
        <v>0</v>
      </c>
      <c r="Z160" s="356"/>
      <c r="AA160" s="499"/>
      <c r="AB160" s="500"/>
      <c r="AM160" s="3" t="str">
        <f t="shared" si="1262"/>
        <v/>
      </c>
      <c r="AN160" s="3" t="str">
        <f t="shared" si="1263"/>
        <v/>
      </c>
      <c r="AO160" s="3" t="str">
        <f t="shared" si="1264"/>
        <v/>
      </c>
      <c r="AP160" s="3" t="str">
        <f t="shared" si="1265"/>
        <v/>
      </c>
      <c r="AQ160" s="3" t="str">
        <f t="shared" si="1324"/>
        <v/>
      </c>
      <c r="AR160" s="3" t="str">
        <f t="shared" si="1325"/>
        <v/>
      </c>
      <c r="AS160" s="3" t="str">
        <f t="shared" ref="AS160" si="1328">IF(AND(AQ160="Documentar",AR160="Asignar responsable"),CONCATENATE("- ",AQ160,", ",AR160),IF(AQ160="Documentar",CONCATENATE("- ",AQ160),IF(AR160="Asignar responsable",CONCATENATE("- ",AR160),"")))</f>
        <v/>
      </c>
      <c r="AT160" s="3" t="str">
        <f t="shared" si="1326"/>
        <v/>
      </c>
      <c r="AU160" s="3" t="str">
        <f t="shared" ref="AU160" si="1329">IF(AT160="",AS160,IF(AS160="",CONCATENATE("- ",AT160),CONCATENATE(AS160,", ",AT160)))</f>
        <v/>
      </c>
      <c r="AV160" s="3" t="str">
        <f t="shared" si="1327"/>
        <v/>
      </c>
      <c r="AW160" s="3" t="str">
        <f t="shared" ref="AW160" si="1330">IF(AV160="",AU160,IF(AU160="",CONCATENATE("- ",AV160),CONCATENATE(AU160,", ",AV160)))</f>
        <v/>
      </c>
      <c r="AX160" s="502"/>
      <c r="AY160" s="502"/>
      <c r="AZ160" s="502"/>
      <c r="BA160" s="502"/>
      <c r="BB160" s="3" t="str">
        <f t="shared" si="1274"/>
        <v/>
      </c>
      <c r="BC160" s="3" t="str">
        <f t="shared" si="1275"/>
        <v/>
      </c>
      <c r="BD160" s="3" t="str">
        <f t="shared" si="1276"/>
        <v/>
      </c>
      <c r="BE160" s="3" t="str">
        <f t="shared" si="1277"/>
        <v/>
      </c>
      <c r="BF160" s="3" t="str">
        <f t="shared" si="1278"/>
        <v/>
      </c>
      <c r="BG160" s="3" t="str">
        <f t="shared" si="1279"/>
        <v/>
      </c>
      <c r="BH160" s="3" t="str">
        <f t="shared" si="1280"/>
        <v/>
      </c>
      <c r="BI160" s="3" t="str">
        <f t="shared" si="941"/>
        <v/>
      </c>
      <c r="BJ160" s="3" t="str">
        <f t="shared" si="942"/>
        <v/>
      </c>
      <c r="BK160" s="3" t="str">
        <f t="shared" si="943"/>
        <v/>
      </c>
      <c r="BL160" s="3" t="str">
        <f t="shared" si="1281"/>
        <v/>
      </c>
      <c r="BM160" s="3" t="str">
        <f t="shared" si="1282"/>
        <v/>
      </c>
    </row>
    <row r="161" spans="1:65" ht="36.75" thickTop="1" x14ac:dyDescent="0.2">
      <c r="A161" s="493" t="str">
        <f>IDENTIFICACIÓN!C60</f>
        <v>23C</v>
      </c>
      <c r="B161" s="496" t="str">
        <f>IF(IDENTIFICACIÓN!D60="","",IDENTIFICACIÓN!D60)</f>
        <v>Gestión Financiera. Omisión en la aplicación  de la normatividad vigente en los procesos de la Gestión Financiera</v>
      </c>
      <c r="C161" s="356">
        <v>1</v>
      </c>
      <c r="D161" s="56" t="s">
        <v>11</v>
      </c>
      <c r="E161" s="240">
        <f t="shared" si="933"/>
        <v>10</v>
      </c>
      <c r="F161" s="44" t="s">
        <v>632</v>
      </c>
      <c r="G161" s="18" t="str">
        <f t="shared" si="1244"/>
        <v/>
      </c>
      <c r="H161" s="44" t="s">
        <v>20</v>
      </c>
      <c r="I161" s="18" t="str">
        <f t="shared" si="1245"/>
        <v/>
      </c>
      <c r="J161" s="55" t="str">
        <f t="shared" si="1246"/>
        <v>Posibilidad</v>
      </c>
      <c r="K161" s="43" t="s">
        <v>11</v>
      </c>
      <c r="L161" s="18">
        <f t="shared" si="1247"/>
        <v>15</v>
      </c>
      <c r="M161" s="43" t="s">
        <v>11</v>
      </c>
      <c r="N161" s="18">
        <f t="shared" si="1248"/>
        <v>30</v>
      </c>
      <c r="O161" s="43" t="s">
        <v>323</v>
      </c>
      <c r="P161" s="18">
        <f t="shared" si="1249"/>
        <v>10</v>
      </c>
      <c r="Q161" s="43" t="s">
        <v>11</v>
      </c>
      <c r="R161" s="18">
        <f t="shared" si="1250"/>
        <v>5</v>
      </c>
      <c r="S161" s="43" t="s">
        <v>11</v>
      </c>
      <c r="T161" s="18">
        <f t="shared" si="1251"/>
        <v>15</v>
      </c>
      <c r="U161" s="43" t="s">
        <v>11</v>
      </c>
      <c r="V161" s="18">
        <f t="shared" si="1252"/>
        <v>10</v>
      </c>
      <c r="W161" s="18">
        <f t="shared" si="1253"/>
        <v>95</v>
      </c>
      <c r="X161" s="57" t="str">
        <f t="shared" si="1254"/>
        <v>95                           Disminuye en Posibilidad</v>
      </c>
      <c r="Y161" s="57">
        <f t="shared" si="1255"/>
        <v>1</v>
      </c>
      <c r="Z161" s="356"/>
      <c r="AA161" s="497">
        <f t="shared" ref="AA161" si="1331">IF(AB161=0,"",(ROUND((SUM(W161:W163)/AB161),0)))</f>
        <v>95</v>
      </c>
      <c r="AB161" s="500">
        <f t="shared" ref="AB161" si="1332">COUNT(T161:T163)</f>
        <v>3</v>
      </c>
      <c r="AC161" s="3">
        <f t="shared" ref="AC161" si="1333">SUM(Y161:Y163)</f>
        <v>2</v>
      </c>
      <c r="AD161" s="3">
        <f>ANALISIS!D62</f>
        <v>3</v>
      </c>
      <c r="AE161" s="3">
        <f t="shared" ref="AE161" si="1334">IF(AND(AD161=5,AC161&gt;1),3,AD161)</f>
        <v>3</v>
      </c>
      <c r="AF161" s="501">
        <f t="shared" si="1260"/>
        <v>3</v>
      </c>
      <c r="AG161" s="355" t="str">
        <f t="shared" si="1261"/>
        <v>MODERADA</v>
      </c>
      <c r="AH161" s="46"/>
      <c r="AI161" s="46"/>
      <c r="AJ161" s="46"/>
      <c r="AK161" s="46"/>
      <c r="AL161" s="46"/>
      <c r="AM161" s="3" t="str">
        <f t="shared" si="1262"/>
        <v/>
      </c>
      <c r="AN161" s="3" t="str">
        <f t="shared" si="1263"/>
        <v/>
      </c>
      <c r="AO161" s="3" t="str">
        <f t="shared" si="1264"/>
        <v/>
      </c>
      <c r="AP161" s="3" t="str">
        <f t="shared" si="1265"/>
        <v/>
      </c>
      <c r="AQ161" s="3" t="str">
        <f t="shared" ref="AQ161" si="1335">AM161</f>
        <v/>
      </c>
      <c r="AR161" s="3" t="str">
        <f t="shared" ref="AR161" si="1336">AN161</f>
        <v/>
      </c>
      <c r="AT161" s="3" t="str">
        <f t="shared" ref="AT161" si="1337">AO161</f>
        <v/>
      </c>
      <c r="AV161" s="3" t="str">
        <f t="shared" ref="AV161" si="1338">AP161</f>
        <v/>
      </c>
      <c r="AX161" s="502" t="str">
        <f t="shared" ref="AX161" si="1339">IF(AW163="","",CONCATENATE(AW163," (de) el(los) control(es) Efectivo(s) "))</f>
        <v/>
      </c>
      <c r="AY161" s="502" t="str">
        <f t="shared" ref="AY161" si="1340">IF(CONCATENATE(N161:N163)="","",IF(AND(SUM(E161:E163)=10,SUM(N161:N163)&lt;30),"- Replantear control(es) NO efectivo(s) ",IF(AND(SUM(E161:E163)=20,SUM(N161:N163)&lt;60),"- Replantear control(es) NO efectivo(s) ",IF(AND(SUM(E161:E163)=30,SUM(N161:N163)&lt;90),"- Replantear control(es) NO efectivo(s) ",""))))</f>
        <v/>
      </c>
      <c r="AZ161" s="502" t="str">
        <f t="shared" ref="AZ161" si="1341">IF(AND(AE161&gt;1,AE162&gt;1),"- Tomar Acciones Preventivas y Correctivas",IF(AE161&gt;1,"- Tomar Acciones Preventivas",IF(AE162&gt;1,"- Tomar Acciones Correctivas","")))</f>
        <v>- Tomar Acciones Preventivas</v>
      </c>
      <c r="BA161" s="502" t="str">
        <f t="shared" ref="BA161" si="1342">CONCATENATE(AX161,AY161,AZ161)</f>
        <v>- Tomar Acciones Preventivas</v>
      </c>
      <c r="BB161" s="3" t="str">
        <f t="shared" si="1274"/>
        <v>SI</v>
      </c>
      <c r="BC161" s="3" t="str">
        <f t="shared" si="1275"/>
        <v/>
      </c>
      <c r="BD161" s="3" t="str">
        <f t="shared" si="1276"/>
        <v>SI</v>
      </c>
      <c r="BE161" s="3" t="str">
        <f t="shared" si="1277"/>
        <v/>
      </c>
      <c r="BF161" s="3" t="str">
        <f t="shared" si="1278"/>
        <v>SI</v>
      </c>
      <c r="BG161" s="3" t="str">
        <f t="shared" si="1279"/>
        <v/>
      </c>
      <c r="BH161" s="3" t="str">
        <f t="shared" si="1280"/>
        <v>P</v>
      </c>
      <c r="BI161" s="3" t="str">
        <f t="shared" si="941"/>
        <v/>
      </c>
      <c r="BJ161" s="3" t="str">
        <f t="shared" si="942"/>
        <v>M</v>
      </c>
      <c r="BK161" s="3" t="str">
        <f t="shared" si="943"/>
        <v/>
      </c>
      <c r="BL161" s="3" t="str">
        <f t="shared" si="1281"/>
        <v>SI</v>
      </c>
      <c r="BM161" s="3" t="str">
        <f t="shared" si="1282"/>
        <v/>
      </c>
    </row>
    <row r="162" spans="1:65" ht="36" x14ac:dyDescent="0.2">
      <c r="A162" s="494"/>
      <c r="B162" s="496"/>
      <c r="C162" s="356">
        <v>2</v>
      </c>
      <c r="D162" s="56" t="s">
        <v>11</v>
      </c>
      <c r="E162" s="240">
        <f t="shared" si="933"/>
        <v>10</v>
      </c>
      <c r="F162" s="44" t="s">
        <v>633</v>
      </c>
      <c r="G162" s="18" t="str">
        <f t="shared" si="1244"/>
        <v/>
      </c>
      <c r="H162" s="44" t="s">
        <v>20</v>
      </c>
      <c r="I162" s="18" t="str">
        <f t="shared" si="1245"/>
        <v/>
      </c>
      <c r="J162" s="55" t="str">
        <f t="shared" si="1246"/>
        <v>Posibilidad</v>
      </c>
      <c r="K162" s="43" t="s">
        <v>11</v>
      </c>
      <c r="L162" s="18">
        <f t="shared" si="1247"/>
        <v>15</v>
      </c>
      <c r="M162" s="43" t="s">
        <v>11</v>
      </c>
      <c r="N162" s="18">
        <f t="shared" si="1248"/>
        <v>30</v>
      </c>
      <c r="O162" s="43" t="s">
        <v>323</v>
      </c>
      <c r="P162" s="18">
        <f t="shared" si="1249"/>
        <v>10</v>
      </c>
      <c r="Q162" s="43" t="s">
        <v>11</v>
      </c>
      <c r="R162" s="18">
        <f t="shared" si="1250"/>
        <v>5</v>
      </c>
      <c r="S162" s="43" t="s">
        <v>11</v>
      </c>
      <c r="T162" s="18">
        <f t="shared" si="1251"/>
        <v>15</v>
      </c>
      <c r="U162" s="43" t="s">
        <v>11</v>
      </c>
      <c r="V162" s="18">
        <f t="shared" si="1252"/>
        <v>10</v>
      </c>
      <c r="W162" s="18">
        <f t="shared" si="1253"/>
        <v>95</v>
      </c>
      <c r="X162" s="57" t="str">
        <f t="shared" si="1254"/>
        <v>95                           Disminuye en Posibilidad</v>
      </c>
      <c r="Y162" s="57">
        <f t="shared" si="1255"/>
        <v>1</v>
      </c>
      <c r="Z162" s="356"/>
      <c r="AA162" s="498"/>
      <c r="AB162" s="500"/>
      <c r="AC162" s="3" t="s">
        <v>352</v>
      </c>
      <c r="AF162" s="501"/>
      <c r="AG162" s="46" t="str">
        <f t="shared" ref="AG162" si="1343">IF(AG161&gt;0,"- Evitar Posibilidad de Ocurrencia- Reducir el Riesgo","")</f>
        <v>- Evitar Posibilidad de Ocurrencia- Reducir el Riesgo</v>
      </c>
      <c r="AH162" s="46"/>
      <c r="AI162" s="46"/>
      <c r="AJ162" s="46"/>
      <c r="AK162" s="46"/>
      <c r="AL162" s="46"/>
      <c r="AM162" s="3" t="str">
        <f t="shared" si="1262"/>
        <v/>
      </c>
      <c r="AN162" s="3" t="str">
        <f t="shared" si="1263"/>
        <v/>
      </c>
      <c r="AO162" s="3" t="str">
        <f t="shared" si="1264"/>
        <v/>
      </c>
      <c r="AP162" s="3" t="str">
        <f t="shared" si="1265"/>
        <v/>
      </c>
      <c r="AQ162" s="3" t="str">
        <f t="shared" ref="AQ162:AQ163" si="1344">IF(AQ161="Documentar",AQ161,AM162)</f>
        <v/>
      </c>
      <c r="AR162" s="3" t="str">
        <f t="shared" ref="AR162:AR163" si="1345">IF(AR161="Asignar responsable",AR161,AN162)</f>
        <v/>
      </c>
      <c r="AT162" s="3" t="str">
        <f t="shared" ref="AT162:AT163" si="1346">IF(AT161="Establecer periodos de seguimiento adecuados",AT161,AO162)</f>
        <v/>
      </c>
      <c r="AV162" s="3" t="str">
        <f t="shared" ref="AV162:AV163" si="1347">IF(AV161="Guardar Evidencias",AV161,AP162)</f>
        <v/>
      </c>
      <c r="AX162" s="502"/>
      <c r="AY162" s="502"/>
      <c r="AZ162" s="502"/>
      <c r="BA162" s="502"/>
      <c r="BB162" s="3" t="str">
        <f t="shared" si="1274"/>
        <v>SI</v>
      </c>
      <c r="BC162" s="3" t="str">
        <f t="shared" si="1275"/>
        <v/>
      </c>
      <c r="BD162" s="3" t="str">
        <f t="shared" si="1276"/>
        <v>SI</v>
      </c>
      <c r="BE162" s="3" t="str">
        <f t="shared" si="1277"/>
        <v/>
      </c>
      <c r="BF162" s="3" t="str">
        <f t="shared" si="1278"/>
        <v>SI</v>
      </c>
      <c r="BG162" s="3" t="str">
        <f t="shared" si="1279"/>
        <v/>
      </c>
      <c r="BH162" s="3" t="str">
        <f t="shared" si="1280"/>
        <v>P</v>
      </c>
      <c r="BI162" s="3" t="str">
        <f t="shared" si="941"/>
        <v/>
      </c>
      <c r="BJ162" s="3" t="str">
        <f t="shared" si="942"/>
        <v>M</v>
      </c>
      <c r="BK162" s="3" t="str">
        <f t="shared" si="943"/>
        <v/>
      </c>
      <c r="BL162" s="3" t="str">
        <f t="shared" si="1281"/>
        <v>SI</v>
      </c>
      <c r="BM162" s="3" t="str">
        <f t="shared" si="1282"/>
        <v/>
      </c>
    </row>
    <row r="163" spans="1:65" ht="63.75" thickBot="1" x14ac:dyDescent="0.25">
      <c r="A163" s="495"/>
      <c r="B163" s="496"/>
      <c r="C163" s="356">
        <v>3</v>
      </c>
      <c r="D163" s="56" t="s">
        <v>11</v>
      </c>
      <c r="E163" s="240">
        <f t="shared" si="933"/>
        <v>10</v>
      </c>
      <c r="F163" s="44" t="s">
        <v>634</v>
      </c>
      <c r="G163" s="18" t="str">
        <f t="shared" si="1244"/>
        <v/>
      </c>
      <c r="H163" s="44" t="s">
        <v>21</v>
      </c>
      <c r="I163" s="18" t="str">
        <f t="shared" si="1245"/>
        <v/>
      </c>
      <c r="J163" s="55" t="str">
        <f t="shared" si="1246"/>
        <v>No Aplica</v>
      </c>
      <c r="K163" s="43" t="s">
        <v>11</v>
      </c>
      <c r="L163" s="18">
        <f t="shared" si="1247"/>
        <v>15</v>
      </c>
      <c r="M163" s="43" t="s">
        <v>11</v>
      </c>
      <c r="N163" s="18">
        <f t="shared" si="1248"/>
        <v>30</v>
      </c>
      <c r="O163" s="43" t="s">
        <v>323</v>
      </c>
      <c r="P163" s="18">
        <f t="shared" si="1249"/>
        <v>10</v>
      </c>
      <c r="Q163" s="43" t="s">
        <v>11</v>
      </c>
      <c r="R163" s="18">
        <f t="shared" si="1250"/>
        <v>5</v>
      </c>
      <c r="S163" s="43" t="s">
        <v>11</v>
      </c>
      <c r="T163" s="18">
        <f t="shared" si="1251"/>
        <v>15</v>
      </c>
      <c r="U163" s="43" t="s">
        <v>11</v>
      </c>
      <c r="V163" s="18">
        <f t="shared" si="1252"/>
        <v>10</v>
      </c>
      <c r="W163" s="18">
        <f t="shared" si="1253"/>
        <v>95</v>
      </c>
      <c r="X163" s="57">
        <f t="shared" si="1254"/>
        <v>95</v>
      </c>
      <c r="Y163" s="57">
        <f t="shared" si="1255"/>
        <v>0</v>
      </c>
      <c r="Z163" s="356"/>
      <c r="AA163" s="499"/>
      <c r="AB163" s="500"/>
      <c r="AM163" s="3" t="str">
        <f t="shared" si="1262"/>
        <v/>
      </c>
      <c r="AN163" s="3" t="str">
        <f t="shared" si="1263"/>
        <v/>
      </c>
      <c r="AO163" s="3" t="str">
        <f t="shared" si="1264"/>
        <v/>
      </c>
      <c r="AP163" s="3" t="str">
        <f t="shared" si="1265"/>
        <v/>
      </c>
      <c r="AQ163" s="3" t="str">
        <f t="shared" si="1344"/>
        <v/>
      </c>
      <c r="AR163" s="3" t="str">
        <f t="shared" si="1345"/>
        <v/>
      </c>
      <c r="AS163" s="3" t="str">
        <f t="shared" ref="AS163" si="1348">IF(AND(AQ163="Documentar",AR163="Asignar responsable"),CONCATENATE("- ",AQ163,", ",AR163),IF(AQ163="Documentar",CONCATENATE("- ",AQ163),IF(AR163="Asignar responsable",CONCATENATE("- ",AR163),"")))</f>
        <v/>
      </c>
      <c r="AT163" s="3" t="str">
        <f t="shared" si="1346"/>
        <v/>
      </c>
      <c r="AU163" s="3" t="str">
        <f t="shared" ref="AU163" si="1349">IF(AT163="",AS163,IF(AS163="",CONCATENATE("- ",AT163),CONCATENATE(AS163,", ",AT163)))</f>
        <v/>
      </c>
      <c r="AV163" s="3" t="str">
        <f t="shared" si="1347"/>
        <v/>
      </c>
      <c r="AW163" s="3" t="str">
        <f t="shared" ref="AW163" si="1350">IF(AV163="",AU163,IF(AU163="",CONCATENATE("- ",AV163),CONCATENATE(AU163,", ",AV163)))</f>
        <v/>
      </c>
      <c r="AX163" s="502"/>
      <c r="AY163" s="502"/>
      <c r="AZ163" s="502"/>
      <c r="BA163" s="502"/>
      <c r="BB163" s="3" t="str">
        <f t="shared" si="1274"/>
        <v>SI</v>
      </c>
      <c r="BC163" s="3" t="str">
        <f t="shared" si="1275"/>
        <v/>
      </c>
      <c r="BD163" s="3" t="str">
        <f t="shared" si="1276"/>
        <v>SI</v>
      </c>
      <c r="BE163" s="3" t="str">
        <f t="shared" si="1277"/>
        <v/>
      </c>
      <c r="BF163" s="3" t="str">
        <f t="shared" si="1278"/>
        <v>SI</v>
      </c>
      <c r="BG163" s="3" t="str">
        <f t="shared" si="1279"/>
        <v/>
      </c>
      <c r="BH163" s="3" t="str">
        <f t="shared" si="1280"/>
        <v>C</v>
      </c>
      <c r="BI163" s="3" t="str">
        <f t="shared" si="941"/>
        <v/>
      </c>
      <c r="BJ163" s="3" t="str">
        <f t="shared" si="942"/>
        <v>M</v>
      </c>
      <c r="BK163" s="3" t="str">
        <f t="shared" si="943"/>
        <v/>
      </c>
      <c r="BL163" s="3" t="str">
        <f t="shared" si="1281"/>
        <v>SI</v>
      </c>
      <c r="BM163" s="3" t="str">
        <f t="shared" si="1282"/>
        <v/>
      </c>
    </row>
    <row r="164" spans="1:65" ht="32.25" thickTop="1" x14ac:dyDescent="0.2">
      <c r="A164" s="493" t="str">
        <f>IDENTIFICACIÓN!C61</f>
        <v>24C</v>
      </c>
      <c r="B164" s="496" t="str">
        <f>IF(IDENTIFICACIÓN!D61="","",IDENTIFICACIÓN!D61)</f>
        <v xml:space="preserve">Apoyo Tecnológico TIC. Vulnerabilidad de la Información </v>
      </c>
      <c r="C164" s="356">
        <v>1</v>
      </c>
      <c r="D164" s="56" t="s">
        <v>11</v>
      </c>
      <c r="E164" s="240">
        <f t="shared" si="933"/>
        <v>10</v>
      </c>
      <c r="F164" s="44" t="s">
        <v>635</v>
      </c>
      <c r="G164" s="18" t="str">
        <f t="shared" si="1244"/>
        <v/>
      </c>
      <c r="H164" s="44" t="s">
        <v>20</v>
      </c>
      <c r="I164" s="18" t="str">
        <f t="shared" si="1245"/>
        <v/>
      </c>
      <c r="J164" s="55" t="str">
        <f t="shared" si="1246"/>
        <v>Posibilidad</v>
      </c>
      <c r="K164" s="43" t="s">
        <v>10</v>
      </c>
      <c r="L164" s="18">
        <f t="shared" si="1247"/>
        <v>0</v>
      </c>
      <c r="M164" s="43" t="s">
        <v>11</v>
      </c>
      <c r="N164" s="18">
        <f t="shared" si="1248"/>
        <v>30</v>
      </c>
      <c r="O164" s="43" t="s">
        <v>323</v>
      </c>
      <c r="P164" s="18">
        <f t="shared" si="1249"/>
        <v>10</v>
      </c>
      <c r="Q164" s="43" t="s">
        <v>11</v>
      </c>
      <c r="R164" s="18">
        <f t="shared" si="1250"/>
        <v>5</v>
      </c>
      <c r="S164" s="43" t="s">
        <v>11</v>
      </c>
      <c r="T164" s="18">
        <f t="shared" si="1251"/>
        <v>15</v>
      </c>
      <c r="U164" s="43" t="s">
        <v>10</v>
      </c>
      <c r="V164" s="18">
        <f t="shared" si="1252"/>
        <v>0</v>
      </c>
      <c r="W164" s="18">
        <f t="shared" si="1253"/>
        <v>70</v>
      </c>
      <c r="X164" s="57">
        <f t="shared" si="1254"/>
        <v>70</v>
      </c>
      <c r="Y164" s="57">
        <f t="shared" si="1255"/>
        <v>0</v>
      </c>
      <c r="Z164" s="356"/>
      <c r="AA164" s="497">
        <f t="shared" ref="AA164" si="1351">IF(AB164=0,"",(ROUND((SUM(W164:W166)/AB164),0)))</f>
        <v>78</v>
      </c>
      <c r="AB164" s="500">
        <f t="shared" ref="AB164" si="1352">COUNT(T164:T166)</f>
        <v>2</v>
      </c>
      <c r="AC164" s="3">
        <f t="shared" ref="AC164" si="1353">SUM(Y164:Y166)</f>
        <v>1</v>
      </c>
      <c r="AD164" s="3">
        <f>ANALISIS!D63</f>
        <v>3</v>
      </c>
      <c r="AE164" s="3">
        <f t="shared" ref="AE164" si="1354">IF(AND(AD164=5,AC164&gt;1),3,AD164)</f>
        <v>3</v>
      </c>
      <c r="AF164" s="501">
        <f t="shared" si="1260"/>
        <v>3</v>
      </c>
      <c r="AG164" s="355" t="str">
        <f t="shared" si="1261"/>
        <v>MODERADA</v>
      </c>
      <c r="AH164" s="46"/>
      <c r="AI164" s="46"/>
      <c r="AJ164" s="46"/>
      <c r="AK164" s="46"/>
      <c r="AL164" s="46"/>
      <c r="AM164" s="3" t="str">
        <f t="shared" si="1262"/>
        <v>Documentar</v>
      </c>
      <c r="AN164" s="3" t="str">
        <f t="shared" si="1263"/>
        <v/>
      </c>
      <c r="AO164" s="3" t="str">
        <f t="shared" si="1264"/>
        <v/>
      </c>
      <c r="AP164" s="3" t="str">
        <f t="shared" si="1265"/>
        <v>Guardar Evidencias</v>
      </c>
      <c r="AQ164" s="3" t="str">
        <f t="shared" ref="AQ164" si="1355">AM164</f>
        <v>Documentar</v>
      </c>
      <c r="AR164" s="3" t="str">
        <f t="shared" ref="AR164" si="1356">AN164</f>
        <v/>
      </c>
      <c r="AT164" s="3" t="str">
        <f t="shared" ref="AT164" si="1357">AO164</f>
        <v/>
      </c>
      <c r="AV164" s="3" t="str">
        <f t="shared" ref="AV164" si="1358">AP164</f>
        <v>Guardar Evidencias</v>
      </c>
      <c r="AX164" s="502" t="str">
        <f t="shared" ref="AX164" si="1359">IF(AW166="","",CONCATENATE(AW166," (de) el(los) control(es) Efectivo(s) "))</f>
        <v xml:space="preserve">- Documentar, Guardar Evidencias (de) el(los) control(es) Efectivo(s) </v>
      </c>
      <c r="AY164" s="502" t="str">
        <f t="shared" ref="AY164" si="1360">IF(CONCATENATE(N164:N166)="","",IF(AND(SUM(E164:E166)=10,SUM(N164:N166)&lt;30),"- Replantear control(es) NO efectivo(s) ",IF(AND(SUM(E164:E166)=20,SUM(N164:N166)&lt;60),"- Replantear control(es) NO efectivo(s) ",IF(AND(SUM(E164:E166)=30,SUM(N164:N166)&lt;90),"- Replantear control(es) NO efectivo(s) ",""))))</f>
        <v/>
      </c>
      <c r="AZ164" s="502" t="str">
        <f t="shared" ref="AZ164" si="1361">IF(AND(AE164&gt;1,AE165&gt;1),"- Tomar Acciones Preventivas y Correctivas",IF(AE164&gt;1,"- Tomar Acciones Preventivas",IF(AE165&gt;1,"- Tomar Acciones Correctivas","")))</f>
        <v>- Tomar Acciones Preventivas</v>
      </c>
      <c r="BA164" s="502" t="str">
        <f t="shared" ref="BA164" si="1362">CONCATENATE(AX164,AY164,AZ164)</f>
        <v>- Documentar, Guardar Evidencias (de) el(los) control(es) Efectivo(s) - Tomar Acciones Preventivas</v>
      </c>
      <c r="BB164" s="3" t="str">
        <f t="shared" si="1274"/>
        <v>NO</v>
      </c>
      <c r="BC164" s="3" t="str">
        <f t="shared" si="1275"/>
        <v/>
      </c>
      <c r="BD164" s="3" t="str">
        <f t="shared" si="1276"/>
        <v>SI</v>
      </c>
      <c r="BE164" s="3" t="str">
        <f t="shared" si="1277"/>
        <v/>
      </c>
      <c r="BF164" s="3" t="str">
        <f t="shared" si="1278"/>
        <v>SI</v>
      </c>
      <c r="BG164" s="3" t="str">
        <f t="shared" si="1279"/>
        <v/>
      </c>
      <c r="BH164" s="3" t="str">
        <f t="shared" si="1280"/>
        <v>P</v>
      </c>
      <c r="BI164" s="3" t="str">
        <f t="shared" si="941"/>
        <v/>
      </c>
      <c r="BJ164" s="3" t="str">
        <f t="shared" si="942"/>
        <v>M</v>
      </c>
      <c r="BK164" s="3" t="str">
        <f t="shared" si="943"/>
        <v/>
      </c>
      <c r="BL164" s="3" t="str">
        <f t="shared" si="1281"/>
        <v>NO</v>
      </c>
      <c r="BM164" s="3" t="str">
        <f t="shared" si="1282"/>
        <v/>
      </c>
    </row>
    <row r="165" spans="1:65" ht="47.25" x14ac:dyDescent="0.2">
      <c r="A165" s="494"/>
      <c r="B165" s="496"/>
      <c r="C165" s="356">
        <v>2</v>
      </c>
      <c r="D165" s="56" t="s">
        <v>11</v>
      </c>
      <c r="E165" s="240">
        <f t="shared" si="933"/>
        <v>10</v>
      </c>
      <c r="F165" s="44" t="s">
        <v>636</v>
      </c>
      <c r="G165" s="18" t="str">
        <f t="shared" si="1244"/>
        <v/>
      </c>
      <c r="H165" s="44" t="s">
        <v>20</v>
      </c>
      <c r="I165" s="18" t="str">
        <f t="shared" si="1245"/>
        <v/>
      </c>
      <c r="J165" s="55" t="str">
        <f t="shared" si="1246"/>
        <v>Posibilidad</v>
      </c>
      <c r="K165" s="43" t="s">
        <v>10</v>
      </c>
      <c r="L165" s="18">
        <f t="shared" si="1247"/>
        <v>0</v>
      </c>
      <c r="M165" s="43" t="s">
        <v>11</v>
      </c>
      <c r="N165" s="18">
        <f t="shared" si="1248"/>
        <v>30</v>
      </c>
      <c r="O165" s="43" t="s">
        <v>322</v>
      </c>
      <c r="P165" s="18">
        <f t="shared" si="1249"/>
        <v>15</v>
      </c>
      <c r="Q165" s="43" t="s">
        <v>11</v>
      </c>
      <c r="R165" s="18">
        <f t="shared" si="1250"/>
        <v>5</v>
      </c>
      <c r="S165" s="43" t="s">
        <v>11</v>
      </c>
      <c r="T165" s="18">
        <f t="shared" si="1251"/>
        <v>15</v>
      </c>
      <c r="U165" s="43" t="s">
        <v>11</v>
      </c>
      <c r="V165" s="18">
        <f t="shared" si="1252"/>
        <v>10</v>
      </c>
      <c r="W165" s="18">
        <f t="shared" si="1253"/>
        <v>85</v>
      </c>
      <c r="X165" s="57" t="str">
        <f t="shared" si="1254"/>
        <v>85                           Disminuye en Posibilidad</v>
      </c>
      <c r="Y165" s="57">
        <f t="shared" si="1255"/>
        <v>1</v>
      </c>
      <c r="Z165" s="356"/>
      <c r="AA165" s="498"/>
      <c r="AB165" s="500"/>
      <c r="AC165" s="3" t="s">
        <v>352</v>
      </c>
      <c r="AF165" s="501"/>
      <c r="AG165" s="46" t="str">
        <f t="shared" ref="AG165" si="1363">IF(AG164&gt;0,"- Evitar Posibilidad de Ocurrencia- Reducir el Riesgo","")</f>
        <v>- Evitar Posibilidad de Ocurrencia- Reducir el Riesgo</v>
      </c>
      <c r="AH165" s="46"/>
      <c r="AI165" s="46"/>
      <c r="AJ165" s="46"/>
      <c r="AK165" s="46"/>
      <c r="AL165" s="46"/>
      <c r="AM165" s="3" t="str">
        <f t="shared" si="1262"/>
        <v>Documentar</v>
      </c>
      <c r="AN165" s="3" t="str">
        <f t="shared" si="1263"/>
        <v/>
      </c>
      <c r="AO165" s="3" t="str">
        <f t="shared" si="1264"/>
        <v/>
      </c>
      <c r="AP165" s="3" t="str">
        <f t="shared" si="1265"/>
        <v/>
      </c>
      <c r="AQ165" s="3" t="str">
        <f t="shared" ref="AQ165:AQ166" si="1364">IF(AQ164="Documentar",AQ164,AM165)</f>
        <v>Documentar</v>
      </c>
      <c r="AR165" s="3" t="str">
        <f t="shared" ref="AR165:AR166" si="1365">IF(AR164="Asignar responsable",AR164,AN165)</f>
        <v/>
      </c>
      <c r="AT165" s="3" t="str">
        <f t="shared" ref="AT165:AT166" si="1366">IF(AT164="Establecer periodos de seguimiento adecuados",AT164,AO165)</f>
        <v/>
      </c>
      <c r="AV165" s="3" t="str">
        <f t="shared" ref="AV165:AV166" si="1367">IF(AV164="Guardar Evidencias",AV164,AP165)</f>
        <v>Guardar Evidencias</v>
      </c>
      <c r="AX165" s="502"/>
      <c r="AY165" s="502"/>
      <c r="AZ165" s="502"/>
      <c r="BA165" s="502"/>
      <c r="BB165" s="3" t="str">
        <f t="shared" si="1274"/>
        <v>NO</v>
      </c>
      <c r="BC165" s="3" t="str">
        <f t="shared" si="1275"/>
        <v/>
      </c>
      <c r="BD165" s="3" t="str">
        <f t="shared" si="1276"/>
        <v>SI</v>
      </c>
      <c r="BE165" s="3" t="str">
        <f t="shared" si="1277"/>
        <v/>
      </c>
      <c r="BF165" s="3" t="str">
        <f t="shared" si="1278"/>
        <v>SI</v>
      </c>
      <c r="BG165" s="3" t="str">
        <f t="shared" si="1279"/>
        <v/>
      </c>
      <c r="BH165" s="3" t="str">
        <f t="shared" si="1280"/>
        <v>P</v>
      </c>
      <c r="BI165" s="3" t="str">
        <f t="shared" si="941"/>
        <v/>
      </c>
      <c r="BJ165" s="3" t="str">
        <f t="shared" si="942"/>
        <v>A</v>
      </c>
      <c r="BK165" s="3" t="str">
        <f t="shared" si="943"/>
        <v/>
      </c>
      <c r="BL165" s="3" t="str">
        <f t="shared" si="1281"/>
        <v>SI</v>
      </c>
      <c r="BM165" s="3" t="str">
        <f t="shared" si="1282"/>
        <v/>
      </c>
    </row>
    <row r="166" spans="1:65" ht="48" thickBot="1" x14ac:dyDescent="0.25">
      <c r="A166" s="495"/>
      <c r="B166" s="496"/>
      <c r="C166" s="356">
        <v>3</v>
      </c>
      <c r="D166" s="56"/>
      <c r="E166" s="240" t="str">
        <f t="shared" si="933"/>
        <v/>
      </c>
      <c r="F166" s="44"/>
      <c r="G166" s="18" t="str">
        <f t="shared" si="1244"/>
        <v/>
      </c>
      <c r="H166" s="44"/>
      <c r="I166" s="18" t="str">
        <f t="shared" si="1245"/>
        <v/>
      </c>
      <c r="J166" s="55" t="str">
        <f t="shared" si="1246"/>
        <v/>
      </c>
      <c r="K166" s="43"/>
      <c r="L166" s="18" t="str">
        <f t="shared" si="1247"/>
        <v/>
      </c>
      <c r="M166" s="43"/>
      <c r="N166" s="18" t="str">
        <f t="shared" si="1248"/>
        <v/>
      </c>
      <c r="O166" s="43"/>
      <c r="P166" s="18" t="str">
        <f t="shared" si="1249"/>
        <v/>
      </c>
      <c r="Q166" s="43"/>
      <c r="R166" s="18" t="str">
        <f t="shared" si="1250"/>
        <v/>
      </c>
      <c r="S166" s="43"/>
      <c r="T166" s="18" t="str">
        <f t="shared" si="1251"/>
        <v/>
      </c>
      <c r="U166" s="43"/>
      <c r="V166" s="18" t="str">
        <f t="shared" si="1252"/>
        <v/>
      </c>
      <c r="W166" s="18">
        <f t="shared" si="1253"/>
        <v>0</v>
      </c>
      <c r="X166" s="57" t="str">
        <f t="shared" si="1254"/>
        <v/>
      </c>
      <c r="Y166" s="57">
        <f t="shared" si="1255"/>
        <v>0</v>
      </c>
      <c r="Z166" s="356"/>
      <c r="AA166" s="499"/>
      <c r="AB166" s="500"/>
      <c r="AM166" s="3" t="str">
        <f t="shared" si="1262"/>
        <v/>
      </c>
      <c r="AN166" s="3" t="str">
        <f t="shared" si="1263"/>
        <v/>
      </c>
      <c r="AO166" s="3" t="str">
        <f t="shared" si="1264"/>
        <v/>
      </c>
      <c r="AP166" s="3" t="str">
        <f t="shared" si="1265"/>
        <v/>
      </c>
      <c r="AQ166" s="3" t="str">
        <f t="shared" si="1364"/>
        <v>Documentar</v>
      </c>
      <c r="AR166" s="3" t="str">
        <f t="shared" si="1365"/>
        <v/>
      </c>
      <c r="AS166" s="3" t="str">
        <f t="shared" ref="AS166" si="1368">IF(AND(AQ166="Documentar",AR166="Asignar responsable"),CONCATENATE("- ",AQ166,", ",AR166),IF(AQ166="Documentar",CONCATENATE("- ",AQ166),IF(AR166="Asignar responsable",CONCATENATE("- ",AR166),"")))</f>
        <v>- Documentar</v>
      </c>
      <c r="AT166" s="3" t="str">
        <f t="shared" si="1366"/>
        <v/>
      </c>
      <c r="AU166" s="3" t="str">
        <f t="shared" ref="AU166" si="1369">IF(AT166="",AS166,IF(AS166="",CONCATENATE("- ",AT166),CONCATENATE(AS166,", ",AT166)))</f>
        <v>- Documentar</v>
      </c>
      <c r="AV166" s="3" t="str">
        <f t="shared" si="1367"/>
        <v>Guardar Evidencias</v>
      </c>
      <c r="AW166" s="3" t="str">
        <f t="shared" ref="AW166" si="1370">IF(AV166="",AU166,IF(AU166="",CONCATENATE("- ",AV166),CONCATENATE(AU166,", ",AV166)))</f>
        <v>- Documentar, Guardar Evidencias</v>
      </c>
      <c r="AX166" s="502"/>
      <c r="AY166" s="502"/>
      <c r="AZ166" s="502"/>
      <c r="BA166" s="502"/>
      <c r="BB166" s="3" t="str">
        <f t="shared" si="1274"/>
        <v/>
      </c>
      <c r="BC166" s="3" t="str">
        <f t="shared" si="1275"/>
        <v/>
      </c>
      <c r="BD166" s="3" t="str">
        <f t="shared" si="1276"/>
        <v/>
      </c>
      <c r="BE166" s="3" t="str">
        <f t="shared" si="1277"/>
        <v/>
      </c>
      <c r="BF166" s="3" t="str">
        <f t="shared" si="1278"/>
        <v/>
      </c>
      <c r="BG166" s="3" t="str">
        <f t="shared" si="1279"/>
        <v/>
      </c>
      <c r="BH166" s="3" t="str">
        <f t="shared" si="1280"/>
        <v/>
      </c>
      <c r="BI166" s="3" t="str">
        <f t="shared" si="941"/>
        <v/>
      </c>
      <c r="BJ166" s="3" t="str">
        <f t="shared" si="942"/>
        <v/>
      </c>
      <c r="BK166" s="3" t="str">
        <f t="shared" si="943"/>
        <v/>
      </c>
      <c r="BL166" s="3" t="str">
        <f t="shared" si="1281"/>
        <v/>
      </c>
      <c r="BM166" s="3" t="str">
        <f t="shared" si="1282"/>
        <v/>
      </c>
    </row>
    <row r="167" spans="1:65" ht="36.75" thickTop="1" x14ac:dyDescent="0.2">
      <c r="A167" s="493" t="str">
        <f>IDENTIFICACIÓN!C62</f>
        <v>25C</v>
      </c>
      <c r="B167" s="496" t="str">
        <f>IF(IDENTIFICACIÓN!D62="","",IDENTIFICACIÓN!D62)</f>
        <v xml:space="preserve">Gestión Documental. Entregar un título o certificado sin los requisitos para ello </v>
      </c>
      <c r="C167" s="356">
        <v>1</v>
      </c>
      <c r="D167" s="56" t="s">
        <v>11</v>
      </c>
      <c r="E167" s="240">
        <f t="shared" si="933"/>
        <v>10</v>
      </c>
      <c r="F167" s="44" t="s">
        <v>637</v>
      </c>
      <c r="G167" s="18" t="str">
        <f t="shared" si="1244"/>
        <v/>
      </c>
      <c r="H167" s="44" t="s">
        <v>20</v>
      </c>
      <c r="I167" s="18" t="str">
        <f t="shared" si="1245"/>
        <v/>
      </c>
      <c r="J167" s="55" t="str">
        <f t="shared" si="1246"/>
        <v>Posibilidad</v>
      </c>
      <c r="K167" s="43" t="s">
        <v>11</v>
      </c>
      <c r="L167" s="18">
        <f t="shared" si="1247"/>
        <v>15</v>
      </c>
      <c r="M167" s="43" t="s">
        <v>11</v>
      </c>
      <c r="N167" s="18">
        <f t="shared" si="1248"/>
        <v>30</v>
      </c>
      <c r="O167" s="43" t="s">
        <v>323</v>
      </c>
      <c r="P167" s="18">
        <f t="shared" si="1249"/>
        <v>10</v>
      </c>
      <c r="Q167" s="43" t="s">
        <v>11</v>
      </c>
      <c r="R167" s="18">
        <f t="shared" si="1250"/>
        <v>5</v>
      </c>
      <c r="S167" s="43" t="s">
        <v>11</v>
      </c>
      <c r="T167" s="18">
        <f t="shared" si="1251"/>
        <v>15</v>
      </c>
      <c r="U167" s="43" t="s">
        <v>11</v>
      </c>
      <c r="V167" s="18">
        <f t="shared" si="1252"/>
        <v>10</v>
      </c>
      <c r="W167" s="18">
        <f t="shared" si="1253"/>
        <v>95</v>
      </c>
      <c r="X167" s="57" t="str">
        <f t="shared" si="1254"/>
        <v>95                           Disminuye en Posibilidad</v>
      </c>
      <c r="Y167" s="57">
        <f t="shared" si="1255"/>
        <v>1</v>
      </c>
      <c r="Z167" s="356"/>
      <c r="AA167" s="497">
        <f t="shared" ref="AA167" si="1371">IF(AB167=0,"",(ROUND((SUM(W167:W169)/AB167),0)))</f>
        <v>90</v>
      </c>
      <c r="AB167" s="500">
        <f t="shared" ref="AB167" si="1372">COUNT(T167:T169)</f>
        <v>3</v>
      </c>
      <c r="AC167" s="3">
        <f t="shared" ref="AC167" si="1373">SUM(Y167:Y169)</f>
        <v>3</v>
      </c>
      <c r="AD167" s="3">
        <f>ANALISIS!D64</f>
        <v>3</v>
      </c>
      <c r="AE167" s="3">
        <f t="shared" ref="AE167" si="1374">IF(AND(AD167=5,AC167&gt;1),3,AD167)</f>
        <v>3</v>
      </c>
      <c r="AF167" s="501">
        <f t="shared" si="1260"/>
        <v>3</v>
      </c>
      <c r="AG167" s="355" t="str">
        <f t="shared" si="1261"/>
        <v>MODERADA</v>
      </c>
      <c r="AH167" s="46"/>
      <c r="AI167" s="46"/>
      <c r="AJ167" s="46"/>
      <c r="AK167" s="46"/>
      <c r="AL167" s="46"/>
      <c r="AM167" s="3" t="str">
        <f t="shared" si="1262"/>
        <v/>
      </c>
      <c r="AN167" s="3" t="str">
        <f t="shared" si="1263"/>
        <v/>
      </c>
      <c r="AO167" s="3" t="str">
        <f t="shared" si="1264"/>
        <v/>
      </c>
      <c r="AP167" s="3" t="str">
        <f t="shared" si="1265"/>
        <v/>
      </c>
      <c r="AQ167" s="3" t="str">
        <f t="shared" ref="AQ167" si="1375">AM167</f>
        <v/>
      </c>
      <c r="AR167" s="3" t="str">
        <f t="shared" ref="AR167" si="1376">AN167</f>
        <v/>
      </c>
      <c r="AT167" s="3" t="str">
        <f t="shared" ref="AT167" si="1377">AO167</f>
        <v/>
      </c>
      <c r="AV167" s="3" t="str">
        <f t="shared" ref="AV167" si="1378">AP167</f>
        <v/>
      </c>
      <c r="AX167" s="502" t="str">
        <f t="shared" ref="AX167" si="1379">IF(AW169="","",CONCATENATE(AW169," (de) el(los) control(es) Efectivo(s) "))</f>
        <v xml:space="preserve">- Documentar (de) el(los) control(es) Efectivo(s) </v>
      </c>
      <c r="AY167" s="502" t="str">
        <f t="shared" ref="AY167" si="1380">IF(CONCATENATE(N167:N169)="","",IF(AND(SUM(E167:E169)=10,SUM(N167:N169)&lt;30),"- Replantear control(es) NO efectivo(s) ",IF(AND(SUM(E167:E169)=20,SUM(N167:N169)&lt;60),"- Replantear control(es) NO efectivo(s) ",IF(AND(SUM(E167:E169)=30,SUM(N167:N169)&lt;90),"- Replantear control(es) NO efectivo(s) ",""))))</f>
        <v/>
      </c>
      <c r="AZ167" s="502" t="str">
        <f t="shared" ref="AZ167" si="1381">IF(AND(AE167&gt;1,AE168&gt;1),"- Tomar Acciones Preventivas y Correctivas",IF(AE167&gt;1,"- Tomar Acciones Preventivas",IF(AE168&gt;1,"- Tomar Acciones Correctivas","")))</f>
        <v>- Tomar Acciones Preventivas</v>
      </c>
      <c r="BA167" s="502" t="str">
        <f t="shared" ref="BA167" si="1382">CONCATENATE(AX167,AY167,AZ167)</f>
        <v>- Documentar (de) el(los) control(es) Efectivo(s) - Tomar Acciones Preventivas</v>
      </c>
      <c r="BB167" s="3" t="str">
        <f t="shared" si="1274"/>
        <v>SI</v>
      </c>
      <c r="BC167" s="3" t="str">
        <f t="shared" si="1275"/>
        <v/>
      </c>
      <c r="BD167" s="3" t="str">
        <f t="shared" si="1276"/>
        <v>SI</v>
      </c>
      <c r="BE167" s="3" t="str">
        <f t="shared" si="1277"/>
        <v/>
      </c>
      <c r="BF167" s="3" t="str">
        <f t="shared" si="1278"/>
        <v>SI</v>
      </c>
      <c r="BG167" s="3" t="str">
        <f t="shared" si="1279"/>
        <v/>
      </c>
      <c r="BH167" s="3" t="str">
        <f t="shared" si="1280"/>
        <v>P</v>
      </c>
      <c r="BI167" s="3" t="str">
        <f t="shared" si="941"/>
        <v/>
      </c>
      <c r="BJ167" s="3" t="str">
        <f t="shared" si="942"/>
        <v>M</v>
      </c>
      <c r="BK167" s="3" t="str">
        <f t="shared" si="943"/>
        <v/>
      </c>
      <c r="BL167" s="3" t="str">
        <f t="shared" si="1281"/>
        <v>SI</v>
      </c>
      <c r="BM167" s="3" t="str">
        <f t="shared" si="1282"/>
        <v/>
      </c>
    </row>
    <row r="168" spans="1:65" ht="47.25" x14ac:dyDescent="0.2">
      <c r="A168" s="494"/>
      <c r="B168" s="496"/>
      <c r="C168" s="356">
        <v>2</v>
      </c>
      <c r="D168" s="56" t="s">
        <v>11</v>
      </c>
      <c r="E168" s="240">
        <f t="shared" si="933"/>
        <v>10</v>
      </c>
      <c r="F168" s="44" t="s">
        <v>638</v>
      </c>
      <c r="G168" s="18" t="str">
        <f t="shared" si="1244"/>
        <v/>
      </c>
      <c r="H168" s="44" t="s">
        <v>20</v>
      </c>
      <c r="I168" s="18" t="str">
        <f t="shared" si="1245"/>
        <v/>
      </c>
      <c r="J168" s="55" t="str">
        <f t="shared" si="1246"/>
        <v>Posibilidad</v>
      </c>
      <c r="K168" s="43" t="s">
        <v>11</v>
      </c>
      <c r="L168" s="18">
        <f t="shared" si="1247"/>
        <v>15</v>
      </c>
      <c r="M168" s="43" t="s">
        <v>11</v>
      </c>
      <c r="N168" s="18">
        <f t="shared" si="1248"/>
        <v>30</v>
      </c>
      <c r="O168" s="43" t="s">
        <v>323</v>
      </c>
      <c r="P168" s="18">
        <f t="shared" si="1249"/>
        <v>10</v>
      </c>
      <c r="Q168" s="43" t="s">
        <v>11</v>
      </c>
      <c r="R168" s="18">
        <f t="shared" si="1250"/>
        <v>5</v>
      </c>
      <c r="S168" s="43" t="s">
        <v>11</v>
      </c>
      <c r="T168" s="18">
        <f t="shared" si="1251"/>
        <v>15</v>
      </c>
      <c r="U168" s="43" t="s">
        <v>11</v>
      </c>
      <c r="V168" s="18">
        <f t="shared" si="1252"/>
        <v>10</v>
      </c>
      <c r="W168" s="18">
        <f t="shared" si="1253"/>
        <v>95</v>
      </c>
      <c r="X168" s="57" t="str">
        <f t="shared" si="1254"/>
        <v>95                           Disminuye en Posibilidad</v>
      </c>
      <c r="Y168" s="57">
        <f t="shared" si="1255"/>
        <v>1</v>
      </c>
      <c r="Z168" s="356"/>
      <c r="AA168" s="498"/>
      <c r="AB168" s="500"/>
      <c r="AC168" s="3" t="s">
        <v>352</v>
      </c>
      <c r="AF168" s="501"/>
      <c r="AG168" s="46" t="str">
        <f t="shared" ref="AG168" si="1383">IF(AG167&gt;0,"- Evitar Posibilidad de Ocurrencia- Reducir el Riesgo","")</f>
        <v>- Evitar Posibilidad de Ocurrencia- Reducir el Riesgo</v>
      </c>
      <c r="AH168" s="46"/>
      <c r="AI168" s="46"/>
      <c r="AJ168" s="46"/>
      <c r="AK168" s="46"/>
      <c r="AL168" s="46"/>
      <c r="AM168" s="3" t="str">
        <f t="shared" si="1262"/>
        <v/>
      </c>
      <c r="AN168" s="3" t="str">
        <f t="shared" si="1263"/>
        <v/>
      </c>
      <c r="AO168" s="3" t="str">
        <f t="shared" si="1264"/>
        <v/>
      </c>
      <c r="AP168" s="3" t="str">
        <f t="shared" si="1265"/>
        <v/>
      </c>
      <c r="AQ168" s="3" t="str">
        <f t="shared" ref="AQ168:AQ169" si="1384">IF(AQ167="Documentar",AQ167,AM168)</f>
        <v/>
      </c>
      <c r="AR168" s="3" t="str">
        <f t="shared" ref="AR168:AR169" si="1385">IF(AR167="Asignar responsable",AR167,AN168)</f>
        <v/>
      </c>
      <c r="AT168" s="3" t="str">
        <f t="shared" ref="AT168:AT169" si="1386">IF(AT167="Establecer periodos de seguimiento adecuados",AT167,AO168)</f>
        <v/>
      </c>
      <c r="AV168" s="3" t="str">
        <f t="shared" ref="AV168:AV169" si="1387">IF(AV167="Guardar Evidencias",AV167,AP168)</f>
        <v/>
      </c>
      <c r="AX168" s="502"/>
      <c r="AY168" s="502"/>
      <c r="AZ168" s="502"/>
      <c r="BA168" s="502"/>
      <c r="BB168" s="3" t="str">
        <f t="shared" si="1274"/>
        <v>SI</v>
      </c>
      <c r="BC168" s="3" t="str">
        <f t="shared" si="1275"/>
        <v/>
      </c>
      <c r="BD168" s="3" t="str">
        <f t="shared" si="1276"/>
        <v>SI</v>
      </c>
      <c r="BE168" s="3" t="str">
        <f t="shared" si="1277"/>
        <v/>
      </c>
      <c r="BF168" s="3" t="str">
        <f t="shared" si="1278"/>
        <v>SI</v>
      </c>
      <c r="BG168" s="3" t="str">
        <f t="shared" si="1279"/>
        <v/>
      </c>
      <c r="BH168" s="3" t="str">
        <f t="shared" si="1280"/>
        <v>P</v>
      </c>
      <c r="BI168" s="3" t="str">
        <f t="shared" si="941"/>
        <v/>
      </c>
      <c r="BJ168" s="3" t="str">
        <f t="shared" si="942"/>
        <v>M</v>
      </c>
      <c r="BK168" s="3" t="str">
        <f t="shared" si="943"/>
        <v/>
      </c>
      <c r="BL168" s="3" t="str">
        <f t="shared" si="1281"/>
        <v>SI</v>
      </c>
      <c r="BM168" s="3" t="str">
        <f t="shared" si="1282"/>
        <v/>
      </c>
    </row>
    <row r="169" spans="1:65" ht="48" thickBot="1" x14ac:dyDescent="0.25">
      <c r="A169" s="495"/>
      <c r="B169" s="496"/>
      <c r="C169" s="356">
        <v>3</v>
      </c>
      <c r="D169" s="56" t="s">
        <v>11</v>
      </c>
      <c r="E169" s="240">
        <f t="shared" si="933"/>
        <v>10</v>
      </c>
      <c r="F169" s="44" t="s">
        <v>639</v>
      </c>
      <c r="G169" s="18" t="str">
        <f t="shared" si="1244"/>
        <v/>
      </c>
      <c r="H169" s="44" t="s">
        <v>20</v>
      </c>
      <c r="I169" s="18" t="str">
        <f t="shared" si="1245"/>
        <v/>
      </c>
      <c r="J169" s="55" t="str">
        <f t="shared" si="1246"/>
        <v>Posibilidad</v>
      </c>
      <c r="K169" s="43" t="s">
        <v>10</v>
      </c>
      <c r="L169" s="18">
        <f t="shared" si="1247"/>
        <v>0</v>
      </c>
      <c r="M169" s="43" t="s">
        <v>11</v>
      </c>
      <c r="N169" s="18">
        <f t="shared" si="1248"/>
        <v>30</v>
      </c>
      <c r="O169" s="43" t="s">
        <v>323</v>
      </c>
      <c r="P169" s="18">
        <f t="shared" si="1249"/>
        <v>10</v>
      </c>
      <c r="Q169" s="43" t="s">
        <v>11</v>
      </c>
      <c r="R169" s="18">
        <f t="shared" si="1250"/>
        <v>5</v>
      </c>
      <c r="S169" s="43" t="s">
        <v>11</v>
      </c>
      <c r="T169" s="18">
        <f t="shared" si="1251"/>
        <v>15</v>
      </c>
      <c r="U169" s="43" t="s">
        <v>11</v>
      </c>
      <c r="V169" s="18">
        <f t="shared" si="1252"/>
        <v>10</v>
      </c>
      <c r="W169" s="18">
        <f t="shared" si="1253"/>
        <v>80</v>
      </c>
      <c r="X169" s="57" t="str">
        <f t="shared" si="1254"/>
        <v>80                           Disminuye en Posibilidad</v>
      </c>
      <c r="Y169" s="57">
        <f t="shared" si="1255"/>
        <v>1</v>
      </c>
      <c r="Z169" s="356"/>
      <c r="AA169" s="499"/>
      <c r="AB169" s="500"/>
      <c r="AM169" s="3" t="str">
        <f t="shared" si="1262"/>
        <v>Documentar</v>
      </c>
      <c r="AN169" s="3" t="str">
        <f t="shared" si="1263"/>
        <v/>
      </c>
      <c r="AO169" s="3" t="str">
        <f t="shared" si="1264"/>
        <v/>
      </c>
      <c r="AP169" s="3" t="str">
        <f t="shared" si="1265"/>
        <v/>
      </c>
      <c r="AQ169" s="3" t="str">
        <f t="shared" si="1384"/>
        <v>Documentar</v>
      </c>
      <c r="AR169" s="3" t="str">
        <f t="shared" si="1385"/>
        <v/>
      </c>
      <c r="AS169" s="3" t="str">
        <f t="shared" ref="AS169" si="1388">IF(AND(AQ169="Documentar",AR169="Asignar responsable"),CONCATENATE("- ",AQ169,", ",AR169),IF(AQ169="Documentar",CONCATENATE("- ",AQ169),IF(AR169="Asignar responsable",CONCATENATE("- ",AR169),"")))</f>
        <v>- Documentar</v>
      </c>
      <c r="AT169" s="3" t="str">
        <f t="shared" si="1386"/>
        <v/>
      </c>
      <c r="AU169" s="3" t="str">
        <f t="shared" ref="AU169" si="1389">IF(AT169="",AS169,IF(AS169="",CONCATENATE("- ",AT169),CONCATENATE(AS169,", ",AT169)))</f>
        <v>- Documentar</v>
      </c>
      <c r="AV169" s="3" t="str">
        <f t="shared" si="1387"/>
        <v/>
      </c>
      <c r="AW169" s="3" t="str">
        <f t="shared" ref="AW169" si="1390">IF(AV169="",AU169,IF(AU169="",CONCATENATE("- ",AV169),CONCATENATE(AU169,", ",AV169)))</f>
        <v>- Documentar</v>
      </c>
      <c r="AX169" s="502"/>
      <c r="AY169" s="502"/>
      <c r="AZ169" s="502"/>
      <c r="BA169" s="502"/>
      <c r="BB169" s="3" t="str">
        <f t="shared" si="1274"/>
        <v>NO</v>
      </c>
      <c r="BC169" s="3" t="str">
        <f t="shared" si="1275"/>
        <v/>
      </c>
      <c r="BD169" s="3" t="str">
        <f t="shared" si="1276"/>
        <v>SI</v>
      </c>
      <c r="BE169" s="3" t="str">
        <f t="shared" si="1277"/>
        <v/>
      </c>
      <c r="BF169" s="3" t="str">
        <f t="shared" si="1278"/>
        <v>SI</v>
      </c>
      <c r="BG169" s="3" t="str">
        <f t="shared" si="1279"/>
        <v/>
      </c>
      <c r="BH169" s="3" t="str">
        <f t="shared" si="1280"/>
        <v>P</v>
      </c>
      <c r="BI169" s="3" t="str">
        <f t="shared" si="941"/>
        <v/>
      </c>
      <c r="BJ169" s="3" t="str">
        <f t="shared" si="942"/>
        <v>M</v>
      </c>
      <c r="BK169" s="3" t="str">
        <f t="shared" si="943"/>
        <v/>
      </c>
      <c r="BL169" s="3" t="str">
        <f t="shared" si="1281"/>
        <v>SI</v>
      </c>
      <c r="BM169" s="3" t="str">
        <f t="shared" si="1282"/>
        <v/>
      </c>
    </row>
    <row r="170" spans="1:65" ht="36.75" thickTop="1" x14ac:dyDescent="0.2">
      <c r="A170" s="493" t="str">
        <f>IDENTIFICACIÓN!C63</f>
        <v>26C</v>
      </c>
      <c r="B170" s="496" t="str">
        <f>IF(IDENTIFICACIÓN!D63="","",IDENTIFICACIÓN!D63)</f>
        <v>Gestión Documental. Expedición de un certificado de título falso</v>
      </c>
      <c r="C170" s="356">
        <v>1</v>
      </c>
      <c r="D170" s="56" t="s">
        <v>11</v>
      </c>
      <c r="E170" s="240">
        <f t="shared" si="933"/>
        <v>10</v>
      </c>
      <c r="F170" s="44" t="s">
        <v>640</v>
      </c>
      <c r="G170" s="18" t="str">
        <f t="shared" si="1244"/>
        <v/>
      </c>
      <c r="H170" s="44" t="s">
        <v>20</v>
      </c>
      <c r="I170" s="18" t="str">
        <f t="shared" si="1245"/>
        <v/>
      </c>
      <c r="J170" s="55" t="str">
        <f t="shared" si="1246"/>
        <v>Posibilidad</v>
      </c>
      <c r="K170" s="43" t="s">
        <v>11</v>
      </c>
      <c r="L170" s="18">
        <f t="shared" si="1247"/>
        <v>15</v>
      </c>
      <c r="M170" s="43" t="s">
        <v>11</v>
      </c>
      <c r="N170" s="18">
        <f t="shared" si="1248"/>
        <v>30</v>
      </c>
      <c r="O170" s="43" t="s">
        <v>323</v>
      </c>
      <c r="P170" s="18">
        <f t="shared" si="1249"/>
        <v>10</v>
      </c>
      <c r="Q170" s="43" t="s">
        <v>11</v>
      </c>
      <c r="R170" s="18">
        <f t="shared" si="1250"/>
        <v>5</v>
      </c>
      <c r="S170" s="43" t="s">
        <v>11</v>
      </c>
      <c r="T170" s="18">
        <f t="shared" si="1251"/>
        <v>15</v>
      </c>
      <c r="U170" s="43" t="s">
        <v>10</v>
      </c>
      <c r="V170" s="18">
        <f t="shared" si="1252"/>
        <v>0</v>
      </c>
      <c r="W170" s="18">
        <f t="shared" si="1253"/>
        <v>85</v>
      </c>
      <c r="X170" s="57" t="str">
        <f t="shared" si="1254"/>
        <v>85                           Disminuye en Posibilidad</v>
      </c>
      <c r="Y170" s="57">
        <f t="shared" si="1255"/>
        <v>1</v>
      </c>
      <c r="Z170" s="356"/>
      <c r="AA170" s="497">
        <f t="shared" ref="AA170" si="1391">IF(AB170=0,"",(ROUND((SUM(W170:W172)/AB170),0)))</f>
        <v>85</v>
      </c>
      <c r="AB170" s="500">
        <f t="shared" ref="AB170" si="1392">COUNT(T170:T172)</f>
        <v>2</v>
      </c>
      <c r="AC170" s="3">
        <f t="shared" ref="AC170" si="1393">SUM(Y170:Y172)</f>
        <v>2</v>
      </c>
      <c r="AD170" s="3">
        <f>ANALISIS!D65</f>
        <v>3</v>
      </c>
      <c r="AE170" s="3">
        <f t="shared" ref="AE170" si="1394">IF(AND(AD170=5,AC170&gt;1),3,AD170)</f>
        <v>3</v>
      </c>
      <c r="AF170" s="501">
        <f t="shared" si="1260"/>
        <v>3</v>
      </c>
      <c r="AG170" s="355" t="str">
        <f t="shared" si="1261"/>
        <v>MODERADA</v>
      </c>
      <c r="AH170" s="46"/>
      <c r="AI170" s="46"/>
      <c r="AJ170" s="46"/>
      <c r="AK170" s="46"/>
      <c r="AL170" s="46"/>
      <c r="AM170" s="3" t="str">
        <f t="shared" si="1262"/>
        <v/>
      </c>
      <c r="AN170" s="3" t="str">
        <f t="shared" si="1263"/>
        <v/>
      </c>
      <c r="AO170" s="3" t="str">
        <f t="shared" si="1264"/>
        <v/>
      </c>
      <c r="AP170" s="3" t="str">
        <f t="shared" si="1265"/>
        <v>Guardar Evidencias</v>
      </c>
      <c r="AQ170" s="3" t="str">
        <f t="shared" ref="AQ170" si="1395">AM170</f>
        <v/>
      </c>
      <c r="AR170" s="3" t="str">
        <f t="shared" ref="AR170" si="1396">AN170</f>
        <v/>
      </c>
      <c r="AT170" s="3" t="str">
        <f t="shared" ref="AT170" si="1397">AO170</f>
        <v/>
      </c>
      <c r="AV170" s="3" t="str">
        <f t="shared" ref="AV170" si="1398">AP170</f>
        <v>Guardar Evidencias</v>
      </c>
      <c r="AX170" s="502" t="str">
        <f t="shared" ref="AX170" si="1399">IF(AW172="","",CONCATENATE(AW172," (de) el(los) control(es) Efectivo(s) "))</f>
        <v xml:space="preserve">- Guardar Evidencias (de) el(los) control(es) Efectivo(s) </v>
      </c>
      <c r="AY170" s="502" t="str">
        <f t="shared" ref="AY170" si="1400">IF(CONCATENATE(N170:N172)="","",IF(AND(SUM(E170:E172)=10,SUM(N170:N172)&lt;30),"- Replantear control(es) NO efectivo(s) ",IF(AND(SUM(E170:E172)=20,SUM(N170:N172)&lt;60),"- Replantear control(es) NO efectivo(s) ",IF(AND(SUM(E170:E172)=30,SUM(N170:N172)&lt;90),"- Replantear control(es) NO efectivo(s) ",""))))</f>
        <v/>
      </c>
      <c r="AZ170" s="502" t="str">
        <f t="shared" ref="AZ170" si="1401">IF(AND(AE170&gt;1,AE171&gt;1),"- Tomar Acciones Preventivas y Correctivas",IF(AE170&gt;1,"- Tomar Acciones Preventivas",IF(AE171&gt;1,"- Tomar Acciones Correctivas","")))</f>
        <v>- Tomar Acciones Preventivas</v>
      </c>
      <c r="BA170" s="502" t="str">
        <f t="shared" ref="BA170" si="1402">CONCATENATE(AX170,AY170,AZ170)</f>
        <v>- Guardar Evidencias (de) el(los) control(es) Efectivo(s) - Tomar Acciones Preventivas</v>
      </c>
      <c r="BB170" s="3" t="str">
        <f t="shared" si="1274"/>
        <v>SI</v>
      </c>
      <c r="BC170" s="3" t="str">
        <f t="shared" si="1275"/>
        <v/>
      </c>
      <c r="BD170" s="3" t="str">
        <f t="shared" si="1276"/>
        <v>SI</v>
      </c>
      <c r="BE170" s="3" t="str">
        <f t="shared" si="1277"/>
        <v/>
      </c>
      <c r="BF170" s="3" t="str">
        <f t="shared" si="1278"/>
        <v>SI</v>
      </c>
      <c r="BG170" s="3" t="str">
        <f t="shared" si="1279"/>
        <v/>
      </c>
      <c r="BH170" s="3" t="str">
        <f t="shared" si="1280"/>
        <v>P</v>
      </c>
      <c r="BI170" s="3" t="str">
        <f t="shared" si="941"/>
        <v/>
      </c>
      <c r="BJ170" s="3" t="str">
        <f t="shared" si="942"/>
        <v>M</v>
      </c>
      <c r="BK170" s="3" t="str">
        <f t="shared" si="943"/>
        <v/>
      </c>
      <c r="BL170" s="3" t="str">
        <f t="shared" si="1281"/>
        <v>NO</v>
      </c>
      <c r="BM170" s="3" t="str">
        <f t="shared" si="1282"/>
        <v/>
      </c>
    </row>
    <row r="171" spans="1:65" ht="36" x14ac:dyDescent="0.2">
      <c r="A171" s="494"/>
      <c r="B171" s="496"/>
      <c r="C171" s="356">
        <v>2</v>
      </c>
      <c r="D171" s="56" t="s">
        <v>11</v>
      </c>
      <c r="E171" s="240">
        <f t="shared" si="933"/>
        <v>10</v>
      </c>
      <c r="F171" s="44" t="s">
        <v>641</v>
      </c>
      <c r="G171" s="18" t="str">
        <f t="shared" si="1244"/>
        <v/>
      </c>
      <c r="H171" s="44" t="s">
        <v>20</v>
      </c>
      <c r="I171" s="18" t="str">
        <f t="shared" si="1245"/>
        <v/>
      </c>
      <c r="J171" s="55" t="str">
        <f t="shared" si="1246"/>
        <v>Posibilidad</v>
      </c>
      <c r="K171" s="43" t="s">
        <v>11</v>
      </c>
      <c r="L171" s="18">
        <f t="shared" si="1247"/>
        <v>15</v>
      </c>
      <c r="M171" s="43" t="s">
        <v>11</v>
      </c>
      <c r="N171" s="18">
        <f t="shared" si="1248"/>
        <v>30</v>
      </c>
      <c r="O171" s="43" t="s">
        <v>323</v>
      </c>
      <c r="P171" s="18">
        <f t="shared" si="1249"/>
        <v>10</v>
      </c>
      <c r="Q171" s="43" t="s">
        <v>11</v>
      </c>
      <c r="R171" s="18">
        <f t="shared" si="1250"/>
        <v>5</v>
      </c>
      <c r="S171" s="43" t="s">
        <v>11</v>
      </c>
      <c r="T171" s="18">
        <f t="shared" si="1251"/>
        <v>15</v>
      </c>
      <c r="U171" s="43" t="s">
        <v>10</v>
      </c>
      <c r="V171" s="18">
        <f t="shared" si="1252"/>
        <v>0</v>
      </c>
      <c r="W171" s="18">
        <f t="shared" si="1253"/>
        <v>85</v>
      </c>
      <c r="X171" s="57" t="str">
        <f t="shared" si="1254"/>
        <v>85                           Disminuye en Posibilidad</v>
      </c>
      <c r="Y171" s="57">
        <f t="shared" si="1255"/>
        <v>1</v>
      </c>
      <c r="Z171" s="356"/>
      <c r="AA171" s="498"/>
      <c r="AB171" s="500"/>
      <c r="AC171" s="3" t="s">
        <v>352</v>
      </c>
      <c r="AF171" s="501"/>
      <c r="AG171" s="46" t="str">
        <f t="shared" ref="AG171" si="1403">IF(AG170&gt;0,"- Evitar Posibilidad de Ocurrencia- Reducir el Riesgo","")</f>
        <v>- Evitar Posibilidad de Ocurrencia- Reducir el Riesgo</v>
      </c>
      <c r="AH171" s="46"/>
      <c r="AI171" s="46"/>
      <c r="AJ171" s="46"/>
      <c r="AK171" s="46"/>
      <c r="AL171" s="46"/>
      <c r="AM171" s="3" t="str">
        <f t="shared" si="1262"/>
        <v/>
      </c>
      <c r="AN171" s="3" t="str">
        <f t="shared" si="1263"/>
        <v/>
      </c>
      <c r="AO171" s="3" t="str">
        <f t="shared" si="1264"/>
        <v/>
      </c>
      <c r="AP171" s="3" t="str">
        <f t="shared" si="1265"/>
        <v>Guardar Evidencias</v>
      </c>
      <c r="AQ171" s="3" t="str">
        <f t="shared" ref="AQ171:AQ172" si="1404">IF(AQ170="Documentar",AQ170,AM171)</f>
        <v/>
      </c>
      <c r="AR171" s="3" t="str">
        <f t="shared" ref="AR171:AR172" si="1405">IF(AR170="Asignar responsable",AR170,AN171)</f>
        <v/>
      </c>
      <c r="AT171" s="3" t="str">
        <f t="shared" ref="AT171:AT172" si="1406">IF(AT170="Establecer periodos de seguimiento adecuados",AT170,AO171)</f>
        <v/>
      </c>
      <c r="AV171" s="3" t="str">
        <f t="shared" ref="AV171:AV172" si="1407">IF(AV170="Guardar Evidencias",AV170,AP171)</f>
        <v>Guardar Evidencias</v>
      </c>
      <c r="AX171" s="502"/>
      <c r="AY171" s="502"/>
      <c r="AZ171" s="502"/>
      <c r="BA171" s="502"/>
      <c r="BB171" s="3" t="str">
        <f t="shared" si="1274"/>
        <v>SI</v>
      </c>
      <c r="BC171" s="3" t="str">
        <f t="shared" si="1275"/>
        <v/>
      </c>
      <c r="BD171" s="3" t="str">
        <f t="shared" si="1276"/>
        <v>SI</v>
      </c>
      <c r="BE171" s="3" t="str">
        <f t="shared" si="1277"/>
        <v/>
      </c>
      <c r="BF171" s="3" t="str">
        <f t="shared" si="1278"/>
        <v>SI</v>
      </c>
      <c r="BG171" s="3" t="str">
        <f t="shared" si="1279"/>
        <v/>
      </c>
      <c r="BH171" s="3" t="str">
        <f t="shared" si="1280"/>
        <v>P</v>
      </c>
      <c r="BI171" s="3" t="str">
        <f t="shared" si="941"/>
        <v/>
      </c>
      <c r="BJ171" s="3" t="str">
        <f t="shared" si="942"/>
        <v>M</v>
      </c>
      <c r="BK171" s="3" t="str">
        <f t="shared" si="943"/>
        <v/>
      </c>
      <c r="BL171" s="3" t="str">
        <f t="shared" si="1281"/>
        <v>NO</v>
      </c>
      <c r="BM171" s="3" t="str">
        <f t="shared" si="1282"/>
        <v/>
      </c>
    </row>
    <row r="172" spans="1:65" ht="32.25" thickBot="1" x14ac:dyDescent="0.25">
      <c r="A172" s="495"/>
      <c r="B172" s="496"/>
      <c r="C172" s="356">
        <v>3</v>
      </c>
      <c r="D172" s="56"/>
      <c r="E172" s="240" t="str">
        <f t="shared" si="933"/>
        <v/>
      </c>
      <c r="F172" s="44"/>
      <c r="G172" s="18" t="str">
        <f t="shared" si="1244"/>
        <v/>
      </c>
      <c r="H172" s="44"/>
      <c r="I172" s="18" t="str">
        <f t="shared" si="1245"/>
        <v/>
      </c>
      <c r="J172" s="55" t="str">
        <f t="shared" si="1246"/>
        <v/>
      </c>
      <c r="K172" s="43"/>
      <c r="L172" s="18" t="str">
        <f t="shared" si="1247"/>
        <v/>
      </c>
      <c r="M172" s="43"/>
      <c r="N172" s="18" t="str">
        <f t="shared" si="1248"/>
        <v/>
      </c>
      <c r="O172" s="43"/>
      <c r="P172" s="18" t="str">
        <f t="shared" si="1249"/>
        <v/>
      </c>
      <c r="Q172" s="43"/>
      <c r="R172" s="18" t="str">
        <f t="shared" si="1250"/>
        <v/>
      </c>
      <c r="S172" s="43"/>
      <c r="T172" s="18" t="str">
        <f t="shared" si="1251"/>
        <v/>
      </c>
      <c r="U172" s="43"/>
      <c r="V172" s="18" t="str">
        <f t="shared" si="1252"/>
        <v/>
      </c>
      <c r="W172" s="18">
        <f t="shared" si="1253"/>
        <v>0</v>
      </c>
      <c r="X172" s="57" t="str">
        <f t="shared" si="1254"/>
        <v/>
      </c>
      <c r="Y172" s="57">
        <f t="shared" si="1255"/>
        <v>0</v>
      </c>
      <c r="Z172" s="356"/>
      <c r="AA172" s="499"/>
      <c r="AB172" s="500"/>
      <c r="AM172" s="3" t="str">
        <f t="shared" si="1262"/>
        <v/>
      </c>
      <c r="AN172" s="3" t="str">
        <f t="shared" si="1263"/>
        <v/>
      </c>
      <c r="AO172" s="3" t="str">
        <f t="shared" si="1264"/>
        <v/>
      </c>
      <c r="AP172" s="3" t="str">
        <f t="shared" si="1265"/>
        <v/>
      </c>
      <c r="AQ172" s="3" t="str">
        <f t="shared" si="1404"/>
        <v/>
      </c>
      <c r="AR172" s="3" t="str">
        <f t="shared" si="1405"/>
        <v/>
      </c>
      <c r="AS172" s="3" t="str">
        <f t="shared" ref="AS172" si="1408">IF(AND(AQ172="Documentar",AR172="Asignar responsable"),CONCATENATE("- ",AQ172,", ",AR172),IF(AQ172="Documentar",CONCATENATE("- ",AQ172),IF(AR172="Asignar responsable",CONCATENATE("- ",AR172),"")))</f>
        <v/>
      </c>
      <c r="AT172" s="3" t="str">
        <f t="shared" si="1406"/>
        <v/>
      </c>
      <c r="AU172" s="3" t="str">
        <f t="shared" ref="AU172" si="1409">IF(AT172="",AS172,IF(AS172="",CONCATENATE("- ",AT172),CONCATENATE(AS172,", ",AT172)))</f>
        <v/>
      </c>
      <c r="AV172" s="3" t="str">
        <f t="shared" si="1407"/>
        <v>Guardar Evidencias</v>
      </c>
      <c r="AW172" s="3" t="str">
        <f t="shared" ref="AW172" si="1410">IF(AV172="",AU172,IF(AU172="",CONCATENATE("- ",AV172),CONCATENATE(AU172,", ",AV172)))</f>
        <v>- Guardar Evidencias</v>
      </c>
      <c r="AX172" s="502"/>
      <c r="AY172" s="502"/>
      <c r="AZ172" s="502"/>
      <c r="BA172" s="502"/>
      <c r="BB172" s="3" t="str">
        <f t="shared" si="1274"/>
        <v/>
      </c>
      <c r="BC172" s="3" t="str">
        <f t="shared" si="1275"/>
        <v/>
      </c>
      <c r="BD172" s="3" t="str">
        <f t="shared" si="1276"/>
        <v/>
      </c>
      <c r="BE172" s="3" t="str">
        <f t="shared" si="1277"/>
        <v/>
      </c>
      <c r="BF172" s="3" t="str">
        <f t="shared" si="1278"/>
        <v/>
      </c>
      <c r="BG172" s="3" t="str">
        <f t="shared" si="1279"/>
        <v/>
      </c>
      <c r="BH172" s="3" t="str">
        <f t="shared" si="1280"/>
        <v/>
      </c>
      <c r="BI172" s="3" t="str">
        <f t="shared" si="941"/>
        <v/>
      </c>
      <c r="BJ172" s="3" t="str">
        <f t="shared" si="942"/>
        <v/>
      </c>
      <c r="BK172" s="3" t="str">
        <f t="shared" si="943"/>
        <v/>
      </c>
      <c r="BL172" s="3" t="str">
        <f t="shared" si="1281"/>
        <v/>
      </c>
      <c r="BM172" s="3" t="str">
        <f t="shared" si="1282"/>
        <v/>
      </c>
    </row>
    <row r="173" spans="1:65" ht="63.75" thickTop="1" x14ac:dyDescent="0.2">
      <c r="A173" s="493" t="str">
        <f>IDENTIFICACIÓN!C64</f>
        <v>27C</v>
      </c>
      <c r="B173" s="496" t="str">
        <f>IF(IDENTIFICACIÓN!D64="","",IDENTIFICACIÓN!D64)</f>
        <v>Gestión del Talento Humano. Concentración de información de determinadas actividades o procesos en una persona.</v>
      </c>
      <c r="C173" s="356">
        <v>1</v>
      </c>
      <c r="D173" s="56" t="s">
        <v>11</v>
      </c>
      <c r="E173" s="240">
        <f t="shared" si="933"/>
        <v>10</v>
      </c>
      <c r="F173" s="44" t="s">
        <v>642</v>
      </c>
      <c r="G173" s="18" t="str">
        <f t="shared" si="1244"/>
        <v/>
      </c>
      <c r="H173" s="44" t="s">
        <v>20</v>
      </c>
      <c r="I173" s="18" t="str">
        <f t="shared" si="1245"/>
        <v/>
      </c>
      <c r="J173" s="55" t="str">
        <f t="shared" si="1246"/>
        <v>Posibilidad</v>
      </c>
      <c r="K173" s="43" t="s">
        <v>11</v>
      </c>
      <c r="L173" s="18">
        <f t="shared" si="1247"/>
        <v>15</v>
      </c>
      <c r="M173" s="43" t="s">
        <v>11</v>
      </c>
      <c r="N173" s="18">
        <f t="shared" si="1248"/>
        <v>30</v>
      </c>
      <c r="O173" s="43" t="s">
        <v>323</v>
      </c>
      <c r="P173" s="18">
        <f t="shared" si="1249"/>
        <v>10</v>
      </c>
      <c r="Q173" s="43" t="s">
        <v>11</v>
      </c>
      <c r="R173" s="18">
        <f t="shared" si="1250"/>
        <v>5</v>
      </c>
      <c r="S173" s="43" t="s">
        <v>10</v>
      </c>
      <c r="T173" s="18">
        <f t="shared" si="1251"/>
        <v>0</v>
      </c>
      <c r="U173" s="43" t="s">
        <v>11</v>
      </c>
      <c r="V173" s="18">
        <f t="shared" si="1252"/>
        <v>10</v>
      </c>
      <c r="W173" s="18">
        <f t="shared" si="1253"/>
        <v>80</v>
      </c>
      <c r="X173" s="57" t="str">
        <f t="shared" si="1254"/>
        <v>80                           Disminuye en Posibilidad</v>
      </c>
      <c r="Y173" s="57">
        <f t="shared" si="1255"/>
        <v>1</v>
      </c>
      <c r="Z173" s="356"/>
      <c r="AA173" s="497">
        <f t="shared" ref="AA173" si="1411">IF(AB173=0,"",(ROUND((SUM(W173:W175)/AB173),0)))</f>
        <v>80</v>
      </c>
      <c r="AB173" s="500">
        <f t="shared" ref="AB173" si="1412">COUNT(T173:T175)</f>
        <v>1</v>
      </c>
      <c r="AC173" s="3">
        <f t="shared" ref="AC173" si="1413">SUM(Y173:Y175)</f>
        <v>1</v>
      </c>
      <c r="AD173" s="3">
        <f>ANALISIS!D66</f>
        <v>3</v>
      </c>
      <c r="AE173" s="3">
        <f t="shared" ref="AE173" si="1414">IF(AND(AD173=5,AC173&gt;1),3,AD173)</f>
        <v>3</v>
      </c>
      <c r="AF173" s="501">
        <f t="shared" si="1260"/>
        <v>3</v>
      </c>
      <c r="AG173" s="355" t="str">
        <f t="shared" si="1261"/>
        <v>MODERADA</v>
      </c>
      <c r="AH173" s="46"/>
      <c r="AI173" s="46"/>
      <c r="AJ173" s="46"/>
      <c r="AK173" s="46"/>
      <c r="AL173" s="46"/>
      <c r="AM173" s="3" t="str">
        <f t="shared" si="1262"/>
        <v/>
      </c>
      <c r="AN173" s="3" t="str">
        <f t="shared" si="1263"/>
        <v/>
      </c>
      <c r="AO173" s="3" t="str">
        <f t="shared" si="1264"/>
        <v>Establecer periodos de seguimiento adecuados</v>
      </c>
      <c r="AP173" s="3" t="str">
        <f t="shared" si="1265"/>
        <v/>
      </c>
      <c r="AQ173" s="3" t="str">
        <f t="shared" ref="AQ173" si="1415">AM173</f>
        <v/>
      </c>
      <c r="AR173" s="3" t="str">
        <f t="shared" ref="AR173" si="1416">AN173</f>
        <v/>
      </c>
      <c r="AT173" s="3" t="str">
        <f t="shared" ref="AT173" si="1417">AO173</f>
        <v>Establecer periodos de seguimiento adecuados</v>
      </c>
      <c r="AV173" s="3" t="str">
        <f t="shared" ref="AV173" si="1418">AP173</f>
        <v/>
      </c>
      <c r="AX173" s="502" t="str">
        <f t="shared" ref="AX173" si="1419">IF(AW175="","",CONCATENATE(AW175," (de) el(los) control(es) Efectivo(s) "))</f>
        <v xml:space="preserve">- Establecer periodos de seguimiento adecuados (de) el(los) control(es) Efectivo(s) </v>
      </c>
      <c r="AY173" s="502" t="str">
        <f t="shared" ref="AY173" si="1420">IF(CONCATENATE(N173:N175)="","",IF(AND(SUM(E173:E175)=10,SUM(N173:N175)&lt;30),"- Replantear control(es) NO efectivo(s) ",IF(AND(SUM(E173:E175)=20,SUM(N173:N175)&lt;60),"- Replantear control(es) NO efectivo(s) ",IF(AND(SUM(E173:E175)=30,SUM(N173:N175)&lt;90),"- Replantear control(es) NO efectivo(s) ",""))))</f>
        <v/>
      </c>
      <c r="AZ173" s="502" t="str">
        <f t="shared" ref="AZ173" si="1421">IF(AND(AE173&gt;1,AE174&gt;1),"- Tomar Acciones Preventivas y Correctivas",IF(AE173&gt;1,"- Tomar Acciones Preventivas",IF(AE174&gt;1,"- Tomar Acciones Correctivas","")))</f>
        <v>- Tomar Acciones Preventivas</v>
      </c>
      <c r="BA173" s="502" t="str">
        <f t="shared" ref="BA173" si="1422">CONCATENATE(AX173,AY173,AZ173)</f>
        <v>- Establecer periodos de seguimiento adecuados (de) el(los) control(es) Efectivo(s) - Tomar Acciones Preventivas</v>
      </c>
      <c r="BB173" s="3" t="str">
        <f t="shared" si="1274"/>
        <v>SI</v>
      </c>
      <c r="BC173" s="3" t="str">
        <f t="shared" si="1275"/>
        <v/>
      </c>
      <c r="BD173" s="3" t="str">
        <f t="shared" si="1276"/>
        <v>SI</v>
      </c>
      <c r="BE173" s="3" t="str">
        <f t="shared" si="1277"/>
        <v/>
      </c>
      <c r="BF173" s="3" t="str">
        <f t="shared" si="1278"/>
        <v>NO</v>
      </c>
      <c r="BG173" s="3" t="str">
        <f t="shared" si="1279"/>
        <v/>
      </c>
      <c r="BH173" s="3" t="str">
        <f t="shared" si="1280"/>
        <v>P</v>
      </c>
      <c r="BI173" s="3" t="str">
        <f t="shared" si="941"/>
        <v/>
      </c>
      <c r="BJ173" s="3" t="str">
        <f t="shared" si="942"/>
        <v>M</v>
      </c>
      <c r="BK173" s="3" t="str">
        <f t="shared" si="943"/>
        <v/>
      </c>
      <c r="BL173" s="3" t="str">
        <f t="shared" si="1281"/>
        <v>SI</v>
      </c>
      <c r="BM173" s="3" t="str">
        <f t="shared" si="1282"/>
        <v/>
      </c>
    </row>
    <row r="174" spans="1:65" ht="63" x14ac:dyDescent="0.2">
      <c r="A174" s="494"/>
      <c r="B174" s="496"/>
      <c r="C174" s="356">
        <v>2</v>
      </c>
      <c r="D174" s="56"/>
      <c r="E174" s="240" t="str">
        <f t="shared" si="933"/>
        <v/>
      </c>
      <c r="F174" s="44"/>
      <c r="G174" s="18" t="str">
        <f t="shared" si="1244"/>
        <v/>
      </c>
      <c r="H174" s="44"/>
      <c r="I174" s="18" t="str">
        <f t="shared" si="1245"/>
        <v/>
      </c>
      <c r="J174" s="55" t="str">
        <f t="shared" si="1246"/>
        <v/>
      </c>
      <c r="K174" s="43"/>
      <c r="L174" s="18" t="str">
        <f t="shared" si="1247"/>
        <v/>
      </c>
      <c r="M174" s="43"/>
      <c r="N174" s="18" t="str">
        <f t="shared" si="1248"/>
        <v/>
      </c>
      <c r="O174" s="43"/>
      <c r="P174" s="18" t="str">
        <f t="shared" si="1249"/>
        <v/>
      </c>
      <c r="Q174" s="43"/>
      <c r="R174" s="18" t="str">
        <f t="shared" si="1250"/>
        <v/>
      </c>
      <c r="S174" s="43"/>
      <c r="T174" s="18" t="str">
        <f t="shared" si="1251"/>
        <v/>
      </c>
      <c r="U174" s="43"/>
      <c r="V174" s="18" t="str">
        <f t="shared" si="1252"/>
        <v/>
      </c>
      <c r="W174" s="18">
        <f t="shared" si="1253"/>
        <v>0</v>
      </c>
      <c r="X174" s="57" t="str">
        <f t="shared" si="1254"/>
        <v/>
      </c>
      <c r="Y174" s="57">
        <f t="shared" si="1255"/>
        <v>0</v>
      </c>
      <c r="Z174" s="356"/>
      <c r="AA174" s="498"/>
      <c r="AB174" s="500"/>
      <c r="AC174" s="3" t="s">
        <v>352</v>
      </c>
      <c r="AF174" s="501"/>
      <c r="AG174" s="46" t="str">
        <f t="shared" ref="AG174" si="1423">IF(AG173&gt;0,"- Evitar Posibilidad de Ocurrencia- Reducir el Riesgo","")</f>
        <v>- Evitar Posibilidad de Ocurrencia- Reducir el Riesgo</v>
      </c>
      <c r="AH174" s="46"/>
      <c r="AI174" s="46"/>
      <c r="AJ174" s="46"/>
      <c r="AK174" s="46"/>
      <c r="AL174" s="46"/>
      <c r="AM174" s="3" t="str">
        <f t="shared" si="1262"/>
        <v/>
      </c>
      <c r="AN174" s="3" t="str">
        <f t="shared" si="1263"/>
        <v/>
      </c>
      <c r="AO174" s="3" t="str">
        <f t="shared" si="1264"/>
        <v/>
      </c>
      <c r="AP174" s="3" t="str">
        <f t="shared" si="1265"/>
        <v/>
      </c>
      <c r="AQ174" s="3" t="str">
        <f t="shared" ref="AQ174:AQ175" si="1424">IF(AQ173="Documentar",AQ173,AM174)</f>
        <v/>
      </c>
      <c r="AR174" s="3" t="str">
        <f t="shared" ref="AR174:AR175" si="1425">IF(AR173="Asignar responsable",AR173,AN174)</f>
        <v/>
      </c>
      <c r="AT174" s="3" t="str">
        <f t="shared" ref="AT174:AT175" si="1426">IF(AT173="Establecer periodos de seguimiento adecuados",AT173,AO174)</f>
        <v>Establecer periodos de seguimiento adecuados</v>
      </c>
      <c r="AV174" s="3" t="str">
        <f t="shared" ref="AV174:AV175" si="1427">IF(AV173="Guardar Evidencias",AV173,AP174)</f>
        <v/>
      </c>
      <c r="AX174" s="502"/>
      <c r="AY174" s="502"/>
      <c r="AZ174" s="502"/>
      <c r="BA174" s="502"/>
      <c r="BB174" s="3" t="str">
        <f t="shared" si="1274"/>
        <v/>
      </c>
      <c r="BC174" s="3" t="str">
        <f t="shared" si="1275"/>
        <v/>
      </c>
      <c r="BD174" s="3" t="str">
        <f t="shared" si="1276"/>
        <v/>
      </c>
      <c r="BE174" s="3" t="str">
        <f t="shared" si="1277"/>
        <v/>
      </c>
      <c r="BF174" s="3" t="str">
        <f t="shared" si="1278"/>
        <v/>
      </c>
      <c r="BG174" s="3" t="str">
        <f t="shared" si="1279"/>
        <v/>
      </c>
      <c r="BH174" s="3" t="str">
        <f t="shared" si="1280"/>
        <v/>
      </c>
      <c r="BI174" s="3" t="str">
        <f t="shared" si="941"/>
        <v/>
      </c>
      <c r="BJ174" s="3" t="str">
        <f t="shared" si="942"/>
        <v/>
      </c>
      <c r="BK174" s="3" t="str">
        <f t="shared" si="943"/>
        <v/>
      </c>
      <c r="BL174" s="3" t="str">
        <f t="shared" si="1281"/>
        <v/>
      </c>
      <c r="BM174" s="3" t="str">
        <f t="shared" si="1282"/>
        <v/>
      </c>
    </row>
    <row r="175" spans="1:65" ht="63.75" thickBot="1" x14ac:dyDescent="0.25">
      <c r="A175" s="495"/>
      <c r="B175" s="496"/>
      <c r="C175" s="356">
        <v>3</v>
      </c>
      <c r="D175" s="56"/>
      <c r="E175" s="240" t="str">
        <f t="shared" ref="E175:E196" si="1428">IF($D175="","",IF($D175="SI",10,0))</f>
        <v/>
      </c>
      <c r="F175" s="44"/>
      <c r="G175" s="18" t="str">
        <f t="shared" si="1244"/>
        <v/>
      </c>
      <c r="H175" s="44"/>
      <c r="I175" s="18" t="str">
        <f t="shared" si="1245"/>
        <v/>
      </c>
      <c r="J175" s="55" t="str">
        <f t="shared" si="1246"/>
        <v/>
      </c>
      <c r="K175" s="43"/>
      <c r="L175" s="18" t="str">
        <f t="shared" si="1247"/>
        <v/>
      </c>
      <c r="M175" s="43"/>
      <c r="N175" s="18" t="str">
        <f t="shared" si="1248"/>
        <v/>
      </c>
      <c r="O175" s="43"/>
      <c r="P175" s="18" t="str">
        <f t="shared" si="1249"/>
        <v/>
      </c>
      <c r="Q175" s="43"/>
      <c r="R175" s="18" t="str">
        <f t="shared" si="1250"/>
        <v/>
      </c>
      <c r="S175" s="43"/>
      <c r="T175" s="18" t="str">
        <f t="shared" si="1251"/>
        <v/>
      </c>
      <c r="U175" s="43"/>
      <c r="V175" s="18" t="str">
        <f t="shared" si="1252"/>
        <v/>
      </c>
      <c r="W175" s="18">
        <f t="shared" si="1253"/>
        <v>0</v>
      </c>
      <c r="X175" s="57" t="str">
        <f t="shared" si="1254"/>
        <v/>
      </c>
      <c r="Y175" s="57">
        <f t="shared" si="1255"/>
        <v>0</v>
      </c>
      <c r="Z175" s="356"/>
      <c r="AA175" s="499"/>
      <c r="AB175" s="500"/>
      <c r="AM175" s="3" t="str">
        <f t="shared" si="1262"/>
        <v/>
      </c>
      <c r="AN175" s="3" t="str">
        <f t="shared" si="1263"/>
        <v/>
      </c>
      <c r="AO175" s="3" t="str">
        <f t="shared" si="1264"/>
        <v/>
      </c>
      <c r="AP175" s="3" t="str">
        <f t="shared" si="1265"/>
        <v/>
      </c>
      <c r="AQ175" s="3" t="str">
        <f t="shared" si="1424"/>
        <v/>
      </c>
      <c r="AR175" s="3" t="str">
        <f t="shared" si="1425"/>
        <v/>
      </c>
      <c r="AS175" s="3" t="str">
        <f t="shared" ref="AS175" si="1429">IF(AND(AQ175="Documentar",AR175="Asignar responsable"),CONCATENATE("- ",AQ175,", ",AR175),IF(AQ175="Documentar",CONCATENATE("- ",AQ175),IF(AR175="Asignar responsable",CONCATENATE("- ",AR175),"")))</f>
        <v/>
      </c>
      <c r="AT175" s="3" t="str">
        <f t="shared" si="1426"/>
        <v>Establecer periodos de seguimiento adecuados</v>
      </c>
      <c r="AU175" s="3" t="str">
        <f t="shared" ref="AU175" si="1430">IF(AT175="",AS175,IF(AS175="",CONCATENATE("- ",AT175),CONCATENATE(AS175,", ",AT175)))</f>
        <v>- Establecer periodos de seguimiento adecuados</v>
      </c>
      <c r="AV175" s="3" t="str">
        <f t="shared" si="1427"/>
        <v/>
      </c>
      <c r="AW175" s="3" t="str">
        <f t="shared" ref="AW175" si="1431">IF(AV175="",AU175,IF(AU175="",CONCATENATE("- ",AV175),CONCATENATE(AU175,", ",AV175)))</f>
        <v>- Establecer periodos de seguimiento adecuados</v>
      </c>
      <c r="AX175" s="502"/>
      <c r="AY175" s="502"/>
      <c r="AZ175" s="502"/>
      <c r="BA175" s="502"/>
      <c r="BB175" s="3" t="str">
        <f t="shared" si="1274"/>
        <v/>
      </c>
      <c r="BC175" s="3" t="str">
        <f t="shared" si="1275"/>
        <v/>
      </c>
      <c r="BD175" s="3" t="str">
        <f t="shared" si="1276"/>
        <v/>
      </c>
      <c r="BE175" s="3" t="str">
        <f t="shared" si="1277"/>
        <v/>
      </c>
      <c r="BF175" s="3" t="str">
        <f t="shared" si="1278"/>
        <v/>
      </c>
      <c r="BG175" s="3" t="str">
        <f t="shared" si="1279"/>
        <v/>
      </c>
      <c r="BH175" s="3" t="str">
        <f t="shared" si="1280"/>
        <v/>
      </c>
      <c r="BI175" s="3" t="str">
        <f t="shared" ref="BI175:BI196" si="1432">IF(AND($N175=0,$H175="Preventivo"),"P",IF(AND($N175=0,$H175="Correctivo"),"C",""))</f>
        <v/>
      </c>
      <c r="BJ175" s="3" t="str">
        <f t="shared" ref="BJ175:BJ196" si="1433">IF(AND($N175=30,$O175="Automático"),"A",IF(AND($N175=30,$O175="Manual"),"M",""))</f>
        <v/>
      </c>
      <c r="BK175" s="3" t="str">
        <f t="shared" ref="BK175:BK196" si="1434">IF(AND($N175=0,$O175="Automático"),"A",IF(AND($N175=0,$O175="Manual"),"M",""))</f>
        <v/>
      </c>
      <c r="BL175" s="3" t="str">
        <f t="shared" si="1281"/>
        <v/>
      </c>
      <c r="BM175" s="3" t="str">
        <f t="shared" si="1282"/>
        <v/>
      </c>
    </row>
    <row r="176" spans="1:65" ht="63.75" thickTop="1" x14ac:dyDescent="0.2">
      <c r="A176" s="493" t="str">
        <f>IDENTIFICACIÓN!C65</f>
        <v>28C</v>
      </c>
      <c r="B176" s="496" t="str">
        <f>IF(IDENTIFICACIÓN!D65="","",IDENTIFICACIÓN!D65)</f>
        <v>Gestión del Talento Humano. Decisiones no ajustadas a la normatividad legal.</v>
      </c>
      <c r="C176" s="356">
        <v>1</v>
      </c>
      <c r="D176" s="56" t="s">
        <v>11</v>
      </c>
      <c r="E176" s="240">
        <f t="shared" si="1428"/>
        <v>10</v>
      </c>
      <c r="F176" s="44" t="s">
        <v>643</v>
      </c>
      <c r="G176" s="18" t="str">
        <f t="shared" si="1244"/>
        <v/>
      </c>
      <c r="H176" s="44" t="s">
        <v>20</v>
      </c>
      <c r="I176" s="18" t="str">
        <f t="shared" si="1245"/>
        <v/>
      </c>
      <c r="J176" s="55" t="str">
        <f t="shared" si="1246"/>
        <v>Posibilidad</v>
      </c>
      <c r="K176" s="43" t="s">
        <v>11</v>
      </c>
      <c r="L176" s="18">
        <f t="shared" si="1247"/>
        <v>15</v>
      </c>
      <c r="M176" s="43" t="s">
        <v>11</v>
      </c>
      <c r="N176" s="18">
        <f t="shared" si="1248"/>
        <v>30</v>
      </c>
      <c r="O176" s="43" t="s">
        <v>323</v>
      </c>
      <c r="P176" s="18">
        <f t="shared" si="1249"/>
        <v>10</v>
      </c>
      <c r="Q176" s="43" t="s">
        <v>11</v>
      </c>
      <c r="R176" s="18">
        <f t="shared" si="1250"/>
        <v>5</v>
      </c>
      <c r="S176" s="43" t="s">
        <v>10</v>
      </c>
      <c r="T176" s="18">
        <f t="shared" si="1251"/>
        <v>0</v>
      </c>
      <c r="U176" s="43" t="s">
        <v>11</v>
      </c>
      <c r="V176" s="18">
        <f t="shared" si="1252"/>
        <v>10</v>
      </c>
      <c r="W176" s="18">
        <f t="shared" si="1253"/>
        <v>80</v>
      </c>
      <c r="X176" s="57" t="str">
        <f t="shared" si="1254"/>
        <v>80                           Disminuye en Posibilidad</v>
      </c>
      <c r="Y176" s="57">
        <f t="shared" si="1255"/>
        <v>1</v>
      </c>
      <c r="Z176" s="356"/>
      <c r="AA176" s="497">
        <f t="shared" ref="AA176" si="1435">IF(AB176=0,"",(ROUND((SUM(W176:W178)/AB176),0)))</f>
        <v>80</v>
      </c>
      <c r="AB176" s="500">
        <f t="shared" ref="AB176" si="1436">COUNT(T176:T178)</f>
        <v>1</v>
      </c>
      <c r="AC176" s="3">
        <f t="shared" ref="AC176" si="1437">SUM(Y176:Y178)</f>
        <v>1</v>
      </c>
      <c r="AD176" s="3">
        <f>ANALISIS!D67</f>
        <v>3</v>
      </c>
      <c r="AE176" s="3">
        <f t="shared" ref="AE176" si="1438">IF(AND(AD176=5,AC176&gt;1),3,AD176)</f>
        <v>3</v>
      </c>
      <c r="AF176" s="501">
        <f t="shared" si="1260"/>
        <v>3</v>
      </c>
      <c r="AG176" s="355" t="str">
        <f t="shared" si="1261"/>
        <v>MODERADA</v>
      </c>
      <c r="AH176" s="46"/>
      <c r="AI176" s="46"/>
      <c r="AJ176" s="46"/>
      <c r="AK176" s="46"/>
      <c r="AL176" s="46"/>
      <c r="AM176" s="3" t="str">
        <f t="shared" si="1262"/>
        <v/>
      </c>
      <c r="AN176" s="3" t="str">
        <f t="shared" si="1263"/>
        <v/>
      </c>
      <c r="AO176" s="3" t="str">
        <f t="shared" si="1264"/>
        <v>Establecer periodos de seguimiento adecuados</v>
      </c>
      <c r="AP176" s="3" t="str">
        <f t="shared" si="1265"/>
        <v/>
      </c>
      <c r="AQ176" s="3" t="str">
        <f t="shared" ref="AQ176" si="1439">AM176</f>
        <v/>
      </c>
      <c r="AR176" s="3" t="str">
        <f t="shared" ref="AR176" si="1440">AN176</f>
        <v/>
      </c>
      <c r="AT176" s="3" t="str">
        <f t="shared" ref="AT176" si="1441">AO176</f>
        <v>Establecer periodos de seguimiento adecuados</v>
      </c>
      <c r="AV176" s="3" t="str">
        <f t="shared" ref="AV176" si="1442">AP176</f>
        <v/>
      </c>
      <c r="AX176" s="502" t="str">
        <f t="shared" ref="AX176" si="1443">IF(AW178="","",CONCATENATE(AW178," (de) el(los) control(es) Efectivo(s) "))</f>
        <v xml:space="preserve">- Establecer periodos de seguimiento adecuados (de) el(los) control(es) Efectivo(s) </v>
      </c>
      <c r="AY176" s="502" t="str">
        <f t="shared" ref="AY176" si="1444">IF(CONCATENATE(N176:N178)="","",IF(AND(SUM(E176:E178)=10,SUM(N176:N178)&lt;30),"- Replantear control(es) NO efectivo(s) ",IF(AND(SUM(E176:E178)=20,SUM(N176:N178)&lt;60),"- Replantear control(es) NO efectivo(s) ",IF(AND(SUM(E176:E178)=30,SUM(N176:N178)&lt;90),"- Replantear control(es) NO efectivo(s) ",""))))</f>
        <v/>
      </c>
      <c r="AZ176" s="502" t="str">
        <f t="shared" ref="AZ176" si="1445">IF(AND(AE176&gt;1,AE177&gt;1),"- Tomar Acciones Preventivas y Correctivas",IF(AE176&gt;1,"- Tomar Acciones Preventivas",IF(AE177&gt;1,"- Tomar Acciones Correctivas","")))</f>
        <v>- Tomar Acciones Preventivas</v>
      </c>
      <c r="BA176" s="502" t="str">
        <f t="shared" ref="BA176" si="1446">CONCATENATE(AX176,AY176,AZ176)</f>
        <v>- Establecer periodos de seguimiento adecuados (de) el(los) control(es) Efectivo(s) - Tomar Acciones Preventivas</v>
      </c>
      <c r="BB176" s="3" t="str">
        <f t="shared" si="1274"/>
        <v>SI</v>
      </c>
      <c r="BC176" s="3" t="str">
        <f t="shared" si="1275"/>
        <v/>
      </c>
      <c r="BD176" s="3" t="str">
        <f t="shared" si="1276"/>
        <v>SI</v>
      </c>
      <c r="BE176" s="3" t="str">
        <f t="shared" si="1277"/>
        <v/>
      </c>
      <c r="BF176" s="3" t="str">
        <f t="shared" si="1278"/>
        <v>NO</v>
      </c>
      <c r="BG176" s="3" t="str">
        <f t="shared" si="1279"/>
        <v/>
      </c>
      <c r="BH176" s="3" t="str">
        <f t="shared" si="1280"/>
        <v>P</v>
      </c>
      <c r="BI176" s="3" t="str">
        <f t="shared" si="1432"/>
        <v/>
      </c>
      <c r="BJ176" s="3" t="str">
        <f t="shared" si="1433"/>
        <v>M</v>
      </c>
      <c r="BK176" s="3" t="str">
        <f t="shared" si="1434"/>
        <v/>
      </c>
      <c r="BL176" s="3" t="str">
        <f t="shared" si="1281"/>
        <v>SI</v>
      </c>
      <c r="BM176" s="3" t="str">
        <f t="shared" si="1282"/>
        <v/>
      </c>
    </row>
    <row r="177" spans="1:65" ht="63" x14ac:dyDescent="0.2">
      <c r="A177" s="494"/>
      <c r="B177" s="496"/>
      <c r="C177" s="356">
        <v>2</v>
      </c>
      <c r="D177" s="56"/>
      <c r="E177" s="240" t="str">
        <f t="shared" si="1428"/>
        <v/>
      </c>
      <c r="F177" s="44"/>
      <c r="G177" s="18" t="str">
        <f t="shared" si="1244"/>
        <v/>
      </c>
      <c r="H177" s="44"/>
      <c r="I177" s="18" t="str">
        <f t="shared" si="1245"/>
        <v/>
      </c>
      <c r="J177" s="55" t="str">
        <f t="shared" si="1246"/>
        <v/>
      </c>
      <c r="K177" s="43"/>
      <c r="L177" s="18" t="str">
        <f t="shared" si="1247"/>
        <v/>
      </c>
      <c r="M177" s="43"/>
      <c r="N177" s="18" t="str">
        <f t="shared" si="1248"/>
        <v/>
      </c>
      <c r="O177" s="43"/>
      <c r="P177" s="18" t="str">
        <f t="shared" si="1249"/>
        <v/>
      </c>
      <c r="Q177" s="43"/>
      <c r="R177" s="18" t="str">
        <f t="shared" si="1250"/>
        <v/>
      </c>
      <c r="S177" s="43"/>
      <c r="T177" s="18" t="str">
        <f t="shared" si="1251"/>
        <v/>
      </c>
      <c r="U177" s="43"/>
      <c r="V177" s="18" t="str">
        <f t="shared" si="1252"/>
        <v/>
      </c>
      <c r="W177" s="18">
        <f t="shared" si="1253"/>
        <v>0</v>
      </c>
      <c r="X177" s="57" t="str">
        <f t="shared" si="1254"/>
        <v/>
      </c>
      <c r="Y177" s="57">
        <f t="shared" si="1255"/>
        <v>0</v>
      </c>
      <c r="Z177" s="356"/>
      <c r="AA177" s="498"/>
      <c r="AB177" s="500"/>
      <c r="AC177" s="3" t="s">
        <v>352</v>
      </c>
      <c r="AF177" s="501"/>
      <c r="AG177" s="46" t="str">
        <f t="shared" ref="AG177" si="1447">IF(AG176&gt;0,"- Evitar Posibilidad de Ocurrencia- Reducir el Riesgo","")</f>
        <v>- Evitar Posibilidad de Ocurrencia- Reducir el Riesgo</v>
      </c>
      <c r="AH177" s="46"/>
      <c r="AI177" s="46"/>
      <c r="AJ177" s="46"/>
      <c r="AK177" s="46"/>
      <c r="AL177" s="46"/>
      <c r="AM177" s="3" t="str">
        <f t="shared" si="1262"/>
        <v/>
      </c>
      <c r="AN177" s="3" t="str">
        <f t="shared" si="1263"/>
        <v/>
      </c>
      <c r="AO177" s="3" t="str">
        <f t="shared" si="1264"/>
        <v/>
      </c>
      <c r="AP177" s="3" t="str">
        <f t="shared" si="1265"/>
        <v/>
      </c>
      <c r="AQ177" s="3" t="str">
        <f t="shared" ref="AQ177:AQ178" si="1448">IF(AQ176="Documentar",AQ176,AM177)</f>
        <v/>
      </c>
      <c r="AR177" s="3" t="str">
        <f t="shared" ref="AR177:AR178" si="1449">IF(AR176="Asignar responsable",AR176,AN177)</f>
        <v/>
      </c>
      <c r="AT177" s="3" t="str">
        <f t="shared" ref="AT177:AT178" si="1450">IF(AT176="Establecer periodos de seguimiento adecuados",AT176,AO177)</f>
        <v>Establecer periodos de seguimiento adecuados</v>
      </c>
      <c r="AV177" s="3" t="str">
        <f t="shared" ref="AV177:AV178" si="1451">IF(AV176="Guardar Evidencias",AV176,AP177)</f>
        <v/>
      </c>
      <c r="AX177" s="502"/>
      <c r="AY177" s="502"/>
      <c r="AZ177" s="502"/>
      <c r="BA177" s="502"/>
      <c r="BB177" s="3" t="str">
        <f t="shared" si="1274"/>
        <v/>
      </c>
      <c r="BC177" s="3" t="str">
        <f t="shared" si="1275"/>
        <v/>
      </c>
      <c r="BD177" s="3" t="str">
        <f t="shared" si="1276"/>
        <v/>
      </c>
      <c r="BE177" s="3" t="str">
        <f t="shared" si="1277"/>
        <v/>
      </c>
      <c r="BF177" s="3" t="str">
        <f t="shared" si="1278"/>
        <v/>
      </c>
      <c r="BG177" s="3" t="str">
        <f t="shared" si="1279"/>
        <v/>
      </c>
      <c r="BH177" s="3" t="str">
        <f t="shared" si="1280"/>
        <v/>
      </c>
      <c r="BI177" s="3" t="str">
        <f t="shared" si="1432"/>
        <v/>
      </c>
      <c r="BJ177" s="3" t="str">
        <f t="shared" si="1433"/>
        <v/>
      </c>
      <c r="BK177" s="3" t="str">
        <f t="shared" si="1434"/>
        <v/>
      </c>
      <c r="BL177" s="3" t="str">
        <f t="shared" si="1281"/>
        <v/>
      </c>
      <c r="BM177" s="3" t="str">
        <f t="shared" si="1282"/>
        <v/>
      </c>
    </row>
    <row r="178" spans="1:65" ht="63.75" thickBot="1" x14ac:dyDescent="0.25">
      <c r="A178" s="495"/>
      <c r="B178" s="496"/>
      <c r="C178" s="356">
        <v>3</v>
      </c>
      <c r="D178" s="56"/>
      <c r="E178" s="240" t="str">
        <f t="shared" si="1428"/>
        <v/>
      </c>
      <c r="F178" s="44"/>
      <c r="G178" s="18" t="str">
        <f t="shared" si="1244"/>
        <v/>
      </c>
      <c r="H178" s="44"/>
      <c r="I178" s="18" t="str">
        <f t="shared" si="1245"/>
        <v/>
      </c>
      <c r="J178" s="55" t="str">
        <f t="shared" si="1246"/>
        <v/>
      </c>
      <c r="K178" s="43"/>
      <c r="L178" s="18" t="str">
        <f t="shared" si="1247"/>
        <v/>
      </c>
      <c r="M178" s="43"/>
      <c r="N178" s="18" t="str">
        <f t="shared" si="1248"/>
        <v/>
      </c>
      <c r="O178" s="43"/>
      <c r="P178" s="18" t="str">
        <f t="shared" si="1249"/>
        <v/>
      </c>
      <c r="Q178" s="43"/>
      <c r="R178" s="18" t="str">
        <f t="shared" si="1250"/>
        <v/>
      </c>
      <c r="S178" s="43"/>
      <c r="T178" s="18" t="str">
        <f t="shared" si="1251"/>
        <v/>
      </c>
      <c r="U178" s="43"/>
      <c r="V178" s="18" t="str">
        <f t="shared" si="1252"/>
        <v/>
      </c>
      <c r="W178" s="18">
        <f t="shared" si="1253"/>
        <v>0</v>
      </c>
      <c r="X178" s="57" t="str">
        <f t="shared" si="1254"/>
        <v/>
      </c>
      <c r="Y178" s="57">
        <f t="shared" si="1255"/>
        <v>0</v>
      </c>
      <c r="Z178" s="356"/>
      <c r="AA178" s="499"/>
      <c r="AB178" s="500"/>
      <c r="AM178" s="3" t="str">
        <f t="shared" si="1262"/>
        <v/>
      </c>
      <c r="AN178" s="3" t="str">
        <f t="shared" si="1263"/>
        <v/>
      </c>
      <c r="AO178" s="3" t="str">
        <f t="shared" si="1264"/>
        <v/>
      </c>
      <c r="AP178" s="3" t="str">
        <f t="shared" si="1265"/>
        <v/>
      </c>
      <c r="AQ178" s="3" t="str">
        <f t="shared" si="1448"/>
        <v/>
      </c>
      <c r="AR178" s="3" t="str">
        <f t="shared" si="1449"/>
        <v/>
      </c>
      <c r="AS178" s="3" t="str">
        <f t="shared" ref="AS178" si="1452">IF(AND(AQ178="Documentar",AR178="Asignar responsable"),CONCATENATE("- ",AQ178,", ",AR178),IF(AQ178="Documentar",CONCATENATE("- ",AQ178),IF(AR178="Asignar responsable",CONCATENATE("- ",AR178),"")))</f>
        <v/>
      </c>
      <c r="AT178" s="3" t="str">
        <f t="shared" si="1450"/>
        <v>Establecer periodos de seguimiento adecuados</v>
      </c>
      <c r="AU178" s="3" t="str">
        <f t="shared" ref="AU178" si="1453">IF(AT178="",AS178,IF(AS178="",CONCATENATE("- ",AT178),CONCATENATE(AS178,", ",AT178)))</f>
        <v>- Establecer periodos de seguimiento adecuados</v>
      </c>
      <c r="AV178" s="3" t="str">
        <f t="shared" si="1451"/>
        <v/>
      </c>
      <c r="AW178" s="3" t="str">
        <f t="shared" ref="AW178" si="1454">IF(AV178="",AU178,IF(AU178="",CONCATENATE("- ",AV178),CONCATENATE(AU178,", ",AV178)))</f>
        <v>- Establecer periodos de seguimiento adecuados</v>
      </c>
      <c r="AX178" s="502"/>
      <c r="AY178" s="502"/>
      <c r="AZ178" s="502"/>
      <c r="BA178" s="502"/>
      <c r="BB178" s="3" t="str">
        <f t="shared" si="1274"/>
        <v/>
      </c>
      <c r="BC178" s="3" t="str">
        <f t="shared" si="1275"/>
        <v/>
      </c>
      <c r="BD178" s="3" t="str">
        <f t="shared" si="1276"/>
        <v/>
      </c>
      <c r="BE178" s="3" t="str">
        <f t="shared" si="1277"/>
        <v/>
      </c>
      <c r="BF178" s="3" t="str">
        <f t="shared" si="1278"/>
        <v/>
      </c>
      <c r="BG178" s="3" t="str">
        <f t="shared" si="1279"/>
        <v/>
      </c>
      <c r="BH178" s="3" t="str">
        <f t="shared" si="1280"/>
        <v/>
      </c>
      <c r="BI178" s="3" t="str">
        <f t="shared" si="1432"/>
        <v/>
      </c>
      <c r="BJ178" s="3" t="str">
        <f t="shared" si="1433"/>
        <v/>
      </c>
      <c r="BK178" s="3" t="str">
        <f t="shared" si="1434"/>
        <v/>
      </c>
      <c r="BL178" s="3" t="str">
        <f t="shared" si="1281"/>
        <v/>
      </c>
      <c r="BM178" s="3" t="str">
        <f t="shared" si="1282"/>
        <v/>
      </c>
    </row>
    <row r="179" spans="1:65" ht="63.75" thickTop="1" x14ac:dyDescent="0.2">
      <c r="A179" s="493" t="str">
        <f>IDENTIFICACIÓN!C66</f>
        <v>29C</v>
      </c>
      <c r="B179" s="496" t="str">
        <f>IF(IDENTIFICACIÓN!D66="","",IDENTIFICACIÓN!D66)</f>
        <v>Gestión de Admisiones y Registro. Manipulación de resultados del examen  de admisión.</v>
      </c>
      <c r="C179" s="356">
        <v>1</v>
      </c>
      <c r="D179" s="56" t="s">
        <v>11</v>
      </c>
      <c r="E179" s="240">
        <f t="shared" si="1428"/>
        <v>10</v>
      </c>
      <c r="F179" s="44" t="s">
        <v>644</v>
      </c>
      <c r="G179" s="18" t="str">
        <f t="shared" si="1244"/>
        <v/>
      </c>
      <c r="H179" s="44" t="s">
        <v>20</v>
      </c>
      <c r="I179" s="18" t="str">
        <f t="shared" si="1245"/>
        <v/>
      </c>
      <c r="J179" s="55" t="str">
        <f t="shared" si="1246"/>
        <v>Posibilidad</v>
      </c>
      <c r="K179" s="43" t="s">
        <v>10</v>
      </c>
      <c r="L179" s="18">
        <f t="shared" si="1247"/>
        <v>0</v>
      </c>
      <c r="M179" s="43" t="s">
        <v>11</v>
      </c>
      <c r="N179" s="18">
        <f t="shared" si="1248"/>
        <v>30</v>
      </c>
      <c r="O179" s="43" t="s">
        <v>323</v>
      </c>
      <c r="P179" s="18">
        <f t="shared" si="1249"/>
        <v>10</v>
      </c>
      <c r="Q179" s="43" t="s">
        <v>11</v>
      </c>
      <c r="R179" s="18">
        <f t="shared" si="1250"/>
        <v>5</v>
      </c>
      <c r="S179" s="43" t="s">
        <v>11</v>
      </c>
      <c r="T179" s="18">
        <f t="shared" si="1251"/>
        <v>15</v>
      </c>
      <c r="U179" s="43" t="s">
        <v>11</v>
      </c>
      <c r="V179" s="18">
        <f t="shared" si="1252"/>
        <v>10</v>
      </c>
      <c r="W179" s="18">
        <f t="shared" si="1253"/>
        <v>80</v>
      </c>
      <c r="X179" s="57" t="str">
        <f t="shared" si="1254"/>
        <v>80                           Disminuye en Posibilidad</v>
      </c>
      <c r="Y179" s="57">
        <f t="shared" si="1255"/>
        <v>1</v>
      </c>
      <c r="Z179" s="356"/>
      <c r="AA179" s="497">
        <f t="shared" ref="AA179" si="1455">IF(AB179=0,"",(ROUND((SUM(W179:W181)/AB179),0)))</f>
        <v>88</v>
      </c>
      <c r="AB179" s="500">
        <f t="shared" ref="AB179" si="1456">COUNT(T179:T181)</f>
        <v>2</v>
      </c>
      <c r="AC179" s="3">
        <f t="shared" ref="AC179" si="1457">SUM(Y179:Y181)</f>
        <v>2</v>
      </c>
      <c r="AD179" s="3">
        <f>ANALISIS!D68</f>
        <v>3</v>
      </c>
      <c r="AE179" s="3">
        <f t="shared" ref="AE179" si="1458">IF(AND(AD179=5,AC179&gt;1),3,AD179)</f>
        <v>3</v>
      </c>
      <c r="AF179" s="501">
        <f t="shared" si="1260"/>
        <v>3</v>
      </c>
      <c r="AG179" s="355" t="str">
        <f t="shared" si="1261"/>
        <v>MODERADA</v>
      </c>
      <c r="AH179" s="46"/>
      <c r="AI179" s="46"/>
      <c r="AJ179" s="46"/>
      <c r="AK179" s="46"/>
      <c r="AL179" s="46"/>
      <c r="AM179" s="3" t="str">
        <f t="shared" si="1262"/>
        <v>Documentar</v>
      </c>
      <c r="AN179" s="3" t="str">
        <f t="shared" si="1263"/>
        <v/>
      </c>
      <c r="AO179" s="3" t="str">
        <f t="shared" si="1264"/>
        <v/>
      </c>
      <c r="AP179" s="3" t="str">
        <f t="shared" si="1265"/>
        <v/>
      </c>
      <c r="AQ179" s="3" t="str">
        <f t="shared" ref="AQ179" si="1459">AM179</f>
        <v>Documentar</v>
      </c>
      <c r="AR179" s="3" t="str">
        <f t="shared" ref="AR179" si="1460">AN179</f>
        <v/>
      </c>
      <c r="AT179" s="3" t="str">
        <f t="shared" ref="AT179" si="1461">AO179</f>
        <v/>
      </c>
      <c r="AV179" s="3" t="str">
        <f t="shared" ref="AV179" si="1462">AP179</f>
        <v/>
      </c>
      <c r="AX179" s="502" t="str">
        <f t="shared" ref="AX179" si="1463">IF(AW181="","",CONCATENATE(AW181," (de) el(los) control(es) Efectivo(s) "))</f>
        <v xml:space="preserve">- Documentar (de) el(los) control(es) Efectivo(s) </v>
      </c>
      <c r="AY179" s="502" t="str">
        <f t="shared" ref="AY179" si="1464">IF(CONCATENATE(N179:N181)="","",IF(AND(SUM(E179:E181)=10,SUM(N179:N181)&lt;30),"- Replantear control(es) NO efectivo(s) ",IF(AND(SUM(E179:E181)=20,SUM(N179:N181)&lt;60),"- Replantear control(es) NO efectivo(s) ",IF(AND(SUM(E179:E181)=30,SUM(N179:N181)&lt;90),"- Replantear control(es) NO efectivo(s) ",""))))</f>
        <v/>
      </c>
      <c r="AZ179" s="502" t="str">
        <f t="shared" ref="AZ179" si="1465">IF(AND(AE179&gt;1,AE180&gt;1),"- Tomar Acciones Preventivas y Correctivas",IF(AE179&gt;1,"- Tomar Acciones Preventivas",IF(AE180&gt;1,"- Tomar Acciones Correctivas","")))</f>
        <v>- Tomar Acciones Preventivas</v>
      </c>
      <c r="BA179" s="502" t="str">
        <f t="shared" ref="BA179" si="1466">CONCATENATE(AX179,AY179,AZ179)</f>
        <v>- Documentar (de) el(los) control(es) Efectivo(s) - Tomar Acciones Preventivas</v>
      </c>
      <c r="BB179" s="3" t="str">
        <f t="shared" si="1274"/>
        <v>NO</v>
      </c>
      <c r="BC179" s="3" t="str">
        <f t="shared" si="1275"/>
        <v/>
      </c>
      <c r="BD179" s="3" t="str">
        <f t="shared" si="1276"/>
        <v>SI</v>
      </c>
      <c r="BE179" s="3" t="str">
        <f t="shared" si="1277"/>
        <v/>
      </c>
      <c r="BF179" s="3" t="str">
        <f t="shared" si="1278"/>
        <v>SI</v>
      </c>
      <c r="BG179" s="3" t="str">
        <f t="shared" si="1279"/>
        <v/>
      </c>
      <c r="BH179" s="3" t="str">
        <f t="shared" si="1280"/>
        <v>P</v>
      </c>
      <c r="BI179" s="3" t="str">
        <f t="shared" si="1432"/>
        <v/>
      </c>
      <c r="BJ179" s="3" t="str">
        <f t="shared" si="1433"/>
        <v>M</v>
      </c>
      <c r="BK179" s="3" t="str">
        <f t="shared" si="1434"/>
        <v/>
      </c>
      <c r="BL179" s="3" t="str">
        <f t="shared" si="1281"/>
        <v>SI</v>
      </c>
      <c r="BM179" s="3" t="str">
        <f t="shared" si="1282"/>
        <v/>
      </c>
    </row>
    <row r="180" spans="1:65" ht="47.25" x14ac:dyDescent="0.2">
      <c r="A180" s="494"/>
      <c r="B180" s="496"/>
      <c r="C180" s="356">
        <v>2</v>
      </c>
      <c r="D180" s="56" t="s">
        <v>11</v>
      </c>
      <c r="E180" s="240">
        <f t="shared" si="1428"/>
        <v>10</v>
      </c>
      <c r="F180" s="44" t="s">
        <v>645</v>
      </c>
      <c r="G180" s="18" t="str">
        <f t="shared" si="1244"/>
        <v/>
      </c>
      <c r="H180" s="44" t="s">
        <v>20</v>
      </c>
      <c r="I180" s="18" t="str">
        <f t="shared" si="1245"/>
        <v/>
      </c>
      <c r="J180" s="55" t="str">
        <f t="shared" si="1246"/>
        <v>Posibilidad</v>
      </c>
      <c r="K180" s="43" t="s">
        <v>11</v>
      </c>
      <c r="L180" s="18">
        <f t="shared" si="1247"/>
        <v>15</v>
      </c>
      <c r="M180" s="43" t="s">
        <v>11</v>
      </c>
      <c r="N180" s="18">
        <f t="shared" si="1248"/>
        <v>30</v>
      </c>
      <c r="O180" s="43" t="s">
        <v>323</v>
      </c>
      <c r="P180" s="18">
        <f t="shared" si="1249"/>
        <v>10</v>
      </c>
      <c r="Q180" s="43" t="s">
        <v>11</v>
      </c>
      <c r="R180" s="18">
        <f t="shared" si="1250"/>
        <v>5</v>
      </c>
      <c r="S180" s="43" t="s">
        <v>11</v>
      </c>
      <c r="T180" s="18">
        <f t="shared" si="1251"/>
        <v>15</v>
      </c>
      <c r="U180" s="43" t="s">
        <v>11</v>
      </c>
      <c r="V180" s="18">
        <f t="shared" si="1252"/>
        <v>10</v>
      </c>
      <c r="W180" s="18">
        <f t="shared" si="1253"/>
        <v>95</v>
      </c>
      <c r="X180" s="57" t="str">
        <f t="shared" si="1254"/>
        <v>95                           Disminuye en Posibilidad</v>
      </c>
      <c r="Y180" s="57">
        <f t="shared" si="1255"/>
        <v>1</v>
      </c>
      <c r="Z180" s="356"/>
      <c r="AA180" s="498"/>
      <c r="AB180" s="500"/>
      <c r="AC180" s="3" t="s">
        <v>352</v>
      </c>
      <c r="AF180" s="501"/>
      <c r="AG180" s="46" t="str">
        <f t="shared" ref="AG180" si="1467">IF(AG179&gt;0,"- Evitar Posibilidad de Ocurrencia- Reducir el Riesgo","")</f>
        <v>- Evitar Posibilidad de Ocurrencia- Reducir el Riesgo</v>
      </c>
      <c r="AH180" s="46"/>
      <c r="AI180" s="46"/>
      <c r="AJ180" s="46"/>
      <c r="AK180" s="46"/>
      <c r="AL180" s="46"/>
      <c r="AM180" s="3" t="str">
        <f t="shared" si="1262"/>
        <v/>
      </c>
      <c r="AN180" s="3" t="str">
        <f t="shared" si="1263"/>
        <v/>
      </c>
      <c r="AO180" s="3" t="str">
        <f t="shared" si="1264"/>
        <v/>
      </c>
      <c r="AP180" s="3" t="str">
        <f t="shared" si="1265"/>
        <v/>
      </c>
      <c r="AQ180" s="3" t="str">
        <f t="shared" ref="AQ180:AQ181" si="1468">IF(AQ179="Documentar",AQ179,AM180)</f>
        <v>Documentar</v>
      </c>
      <c r="AR180" s="3" t="str">
        <f t="shared" ref="AR180:AR181" si="1469">IF(AR179="Asignar responsable",AR179,AN180)</f>
        <v/>
      </c>
      <c r="AT180" s="3" t="str">
        <f t="shared" ref="AT180:AT181" si="1470">IF(AT179="Establecer periodos de seguimiento adecuados",AT179,AO180)</f>
        <v/>
      </c>
      <c r="AV180" s="3" t="str">
        <f t="shared" ref="AV180:AV181" si="1471">IF(AV179="Guardar Evidencias",AV179,AP180)</f>
        <v/>
      </c>
      <c r="AX180" s="502"/>
      <c r="AY180" s="502"/>
      <c r="AZ180" s="502"/>
      <c r="BA180" s="502"/>
      <c r="BB180" s="3" t="str">
        <f t="shared" si="1274"/>
        <v>SI</v>
      </c>
      <c r="BC180" s="3" t="str">
        <f t="shared" si="1275"/>
        <v/>
      </c>
      <c r="BD180" s="3" t="str">
        <f t="shared" si="1276"/>
        <v>SI</v>
      </c>
      <c r="BE180" s="3" t="str">
        <f t="shared" si="1277"/>
        <v/>
      </c>
      <c r="BF180" s="3" t="str">
        <f t="shared" si="1278"/>
        <v>SI</v>
      </c>
      <c r="BG180" s="3" t="str">
        <f t="shared" si="1279"/>
        <v/>
      </c>
      <c r="BH180" s="3" t="str">
        <f t="shared" si="1280"/>
        <v>P</v>
      </c>
      <c r="BI180" s="3" t="str">
        <f t="shared" si="1432"/>
        <v/>
      </c>
      <c r="BJ180" s="3" t="str">
        <f t="shared" si="1433"/>
        <v>M</v>
      </c>
      <c r="BK180" s="3" t="str">
        <f t="shared" si="1434"/>
        <v/>
      </c>
      <c r="BL180" s="3" t="str">
        <f t="shared" si="1281"/>
        <v>SI</v>
      </c>
      <c r="BM180" s="3" t="str">
        <f t="shared" si="1282"/>
        <v/>
      </c>
    </row>
    <row r="181" spans="1:65" ht="16.5" thickBot="1" x14ac:dyDescent="0.25">
      <c r="A181" s="495"/>
      <c r="B181" s="496"/>
      <c r="C181" s="356">
        <v>3</v>
      </c>
      <c r="D181" s="56"/>
      <c r="E181" s="240" t="str">
        <f t="shared" si="1428"/>
        <v/>
      </c>
      <c r="F181" s="44"/>
      <c r="G181" s="18" t="str">
        <f t="shared" si="1244"/>
        <v/>
      </c>
      <c r="H181" s="44"/>
      <c r="I181" s="18" t="str">
        <f t="shared" si="1245"/>
        <v/>
      </c>
      <c r="J181" s="55" t="str">
        <f t="shared" si="1246"/>
        <v/>
      </c>
      <c r="K181" s="43"/>
      <c r="L181" s="18" t="str">
        <f t="shared" si="1247"/>
        <v/>
      </c>
      <c r="M181" s="43"/>
      <c r="N181" s="18" t="str">
        <f t="shared" si="1248"/>
        <v/>
      </c>
      <c r="O181" s="43"/>
      <c r="P181" s="18" t="str">
        <f t="shared" si="1249"/>
        <v/>
      </c>
      <c r="Q181" s="43"/>
      <c r="R181" s="18" t="str">
        <f t="shared" si="1250"/>
        <v/>
      </c>
      <c r="S181" s="43"/>
      <c r="T181" s="18" t="str">
        <f t="shared" si="1251"/>
        <v/>
      </c>
      <c r="U181" s="43"/>
      <c r="V181" s="18" t="str">
        <f t="shared" si="1252"/>
        <v/>
      </c>
      <c r="W181" s="18">
        <f t="shared" si="1253"/>
        <v>0</v>
      </c>
      <c r="X181" s="57" t="str">
        <f t="shared" si="1254"/>
        <v/>
      </c>
      <c r="Y181" s="57">
        <f t="shared" si="1255"/>
        <v>0</v>
      </c>
      <c r="Z181" s="356"/>
      <c r="AA181" s="499"/>
      <c r="AB181" s="500"/>
      <c r="AM181" s="3" t="str">
        <f t="shared" si="1262"/>
        <v/>
      </c>
      <c r="AN181" s="3" t="str">
        <f t="shared" si="1263"/>
        <v/>
      </c>
      <c r="AO181" s="3" t="str">
        <f t="shared" si="1264"/>
        <v/>
      </c>
      <c r="AP181" s="3" t="str">
        <f t="shared" si="1265"/>
        <v/>
      </c>
      <c r="AQ181" s="3" t="str">
        <f t="shared" si="1468"/>
        <v>Documentar</v>
      </c>
      <c r="AR181" s="3" t="str">
        <f t="shared" si="1469"/>
        <v/>
      </c>
      <c r="AS181" s="3" t="str">
        <f t="shared" ref="AS181" si="1472">IF(AND(AQ181="Documentar",AR181="Asignar responsable"),CONCATENATE("- ",AQ181,", ",AR181),IF(AQ181="Documentar",CONCATENATE("- ",AQ181),IF(AR181="Asignar responsable",CONCATENATE("- ",AR181),"")))</f>
        <v>- Documentar</v>
      </c>
      <c r="AT181" s="3" t="str">
        <f t="shared" si="1470"/>
        <v/>
      </c>
      <c r="AU181" s="3" t="str">
        <f t="shared" ref="AU181" si="1473">IF(AT181="",AS181,IF(AS181="",CONCATENATE("- ",AT181),CONCATENATE(AS181,", ",AT181)))</f>
        <v>- Documentar</v>
      </c>
      <c r="AV181" s="3" t="str">
        <f t="shared" si="1471"/>
        <v/>
      </c>
      <c r="AW181" s="3" t="str">
        <f t="shared" ref="AW181" si="1474">IF(AV181="",AU181,IF(AU181="",CONCATENATE("- ",AV181),CONCATENATE(AU181,", ",AV181)))</f>
        <v>- Documentar</v>
      </c>
      <c r="AX181" s="502"/>
      <c r="AY181" s="502"/>
      <c r="AZ181" s="502"/>
      <c r="BA181" s="502"/>
      <c r="BB181" s="3" t="str">
        <f t="shared" si="1274"/>
        <v/>
      </c>
      <c r="BC181" s="3" t="str">
        <f t="shared" si="1275"/>
        <v/>
      </c>
      <c r="BD181" s="3" t="str">
        <f t="shared" si="1276"/>
        <v/>
      </c>
      <c r="BE181" s="3" t="str">
        <f t="shared" si="1277"/>
        <v/>
      </c>
      <c r="BF181" s="3" t="str">
        <f t="shared" si="1278"/>
        <v/>
      </c>
      <c r="BG181" s="3" t="str">
        <f t="shared" si="1279"/>
        <v/>
      </c>
      <c r="BH181" s="3" t="str">
        <f t="shared" si="1280"/>
        <v/>
      </c>
      <c r="BI181" s="3" t="str">
        <f t="shared" si="1432"/>
        <v/>
      </c>
      <c r="BJ181" s="3" t="str">
        <f t="shared" si="1433"/>
        <v/>
      </c>
      <c r="BK181" s="3" t="str">
        <f t="shared" si="1434"/>
        <v/>
      </c>
      <c r="BL181" s="3" t="str">
        <f t="shared" si="1281"/>
        <v/>
      </c>
      <c r="BM181" s="3" t="str">
        <f t="shared" si="1282"/>
        <v/>
      </c>
    </row>
    <row r="182" spans="1:65" ht="36.75" thickTop="1" x14ac:dyDescent="0.2">
      <c r="A182" s="493" t="str">
        <f>IDENTIFICACIÓN!C67</f>
        <v>30C</v>
      </c>
      <c r="B182" s="496" t="str">
        <f>IF(IDENTIFICACIÓN!D67="","",IDENTIFICACIÓN!D67)</f>
        <v>Gestión de Admisiones y Registro. Alteración de notas de estudiantes.</v>
      </c>
      <c r="C182" s="356">
        <v>1</v>
      </c>
      <c r="D182" s="56" t="s">
        <v>11</v>
      </c>
      <c r="E182" s="240">
        <f t="shared" si="1428"/>
        <v>10</v>
      </c>
      <c r="F182" s="44" t="s">
        <v>646</v>
      </c>
      <c r="G182" s="18" t="str">
        <f t="shared" si="1244"/>
        <v/>
      </c>
      <c r="H182" s="44" t="s">
        <v>20</v>
      </c>
      <c r="I182" s="18" t="str">
        <f t="shared" si="1245"/>
        <v/>
      </c>
      <c r="J182" s="55" t="str">
        <f t="shared" si="1246"/>
        <v>Posibilidad</v>
      </c>
      <c r="K182" s="43" t="s">
        <v>10</v>
      </c>
      <c r="L182" s="18">
        <f t="shared" si="1247"/>
        <v>0</v>
      </c>
      <c r="M182" s="43" t="s">
        <v>11</v>
      </c>
      <c r="N182" s="18">
        <f t="shared" si="1248"/>
        <v>30</v>
      </c>
      <c r="O182" s="43" t="s">
        <v>322</v>
      </c>
      <c r="P182" s="18">
        <f t="shared" si="1249"/>
        <v>15</v>
      </c>
      <c r="Q182" s="43" t="s">
        <v>11</v>
      </c>
      <c r="R182" s="18">
        <f t="shared" si="1250"/>
        <v>5</v>
      </c>
      <c r="S182" s="43" t="s">
        <v>11</v>
      </c>
      <c r="T182" s="18">
        <f t="shared" si="1251"/>
        <v>15</v>
      </c>
      <c r="U182" s="43" t="s">
        <v>11</v>
      </c>
      <c r="V182" s="18">
        <f t="shared" si="1252"/>
        <v>10</v>
      </c>
      <c r="W182" s="18">
        <f t="shared" si="1253"/>
        <v>85</v>
      </c>
      <c r="X182" s="57" t="str">
        <f t="shared" si="1254"/>
        <v>85                           Disminuye en Posibilidad</v>
      </c>
      <c r="Y182" s="57">
        <f t="shared" si="1255"/>
        <v>1</v>
      </c>
      <c r="Z182" s="356"/>
      <c r="AA182" s="497">
        <f t="shared" ref="AA182" si="1475">IF(AB182=0,"",(ROUND((SUM(W182:W184)/AB182),0)))</f>
        <v>85</v>
      </c>
      <c r="AB182" s="500">
        <f t="shared" ref="AB182" si="1476">COUNT(T182:T184)</f>
        <v>3</v>
      </c>
      <c r="AC182" s="3">
        <f t="shared" ref="AC182" si="1477">SUM(Y182:Y184)</f>
        <v>3</v>
      </c>
      <c r="AD182" s="3">
        <f>ANALISIS!D69</f>
        <v>3</v>
      </c>
      <c r="AE182" s="3">
        <f t="shared" ref="AE182" si="1478">IF(AND(AD182=5,AC182&gt;1),3,AD182)</f>
        <v>3</v>
      </c>
      <c r="AF182" s="501">
        <f t="shared" si="1260"/>
        <v>3</v>
      </c>
      <c r="AG182" s="355" t="str">
        <f t="shared" si="1261"/>
        <v>MODERADA</v>
      </c>
      <c r="AH182" s="46"/>
      <c r="AI182" s="46"/>
      <c r="AJ182" s="46"/>
      <c r="AK182" s="46"/>
      <c r="AL182" s="46"/>
      <c r="AM182" s="3" t="str">
        <f t="shared" si="1262"/>
        <v>Documentar</v>
      </c>
      <c r="AN182" s="3" t="str">
        <f t="shared" si="1263"/>
        <v/>
      </c>
      <c r="AO182" s="3" t="str">
        <f t="shared" si="1264"/>
        <v/>
      </c>
      <c r="AP182" s="3" t="str">
        <f t="shared" si="1265"/>
        <v/>
      </c>
      <c r="AQ182" s="3" t="str">
        <f t="shared" ref="AQ182" si="1479">AM182</f>
        <v>Documentar</v>
      </c>
      <c r="AR182" s="3" t="str">
        <f t="shared" ref="AR182" si="1480">AN182</f>
        <v/>
      </c>
      <c r="AT182" s="3" t="str">
        <f t="shared" ref="AT182" si="1481">AO182</f>
        <v/>
      </c>
      <c r="AV182" s="3" t="str">
        <f t="shared" ref="AV182" si="1482">AP182</f>
        <v/>
      </c>
      <c r="AX182" s="502" t="str">
        <f t="shared" ref="AX182" si="1483">IF(AW184="","",CONCATENATE(AW184," (de) el(los) control(es) Efectivo(s) "))</f>
        <v xml:space="preserve">- Documentar (de) el(los) control(es) Efectivo(s) </v>
      </c>
      <c r="AY182" s="502" t="str">
        <f t="shared" ref="AY182" si="1484">IF(CONCATENATE(N182:N184)="","",IF(AND(SUM(E182:E184)=10,SUM(N182:N184)&lt;30),"- Replantear control(es) NO efectivo(s) ",IF(AND(SUM(E182:E184)=20,SUM(N182:N184)&lt;60),"- Replantear control(es) NO efectivo(s) ",IF(AND(SUM(E182:E184)=30,SUM(N182:N184)&lt;90),"- Replantear control(es) NO efectivo(s) ",""))))</f>
        <v/>
      </c>
      <c r="AZ182" s="502" t="str">
        <f t="shared" ref="AZ182" si="1485">IF(AND(AE182&gt;1,AE183&gt;1),"- Tomar Acciones Preventivas y Correctivas",IF(AE182&gt;1,"- Tomar Acciones Preventivas",IF(AE183&gt;1,"- Tomar Acciones Correctivas","")))</f>
        <v>- Tomar Acciones Preventivas</v>
      </c>
      <c r="BA182" s="502" t="str">
        <f t="shared" ref="BA182" si="1486">CONCATENATE(AX182,AY182,AZ182)</f>
        <v>- Documentar (de) el(los) control(es) Efectivo(s) - Tomar Acciones Preventivas</v>
      </c>
      <c r="BB182" s="3" t="str">
        <f t="shared" si="1274"/>
        <v>NO</v>
      </c>
      <c r="BC182" s="3" t="str">
        <f t="shared" si="1275"/>
        <v/>
      </c>
      <c r="BD182" s="3" t="str">
        <f t="shared" si="1276"/>
        <v>SI</v>
      </c>
      <c r="BE182" s="3" t="str">
        <f t="shared" si="1277"/>
        <v/>
      </c>
      <c r="BF182" s="3" t="str">
        <f t="shared" si="1278"/>
        <v>SI</v>
      </c>
      <c r="BG182" s="3" t="str">
        <f t="shared" si="1279"/>
        <v/>
      </c>
      <c r="BH182" s="3" t="str">
        <f t="shared" si="1280"/>
        <v>P</v>
      </c>
      <c r="BI182" s="3" t="str">
        <f t="shared" si="1432"/>
        <v/>
      </c>
      <c r="BJ182" s="3" t="str">
        <f t="shared" si="1433"/>
        <v>A</v>
      </c>
      <c r="BK182" s="3" t="str">
        <f t="shared" si="1434"/>
        <v/>
      </c>
      <c r="BL182" s="3" t="str">
        <f t="shared" si="1281"/>
        <v>SI</v>
      </c>
      <c r="BM182" s="3" t="str">
        <f t="shared" si="1282"/>
        <v/>
      </c>
    </row>
    <row r="183" spans="1:65" ht="36" x14ac:dyDescent="0.2">
      <c r="A183" s="494"/>
      <c r="B183" s="496"/>
      <c r="C183" s="356">
        <v>2</v>
      </c>
      <c r="D183" s="56" t="s">
        <v>11</v>
      </c>
      <c r="E183" s="240">
        <f t="shared" si="1428"/>
        <v>10</v>
      </c>
      <c r="F183" s="44" t="s">
        <v>647</v>
      </c>
      <c r="G183" s="18" t="str">
        <f t="shared" si="1244"/>
        <v/>
      </c>
      <c r="H183" s="44" t="s">
        <v>20</v>
      </c>
      <c r="I183" s="18" t="str">
        <f t="shared" si="1245"/>
        <v/>
      </c>
      <c r="J183" s="55" t="str">
        <f t="shared" si="1246"/>
        <v>Posibilidad</v>
      </c>
      <c r="K183" s="43" t="s">
        <v>10</v>
      </c>
      <c r="L183" s="18">
        <f t="shared" si="1247"/>
        <v>0</v>
      </c>
      <c r="M183" s="43" t="s">
        <v>11</v>
      </c>
      <c r="N183" s="18">
        <f t="shared" si="1248"/>
        <v>30</v>
      </c>
      <c r="O183" s="43" t="s">
        <v>322</v>
      </c>
      <c r="P183" s="18">
        <f t="shared" si="1249"/>
        <v>15</v>
      </c>
      <c r="Q183" s="43" t="s">
        <v>11</v>
      </c>
      <c r="R183" s="18">
        <f t="shared" si="1250"/>
        <v>5</v>
      </c>
      <c r="S183" s="43" t="s">
        <v>11</v>
      </c>
      <c r="T183" s="18">
        <f t="shared" si="1251"/>
        <v>15</v>
      </c>
      <c r="U183" s="43" t="s">
        <v>11</v>
      </c>
      <c r="V183" s="18">
        <f t="shared" si="1252"/>
        <v>10</v>
      </c>
      <c r="W183" s="18">
        <f t="shared" si="1253"/>
        <v>85</v>
      </c>
      <c r="X183" s="57" t="str">
        <f t="shared" si="1254"/>
        <v>85                           Disminuye en Posibilidad</v>
      </c>
      <c r="Y183" s="57">
        <f t="shared" si="1255"/>
        <v>1</v>
      </c>
      <c r="Z183" s="356"/>
      <c r="AA183" s="498"/>
      <c r="AB183" s="500"/>
      <c r="AC183" s="3" t="s">
        <v>352</v>
      </c>
      <c r="AF183" s="501"/>
      <c r="AG183" s="46" t="str">
        <f t="shared" ref="AG183" si="1487">IF(AG182&gt;0,"- Evitar Posibilidad de Ocurrencia- Reducir el Riesgo","")</f>
        <v>- Evitar Posibilidad de Ocurrencia- Reducir el Riesgo</v>
      </c>
      <c r="AH183" s="46"/>
      <c r="AI183" s="46"/>
      <c r="AJ183" s="46"/>
      <c r="AK183" s="46"/>
      <c r="AL183" s="46"/>
      <c r="AM183" s="3" t="str">
        <f t="shared" si="1262"/>
        <v>Documentar</v>
      </c>
      <c r="AN183" s="3" t="str">
        <f t="shared" si="1263"/>
        <v/>
      </c>
      <c r="AO183" s="3" t="str">
        <f t="shared" si="1264"/>
        <v/>
      </c>
      <c r="AP183" s="3" t="str">
        <f t="shared" si="1265"/>
        <v/>
      </c>
      <c r="AQ183" s="3" t="str">
        <f t="shared" ref="AQ183:AQ184" si="1488">IF(AQ182="Documentar",AQ182,AM183)</f>
        <v>Documentar</v>
      </c>
      <c r="AR183" s="3" t="str">
        <f t="shared" ref="AR183:AR184" si="1489">IF(AR182="Asignar responsable",AR182,AN183)</f>
        <v/>
      </c>
      <c r="AT183" s="3" t="str">
        <f t="shared" ref="AT183:AT184" si="1490">IF(AT182="Establecer periodos de seguimiento adecuados",AT182,AO183)</f>
        <v/>
      </c>
      <c r="AV183" s="3" t="str">
        <f t="shared" ref="AV183:AV184" si="1491">IF(AV182="Guardar Evidencias",AV182,AP183)</f>
        <v/>
      </c>
      <c r="AX183" s="502"/>
      <c r="AY183" s="502"/>
      <c r="AZ183" s="502"/>
      <c r="BA183" s="502"/>
      <c r="BB183" s="3" t="str">
        <f t="shared" si="1274"/>
        <v>NO</v>
      </c>
      <c r="BC183" s="3" t="str">
        <f t="shared" si="1275"/>
        <v/>
      </c>
      <c r="BD183" s="3" t="str">
        <f t="shared" si="1276"/>
        <v>SI</v>
      </c>
      <c r="BE183" s="3" t="str">
        <f t="shared" si="1277"/>
        <v/>
      </c>
      <c r="BF183" s="3" t="str">
        <f t="shared" si="1278"/>
        <v>SI</v>
      </c>
      <c r="BG183" s="3" t="str">
        <f t="shared" si="1279"/>
        <v/>
      </c>
      <c r="BH183" s="3" t="str">
        <f t="shared" si="1280"/>
        <v>P</v>
      </c>
      <c r="BI183" s="3" t="str">
        <f t="shared" si="1432"/>
        <v/>
      </c>
      <c r="BJ183" s="3" t="str">
        <f t="shared" si="1433"/>
        <v>A</v>
      </c>
      <c r="BK183" s="3" t="str">
        <f t="shared" si="1434"/>
        <v/>
      </c>
      <c r="BL183" s="3" t="str">
        <f t="shared" si="1281"/>
        <v>SI</v>
      </c>
      <c r="BM183" s="3" t="str">
        <f t="shared" si="1282"/>
        <v/>
      </c>
    </row>
    <row r="184" spans="1:65" ht="48" thickBot="1" x14ac:dyDescent="0.25">
      <c r="A184" s="495"/>
      <c r="B184" s="496"/>
      <c r="C184" s="356">
        <v>3</v>
      </c>
      <c r="D184" s="56" t="s">
        <v>11</v>
      </c>
      <c r="E184" s="240">
        <f t="shared" si="1428"/>
        <v>10</v>
      </c>
      <c r="F184" s="44" t="s">
        <v>648</v>
      </c>
      <c r="G184" s="18" t="str">
        <f t="shared" si="1244"/>
        <v/>
      </c>
      <c r="H184" s="44" t="s">
        <v>20</v>
      </c>
      <c r="I184" s="18" t="str">
        <f t="shared" si="1245"/>
        <v/>
      </c>
      <c r="J184" s="55" t="str">
        <f t="shared" si="1246"/>
        <v>Posibilidad</v>
      </c>
      <c r="K184" s="43" t="s">
        <v>10</v>
      </c>
      <c r="L184" s="18">
        <f t="shared" si="1247"/>
        <v>0</v>
      </c>
      <c r="M184" s="43" t="s">
        <v>11</v>
      </c>
      <c r="N184" s="18">
        <f t="shared" si="1248"/>
        <v>30</v>
      </c>
      <c r="O184" s="43" t="s">
        <v>322</v>
      </c>
      <c r="P184" s="18">
        <f t="shared" si="1249"/>
        <v>15</v>
      </c>
      <c r="Q184" s="43" t="s">
        <v>11</v>
      </c>
      <c r="R184" s="18">
        <f t="shared" si="1250"/>
        <v>5</v>
      </c>
      <c r="S184" s="43" t="s">
        <v>11</v>
      </c>
      <c r="T184" s="18">
        <f t="shared" si="1251"/>
        <v>15</v>
      </c>
      <c r="U184" s="43" t="s">
        <v>11</v>
      </c>
      <c r="V184" s="18">
        <f t="shared" si="1252"/>
        <v>10</v>
      </c>
      <c r="W184" s="18">
        <f t="shared" si="1253"/>
        <v>85</v>
      </c>
      <c r="X184" s="57" t="str">
        <f t="shared" si="1254"/>
        <v>85                           Disminuye en Posibilidad</v>
      </c>
      <c r="Y184" s="57">
        <f t="shared" si="1255"/>
        <v>1</v>
      </c>
      <c r="Z184" s="356"/>
      <c r="AA184" s="499"/>
      <c r="AB184" s="500"/>
      <c r="AM184" s="3" t="str">
        <f t="shared" si="1262"/>
        <v>Documentar</v>
      </c>
      <c r="AN184" s="3" t="str">
        <f t="shared" si="1263"/>
        <v/>
      </c>
      <c r="AO184" s="3" t="str">
        <f t="shared" si="1264"/>
        <v/>
      </c>
      <c r="AP184" s="3" t="str">
        <f t="shared" si="1265"/>
        <v/>
      </c>
      <c r="AQ184" s="3" t="str">
        <f t="shared" si="1488"/>
        <v>Documentar</v>
      </c>
      <c r="AR184" s="3" t="str">
        <f t="shared" si="1489"/>
        <v/>
      </c>
      <c r="AS184" s="3" t="str">
        <f t="shared" ref="AS184" si="1492">IF(AND(AQ184="Documentar",AR184="Asignar responsable"),CONCATENATE("- ",AQ184,", ",AR184),IF(AQ184="Documentar",CONCATENATE("- ",AQ184),IF(AR184="Asignar responsable",CONCATENATE("- ",AR184),"")))</f>
        <v>- Documentar</v>
      </c>
      <c r="AT184" s="3" t="str">
        <f t="shared" si="1490"/>
        <v/>
      </c>
      <c r="AU184" s="3" t="str">
        <f t="shared" ref="AU184" si="1493">IF(AT184="",AS184,IF(AS184="",CONCATENATE("- ",AT184),CONCATENATE(AS184,", ",AT184)))</f>
        <v>- Documentar</v>
      </c>
      <c r="AV184" s="3" t="str">
        <f t="shared" si="1491"/>
        <v/>
      </c>
      <c r="AW184" s="3" t="str">
        <f t="shared" ref="AW184" si="1494">IF(AV184="",AU184,IF(AU184="",CONCATENATE("- ",AV184),CONCATENATE(AU184,", ",AV184)))</f>
        <v>- Documentar</v>
      </c>
      <c r="AX184" s="502"/>
      <c r="AY184" s="502"/>
      <c r="AZ184" s="502"/>
      <c r="BA184" s="502"/>
      <c r="BB184" s="3" t="str">
        <f t="shared" si="1274"/>
        <v>NO</v>
      </c>
      <c r="BC184" s="3" t="str">
        <f t="shared" si="1275"/>
        <v/>
      </c>
      <c r="BD184" s="3" t="str">
        <f t="shared" si="1276"/>
        <v>SI</v>
      </c>
      <c r="BE184" s="3" t="str">
        <f t="shared" si="1277"/>
        <v/>
      </c>
      <c r="BF184" s="3" t="str">
        <f t="shared" si="1278"/>
        <v>SI</v>
      </c>
      <c r="BG184" s="3" t="str">
        <f t="shared" si="1279"/>
        <v/>
      </c>
      <c r="BH184" s="3" t="str">
        <f t="shared" si="1280"/>
        <v>P</v>
      </c>
      <c r="BI184" s="3" t="str">
        <f t="shared" si="1432"/>
        <v/>
      </c>
      <c r="BJ184" s="3" t="str">
        <f t="shared" si="1433"/>
        <v>A</v>
      </c>
      <c r="BK184" s="3" t="str">
        <f t="shared" si="1434"/>
        <v/>
      </c>
      <c r="BL184" s="3" t="str">
        <f t="shared" si="1281"/>
        <v>SI</v>
      </c>
      <c r="BM184" s="3" t="str">
        <f t="shared" si="1282"/>
        <v/>
      </c>
    </row>
    <row r="185" spans="1:65" ht="48" thickTop="1" x14ac:dyDescent="0.2">
      <c r="A185" s="493" t="str">
        <f>IDENTIFICACIÓN!C68</f>
        <v>31C</v>
      </c>
      <c r="B185" s="496" t="str">
        <f>IF(IDENTIFICACIÓN!D68="","",IDENTIFICACIÓN!D68)</f>
        <v>Gestión y Rendición de Cuentas. Rendición de cuentas a la ciudadanía inadecuada, incompleta e inoportuna</v>
      </c>
      <c r="C185" s="356">
        <v>1</v>
      </c>
      <c r="D185" s="56" t="s">
        <v>11</v>
      </c>
      <c r="E185" s="240">
        <f t="shared" si="1428"/>
        <v>10</v>
      </c>
      <c r="F185" s="44" t="s">
        <v>649</v>
      </c>
      <c r="G185" s="18" t="str">
        <f t="shared" si="1244"/>
        <v/>
      </c>
      <c r="H185" s="44" t="s">
        <v>20</v>
      </c>
      <c r="I185" s="18" t="str">
        <f t="shared" si="1245"/>
        <v/>
      </c>
      <c r="J185" s="55" t="str">
        <f t="shared" si="1246"/>
        <v>Posibilidad</v>
      </c>
      <c r="K185" s="43" t="s">
        <v>11</v>
      </c>
      <c r="L185" s="18">
        <f t="shared" si="1247"/>
        <v>15</v>
      </c>
      <c r="M185" s="43" t="s">
        <v>11</v>
      </c>
      <c r="N185" s="18">
        <f t="shared" si="1248"/>
        <v>30</v>
      </c>
      <c r="O185" s="43" t="s">
        <v>323</v>
      </c>
      <c r="P185" s="18">
        <f t="shared" si="1249"/>
        <v>10</v>
      </c>
      <c r="Q185" s="43" t="s">
        <v>11</v>
      </c>
      <c r="R185" s="18">
        <f t="shared" si="1250"/>
        <v>5</v>
      </c>
      <c r="S185" s="43" t="s">
        <v>11</v>
      </c>
      <c r="T185" s="18">
        <f t="shared" si="1251"/>
        <v>15</v>
      </c>
      <c r="U185" s="43" t="s">
        <v>11</v>
      </c>
      <c r="V185" s="18">
        <f t="shared" si="1252"/>
        <v>10</v>
      </c>
      <c r="W185" s="18">
        <f t="shared" si="1253"/>
        <v>95</v>
      </c>
      <c r="X185" s="57" t="str">
        <f t="shared" si="1254"/>
        <v>95                           Disminuye en Posibilidad</v>
      </c>
      <c r="Y185" s="57">
        <f t="shared" si="1255"/>
        <v>1</v>
      </c>
      <c r="Z185" s="356"/>
      <c r="AA185" s="497">
        <f t="shared" ref="AA185" si="1495">IF(AB185=0,"",(ROUND((SUM(W185:W187)/AB185),0)))</f>
        <v>95</v>
      </c>
      <c r="AB185" s="500">
        <f t="shared" ref="AB185" si="1496">COUNT(T185:T187)</f>
        <v>1</v>
      </c>
      <c r="AC185" s="3">
        <f t="shared" ref="AC185" si="1497">SUM(Y185:Y187)</f>
        <v>1</v>
      </c>
      <c r="AD185" s="3">
        <f>ANALISIS!D70</f>
        <v>3</v>
      </c>
      <c r="AE185" s="3">
        <f t="shared" ref="AE185" si="1498">IF(AND(AD185=5,AC185&gt;1),3,AD185)</f>
        <v>3</v>
      </c>
      <c r="AF185" s="501">
        <f t="shared" si="1260"/>
        <v>3</v>
      </c>
      <c r="AG185" s="355" t="str">
        <f t="shared" si="1261"/>
        <v>MODERADA</v>
      </c>
      <c r="AH185" s="46"/>
      <c r="AI185" s="46"/>
      <c r="AJ185" s="46"/>
      <c r="AK185" s="46"/>
      <c r="AL185" s="46"/>
      <c r="AM185" s="3" t="str">
        <f t="shared" si="1262"/>
        <v/>
      </c>
      <c r="AN185" s="3" t="str">
        <f t="shared" si="1263"/>
        <v/>
      </c>
      <c r="AO185" s="3" t="str">
        <f t="shared" si="1264"/>
        <v/>
      </c>
      <c r="AP185" s="3" t="str">
        <f t="shared" si="1265"/>
        <v/>
      </c>
      <c r="AQ185" s="3" t="str">
        <f t="shared" ref="AQ185" si="1499">AM185</f>
        <v/>
      </c>
      <c r="AR185" s="3" t="str">
        <f t="shared" ref="AR185" si="1500">AN185</f>
        <v/>
      </c>
      <c r="AT185" s="3" t="str">
        <f t="shared" ref="AT185" si="1501">AO185</f>
        <v/>
      </c>
      <c r="AV185" s="3" t="str">
        <f t="shared" ref="AV185" si="1502">AP185</f>
        <v/>
      </c>
      <c r="AX185" s="502" t="str">
        <f t="shared" ref="AX185" si="1503">IF(AW187="","",CONCATENATE(AW187," (de) el(los) control(es) Efectivo(s) "))</f>
        <v/>
      </c>
      <c r="AY185" s="502" t="str">
        <f t="shared" ref="AY185" si="1504">IF(CONCATENATE(N185:N187)="","",IF(AND(SUM(E185:E187)=10,SUM(N185:N187)&lt;30),"- Replantear control(es) NO efectivo(s) ",IF(AND(SUM(E185:E187)=20,SUM(N185:N187)&lt;60),"- Replantear control(es) NO efectivo(s) ",IF(AND(SUM(E185:E187)=30,SUM(N185:N187)&lt;90),"- Replantear control(es) NO efectivo(s) ",""))))</f>
        <v/>
      </c>
      <c r="AZ185" s="502" t="str">
        <f t="shared" ref="AZ185" si="1505">IF(AND(AE185&gt;1,AE186&gt;1),"- Tomar Acciones Preventivas y Correctivas",IF(AE185&gt;1,"- Tomar Acciones Preventivas",IF(AE186&gt;1,"- Tomar Acciones Correctivas","")))</f>
        <v>- Tomar Acciones Preventivas</v>
      </c>
      <c r="BA185" s="502" t="str">
        <f t="shared" ref="BA185" si="1506">CONCATENATE(AX185,AY185,AZ185)</f>
        <v>- Tomar Acciones Preventivas</v>
      </c>
      <c r="BB185" s="3" t="str">
        <f t="shared" si="1274"/>
        <v>SI</v>
      </c>
      <c r="BC185" s="3" t="str">
        <f t="shared" si="1275"/>
        <v/>
      </c>
      <c r="BD185" s="3" t="str">
        <f t="shared" si="1276"/>
        <v>SI</v>
      </c>
      <c r="BE185" s="3" t="str">
        <f t="shared" si="1277"/>
        <v/>
      </c>
      <c r="BF185" s="3" t="str">
        <f t="shared" si="1278"/>
        <v>SI</v>
      </c>
      <c r="BG185" s="3" t="str">
        <f t="shared" si="1279"/>
        <v/>
      </c>
      <c r="BH185" s="3" t="str">
        <f t="shared" si="1280"/>
        <v>P</v>
      </c>
      <c r="BI185" s="3" t="str">
        <f t="shared" si="1432"/>
        <v/>
      </c>
      <c r="BJ185" s="3" t="str">
        <f t="shared" si="1433"/>
        <v>M</v>
      </c>
      <c r="BK185" s="3" t="str">
        <f t="shared" si="1434"/>
        <v/>
      </c>
      <c r="BL185" s="3" t="str">
        <f t="shared" si="1281"/>
        <v>SI</v>
      </c>
      <c r="BM185" s="3" t="str">
        <f t="shared" si="1282"/>
        <v/>
      </c>
    </row>
    <row r="186" spans="1:65" ht="31.5" x14ac:dyDescent="0.2">
      <c r="A186" s="494"/>
      <c r="B186" s="496"/>
      <c r="C186" s="356">
        <v>2</v>
      </c>
      <c r="D186" s="56"/>
      <c r="E186" s="240" t="str">
        <f t="shared" si="1428"/>
        <v/>
      </c>
      <c r="F186" s="44"/>
      <c r="G186" s="18" t="str">
        <f t="shared" si="1244"/>
        <v/>
      </c>
      <c r="H186" s="44"/>
      <c r="I186" s="18" t="str">
        <f t="shared" si="1245"/>
        <v/>
      </c>
      <c r="J186" s="55" t="str">
        <f t="shared" si="1246"/>
        <v/>
      </c>
      <c r="K186" s="43"/>
      <c r="L186" s="18" t="str">
        <f t="shared" si="1247"/>
        <v/>
      </c>
      <c r="M186" s="43"/>
      <c r="N186" s="18" t="str">
        <f t="shared" si="1248"/>
        <v/>
      </c>
      <c r="O186" s="43"/>
      <c r="P186" s="18" t="str">
        <f t="shared" si="1249"/>
        <v/>
      </c>
      <c r="Q186" s="43"/>
      <c r="R186" s="18" t="str">
        <f t="shared" si="1250"/>
        <v/>
      </c>
      <c r="S186" s="43"/>
      <c r="T186" s="18" t="str">
        <f t="shared" si="1251"/>
        <v/>
      </c>
      <c r="U186" s="43"/>
      <c r="V186" s="18" t="str">
        <f t="shared" si="1252"/>
        <v/>
      </c>
      <c r="W186" s="18">
        <f t="shared" si="1253"/>
        <v>0</v>
      </c>
      <c r="X186" s="57" t="str">
        <f t="shared" si="1254"/>
        <v/>
      </c>
      <c r="Y186" s="57">
        <f t="shared" si="1255"/>
        <v>0</v>
      </c>
      <c r="Z186" s="356"/>
      <c r="AA186" s="498"/>
      <c r="AB186" s="500"/>
      <c r="AC186" s="3" t="s">
        <v>352</v>
      </c>
      <c r="AF186" s="501"/>
      <c r="AG186" s="46" t="str">
        <f t="shared" ref="AG186" si="1507">IF(AG185&gt;0,"- Evitar Posibilidad de Ocurrencia- Reducir el Riesgo","")</f>
        <v>- Evitar Posibilidad de Ocurrencia- Reducir el Riesgo</v>
      </c>
      <c r="AH186" s="46"/>
      <c r="AI186" s="46"/>
      <c r="AJ186" s="46"/>
      <c r="AK186" s="46"/>
      <c r="AL186" s="46"/>
      <c r="AM186" s="3" t="str">
        <f t="shared" si="1262"/>
        <v/>
      </c>
      <c r="AN186" s="3" t="str">
        <f t="shared" si="1263"/>
        <v/>
      </c>
      <c r="AO186" s="3" t="str">
        <f t="shared" si="1264"/>
        <v/>
      </c>
      <c r="AP186" s="3" t="str">
        <f t="shared" si="1265"/>
        <v/>
      </c>
      <c r="AQ186" s="3" t="str">
        <f t="shared" ref="AQ186:AQ187" si="1508">IF(AQ185="Documentar",AQ185,AM186)</f>
        <v/>
      </c>
      <c r="AR186" s="3" t="str">
        <f t="shared" ref="AR186:AR187" si="1509">IF(AR185="Asignar responsable",AR185,AN186)</f>
        <v/>
      </c>
      <c r="AT186" s="3" t="str">
        <f t="shared" ref="AT186:AT187" si="1510">IF(AT185="Establecer periodos de seguimiento adecuados",AT185,AO186)</f>
        <v/>
      </c>
      <c r="AV186" s="3" t="str">
        <f t="shared" ref="AV186:AV187" si="1511">IF(AV185="Guardar Evidencias",AV185,AP186)</f>
        <v/>
      </c>
      <c r="AX186" s="502"/>
      <c r="AY186" s="502"/>
      <c r="AZ186" s="502"/>
      <c r="BA186" s="502"/>
      <c r="BB186" s="3" t="str">
        <f t="shared" si="1274"/>
        <v/>
      </c>
      <c r="BC186" s="3" t="str">
        <f t="shared" si="1275"/>
        <v/>
      </c>
      <c r="BD186" s="3" t="str">
        <f t="shared" si="1276"/>
        <v/>
      </c>
      <c r="BE186" s="3" t="str">
        <f t="shared" si="1277"/>
        <v/>
      </c>
      <c r="BF186" s="3" t="str">
        <f t="shared" si="1278"/>
        <v/>
      </c>
      <c r="BG186" s="3" t="str">
        <f t="shared" si="1279"/>
        <v/>
      </c>
      <c r="BH186" s="3" t="str">
        <f t="shared" si="1280"/>
        <v/>
      </c>
      <c r="BI186" s="3" t="str">
        <f t="shared" si="1432"/>
        <v/>
      </c>
      <c r="BJ186" s="3" t="str">
        <f t="shared" si="1433"/>
        <v/>
      </c>
      <c r="BK186" s="3" t="str">
        <f t="shared" si="1434"/>
        <v/>
      </c>
      <c r="BL186" s="3" t="str">
        <f t="shared" si="1281"/>
        <v/>
      </c>
      <c r="BM186" s="3" t="str">
        <f t="shared" si="1282"/>
        <v/>
      </c>
    </row>
    <row r="187" spans="1:65" ht="16.5" thickBot="1" x14ac:dyDescent="0.25">
      <c r="A187" s="495"/>
      <c r="B187" s="496"/>
      <c r="C187" s="356">
        <v>3</v>
      </c>
      <c r="D187" s="56"/>
      <c r="E187" s="240" t="str">
        <f t="shared" si="1428"/>
        <v/>
      </c>
      <c r="F187" s="44"/>
      <c r="G187" s="18" t="str">
        <f t="shared" si="1244"/>
        <v/>
      </c>
      <c r="H187" s="44"/>
      <c r="I187" s="18" t="str">
        <f t="shared" si="1245"/>
        <v/>
      </c>
      <c r="J187" s="55" t="str">
        <f t="shared" si="1246"/>
        <v/>
      </c>
      <c r="K187" s="43"/>
      <c r="L187" s="18" t="str">
        <f t="shared" si="1247"/>
        <v/>
      </c>
      <c r="M187" s="43"/>
      <c r="N187" s="18" t="str">
        <f t="shared" si="1248"/>
        <v/>
      </c>
      <c r="O187" s="43"/>
      <c r="P187" s="18" t="str">
        <f t="shared" si="1249"/>
        <v/>
      </c>
      <c r="Q187" s="43"/>
      <c r="R187" s="18" t="str">
        <f t="shared" si="1250"/>
        <v/>
      </c>
      <c r="S187" s="43"/>
      <c r="T187" s="18" t="str">
        <f t="shared" si="1251"/>
        <v/>
      </c>
      <c r="U187" s="43"/>
      <c r="V187" s="18" t="str">
        <f t="shared" si="1252"/>
        <v/>
      </c>
      <c r="W187" s="18">
        <f t="shared" si="1253"/>
        <v>0</v>
      </c>
      <c r="X187" s="57" t="str">
        <f t="shared" si="1254"/>
        <v/>
      </c>
      <c r="Y187" s="57">
        <f t="shared" si="1255"/>
        <v>0</v>
      </c>
      <c r="Z187" s="356"/>
      <c r="AA187" s="499"/>
      <c r="AB187" s="500"/>
      <c r="AM187" s="3" t="str">
        <f t="shared" si="1262"/>
        <v/>
      </c>
      <c r="AN187" s="3" t="str">
        <f t="shared" si="1263"/>
        <v/>
      </c>
      <c r="AO187" s="3" t="str">
        <f t="shared" si="1264"/>
        <v/>
      </c>
      <c r="AP187" s="3" t="str">
        <f t="shared" si="1265"/>
        <v/>
      </c>
      <c r="AQ187" s="3" t="str">
        <f t="shared" si="1508"/>
        <v/>
      </c>
      <c r="AR187" s="3" t="str">
        <f t="shared" si="1509"/>
        <v/>
      </c>
      <c r="AS187" s="3" t="str">
        <f t="shared" ref="AS187" si="1512">IF(AND(AQ187="Documentar",AR187="Asignar responsable"),CONCATENATE("- ",AQ187,", ",AR187),IF(AQ187="Documentar",CONCATENATE("- ",AQ187),IF(AR187="Asignar responsable",CONCATENATE("- ",AR187),"")))</f>
        <v/>
      </c>
      <c r="AT187" s="3" t="str">
        <f t="shared" si="1510"/>
        <v/>
      </c>
      <c r="AU187" s="3" t="str">
        <f t="shared" ref="AU187" si="1513">IF(AT187="",AS187,IF(AS187="",CONCATENATE("- ",AT187),CONCATENATE(AS187,", ",AT187)))</f>
        <v/>
      </c>
      <c r="AV187" s="3" t="str">
        <f t="shared" si="1511"/>
        <v/>
      </c>
      <c r="AW187" s="3" t="str">
        <f t="shared" ref="AW187" si="1514">IF(AV187="",AU187,IF(AU187="",CONCATENATE("- ",AV187),CONCATENATE(AU187,", ",AV187)))</f>
        <v/>
      </c>
      <c r="AX187" s="502"/>
      <c r="AY187" s="502"/>
      <c r="AZ187" s="502"/>
      <c r="BA187" s="502"/>
      <c r="BB187" s="3" t="str">
        <f t="shared" si="1274"/>
        <v/>
      </c>
      <c r="BC187" s="3" t="str">
        <f t="shared" si="1275"/>
        <v/>
      </c>
      <c r="BD187" s="3" t="str">
        <f t="shared" si="1276"/>
        <v/>
      </c>
      <c r="BE187" s="3" t="str">
        <f t="shared" si="1277"/>
        <v/>
      </c>
      <c r="BF187" s="3" t="str">
        <f t="shared" si="1278"/>
        <v/>
      </c>
      <c r="BG187" s="3" t="str">
        <f t="shared" si="1279"/>
        <v/>
      </c>
      <c r="BH187" s="3" t="str">
        <f t="shared" si="1280"/>
        <v/>
      </c>
      <c r="BI187" s="3" t="str">
        <f t="shared" si="1432"/>
        <v/>
      </c>
      <c r="BJ187" s="3" t="str">
        <f t="shared" si="1433"/>
        <v/>
      </c>
      <c r="BK187" s="3" t="str">
        <f t="shared" si="1434"/>
        <v/>
      </c>
      <c r="BL187" s="3" t="str">
        <f t="shared" si="1281"/>
        <v/>
      </c>
      <c r="BM187" s="3" t="str">
        <f t="shared" si="1282"/>
        <v/>
      </c>
    </row>
    <row r="188" spans="1:65" ht="36.75" thickTop="1" x14ac:dyDescent="0.2">
      <c r="A188" s="493" t="str">
        <f>IDENTIFICACIÓN!C69</f>
        <v>32C</v>
      </c>
      <c r="B188" s="496" t="str">
        <f>IF(IDENTIFICACIÓN!D69="","",IDENTIFICACIÓN!D69)</f>
        <v>Gestión y Rendición de Cuentas. Alteración de la información</v>
      </c>
      <c r="C188" s="356">
        <v>1</v>
      </c>
      <c r="D188" s="56" t="s">
        <v>11</v>
      </c>
      <c r="E188" s="240">
        <f t="shared" si="1428"/>
        <v>10</v>
      </c>
      <c r="F188" s="44" t="s">
        <v>650</v>
      </c>
      <c r="G188" s="18" t="str">
        <f t="shared" si="1244"/>
        <v/>
      </c>
      <c r="H188" s="44" t="s">
        <v>20</v>
      </c>
      <c r="I188" s="18" t="str">
        <f t="shared" si="1245"/>
        <v/>
      </c>
      <c r="J188" s="55" t="str">
        <f t="shared" si="1246"/>
        <v>Posibilidad</v>
      </c>
      <c r="K188" s="43" t="s">
        <v>11</v>
      </c>
      <c r="L188" s="18">
        <f t="shared" si="1247"/>
        <v>15</v>
      </c>
      <c r="M188" s="43" t="s">
        <v>11</v>
      </c>
      <c r="N188" s="18">
        <f t="shared" si="1248"/>
        <v>30</v>
      </c>
      <c r="O188" s="43" t="s">
        <v>323</v>
      </c>
      <c r="P188" s="18">
        <f t="shared" si="1249"/>
        <v>10</v>
      </c>
      <c r="Q188" s="43" t="s">
        <v>11</v>
      </c>
      <c r="R188" s="18">
        <f t="shared" si="1250"/>
        <v>5</v>
      </c>
      <c r="S188" s="43" t="s">
        <v>11</v>
      </c>
      <c r="T188" s="18">
        <f t="shared" si="1251"/>
        <v>15</v>
      </c>
      <c r="U188" s="43" t="s">
        <v>10</v>
      </c>
      <c r="V188" s="18">
        <f t="shared" si="1252"/>
        <v>0</v>
      </c>
      <c r="W188" s="18">
        <f t="shared" si="1253"/>
        <v>85</v>
      </c>
      <c r="X188" s="57" t="str">
        <f t="shared" si="1254"/>
        <v>85                           Disminuye en Posibilidad</v>
      </c>
      <c r="Y188" s="57">
        <f t="shared" si="1255"/>
        <v>1</v>
      </c>
      <c r="Z188" s="356"/>
      <c r="AA188" s="497">
        <f t="shared" ref="AA188" si="1515">IF(AB188=0,"",(ROUND((SUM(W188:W190)/AB188),0)))</f>
        <v>82</v>
      </c>
      <c r="AB188" s="500">
        <f t="shared" ref="AB188" si="1516">COUNT(T188:T190)</f>
        <v>3</v>
      </c>
      <c r="AC188" s="3">
        <f t="shared" ref="AC188" si="1517">SUM(Y188:Y190)</f>
        <v>2</v>
      </c>
      <c r="AD188" s="3">
        <f>ANALISIS!D71</f>
        <v>3</v>
      </c>
      <c r="AE188" s="3">
        <f t="shared" ref="AE188" si="1518">IF(AND(AD188=5,AC188&gt;1),3,AD188)</f>
        <v>3</v>
      </c>
      <c r="AF188" s="501">
        <f t="shared" si="1260"/>
        <v>3</v>
      </c>
      <c r="AG188" s="355" t="str">
        <f t="shared" si="1261"/>
        <v>MODERADA</v>
      </c>
      <c r="AH188" s="46"/>
      <c r="AI188" s="46"/>
      <c r="AJ188" s="46"/>
      <c r="AK188" s="46"/>
      <c r="AL188" s="46"/>
      <c r="AM188" s="3" t="str">
        <f t="shared" si="1262"/>
        <v/>
      </c>
      <c r="AN188" s="3" t="str">
        <f t="shared" si="1263"/>
        <v/>
      </c>
      <c r="AO188" s="3" t="str">
        <f t="shared" si="1264"/>
        <v/>
      </c>
      <c r="AP188" s="3" t="str">
        <f t="shared" si="1265"/>
        <v>Guardar Evidencias</v>
      </c>
      <c r="AQ188" s="3" t="str">
        <f t="shared" ref="AQ188" si="1519">AM188</f>
        <v/>
      </c>
      <c r="AR188" s="3" t="str">
        <f t="shared" ref="AR188" si="1520">AN188</f>
        <v/>
      </c>
      <c r="AT188" s="3" t="str">
        <f t="shared" ref="AT188" si="1521">AO188</f>
        <v/>
      </c>
      <c r="AV188" s="3" t="str">
        <f t="shared" ref="AV188" si="1522">AP188</f>
        <v>Guardar Evidencias</v>
      </c>
      <c r="AX188" s="502" t="str">
        <f t="shared" ref="AX188" si="1523">IF(AW190="","",CONCATENATE(AW190," (de) el(los) control(es) Efectivo(s) "))</f>
        <v xml:space="preserve">- Documentar, Establecer periodos de seguimiento adecuados, Guardar Evidencias (de) el(los) control(es) Efectivo(s) </v>
      </c>
      <c r="AY188" s="502" t="str">
        <f t="shared" ref="AY188" si="1524">IF(CONCATENATE(N188:N190)="","",IF(AND(SUM(E188:E190)=10,SUM(N188:N190)&lt;30),"- Replantear control(es) NO efectivo(s) ",IF(AND(SUM(E188:E190)=20,SUM(N188:N190)&lt;60),"- Replantear control(es) NO efectivo(s) ",IF(AND(SUM(E188:E190)=30,SUM(N188:N190)&lt;90),"- Replantear control(es) NO efectivo(s) ",""))))</f>
        <v/>
      </c>
      <c r="AZ188" s="502" t="str">
        <f t="shared" ref="AZ188" si="1525">IF(AND(AE188&gt;1,AE189&gt;1),"- Tomar Acciones Preventivas y Correctivas",IF(AE188&gt;1,"- Tomar Acciones Preventivas",IF(AE189&gt;1,"- Tomar Acciones Correctivas","")))</f>
        <v>- Tomar Acciones Preventivas</v>
      </c>
      <c r="BA188" s="502" t="str">
        <f t="shared" ref="BA188" si="1526">CONCATENATE(AX188,AY188,AZ188)</f>
        <v>- Documentar, Establecer periodos de seguimiento adecuados, Guardar Evidencias (de) el(los) control(es) Efectivo(s) - Tomar Acciones Preventivas</v>
      </c>
      <c r="BB188" s="3" t="str">
        <f t="shared" si="1274"/>
        <v>SI</v>
      </c>
      <c r="BC188" s="3" t="str">
        <f t="shared" si="1275"/>
        <v/>
      </c>
      <c r="BD188" s="3" t="str">
        <f t="shared" si="1276"/>
        <v>SI</v>
      </c>
      <c r="BE188" s="3" t="str">
        <f t="shared" si="1277"/>
        <v/>
      </c>
      <c r="BF188" s="3" t="str">
        <f t="shared" si="1278"/>
        <v>SI</v>
      </c>
      <c r="BG188" s="3" t="str">
        <f t="shared" si="1279"/>
        <v/>
      </c>
      <c r="BH188" s="3" t="str">
        <f t="shared" si="1280"/>
        <v>P</v>
      </c>
      <c r="BI188" s="3" t="str">
        <f t="shared" si="1432"/>
        <v/>
      </c>
      <c r="BJ188" s="3" t="str">
        <f t="shared" si="1433"/>
        <v>M</v>
      </c>
      <c r="BK188" s="3" t="str">
        <f t="shared" si="1434"/>
        <v/>
      </c>
      <c r="BL188" s="3" t="str">
        <f t="shared" si="1281"/>
        <v>NO</v>
      </c>
      <c r="BM188" s="3" t="str">
        <f t="shared" si="1282"/>
        <v/>
      </c>
    </row>
    <row r="189" spans="1:65" ht="63" x14ac:dyDescent="0.2">
      <c r="A189" s="494"/>
      <c r="B189" s="496"/>
      <c r="C189" s="356">
        <v>2</v>
      </c>
      <c r="D189" s="56" t="s">
        <v>11</v>
      </c>
      <c r="E189" s="240">
        <f t="shared" si="1428"/>
        <v>10</v>
      </c>
      <c r="F189" s="44" t="s">
        <v>651</v>
      </c>
      <c r="G189" s="18" t="str">
        <f t="shared" si="1244"/>
        <v/>
      </c>
      <c r="H189" s="44" t="s">
        <v>21</v>
      </c>
      <c r="I189" s="18" t="str">
        <f t="shared" si="1245"/>
        <v/>
      </c>
      <c r="J189" s="55" t="str">
        <f t="shared" si="1246"/>
        <v>No Aplica</v>
      </c>
      <c r="K189" s="43" t="s">
        <v>10</v>
      </c>
      <c r="L189" s="18">
        <f t="shared" si="1247"/>
        <v>0</v>
      </c>
      <c r="M189" s="43" t="s">
        <v>11</v>
      </c>
      <c r="N189" s="18">
        <f t="shared" si="1248"/>
        <v>30</v>
      </c>
      <c r="O189" s="43" t="s">
        <v>323</v>
      </c>
      <c r="P189" s="18">
        <f t="shared" si="1249"/>
        <v>10</v>
      </c>
      <c r="Q189" s="43" t="s">
        <v>11</v>
      </c>
      <c r="R189" s="18">
        <f t="shared" si="1250"/>
        <v>5</v>
      </c>
      <c r="S189" s="43" t="s">
        <v>10</v>
      </c>
      <c r="T189" s="18">
        <f t="shared" si="1251"/>
        <v>0</v>
      </c>
      <c r="U189" s="43" t="s">
        <v>11</v>
      </c>
      <c r="V189" s="18">
        <f t="shared" si="1252"/>
        <v>10</v>
      </c>
      <c r="W189" s="18">
        <f t="shared" si="1253"/>
        <v>65</v>
      </c>
      <c r="X189" s="57">
        <f t="shared" si="1254"/>
        <v>65</v>
      </c>
      <c r="Y189" s="57">
        <f t="shared" si="1255"/>
        <v>0</v>
      </c>
      <c r="Z189" s="356"/>
      <c r="AA189" s="498"/>
      <c r="AB189" s="500"/>
      <c r="AC189" s="3" t="s">
        <v>352</v>
      </c>
      <c r="AF189" s="501"/>
      <c r="AG189" s="46" t="str">
        <f t="shared" ref="AG189" si="1527">IF(AG188&gt;0,"- Evitar Posibilidad de Ocurrencia- Reducir el Riesgo","")</f>
        <v>- Evitar Posibilidad de Ocurrencia- Reducir el Riesgo</v>
      </c>
      <c r="AH189" s="46"/>
      <c r="AI189" s="46"/>
      <c r="AJ189" s="46"/>
      <c r="AK189" s="46"/>
      <c r="AL189" s="46"/>
      <c r="AM189" s="3" t="str">
        <f t="shared" si="1262"/>
        <v>Documentar</v>
      </c>
      <c r="AN189" s="3" t="str">
        <f t="shared" si="1263"/>
        <v/>
      </c>
      <c r="AO189" s="3" t="str">
        <f t="shared" si="1264"/>
        <v>Establecer periodos de seguimiento adecuados</v>
      </c>
      <c r="AP189" s="3" t="str">
        <f t="shared" si="1265"/>
        <v/>
      </c>
      <c r="AQ189" s="3" t="str">
        <f t="shared" ref="AQ189:AQ190" si="1528">IF(AQ188="Documentar",AQ188,AM189)</f>
        <v>Documentar</v>
      </c>
      <c r="AR189" s="3" t="str">
        <f t="shared" ref="AR189:AR190" si="1529">IF(AR188="Asignar responsable",AR188,AN189)</f>
        <v/>
      </c>
      <c r="AT189" s="3" t="str">
        <f t="shared" ref="AT189:AT190" si="1530">IF(AT188="Establecer periodos de seguimiento adecuados",AT188,AO189)</f>
        <v>Establecer periodos de seguimiento adecuados</v>
      </c>
      <c r="AV189" s="3" t="str">
        <f t="shared" ref="AV189:AV190" si="1531">IF(AV188="Guardar Evidencias",AV188,AP189)</f>
        <v>Guardar Evidencias</v>
      </c>
      <c r="AX189" s="502"/>
      <c r="AY189" s="502"/>
      <c r="AZ189" s="502"/>
      <c r="BA189" s="502"/>
      <c r="BB189" s="3" t="str">
        <f t="shared" si="1274"/>
        <v>NO</v>
      </c>
      <c r="BC189" s="3" t="str">
        <f t="shared" si="1275"/>
        <v/>
      </c>
      <c r="BD189" s="3" t="str">
        <f t="shared" si="1276"/>
        <v>SI</v>
      </c>
      <c r="BE189" s="3" t="str">
        <f t="shared" si="1277"/>
        <v/>
      </c>
      <c r="BF189" s="3" t="str">
        <f t="shared" si="1278"/>
        <v>NO</v>
      </c>
      <c r="BG189" s="3" t="str">
        <f t="shared" si="1279"/>
        <v/>
      </c>
      <c r="BH189" s="3" t="str">
        <f t="shared" si="1280"/>
        <v>C</v>
      </c>
      <c r="BI189" s="3" t="str">
        <f t="shared" si="1432"/>
        <v/>
      </c>
      <c r="BJ189" s="3" t="str">
        <f t="shared" si="1433"/>
        <v>M</v>
      </c>
      <c r="BK189" s="3" t="str">
        <f t="shared" si="1434"/>
        <v/>
      </c>
      <c r="BL189" s="3" t="str">
        <f t="shared" si="1281"/>
        <v>SI</v>
      </c>
      <c r="BM189" s="3" t="str">
        <f t="shared" si="1282"/>
        <v/>
      </c>
    </row>
    <row r="190" spans="1:65" ht="111" thickBot="1" x14ac:dyDescent="0.25">
      <c r="A190" s="495"/>
      <c r="B190" s="496"/>
      <c r="C190" s="356">
        <v>3</v>
      </c>
      <c r="D190" s="56" t="s">
        <v>11</v>
      </c>
      <c r="E190" s="240">
        <f t="shared" si="1428"/>
        <v>10</v>
      </c>
      <c r="F190" s="44" t="s">
        <v>652</v>
      </c>
      <c r="G190" s="18" t="str">
        <f t="shared" si="1244"/>
        <v/>
      </c>
      <c r="H190" s="44" t="s">
        <v>20</v>
      </c>
      <c r="I190" s="18" t="str">
        <f t="shared" si="1245"/>
        <v/>
      </c>
      <c r="J190" s="55" t="str">
        <f t="shared" si="1246"/>
        <v>Posibilidad</v>
      </c>
      <c r="K190" s="43" t="s">
        <v>11</v>
      </c>
      <c r="L190" s="18">
        <f t="shared" si="1247"/>
        <v>15</v>
      </c>
      <c r="M190" s="43" t="s">
        <v>11</v>
      </c>
      <c r="N190" s="18">
        <f t="shared" si="1248"/>
        <v>30</v>
      </c>
      <c r="O190" s="43" t="s">
        <v>323</v>
      </c>
      <c r="P190" s="18">
        <f t="shared" si="1249"/>
        <v>10</v>
      </c>
      <c r="Q190" s="43" t="s">
        <v>11</v>
      </c>
      <c r="R190" s="18">
        <f t="shared" si="1250"/>
        <v>5</v>
      </c>
      <c r="S190" s="43" t="s">
        <v>11</v>
      </c>
      <c r="T190" s="18">
        <f t="shared" si="1251"/>
        <v>15</v>
      </c>
      <c r="U190" s="43" t="s">
        <v>11</v>
      </c>
      <c r="V190" s="18">
        <f t="shared" si="1252"/>
        <v>10</v>
      </c>
      <c r="W190" s="18">
        <f t="shared" si="1253"/>
        <v>95</v>
      </c>
      <c r="X190" s="57" t="str">
        <f t="shared" si="1254"/>
        <v>95                           Disminuye en Posibilidad</v>
      </c>
      <c r="Y190" s="57">
        <f t="shared" si="1255"/>
        <v>1</v>
      </c>
      <c r="Z190" s="356"/>
      <c r="AA190" s="499"/>
      <c r="AB190" s="500"/>
      <c r="AM190" s="3" t="str">
        <f t="shared" si="1262"/>
        <v/>
      </c>
      <c r="AN190" s="3" t="str">
        <f t="shared" si="1263"/>
        <v/>
      </c>
      <c r="AO190" s="3" t="str">
        <f t="shared" si="1264"/>
        <v/>
      </c>
      <c r="AP190" s="3" t="str">
        <f t="shared" si="1265"/>
        <v/>
      </c>
      <c r="AQ190" s="3" t="str">
        <f t="shared" si="1528"/>
        <v>Documentar</v>
      </c>
      <c r="AR190" s="3" t="str">
        <f t="shared" si="1529"/>
        <v/>
      </c>
      <c r="AS190" s="3" t="str">
        <f t="shared" ref="AS190" si="1532">IF(AND(AQ190="Documentar",AR190="Asignar responsable"),CONCATENATE("- ",AQ190,", ",AR190),IF(AQ190="Documentar",CONCATENATE("- ",AQ190),IF(AR190="Asignar responsable",CONCATENATE("- ",AR190),"")))</f>
        <v>- Documentar</v>
      </c>
      <c r="AT190" s="3" t="str">
        <f t="shared" si="1530"/>
        <v>Establecer periodos de seguimiento adecuados</v>
      </c>
      <c r="AU190" s="3" t="str">
        <f t="shared" ref="AU190" si="1533">IF(AT190="",AS190,IF(AS190="",CONCATENATE("- ",AT190),CONCATENATE(AS190,", ",AT190)))</f>
        <v>- Documentar, Establecer periodos de seguimiento adecuados</v>
      </c>
      <c r="AV190" s="3" t="str">
        <f t="shared" si="1531"/>
        <v>Guardar Evidencias</v>
      </c>
      <c r="AW190" s="3" t="str">
        <f t="shared" ref="AW190" si="1534">IF(AV190="",AU190,IF(AU190="",CONCATENATE("- ",AV190),CONCATENATE(AU190,", ",AV190)))</f>
        <v>- Documentar, Establecer periodos de seguimiento adecuados, Guardar Evidencias</v>
      </c>
      <c r="AX190" s="502"/>
      <c r="AY190" s="502"/>
      <c r="AZ190" s="502"/>
      <c r="BA190" s="502"/>
      <c r="BB190" s="3" t="str">
        <f t="shared" si="1274"/>
        <v>SI</v>
      </c>
      <c r="BC190" s="3" t="str">
        <f t="shared" si="1275"/>
        <v/>
      </c>
      <c r="BD190" s="3" t="str">
        <f t="shared" si="1276"/>
        <v>SI</v>
      </c>
      <c r="BE190" s="3" t="str">
        <f t="shared" si="1277"/>
        <v/>
      </c>
      <c r="BF190" s="3" t="str">
        <f t="shared" si="1278"/>
        <v>SI</v>
      </c>
      <c r="BG190" s="3" t="str">
        <f t="shared" si="1279"/>
        <v/>
      </c>
      <c r="BH190" s="3" t="str">
        <f t="shared" si="1280"/>
        <v>P</v>
      </c>
      <c r="BI190" s="3" t="str">
        <f t="shared" si="1432"/>
        <v/>
      </c>
      <c r="BJ190" s="3" t="str">
        <f t="shared" si="1433"/>
        <v>M</v>
      </c>
      <c r="BK190" s="3" t="str">
        <f t="shared" si="1434"/>
        <v/>
      </c>
      <c r="BL190" s="3" t="str">
        <f t="shared" si="1281"/>
        <v>SI</v>
      </c>
      <c r="BM190" s="3" t="str">
        <f t="shared" si="1282"/>
        <v/>
      </c>
    </row>
    <row r="191" spans="1:65" ht="36.75" thickTop="1" x14ac:dyDescent="0.2">
      <c r="A191" s="493" t="str">
        <f>IDENTIFICACIÓN!C70</f>
        <v>33C</v>
      </c>
      <c r="B191" s="496" t="str">
        <f>IF(IDENTIFICACIÓN!D70="","",IDENTIFICACIÓN!D70)</f>
        <v>Evaluación Independiente. Falta de Objetividad e Independencia en el proceso auditor, de evaluación y seguimiento</v>
      </c>
      <c r="C191" s="356">
        <v>1</v>
      </c>
      <c r="D191" s="56" t="s">
        <v>11</v>
      </c>
      <c r="E191" s="240">
        <f t="shared" si="1428"/>
        <v>10</v>
      </c>
      <c r="F191" s="44" t="s">
        <v>653</v>
      </c>
      <c r="G191" s="18" t="str">
        <f t="shared" si="1244"/>
        <v/>
      </c>
      <c r="H191" s="44" t="s">
        <v>20</v>
      </c>
      <c r="I191" s="18" t="str">
        <f t="shared" si="1245"/>
        <v/>
      </c>
      <c r="J191" s="55" t="str">
        <f t="shared" si="1246"/>
        <v>Posibilidad</v>
      </c>
      <c r="K191" s="43" t="s">
        <v>11</v>
      </c>
      <c r="L191" s="18">
        <f t="shared" si="1247"/>
        <v>15</v>
      </c>
      <c r="M191" s="43" t="s">
        <v>11</v>
      </c>
      <c r="N191" s="18">
        <f t="shared" si="1248"/>
        <v>30</v>
      </c>
      <c r="O191" s="43" t="s">
        <v>323</v>
      </c>
      <c r="P191" s="18">
        <f t="shared" si="1249"/>
        <v>10</v>
      </c>
      <c r="Q191" s="43" t="s">
        <v>11</v>
      </c>
      <c r="R191" s="18">
        <f t="shared" si="1250"/>
        <v>5</v>
      </c>
      <c r="S191" s="43" t="s">
        <v>11</v>
      </c>
      <c r="T191" s="18">
        <f t="shared" si="1251"/>
        <v>15</v>
      </c>
      <c r="U191" s="43" t="s">
        <v>11</v>
      </c>
      <c r="V191" s="18">
        <f t="shared" si="1252"/>
        <v>10</v>
      </c>
      <c r="W191" s="18">
        <f t="shared" si="1253"/>
        <v>95</v>
      </c>
      <c r="X191" s="57" t="str">
        <f t="shared" si="1254"/>
        <v>95                           Disminuye en Posibilidad</v>
      </c>
      <c r="Y191" s="57">
        <f t="shared" si="1255"/>
        <v>1</v>
      </c>
      <c r="Z191" s="356"/>
      <c r="AA191" s="497">
        <f t="shared" ref="AA191" si="1535">IF(AB191=0,"",(ROUND((SUM(W191:W193)/AB191),0)))</f>
        <v>95</v>
      </c>
      <c r="AB191" s="500">
        <f t="shared" ref="AB191" si="1536">COUNT(T191:T193)</f>
        <v>1</v>
      </c>
      <c r="AC191" s="3">
        <f t="shared" ref="AC191" si="1537">SUM(Y191:Y193)</f>
        <v>1</v>
      </c>
      <c r="AD191" s="3">
        <f>ANALISIS!D72</f>
        <v>3</v>
      </c>
      <c r="AE191" s="3">
        <f t="shared" ref="AE191" si="1538">IF(AND(AD191=5,AC191&gt;1),3,AD191)</f>
        <v>3</v>
      </c>
      <c r="AF191" s="501">
        <f t="shared" si="1260"/>
        <v>3</v>
      </c>
      <c r="AG191" s="355" t="str">
        <f t="shared" si="1261"/>
        <v>MODERADA</v>
      </c>
      <c r="AH191" s="46"/>
      <c r="AI191" s="46"/>
      <c r="AJ191" s="46"/>
      <c r="AK191" s="46"/>
      <c r="AL191" s="46"/>
      <c r="AM191" s="3" t="str">
        <f t="shared" si="1262"/>
        <v/>
      </c>
      <c r="AN191" s="3" t="str">
        <f t="shared" si="1263"/>
        <v/>
      </c>
      <c r="AO191" s="3" t="str">
        <f t="shared" si="1264"/>
        <v/>
      </c>
      <c r="AP191" s="3" t="str">
        <f t="shared" si="1265"/>
        <v/>
      </c>
      <c r="AQ191" s="3" t="str">
        <f t="shared" ref="AQ191" si="1539">AM191</f>
        <v/>
      </c>
      <c r="AR191" s="3" t="str">
        <f t="shared" ref="AR191" si="1540">AN191</f>
        <v/>
      </c>
      <c r="AT191" s="3" t="str">
        <f t="shared" ref="AT191" si="1541">AO191</f>
        <v/>
      </c>
      <c r="AV191" s="3" t="str">
        <f t="shared" ref="AV191" si="1542">AP191</f>
        <v/>
      </c>
      <c r="AX191" s="502" t="str">
        <f t="shared" ref="AX191" si="1543">IF(AW193="","",CONCATENATE(AW193," (de) el(los) control(es) Efectivo(s) "))</f>
        <v/>
      </c>
      <c r="AY191" s="502" t="str">
        <f t="shared" ref="AY191" si="1544">IF(CONCATENATE(N191:N193)="","",IF(AND(SUM(E191:E193)=10,SUM(N191:N193)&lt;30),"- Replantear control(es) NO efectivo(s) ",IF(AND(SUM(E191:E193)=20,SUM(N191:N193)&lt;60),"- Replantear control(es) NO efectivo(s) ",IF(AND(SUM(E191:E193)=30,SUM(N191:N193)&lt;90),"- Replantear control(es) NO efectivo(s) ",""))))</f>
        <v/>
      </c>
      <c r="AZ191" s="502" t="str">
        <f t="shared" ref="AZ191" si="1545">IF(AND(AE191&gt;1,AE192&gt;1),"- Tomar Acciones Preventivas y Correctivas",IF(AE191&gt;1,"- Tomar Acciones Preventivas",IF(AE192&gt;1,"- Tomar Acciones Correctivas","")))</f>
        <v>- Tomar Acciones Preventivas</v>
      </c>
      <c r="BA191" s="502" t="str">
        <f t="shared" ref="BA191" si="1546">CONCATENATE(AX191,AY191,AZ191)</f>
        <v>- Tomar Acciones Preventivas</v>
      </c>
      <c r="BB191" s="3" t="str">
        <f t="shared" si="1274"/>
        <v>SI</v>
      </c>
      <c r="BC191" s="3" t="str">
        <f t="shared" si="1275"/>
        <v/>
      </c>
      <c r="BD191" s="3" t="str">
        <f t="shared" si="1276"/>
        <v>SI</v>
      </c>
      <c r="BE191" s="3" t="str">
        <f t="shared" si="1277"/>
        <v/>
      </c>
      <c r="BF191" s="3" t="str">
        <f t="shared" si="1278"/>
        <v>SI</v>
      </c>
      <c r="BG191" s="3" t="str">
        <f t="shared" si="1279"/>
        <v/>
      </c>
      <c r="BH191" s="3" t="str">
        <f t="shared" si="1280"/>
        <v>P</v>
      </c>
      <c r="BI191" s="3" t="str">
        <f t="shared" si="1432"/>
        <v/>
      </c>
      <c r="BJ191" s="3" t="str">
        <f t="shared" si="1433"/>
        <v>M</v>
      </c>
      <c r="BK191" s="3" t="str">
        <f t="shared" si="1434"/>
        <v/>
      </c>
      <c r="BL191" s="3" t="str">
        <f t="shared" si="1281"/>
        <v>SI</v>
      </c>
      <c r="BM191" s="3" t="str">
        <f t="shared" si="1282"/>
        <v/>
      </c>
    </row>
    <row r="192" spans="1:65" ht="31.5" x14ac:dyDescent="0.2">
      <c r="A192" s="494"/>
      <c r="B192" s="496"/>
      <c r="C192" s="356">
        <v>2</v>
      </c>
      <c r="D192" s="56"/>
      <c r="E192" s="240" t="str">
        <f t="shared" si="1428"/>
        <v/>
      </c>
      <c r="F192" s="44"/>
      <c r="G192" s="18" t="str">
        <f t="shared" si="1244"/>
        <v/>
      </c>
      <c r="H192" s="44"/>
      <c r="I192" s="18" t="str">
        <f t="shared" si="1245"/>
        <v/>
      </c>
      <c r="J192" s="55" t="str">
        <f t="shared" si="1246"/>
        <v/>
      </c>
      <c r="K192" s="43"/>
      <c r="L192" s="18" t="str">
        <f t="shared" si="1247"/>
        <v/>
      </c>
      <c r="M192" s="43"/>
      <c r="N192" s="18" t="str">
        <f t="shared" si="1248"/>
        <v/>
      </c>
      <c r="O192" s="43"/>
      <c r="P192" s="18" t="str">
        <f t="shared" si="1249"/>
        <v/>
      </c>
      <c r="Q192" s="43"/>
      <c r="R192" s="18" t="str">
        <f t="shared" si="1250"/>
        <v/>
      </c>
      <c r="S192" s="43"/>
      <c r="T192" s="18" t="str">
        <f t="shared" si="1251"/>
        <v/>
      </c>
      <c r="U192" s="43"/>
      <c r="V192" s="18" t="str">
        <f t="shared" si="1252"/>
        <v/>
      </c>
      <c r="W192" s="18">
        <f t="shared" si="1253"/>
        <v>0</v>
      </c>
      <c r="X192" s="57" t="str">
        <f t="shared" si="1254"/>
        <v/>
      </c>
      <c r="Y192" s="57">
        <f t="shared" si="1255"/>
        <v>0</v>
      </c>
      <c r="Z192" s="356"/>
      <c r="AA192" s="498"/>
      <c r="AB192" s="500"/>
      <c r="AC192" s="3" t="s">
        <v>352</v>
      </c>
      <c r="AF192" s="501"/>
      <c r="AG192" s="46" t="str">
        <f t="shared" ref="AG192" si="1547">IF(AG191&gt;0,"- Evitar Posibilidad de Ocurrencia- Reducir el Riesgo","")</f>
        <v>- Evitar Posibilidad de Ocurrencia- Reducir el Riesgo</v>
      </c>
      <c r="AH192" s="46"/>
      <c r="AI192" s="46"/>
      <c r="AJ192" s="46"/>
      <c r="AK192" s="46"/>
      <c r="AL192" s="46"/>
      <c r="AM192" s="3" t="str">
        <f t="shared" si="1262"/>
        <v/>
      </c>
      <c r="AN192" s="3" t="str">
        <f t="shared" si="1263"/>
        <v/>
      </c>
      <c r="AO192" s="3" t="str">
        <f t="shared" si="1264"/>
        <v/>
      </c>
      <c r="AP192" s="3" t="str">
        <f t="shared" si="1265"/>
        <v/>
      </c>
      <c r="AQ192" s="3" t="str">
        <f t="shared" ref="AQ192:AQ193" si="1548">IF(AQ191="Documentar",AQ191,AM192)</f>
        <v/>
      </c>
      <c r="AR192" s="3" t="str">
        <f t="shared" ref="AR192:AR193" si="1549">IF(AR191="Asignar responsable",AR191,AN192)</f>
        <v/>
      </c>
      <c r="AT192" s="3" t="str">
        <f t="shared" ref="AT192:AT193" si="1550">IF(AT191="Establecer periodos de seguimiento adecuados",AT191,AO192)</f>
        <v/>
      </c>
      <c r="AV192" s="3" t="str">
        <f t="shared" ref="AV192:AV193" si="1551">IF(AV191="Guardar Evidencias",AV191,AP192)</f>
        <v/>
      </c>
      <c r="AX192" s="502"/>
      <c r="AY192" s="502"/>
      <c r="AZ192" s="502"/>
      <c r="BA192" s="502"/>
      <c r="BB192" s="3" t="str">
        <f t="shared" si="1274"/>
        <v/>
      </c>
      <c r="BC192" s="3" t="str">
        <f t="shared" si="1275"/>
        <v/>
      </c>
      <c r="BD192" s="3" t="str">
        <f t="shared" si="1276"/>
        <v/>
      </c>
      <c r="BE192" s="3" t="str">
        <f t="shared" si="1277"/>
        <v/>
      </c>
      <c r="BF192" s="3" t="str">
        <f t="shared" si="1278"/>
        <v/>
      </c>
      <c r="BG192" s="3" t="str">
        <f t="shared" si="1279"/>
        <v/>
      </c>
      <c r="BH192" s="3" t="str">
        <f t="shared" si="1280"/>
        <v/>
      </c>
      <c r="BI192" s="3" t="str">
        <f t="shared" si="1432"/>
        <v/>
      </c>
      <c r="BJ192" s="3" t="str">
        <f t="shared" si="1433"/>
        <v/>
      </c>
      <c r="BK192" s="3" t="str">
        <f t="shared" si="1434"/>
        <v/>
      </c>
      <c r="BL192" s="3" t="str">
        <f t="shared" si="1281"/>
        <v/>
      </c>
      <c r="BM192" s="3" t="str">
        <f t="shared" si="1282"/>
        <v/>
      </c>
    </row>
    <row r="193" spans="1:65" ht="16.5" thickBot="1" x14ac:dyDescent="0.25">
      <c r="A193" s="495"/>
      <c r="B193" s="496"/>
      <c r="C193" s="356">
        <v>3</v>
      </c>
      <c r="D193" s="56"/>
      <c r="E193" s="240" t="str">
        <f t="shared" si="1428"/>
        <v/>
      </c>
      <c r="F193" s="44"/>
      <c r="G193" s="18" t="str">
        <f t="shared" si="1244"/>
        <v/>
      </c>
      <c r="H193" s="44"/>
      <c r="I193" s="18" t="str">
        <f t="shared" si="1245"/>
        <v/>
      </c>
      <c r="J193" s="55" t="str">
        <f t="shared" si="1246"/>
        <v/>
      </c>
      <c r="K193" s="43"/>
      <c r="L193" s="18" t="str">
        <f t="shared" si="1247"/>
        <v/>
      </c>
      <c r="M193" s="43"/>
      <c r="N193" s="18" t="str">
        <f t="shared" si="1248"/>
        <v/>
      </c>
      <c r="O193" s="43"/>
      <c r="P193" s="18" t="str">
        <f t="shared" si="1249"/>
        <v/>
      </c>
      <c r="Q193" s="43"/>
      <c r="R193" s="18" t="str">
        <f t="shared" si="1250"/>
        <v/>
      </c>
      <c r="S193" s="43"/>
      <c r="T193" s="18" t="str">
        <f t="shared" si="1251"/>
        <v/>
      </c>
      <c r="U193" s="43"/>
      <c r="V193" s="18" t="str">
        <f t="shared" si="1252"/>
        <v/>
      </c>
      <c r="W193" s="18">
        <f t="shared" si="1253"/>
        <v>0</v>
      </c>
      <c r="X193" s="57" t="str">
        <f t="shared" si="1254"/>
        <v/>
      </c>
      <c r="Y193" s="57">
        <f t="shared" si="1255"/>
        <v>0</v>
      </c>
      <c r="Z193" s="356"/>
      <c r="AA193" s="499"/>
      <c r="AB193" s="500"/>
      <c r="AM193" s="3" t="str">
        <f t="shared" si="1262"/>
        <v/>
      </c>
      <c r="AN193" s="3" t="str">
        <f t="shared" si="1263"/>
        <v/>
      </c>
      <c r="AO193" s="3" t="str">
        <f t="shared" si="1264"/>
        <v/>
      </c>
      <c r="AP193" s="3" t="str">
        <f t="shared" si="1265"/>
        <v/>
      </c>
      <c r="AQ193" s="3" t="str">
        <f t="shared" si="1548"/>
        <v/>
      </c>
      <c r="AR193" s="3" t="str">
        <f t="shared" si="1549"/>
        <v/>
      </c>
      <c r="AS193" s="3" t="str">
        <f t="shared" ref="AS193" si="1552">IF(AND(AQ193="Documentar",AR193="Asignar responsable"),CONCATENATE("- ",AQ193,", ",AR193),IF(AQ193="Documentar",CONCATENATE("- ",AQ193),IF(AR193="Asignar responsable",CONCATENATE("- ",AR193),"")))</f>
        <v/>
      </c>
      <c r="AT193" s="3" t="str">
        <f t="shared" si="1550"/>
        <v/>
      </c>
      <c r="AU193" s="3" t="str">
        <f t="shared" ref="AU193" si="1553">IF(AT193="",AS193,IF(AS193="",CONCATENATE("- ",AT193),CONCATENATE(AS193,", ",AT193)))</f>
        <v/>
      </c>
      <c r="AV193" s="3" t="str">
        <f t="shared" si="1551"/>
        <v/>
      </c>
      <c r="AW193" s="3" t="str">
        <f t="shared" ref="AW193" si="1554">IF(AV193="",AU193,IF(AU193="",CONCATENATE("- ",AV193),CONCATENATE(AU193,", ",AV193)))</f>
        <v/>
      </c>
      <c r="AX193" s="502"/>
      <c r="AY193" s="502"/>
      <c r="AZ193" s="502"/>
      <c r="BA193" s="502"/>
      <c r="BB193" s="3" t="str">
        <f t="shared" si="1274"/>
        <v/>
      </c>
      <c r="BC193" s="3" t="str">
        <f t="shared" si="1275"/>
        <v/>
      </c>
      <c r="BD193" s="3" t="str">
        <f t="shared" si="1276"/>
        <v/>
      </c>
      <c r="BE193" s="3" t="str">
        <f t="shared" si="1277"/>
        <v/>
      </c>
      <c r="BF193" s="3" t="str">
        <f t="shared" si="1278"/>
        <v/>
      </c>
      <c r="BG193" s="3" t="str">
        <f t="shared" si="1279"/>
        <v/>
      </c>
      <c r="BH193" s="3" t="str">
        <f t="shared" si="1280"/>
        <v/>
      </c>
      <c r="BI193" s="3" t="str">
        <f t="shared" si="1432"/>
        <v/>
      </c>
      <c r="BJ193" s="3" t="str">
        <f t="shared" si="1433"/>
        <v/>
      </c>
      <c r="BK193" s="3" t="str">
        <f t="shared" si="1434"/>
        <v/>
      </c>
      <c r="BL193" s="3" t="str">
        <f t="shared" si="1281"/>
        <v/>
      </c>
      <c r="BM193" s="3" t="str">
        <f t="shared" si="1282"/>
        <v/>
      </c>
    </row>
    <row r="194" spans="1:65" ht="36.75" thickTop="1" x14ac:dyDescent="0.2">
      <c r="A194" s="493" t="str">
        <f>IDENTIFICACIÓN!C71</f>
        <v>34C</v>
      </c>
      <c r="B194" s="496" t="str">
        <f>IF(IDENTIFICACIÓN!D71="","",IDENTIFICACIÓN!D71)</f>
        <v>Evaluación Independiente. No reportar posibles actos de corrupción e irregularidades</v>
      </c>
      <c r="C194" s="356">
        <v>1</v>
      </c>
      <c r="D194" s="56" t="s">
        <v>11</v>
      </c>
      <c r="E194" s="240">
        <f t="shared" si="1428"/>
        <v>10</v>
      </c>
      <c r="F194" s="44" t="s">
        <v>653</v>
      </c>
      <c r="G194" s="18" t="str">
        <f t="shared" si="1244"/>
        <v/>
      </c>
      <c r="H194" s="44" t="s">
        <v>20</v>
      </c>
      <c r="I194" s="18" t="str">
        <f t="shared" si="1245"/>
        <v/>
      </c>
      <c r="J194" s="55" t="str">
        <f t="shared" si="1246"/>
        <v>Posibilidad</v>
      </c>
      <c r="K194" s="43" t="s">
        <v>11</v>
      </c>
      <c r="L194" s="18">
        <f t="shared" si="1247"/>
        <v>15</v>
      </c>
      <c r="M194" s="43" t="s">
        <v>11</v>
      </c>
      <c r="N194" s="18">
        <f t="shared" si="1248"/>
        <v>30</v>
      </c>
      <c r="O194" s="43" t="s">
        <v>323</v>
      </c>
      <c r="P194" s="18">
        <f t="shared" si="1249"/>
        <v>10</v>
      </c>
      <c r="Q194" s="43" t="s">
        <v>11</v>
      </c>
      <c r="R194" s="18">
        <f t="shared" si="1250"/>
        <v>5</v>
      </c>
      <c r="S194" s="43" t="s">
        <v>11</v>
      </c>
      <c r="T194" s="18">
        <f t="shared" si="1251"/>
        <v>15</v>
      </c>
      <c r="U194" s="43" t="s">
        <v>11</v>
      </c>
      <c r="V194" s="18">
        <f t="shared" si="1252"/>
        <v>10</v>
      </c>
      <c r="W194" s="18">
        <f t="shared" si="1253"/>
        <v>95</v>
      </c>
      <c r="X194" s="57" t="str">
        <f t="shared" si="1254"/>
        <v>95                           Disminuye en Posibilidad</v>
      </c>
      <c r="Y194" s="57">
        <f t="shared" si="1255"/>
        <v>1</v>
      </c>
      <c r="Z194" s="356"/>
      <c r="AA194" s="497">
        <f t="shared" ref="AA194" si="1555">IF(AB194=0,"",(ROUND((SUM(W194:W196)/AB194),0)))</f>
        <v>95</v>
      </c>
      <c r="AB194" s="500">
        <f t="shared" ref="AB194" si="1556">COUNT(T194:T196)</f>
        <v>1</v>
      </c>
      <c r="AC194" s="3">
        <f t="shared" ref="AC194" si="1557">SUM(Y194:Y196)</f>
        <v>1</v>
      </c>
      <c r="AD194" s="3">
        <f>ANALISIS!D73</f>
        <v>3</v>
      </c>
      <c r="AE194" s="3">
        <f t="shared" ref="AE194" si="1558">IF(AND(AD194=5,AC194&gt;1),3,AD194)</f>
        <v>3</v>
      </c>
      <c r="AF194" s="501">
        <f t="shared" si="1260"/>
        <v>3</v>
      </c>
      <c r="AG194" s="355" t="str">
        <f t="shared" si="1261"/>
        <v>MODERADA</v>
      </c>
      <c r="AH194" s="46"/>
      <c r="AI194" s="46"/>
      <c r="AJ194" s="46"/>
      <c r="AK194" s="46"/>
      <c r="AL194" s="46"/>
      <c r="AM194" s="3" t="str">
        <f t="shared" si="1262"/>
        <v/>
      </c>
      <c r="AN194" s="3" t="str">
        <f t="shared" si="1263"/>
        <v/>
      </c>
      <c r="AO194" s="3" t="str">
        <f t="shared" si="1264"/>
        <v/>
      </c>
      <c r="AP194" s="3" t="str">
        <f t="shared" si="1265"/>
        <v/>
      </c>
      <c r="AQ194" s="3" t="str">
        <f t="shared" ref="AQ194" si="1559">AM194</f>
        <v/>
      </c>
      <c r="AR194" s="3" t="str">
        <f t="shared" ref="AR194" si="1560">AN194</f>
        <v/>
      </c>
      <c r="AT194" s="3" t="str">
        <f t="shared" ref="AT194" si="1561">AO194</f>
        <v/>
      </c>
      <c r="AV194" s="3" t="str">
        <f t="shared" ref="AV194" si="1562">AP194</f>
        <v/>
      </c>
      <c r="AX194" s="502" t="str">
        <f t="shared" ref="AX194" si="1563">IF(AW196="","",CONCATENATE(AW196," (de) el(los) control(es) Efectivo(s) "))</f>
        <v/>
      </c>
      <c r="AY194" s="502" t="str">
        <f t="shared" ref="AY194" si="1564">IF(CONCATENATE(N194:N196)="","",IF(AND(SUM(E194:E196)=10,SUM(N194:N196)&lt;30),"- Replantear control(es) NO efectivo(s) ",IF(AND(SUM(E194:E196)=20,SUM(N194:N196)&lt;60),"- Replantear control(es) NO efectivo(s) ",IF(AND(SUM(E194:E196)=30,SUM(N194:N196)&lt;90),"- Replantear control(es) NO efectivo(s) ",""))))</f>
        <v/>
      </c>
      <c r="AZ194" s="502" t="str">
        <f t="shared" ref="AZ194" si="1565">IF(AND(AE194&gt;1,AE195&gt;1),"- Tomar Acciones Preventivas y Correctivas",IF(AE194&gt;1,"- Tomar Acciones Preventivas",IF(AE195&gt;1,"- Tomar Acciones Correctivas","")))</f>
        <v>- Tomar Acciones Preventivas</v>
      </c>
      <c r="BA194" s="502" t="str">
        <f t="shared" ref="BA194" si="1566">CONCATENATE(AX194,AY194,AZ194)</f>
        <v>- Tomar Acciones Preventivas</v>
      </c>
      <c r="BB194" s="3" t="str">
        <f t="shared" si="1274"/>
        <v>SI</v>
      </c>
      <c r="BC194" s="3" t="str">
        <f t="shared" si="1275"/>
        <v/>
      </c>
      <c r="BD194" s="3" t="str">
        <f t="shared" si="1276"/>
        <v>SI</v>
      </c>
      <c r="BE194" s="3" t="str">
        <f t="shared" si="1277"/>
        <v/>
      </c>
      <c r="BF194" s="3" t="str">
        <f t="shared" si="1278"/>
        <v>SI</v>
      </c>
      <c r="BG194" s="3" t="str">
        <f t="shared" si="1279"/>
        <v/>
      </c>
      <c r="BH194" s="3" t="str">
        <f t="shared" si="1280"/>
        <v>P</v>
      </c>
      <c r="BI194" s="3" t="str">
        <f t="shared" si="1432"/>
        <v/>
      </c>
      <c r="BJ194" s="3" t="str">
        <f t="shared" si="1433"/>
        <v>M</v>
      </c>
      <c r="BK194" s="3" t="str">
        <f t="shared" si="1434"/>
        <v/>
      </c>
      <c r="BL194" s="3" t="str">
        <f t="shared" si="1281"/>
        <v>SI</v>
      </c>
      <c r="BM194" s="3" t="str">
        <f t="shared" si="1282"/>
        <v/>
      </c>
    </row>
    <row r="195" spans="1:65" ht="31.5" x14ac:dyDescent="0.2">
      <c r="A195" s="494"/>
      <c r="B195" s="496"/>
      <c r="C195" s="356">
        <v>2</v>
      </c>
      <c r="D195" s="56"/>
      <c r="E195" s="240" t="str">
        <f t="shared" si="1428"/>
        <v/>
      </c>
      <c r="F195" s="44"/>
      <c r="G195" s="18" t="str">
        <f t="shared" si="1244"/>
        <v/>
      </c>
      <c r="H195" s="44"/>
      <c r="I195" s="18" t="str">
        <f t="shared" si="1245"/>
        <v/>
      </c>
      <c r="J195" s="55" t="str">
        <f t="shared" si="1246"/>
        <v/>
      </c>
      <c r="K195" s="43"/>
      <c r="L195" s="18" t="str">
        <f t="shared" si="1247"/>
        <v/>
      </c>
      <c r="M195" s="43"/>
      <c r="N195" s="18" t="str">
        <f t="shared" si="1248"/>
        <v/>
      </c>
      <c r="O195" s="43"/>
      <c r="P195" s="18" t="str">
        <f t="shared" si="1249"/>
        <v/>
      </c>
      <c r="Q195" s="43"/>
      <c r="R195" s="18" t="str">
        <f t="shared" si="1250"/>
        <v/>
      </c>
      <c r="S195" s="43"/>
      <c r="T195" s="18" t="str">
        <f t="shared" si="1251"/>
        <v/>
      </c>
      <c r="U195" s="43"/>
      <c r="V195" s="18" t="str">
        <f t="shared" si="1252"/>
        <v/>
      </c>
      <c r="W195" s="18">
        <f t="shared" si="1253"/>
        <v>0</v>
      </c>
      <c r="X195" s="57" t="str">
        <f t="shared" si="1254"/>
        <v/>
      </c>
      <c r="Y195" s="57">
        <f t="shared" si="1255"/>
        <v>0</v>
      </c>
      <c r="Z195" s="356"/>
      <c r="AA195" s="498"/>
      <c r="AB195" s="500"/>
      <c r="AC195" s="3" t="s">
        <v>352</v>
      </c>
      <c r="AF195" s="501"/>
      <c r="AG195" s="46" t="str">
        <f t="shared" ref="AG195" si="1567">IF(AG194&gt;0,"- Evitar Posibilidad de Ocurrencia- Reducir el Riesgo","")</f>
        <v>- Evitar Posibilidad de Ocurrencia- Reducir el Riesgo</v>
      </c>
      <c r="AH195" s="46"/>
      <c r="AI195" s="46"/>
      <c r="AJ195" s="46"/>
      <c r="AK195" s="46"/>
      <c r="AL195" s="46"/>
      <c r="AM195" s="3" t="str">
        <f t="shared" si="1262"/>
        <v/>
      </c>
      <c r="AN195" s="3" t="str">
        <f t="shared" si="1263"/>
        <v/>
      </c>
      <c r="AO195" s="3" t="str">
        <f t="shared" si="1264"/>
        <v/>
      </c>
      <c r="AP195" s="3" t="str">
        <f t="shared" si="1265"/>
        <v/>
      </c>
      <c r="AQ195" s="3" t="str">
        <f t="shared" ref="AQ195:AQ196" si="1568">IF(AQ194="Documentar",AQ194,AM195)</f>
        <v/>
      </c>
      <c r="AR195" s="3" t="str">
        <f t="shared" ref="AR195:AR196" si="1569">IF(AR194="Asignar responsable",AR194,AN195)</f>
        <v/>
      </c>
      <c r="AT195" s="3" t="str">
        <f t="shared" ref="AT195:AT196" si="1570">IF(AT194="Establecer periodos de seguimiento adecuados",AT194,AO195)</f>
        <v/>
      </c>
      <c r="AV195" s="3" t="str">
        <f t="shared" ref="AV195:AV196" si="1571">IF(AV194="Guardar Evidencias",AV194,AP195)</f>
        <v/>
      </c>
      <c r="AX195" s="502"/>
      <c r="AY195" s="502"/>
      <c r="AZ195" s="502"/>
      <c r="BA195" s="502"/>
      <c r="BB195" s="3" t="str">
        <f t="shared" si="1274"/>
        <v/>
      </c>
      <c r="BC195" s="3" t="str">
        <f t="shared" si="1275"/>
        <v/>
      </c>
      <c r="BD195" s="3" t="str">
        <f t="shared" si="1276"/>
        <v/>
      </c>
      <c r="BE195" s="3" t="str">
        <f t="shared" si="1277"/>
        <v/>
      </c>
      <c r="BF195" s="3" t="str">
        <f t="shared" si="1278"/>
        <v/>
      </c>
      <c r="BG195" s="3" t="str">
        <f t="shared" si="1279"/>
        <v/>
      </c>
      <c r="BH195" s="3" t="str">
        <f t="shared" si="1280"/>
        <v/>
      </c>
      <c r="BI195" s="3" t="str">
        <f t="shared" si="1432"/>
        <v/>
      </c>
      <c r="BJ195" s="3" t="str">
        <f t="shared" si="1433"/>
        <v/>
      </c>
      <c r="BK195" s="3" t="str">
        <f t="shared" si="1434"/>
        <v/>
      </c>
      <c r="BL195" s="3" t="str">
        <f t="shared" si="1281"/>
        <v/>
      </c>
      <c r="BM195" s="3" t="str">
        <f t="shared" si="1282"/>
        <v/>
      </c>
    </row>
    <row r="196" spans="1:65" ht="16.5" thickBot="1" x14ac:dyDescent="0.25">
      <c r="A196" s="495"/>
      <c r="B196" s="496"/>
      <c r="C196" s="356">
        <v>3</v>
      </c>
      <c r="D196" s="56"/>
      <c r="E196" s="240" t="str">
        <f t="shared" si="1428"/>
        <v/>
      </c>
      <c r="F196" s="44"/>
      <c r="G196" s="18" t="str">
        <f t="shared" si="1244"/>
        <v/>
      </c>
      <c r="H196" s="44"/>
      <c r="I196" s="18" t="str">
        <f t="shared" si="1245"/>
        <v/>
      </c>
      <c r="J196" s="55" t="str">
        <f t="shared" si="1246"/>
        <v/>
      </c>
      <c r="K196" s="43"/>
      <c r="L196" s="18" t="str">
        <f t="shared" si="1247"/>
        <v/>
      </c>
      <c r="M196" s="43"/>
      <c r="N196" s="18" t="str">
        <f t="shared" si="1248"/>
        <v/>
      </c>
      <c r="O196" s="43"/>
      <c r="P196" s="18" t="str">
        <f t="shared" si="1249"/>
        <v/>
      </c>
      <c r="Q196" s="43"/>
      <c r="R196" s="18" t="str">
        <f t="shared" si="1250"/>
        <v/>
      </c>
      <c r="S196" s="43"/>
      <c r="T196" s="18" t="str">
        <f t="shared" si="1251"/>
        <v/>
      </c>
      <c r="U196" s="43"/>
      <c r="V196" s="18" t="str">
        <f t="shared" si="1252"/>
        <v/>
      </c>
      <c r="W196" s="18">
        <f t="shared" si="1253"/>
        <v>0</v>
      </c>
      <c r="X196" s="57" t="str">
        <f t="shared" si="1254"/>
        <v/>
      </c>
      <c r="Y196" s="57">
        <f t="shared" si="1255"/>
        <v>0</v>
      </c>
      <c r="Z196" s="356"/>
      <c r="AA196" s="499"/>
      <c r="AB196" s="500"/>
      <c r="AM196" s="3" t="str">
        <f t="shared" si="1262"/>
        <v/>
      </c>
      <c r="AN196" s="3" t="str">
        <f t="shared" si="1263"/>
        <v/>
      </c>
      <c r="AO196" s="3" t="str">
        <f t="shared" si="1264"/>
        <v/>
      </c>
      <c r="AP196" s="3" t="str">
        <f t="shared" si="1265"/>
        <v/>
      </c>
      <c r="AQ196" s="3" t="str">
        <f t="shared" si="1568"/>
        <v/>
      </c>
      <c r="AR196" s="3" t="str">
        <f t="shared" si="1569"/>
        <v/>
      </c>
      <c r="AS196" s="3" t="str">
        <f t="shared" ref="AS196" si="1572">IF(AND(AQ196="Documentar",AR196="Asignar responsable"),CONCATENATE("- ",AQ196,", ",AR196),IF(AQ196="Documentar",CONCATENATE("- ",AQ196),IF(AR196="Asignar responsable",CONCATENATE("- ",AR196),"")))</f>
        <v/>
      </c>
      <c r="AT196" s="3" t="str">
        <f t="shared" si="1570"/>
        <v/>
      </c>
      <c r="AU196" s="3" t="str">
        <f t="shared" ref="AU196" si="1573">IF(AT196="",AS196,IF(AS196="",CONCATENATE("- ",AT196),CONCATENATE(AS196,", ",AT196)))</f>
        <v/>
      </c>
      <c r="AV196" s="3" t="str">
        <f t="shared" si="1571"/>
        <v/>
      </c>
      <c r="AW196" s="3" t="str">
        <f t="shared" ref="AW196" si="1574">IF(AV196="",AU196,IF(AU196="",CONCATENATE("- ",AV196),CONCATENATE(AU196,", ",AV196)))</f>
        <v/>
      </c>
      <c r="AX196" s="502"/>
      <c r="AY196" s="502"/>
      <c r="AZ196" s="502"/>
      <c r="BA196" s="502"/>
      <c r="BB196" s="3" t="str">
        <f t="shared" si="1274"/>
        <v/>
      </c>
      <c r="BC196" s="3" t="str">
        <f t="shared" si="1275"/>
        <v/>
      </c>
      <c r="BD196" s="3" t="str">
        <f t="shared" si="1276"/>
        <v/>
      </c>
      <c r="BE196" s="3" t="str">
        <f t="shared" si="1277"/>
        <v/>
      </c>
      <c r="BF196" s="3" t="str">
        <f t="shared" si="1278"/>
        <v/>
      </c>
      <c r="BG196" s="3" t="str">
        <f t="shared" si="1279"/>
        <v/>
      </c>
      <c r="BH196" s="3" t="str">
        <f t="shared" si="1280"/>
        <v/>
      </c>
      <c r="BI196" s="3" t="str">
        <f t="shared" si="1432"/>
        <v/>
      </c>
      <c r="BJ196" s="3" t="str">
        <f t="shared" si="1433"/>
        <v/>
      </c>
      <c r="BK196" s="3" t="str">
        <f t="shared" si="1434"/>
        <v/>
      </c>
      <c r="BL196" s="3" t="str">
        <f t="shared" si="1281"/>
        <v/>
      </c>
      <c r="BM196" s="3" t="str">
        <f t="shared" si="1282"/>
        <v/>
      </c>
    </row>
    <row r="197" spans="1:65" ht="16.5" thickTop="1" x14ac:dyDescent="0.2"/>
  </sheetData>
  <sheetProtection algorithmName="SHA-512" hashValue="NIYVZ8/l9gwG4nDXnUGlIwUj5+ktPp6UDuhpxOHA0gNGYTrrzF/EwrYygWHNzGMVa79Ea68FNX2ez8Zbrfombg==" saltValue="+jUL0sprd8yORPeMdUsXow==" spinCount="100000" sheet="1" objects="1" scenarios="1" formatCells="0" formatRows="0" insertRows="0" selectLockedCells="1"/>
  <dataConsolidate/>
  <mergeCells count="589">
    <mergeCell ref="A194:A196"/>
    <mergeCell ref="B194:B196"/>
    <mergeCell ref="AA194:AA196"/>
    <mergeCell ref="AB194:AB196"/>
    <mergeCell ref="AF194:AF195"/>
    <mergeCell ref="AX194:AX196"/>
    <mergeCell ref="AY194:AY196"/>
    <mergeCell ref="AZ194:AZ196"/>
    <mergeCell ref="BA194:BA196"/>
    <mergeCell ref="A191:A193"/>
    <mergeCell ref="B191:B193"/>
    <mergeCell ref="AA191:AA193"/>
    <mergeCell ref="AB191:AB193"/>
    <mergeCell ref="AF191:AF192"/>
    <mergeCell ref="AX191:AX193"/>
    <mergeCell ref="AY191:AY193"/>
    <mergeCell ref="AZ191:AZ193"/>
    <mergeCell ref="BA191:BA193"/>
    <mergeCell ref="A188:A190"/>
    <mergeCell ref="B188:B190"/>
    <mergeCell ref="AA188:AA190"/>
    <mergeCell ref="AB188:AB190"/>
    <mergeCell ref="AF188:AF189"/>
    <mergeCell ref="AX188:AX190"/>
    <mergeCell ref="AY188:AY190"/>
    <mergeCell ref="AZ188:AZ190"/>
    <mergeCell ref="BA188:BA190"/>
    <mergeCell ref="A185:A187"/>
    <mergeCell ref="B185:B187"/>
    <mergeCell ref="AA185:AA187"/>
    <mergeCell ref="AB185:AB187"/>
    <mergeCell ref="AF185:AF186"/>
    <mergeCell ref="AX185:AX187"/>
    <mergeCell ref="AY185:AY187"/>
    <mergeCell ref="AZ185:AZ187"/>
    <mergeCell ref="BA185:BA187"/>
    <mergeCell ref="A182:A184"/>
    <mergeCell ref="B182:B184"/>
    <mergeCell ref="AA182:AA184"/>
    <mergeCell ref="AB182:AB184"/>
    <mergeCell ref="AF182:AF183"/>
    <mergeCell ref="AX182:AX184"/>
    <mergeCell ref="AY182:AY184"/>
    <mergeCell ref="AZ182:AZ184"/>
    <mergeCell ref="BA182:BA184"/>
    <mergeCell ref="A179:A181"/>
    <mergeCell ref="B179:B181"/>
    <mergeCell ref="AA179:AA181"/>
    <mergeCell ref="AB179:AB181"/>
    <mergeCell ref="AF179:AF180"/>
    <mergeCell ref="AX179:AX181"/>
    <mergeCell ref="AY179:AY181"/>
    <mergeCell ref="AZ179:AZ181"/>
    <mergeCell ref="BA179:BA181"/>
    <mergeCell ref="A176:A178"/>
    <mergeCell ref="B176:B178"/>
    <mergeCell ref="AA176:AA178"/>
    <mergeCell ref="AB176:AB178"/>
    <mergeCell ref="AF176:AF177"/>
    <mergeCell ref="AX176:AX178"/>
    <mergeCell ref="AY176:AY178"/>
    <mergeCell ref="AZ176:AZ178"/>
    <mergeCell ref="BA176:BA178"/>
    <mergeCell ref="A173:A175"/>
    <mergeCell ref="B173:B175"/>
    <mergeCell ref="AA173:AA175"/>
    <mergeCell ref="AB173:AB175"/>
    <mergeCell ref="AF173:AF174"/>
    <mergeCell ref="AX173:AX175"/>
    <mergeCell ref="AY173:AY175"/>
    <mergeCell ref="AZ173:AZ175"/>
    <mergeCell ref="BA173:BA175"/>
    <mergeCell ref="A170:A172"/>
    <mergeCell ref="B170:B172"/>
    <mergeCell ref="AA170:AA172"/>
    <mergeCell ref="AB170:AB172"/>
    <mergeCell ref="AF170:AF171"/>
    <mergeCell ref="AX170:AX172"/>
    <mergeCell ref="AY170:AY172"/>
    <mergeCell ref="AZ170:AZ172"/>
    <mergeCell ref="BA170:BA172"/>
    <mergeCell ref="A167:A169"/>
    <mergeCell ref="B167:B169"/>
    <mergeCell ref="AA167:AA169"/>
    <mergeCell ref="AB167:AB169"/>
    <mergeCell ref="AF167:AF168"/>
    <mergeCell ref="AX167:AX169"/>
    <mergeCell ref="AY167:AY169"/>
    <mergeCell ref="AZ167:AZ169"/>
    <mergeCell ref="BA167:BA169"/>
    <mergeCell ref="A164:A166"/>
    <mergeCell ref="B164:B166"/>
    <mergeCell ref="AA164:AA166"/>
    <mergeCell ref="AB164:AB166"/>
    <mergeCell ref="AF164:AF165"/>
    <mergeCell ref="AX164:AX166"/>
    <mergeCell ref="AY164:AY166"/>
    <mergeCell ref="AZ164:AZ166"/>
    <mergeCell ref="BA164:BA166"/>
    <mergeCell ref="A161:A163"/>
    <mergeCell ref="B161:B163"/>
    <mergeCell ref="AA161:AA163"/>
    <mergeCell ref="AB161:AB163"/>
    <mergeCell ref="AF161:AF162"/>
    <mergeCell ref="AX161:AX163"/>
    <mergeCell ref="AY161:AY163"/>
    <mergeCell ref="AZ161:AZ163"/>
    <mergeCell ref="BA161:BA163"/>
    <mergeCell ref="A158:A160"/>
    <mergeCell ref="B158:B160"/>
    <mergeCell ref="AA158:AA160"/>
    <mergeCell ref="AB158:AB160"/>
    <mergeCell ref="AF158:AF159"/>
    <mergeCell ref="AX158:AX160"/>
    <mergeCell ref="AY158:AY160"/>
    <mergeCell ref="AZ158:AZ160"/>
    <mergeCell ref="BA158:BA160"/>
    <mergeCell ref="A155:A157"/>
    <mergeCell ref="B155:B157"/>
    <mergeCell ref="AA155:AA157"/>
    <mergeCell ref="AB155:AB157"/>
    <mergeCell ref="AF155:AF156"/>
    <mergeCell ref="AX155:AX157"/>
    <mergeCell ref="AY155:AY157"/>
    <mergeCell ref="AZ155:AZ157"/>
    <mergeCell ref="BA155:BA157"/>
    <mergeCell ref="A152:A154"/>
    <mergeCell ref="B152:B154"/>
    <mergeCell ref="AA152:AA154"/>
    <mergeCell ref="AB152:AB154"/>
    <mergeCell ref="AF152:AF153"/>
    <mergeCell ref="AX152:AX154"/>
    <mergeCell ref="AY152:AY154"/>
    <mergeCell ref="AZ152:AZ154"/>
    <mergeCell ref="BA152:BA154"/>
    <mergeCell ref="A149:A151"/>
    <mergeCell ref="B149:B151"/>
    <mergeCell ref="AA149:AA151"/>
    <mergeCell ref="AB149:AB151"/>
    <mergeCell ref="AF149:AF150"/>
    <mergeCell ref="AX149:AX151"/>
    <mergeCell ref="AY149:AY151"/>
    <mergeCell ref="AZ149:AZ151"/>
    <mergeCell ref="BA149:BA151"/>
    <mergeCell ref="A146:A148"/>
    <mergeCell ref="B146:B148"/>
    <mergeCell ref="AA146:AA148"/>
    <mergeCell ref="AB146:AB148"/>
    <mergeCell ref="AF146:AF147"/>
    <mergeCell ref="AX146:AX148"/>
    <mergeCell ref="AY146:AY148"/>
    <mergeCell ref="AZ146:AZ148"/>
    <mergeCell ref="BA146:BA148"/>
    <mergeCell ref="A143:A145"/>
    <mergeCell ref="B143:B145"/>
    <mergeCell ref="AA143:AA145"/>
    <mergeCell ref="AB143:AB145"/>
    <mergeCell ref="AF143:AF144"/>
    <mergeCell ref="AX143:AX145"/>
    <mergeCell ref="AY143:AY145"/>
    <mergeCell ref="AZ143:AZ145"/>
    <mergeCell ref="BA143:BA145"/>
    <mergeCell ref="A140:A142"/>
    <mergeCell ref="B140:B142"/>
    <mergeCell ref="AA140:AA142"/>
    <mergeCell ref="AB140:AB142"/>
    <mergeCell ref="AF140:AF141"/>
    <mergeCell ref="AX140:AX142"/>
    <mergeCell ref="AY140:AY142"/>
    <mergeCell ref="AZ140:AZ142"/>
    <mergeCell ref="BA140:BA142"/>
    <mergeCell ref="A137:A139"/>
    <mergeCell ref="B137:B139"/>
    <mergeCell ref="AA137:AA139"/>
    <mergeCell ref="AB137:AB139"/>
    <mergeCell ref="AF137:AF138"/>
    <mergeCell ref="AX137:AX139"/>
    <mergeCell ref="AY137:AY139"/>
    <mergeCell ref="AZ137:AZ139"/>
    <mergeCell ref="BA137:BA139"/>
    <mergeCell ref="A134:A136"/>
    <mergeCell ref="B134:B136"/>
    <mergeCell ref="AA134:AA136"/>
    <mergeCell ref="AB134:AB136"/>
    <mergeCell ref="AF134:AF135"/>
    <mergeCell ref="AX134:AX136"/>
    <mergeCell ref="AY134:AY136"/>
    <mergeCell ref="AZ134:AZ136"/>
    <mergeCell ref="BA134:BA136"/>
    <mergeCell ref="A131:A133"/>
    <mergeCell ref="B131:B133"/>
    <mergeCell ref="AA131:AA133"/>
    <mergeCell ref="AB131:AB133"/>
    <mergeCell ref="AF131:AF132"/>
    <mergeCell ref="AX131:AX133"/>
    <mergeCell ref="AY131:AY133"/>
    <mergeCell ref="AZ131:AZ133"/>
    <mergeCell ref="BA131:BA133"/>
    <mergeCell ref="A128:A130"/>
    <mergeCell ref="B128:B130"/>
    <mergeCell ref="AA128:AA130"/>
    <mergeCell ref="AB128:AB130"/>
    <mergeCell ref="AF128:AF129"/>
    <mergeCell ref="AX128:AX130"/>
    <mergeCell ref="AY128:AY130"/>
    <mergeCell ref="AZ128:AZ130"/>
    <mergeCell ref="BA128:BA130"/>
    <mergeCell ref="A125:A127"/>
    <mergeCell ref="B125:B127"/>
    <mergeCell ref="AA125:AA127"/>
    <mergeCell ref="AB125:AB127"/>
    <mergeCell ref="AF125:AF126"/>
    <mergeCell ref="AX125:AX127"/>
    <mergeCell ref="AY125:AY127"/>
    <mergeCell ref="AZ125:AZ127"/>
    <mergeCell ref="BA125:BA127"/>
    <mergeCell ref="A122:A124"/>
    <mergeCell ref="B122:B124"/>
    <mergeCell ref="AA122:AA124"/>
    <mergeCell ref="AB122:AB124"/>
    <mergeCell ref="AF122:AF123"/>
    <mergeCell ref="AX122:AX124"/>
    <mergeCell ref="AY122:AY124"/>
    <mergeCell ref="AZ122:AZ124"/>
    <mergeCell ref="BA122:BA124"/>
    <mergeCell ref="A119:A121"/>
    <mergeCell ref="B119:B121"/>
    <mergeCell ref="AA119:AA121"/>
    <mergeCell ref="AB119:AB121"/>
    <mergeCell ref="AF119:AF120"/>
    <mergeCell ref="AX119:AX121"/>
    <mergeCell ref="AY119:AY121"/>
    <mergeCell ref="AZ119:AZ121"/>
    <mergeCell ref="BA119:BA121"/>
    <mergeCell ref="A116:A118"/>
    <mergeCell ref="B116:B118"/>
    <mergeCell ref="AA116:AA118"/>
    <mergeCell ref="AB116:AB118"/>
    <mergeCell ref="AF116:AF117"/>
    <mergeCell ref="AX116:AX118"/>
    <mergeCell ref="AY116:AY118"/>
    <mergeCell ref="AZ116:AZ118"/>
    <mergeCell ref="BA116:BA118"/>
    <mergeCell ref="A113:A115"/>
    <mergeCell ref="B113:B115"/>
    <mergeCell ref="AA113:AA115"/>
    <mergeCell ref="AB113:AB115"/>
    <mergeCell ref="AF113:AF114"/>
    <mergeCell ref="AX113:AX115"/>
    <mergeCell ref="AY113:AY115"/>
    <mergeCell ref="AZ113:AZ115"/>
    <mergeCell ref="BA113:BA115"/>
    <mergeCell ref="A110:A112"/>
    <mergeCell ref="B110:B112"/>
    <mergeCell ref="AA110:AA112"/>
    <mergeCell ref="AB110:AB112"/>
    <mergeCell ref="AF110:AF111"/>
    <mergeCell ref="AX110:AX112"/>
    <mergeCell ref="AY110:AY112"/>
    <mergeCell ref="AZ110:AZ112"/>
    <mergeCell ref="BA110:BA112"/>
    <mergeCell ref="A91:A93"/>
    <mergeCell ref="B91:B93"/>
    <mergeCell ref="AA91:AA93"/>
    <mergeCell ref="AB91:AB93"/>
    <mergeCell ref="AF91:AF92"/>
    <mergeCell ref="AX91:AX93"/>
    <mergeCell ref="AY91:AY93"/>
    <mergeCell ref="AZ91:AZ93"/>
    <mergeCell ref="BA91:BA93"/>
    <mergeCell ref="A88:A90"/>
    <mergeCell ref="B88:B90"/>
    <mergeCell ref="AA88:AA90"/>
    <mergeCell ref="AB88:AB90"/>
    <mergeCell ref="AF88:AF89"/>
    <mergeCell ref="AX88:AX90"/>
    <mergeCell ref="AY88:AY90"/>
    <mergeCell ref="AZ88:AZ90"/>
    <mergeCell ref="BA88:BA90"/>
    <mergeCell ref="A85:A87"/>
    <mergeCell ref="B85:B87"/>
    <mergeCell ref="AA85:AA87"/>
    <mergeCell ref="AB85:AB87"/>
    <mergeCell ref="AF85:AF86"/>
    <mergeCell ref="AX85:AX87"/>
    <mergeCell ref="AY85:AY87"/>
    <mergeCell ref="AZ85:AZ87"/>
    <mergeCell ref="BA85:BA87"/>
    <mergeCell ref="A82:A84"/>
    <mergeCell ref="B82:B84"/>
    <mergeCell ref="AA82:AA84"/>
    <mergeCell ref="AB82:AB84"/>
    <mergeCell ref="AF82:AF83"/>
    <mergeCell ref="AX82:AX84"/>
    <mergeCell ref="AY82:AY84"/>
    <mergeCell ref="AZ82:AZ84"/>
    <mergeCell ref="BA82:BA84"/>
    <mergeCell ref="A79:A81"/>
    <mergeCell ref="B79:B81"/>
    <mergeCell ref="AA79:AA81"/>
    <mergeCell ref="AB79:AB81"/>
    <mergeCell ref="AF79:AF80"/>
    <mergeCell ref="AX79:AX81"/>
    <mergeCell ref="AY79:AY81"/>
    <mergeCell ref="AZ79:AZ81"/>
    <mergeCell ref="BA79:BA81"/>
    <mergeCell ref="A76:A78"/>
    <mergeCell ref="B76:B78"/>
    <mergeCell ref="AA76:AA78"/>
    <mergeCell ref="AB76:AB78"/>
    <mergeCell ref="AF76:AF77"/>
    <mergeCell ref="AX76:AX78"/>
    <mergeCell ref="AY76:AY78"/>
    <mergeCell ref="AZ76:AZ78"/>
    <mergeCell ref="BA76:BA78"/>
    <mergeCell ref="A73:A75"/>
    <mergeCell ref="B73:B75"/>
    <mergeCell ref="AA73:AA75"/>
    <mergeCell ref="AB73:AB75"/>
    <mergeCell ref="AF73:AF74"/>
    <mergeCell ref="AX73:AX75"/>
    <mergeCell ref="AY73:AY75"/>
    <mergeCell ref="AZ73:AZ75"/>
    <mergeCell ref="BA73:BA75"/>
    <mergeCell ref="A70:A72"/>
    <mergeCell ref="B70:B72"/>
    <mergeCell ref="AA70:AA72"/>
    <mergeCell ref="AB70:AB72"/>
    <mergeCell ref="AF70:AF71"/>
    <mergeCell ref="AX70:AX72"/>
    <mergeCell ref="AY70:AY72"/>
    <mergeCell ref="AZ70:AZ72"/>
    <mergeCell ref="BA70:BA72"/>
    <mergeCell ref="A67:A69"/>
    <mergeCell ref="B67:B69"/>
    <mergeCell ref="AA67:AA69"/>
    <mergeCell ref="AB67:AB69"/>
    <mergeCell ref="AF67:AF68"/>
    <mergeCell ref="AX67:AX69"/>
    <mergeCell ref="AY67:AY69"/>
    <mergeCell ref="AZ67:AZ69"/>
    <mergeCell ref="BA67:BA69"/>
    <mergeCell ref="A64:A66"/>
    <mergeCell ref="B64:B66"/>
    <mergeCell ref="AA64:AA66"/>
    <mergeCell ref="AB64:AB66"/>
    <mergeCell ref="AF64:AF65"/>
    <mergeCell ref="AX64:AX66"/>
    <mergeCell ref="AY64:AY66"/>
    <mergeCell ref="AZ64:AZ66"/>
    <mergeCell ref="BA64:BA66"/>
    <mergeCell ref="A61:A63"/>
    <mergeCell ref="B61:B63"/>
    <mergeCell ref="AA61:AA63"/>
    <mergeCell ref="AB61:AB63"/>
    <mergeCell ref="AF61:AF62"/>
    <mergeCell ref="AX61:AX63"/>
    <mergeCell ref="AY61:AY63"/>
    <mergeCell ref="AZ61:AZ63"/>
    <mergeCell ref="BA61:BA63"/>
    <mergeCell ref="A58:A60"/>
    <mergeCell ref="B58:B60"/>
    <mergeCell ref="AA58:AA60"/>
    <mergeCell ref="AB58:AB60"/>
    <mergeCell ref="AF58:AF59"/>
    <mergeCell ref="AX58:AX60"/>
    <mergeCell ref="AY58:AY60"/>
    <mergeCell ref="AZ58:AZ60"/>
    <mergeCell ref="BA58:BA60"/>
    <mergeCell ref="A55:A57"/>
    <mergeCell ref="B55:B57"/>
    <mergeCell ref="AA55:AA57"/>
    <mergeCell ref="AB55:AB57"/>
    <mergeCell ref="AF55:AF56"/>
    <mergeCell ref="AX55:AX57"/>
    <mergeCell ref="AY55:AY57"/>
    <mergeCell ref="AZ55:AZ57"/>
    <mergeCell ref="BA55:BA57"/>
    <mergeCell ref="A52:A54"/>
    <mergeCell ref="B52:B54"/>
    <mergeCell ref="AA52:AA54"/>
    <mergeCell ref="AB52:AB54"/>
    <mergeCell ref="AF52:AF53"/>
    <mergeCell ref="AX52:AX54"/>
    <mergeCell ref="AY52:AY54"/>
    <mergeCell ref="AZ52:AZ54"/>
    <mergeCell ref="BA52:BA54"/>
    <mergeCell ref="A49:A51"/>
    <mergeCell ref="B49:B51"/>
    <mergeCell ref="AA49:AA51"/>
    <mergeCell ref="AB49:AB51"/>
    <mergeCell ref="AF49:AF50"/>
    <mergeCell ref="AX49:AX51"/>
    <mergeCell ref="AY49:AY51"/>
    <mergeCell ref="AZ49:AZ51"/>
    <mergeCell ref="BA49:BA51"/>
    <mergeCell ref="A46:A48"/>
    <mergeCell ref="B46:B48"/>
    <mergeCell ref="AA46:AA48"/>
    <mergeCell ref="AB46:AB48"/>
    <mergeCell ref="AF46:AF47"/>
    <mergeCell ref="AX46:AX48"/>
    <mergeCell ref="AY46:AY48"/>
    <mergeCell ref="AZ46:AZ48"/>
    <mergeCell ref="BA46:BA48"/>
    <mergeCell ref="BA40:BA42"/>
    <mergeCell ref="A43:A45"/>
    <mergeCell ref="B43:B45"/>
    <mergeCell ref="AA43:AA45"/>
    <mergeCell ref="AB43:AB45"/>
    <mergeCell ref="AF43:AF44"/>
    <mergeCell ref="AX43:AX45"/>
    <mergeCell ref="AY43:AY45"/>
    <mergeCell ref="AZ43:AZ45"/>
    <mergeCell ref="BA43:BA45"/>
    <mergeCell ref="C6:AA6"/>
    <mergeCell ref="A8:A9"/>
    <mergeCell ref="K9:L9"/>
    <mergeCell ref="Q9:R9"/>
    <mergeCell ref="U9:V9"/>
    <mergeCell ref="C1:T3"/>
    <mergeCell ref="A10:A12"/>
    <mergeCell ref="A25:A27"/>
    <mergeCell ref="B25:B27"/>
    <mergeCell ref="AA25:AA27"/>
    <mergeCell ref="A16:A18"/>
    <mergeCell ref="B16:B18"/>
    <mergeCell ref="A22:A24"/>
    <mergeCell ref="AA19:AA21"/>
    <mergeCell ref="B22:B24"/>
    <mergeCell ref="AB16:AB18"/>
    <mergeCell ref="AB19:AB21"/>
    <mergeCell ref="AB22:AB24"/>
    <mergeCell ref="AB25:AB27"/>
    <mergeCell ref="AA22:AA24"/>
    <mergeCell ref="A19:A21"/>
    <mergeCell ref="AA16:AA18"/>
    <mergeCell ref="B19:B21"/>
    <mergeCell ref="BA10:BA12"/>
    <mergeCell ref="AX10:AX12"/>
    <mergeCell ref="AY10:AY12"/>
    <mergeCell ref="AZ10:AZ12"/>
    <mergeCell ref="AX13:AX15"/>
    <mergeCell ref="B10:B12"/>
    <mergeCell ref="AA10:AA12"/>
    <mergeCell ref="A13:A15"/>
    <mergeCell ref="B13:B15"/>
    <mergeCell ref="AA13:AA15"/>
    <mergeCell ref="AZ13:AZ15"/>
    <mergeCell ref="AF10:AF11"/>
    <mergeCell ref="AB10:AB12"/>
    <mergeCell ref="AF13:AF14"/>
    <mergeCell ref="AY13:AY15"/>
    <mergeCell ref="AB13:AB15"/>
    <mergeCell ref="AG8:AG9"/>
    <mergeCell ref="AB8:AB9"/>
    <mergeCell ref="AC8:AC9"/>
    <mergeCell ref="AD8:AD9"/>
    <mergeCell ref="AE8:AE9"/>
    <mergeCell ref="AF8:AF9"/>
    <mergeCell ref="A1:B3"/>
    <mergeCell ref="B8:B9"/>
    <mergeCell ref="C8:C9"/>
    <mergeCell ref="D8:J8"/>
    <mergeCell ref="A7:B7"/>
    <mergeCell ref="C7:AA7"/>
    <mergeCell ref="X8:X9"/>
    <mergeCell ref="AA8:AA9"/>
    <mergeCell ref="U1:AA1"/>
    <mergeCell ref="U2:AA2"/>
    <mergeCell ref="U3:AA3"/>
    <mergeCell ref="Q8:U8"/>
    <mergeCell ref="M9:N9"/>
    <mergeCell ref="O9:P9"/>
    <mergeCell ref="K8:P8"/>
    <mergeCell ref="S9:T9"/>
    <mergeCell ref="A5:AA5"/>
    <mergeCell ref="A6:B6"/>
    <mergeCell ref="A28:A30"/>
    <mergeCell ref="A37:A39"/>
    <mergeCell ref="B37:B39"/>
    <mergeCell ref="B28:B30"/>
    <mergeCell ref="A31:A33"/>
    <mergeCell ref="B31:B33"/>
    <mergeCell ref="B34:B36"/>
    <mergeCell ref="AF31:AF32"/>
    <mergeCell ref="AF34:AF35"/>
    <mergeCell ref="A34:A36"/>
    <mergeCell ref="AF37:AF38"/>
    <mergeCell ref="AB37:AB39"/>
    <mergeCell ref="AA34:AA36"/>
    <mergeCell ref="AA28:AA30"/>
    <mergeCell ref="AA31:AA33"/>
    <mergeCell ref="AB31:AB33"/>
    <mergeCell ref="AB34:AB36"/>
    <mergeCell ref="AF28:AF29"/>
    <mergeCell ref="AB28:AB30"/>
    <mergeCell ref="AF16:AF17"/>
    <mergeCell ref="AF19:AF20"/>
    <mergeCell ref="AF22:AF23"/>
    <mergeCell ref="AF25:AF26"/>
    <mergeCell ref="AX37:AX39"/>
    <mergeCell ref="AX16:AX18"/>
    <mergeCell ref="AX19:AX21"/>
    <mergeCell ref="AX22:AX24"/>
    <mergeCell ref="AX25:AX27"/>
    <mergeCell ref="AX28:AX30"/>
    <mergeCell ref="AX31:AX33"/>
    <mergeCell ref="AX34:AX36"/>
    <mergeCell ref="BA13:BA15"/>
    <mergeCell ref="BA16:BA18"/>
    <mergeCell ref="BA19:BA21"/>
    <mergeCell ref="BA22:BA24"/>
    <mergeCell ref="BA25:BA27"/>
    <mergeCell ref="BA28:BA30"/>
    <mergeCell ref="BA31:BA33"/>
    <mergeCell ref="BA34:BA36"/>
    <mergeCell ref="BA37:BA39"/>
    <mergeCell ref="AZ16:AZ18"/>
    <mergeCell ref="AZ19:AZ21"/>
    <mergeCell ref="AZ22:AZ24"/>
    <mergeCell ref="AZ25:AZ27"/>
    <mergeCell ref="AZ28:AZ30"/>
    <mergeCell ref="AY16:AY18"/>
    <mergeCell ref="AY19:AY21"/>
    <mergeCell ref="AY22:AY24"/>
    <mergeCell ref="AY25:AY27"/>
    <mergeCell ref="AY28:AY30"/>
    <mergeCell ref="A94:AA94"/>
    <mergeCell ref="A95:A97"/>
    <mergeCell ref="B95:B97"/>
    <mergeCell ref="AA95:AA97"/>
    <mergeCell ref="AB95:AB97"/>
    <mergeCell ref="AY37:AY39"/>
    <mergeCell ref="AZ31:AZ33"/>
    <mergeCell ref="AZ34:AZ36"/>
    <mergeCell ref="AZ37:AZ39"/>
    <mergeCell ref="AY31:AY33"/>
    <mergeCell ref="AY34:AY36"/>
    <mergeCell ref="AA37:AA39"/>
    <mergeCell ref="AF95:AF96"/>
    <mergeCell ref="AX95:AX97"/>
    <mergeCell ref="AY95:AY97"/>
    <mergeCell ref="AZ95:AZ97"/>
    <mergeCell ref="A40:A42"/>
    <mergeCell ref="B40:B42"/>
    <mergeCell ref="AA40:AA42"/>
    <mergeCell ref="AB40:AB42"/>
    <mergeCell ref="AF40:AF41"/>
    <mergeCell ref="AX40:AX42"/>
    <mergeCell ref="AY40:AY42"/>
    <mergeCell ref="AZ40:AZ42"/>
    <mergeCell ref="BA95:BA97"/>
    <mergeCell ref="A98:A100"/>
    <mergeCell ref="B98:B100"/>
    <mergeCell ref="AA98:AA100"/>
    <mergeCell ref="AB98:AB100"/>
    <mergeCell ref="AF98:AF99"/>
    <mergeCell ref="AX98:AX100"/>
    <mergeCell ref="AY98:AY100"/>
    <mergeCell ref="AZ98:AZ100"/>
    <mergeCell ref="BA98:BA100"/>
    <mergeCell ref="A101:A103"/>
    <mergeCell ref="B101:B103"/>
    <mergeCell ref="AA101:AA103"/>
    <mergeCell ref="AB101:AB103"/>
    <mergeCell ref="AF101:AF102"/>
    <mergeCell ref="AX101:AX103"/>
    <mergeCell ref="AY101:AY103"/>
    <mergeCell ref="AZ101:AZ103"/>
    <mergeCell ref="BA101:BA103"/>
    <mergeCell ref="A104:A106"/>
    <mergeCell ref="B104:B106"/>
    <mergeCell ref="AA104:AA106"/>
    <mergeCell ref="AB104:AB106"/>
    <mergeCell ref="AF104:AF105"/>
    <mergeCell ref="AX104:AX106"/>
    <mergeCell ref="AY104:AY106"/>
    <mergeCell ref="AZ104:AZ106"/>
    <mergeCell ref="BA104:BA106"/>
    <mergeCell ref="A107:A109"/>
    <mergeCell ref="B107:B109"/>
    <mergeCell ref="AA107:AA109"/>
    <mergeCell ref="AB107:AB109"/>
    <mergeCell ref="AF107:AF108"/>
    <mergeCell ref="AX107:AX109"/>
    <mergeCell ref="AY107:AY109"/>
    <mergeCell ref="AZ107:AZ109"/>
    <mergeCell ref="BA107:BA109"/>
  </mergeCells>
  <conditionalFormatting sqref="H14:H93 J14:J93 F10:F93 H107:H196 F107:F196 J107:J196">
    <cfRule type="cellIs" dxfId="404" priority="99" operator="equal">
      <formula>$D10="SI"</formula>
    </cfRule>
  </conditionalFormatting>
  <conditionalFormatting sqref="H11 H14:H93 J14:J93 H107:H196 J107:J196">
    <cfRule type="cellIs" dxfId="403" priority="96" operator="equal">
      <formula>$D11="SI"</formula>
    </cfRule>
  </conditionalFormatting>
  <conditionalFormatting sqref="J11">
    <cfRule type="cellIs" dxfId="402" priority="95" operator="equal">
      <formula>$D11="SI"</formula>
    </cfRule>
  </conditionalFormatting>
  <conditionalFormatting sqref="H11 J11">
    <cfRule type="cellIs" dxfId="401" priority="94" operator="equal">
      <formula>$D11="SI"</formula>
    </cfRule>
  </conditionalFormatting>
  <conditionalFormatting sqref="F11">
    <cfRule type="cellIs" dxfId="400" priority="93" operator="equal">
      <formula>$D11="SI"</formula>
    </cfRule>
  </conditionalFormatting>
  <conditionalFormatting sqref="H12">
    <cfRule type="cellIs" dxfId="399" priority="92" operator="equal">
      <formula>$D12="SI"</formula>
    </cfRule>
  </conditionalFormatting>
  <conditionalFormatting sqref="J12">
    <cfRule type="cellIs" dxfId="398" priority="91" operator="equal">
      <formula>$D12="SI"</formula>
    </cfRule>
  </conditionalFormatting>
  <conditionalFormatting sqref="H12 J12">
    <cfRule type="cellIs" dxfId="397" priority="90" operator="equal">
      <formula>$D12="SI"</formula>
    </cfRule>
  </conditionalFormatting>
  <conditionalFormatting sqref="F12">
    <cfRule type="cellIs" dxfId="396" priority="89" operator="equal">
      <formula>$D12="SI"</formula>
    </cfRule>
  </conditionalFormatting>
  <conditionalFormatting sqref="H13">
    <cfRule type="cellIs" dxfId="395" priority="63" operator="equal">
      <formula>$D13="SI"</formula>
    </cfRule>
  </conditionalFormatting>
  <conditionalFormatting sqref="J13">
    <cfRule type="cellIs" dxfId="394" priority="62" operator="equal">
      <formula>$D13="SI"</formula>
    </cfRule>
  </conditionalFormatting>
  <conditionalFormatting sqref="H13 J13">
    <cfRule type="cellIs" dxfId="393" priority="61" operator="equal">
      <formula>$D13="SI"</formula>
    </cfRule>
  </conditionalFormatting>
  <conditionalFormatting sqref="F13">
    <cfRule type="cellIs" dxfId="392" priority="60" operator="equal">
      <formula>$D13="SI"</formula>
    </cfRule>
  </conditionalFormatting>
  <conditionalFormatting sqref="H10">
    <cfRule type="cellIs" dxfId="391" priority="51" operator="equal">
      <formula>$D10="SI"</formula>
    </cfRule>
  </conditionalFormatting>
  <conditionalFormatting sqref="J10:J93">
    <cfRule type="cellIs" dxfId="390" priority="46" operator="notEqual">
      <formula>$D$10</formula>
    </cfRule>
    <cfRule type="cellIs" dxfId="389" priority="50" operator="equal">
      <formula>$D$10</formula>
    </cfRule>
  </conditionalFormatting>
  <conditionalFormatting sqref="X10:Y93">
    <cfRule type="cellIs" dxfId="388" priority="38" operator="equal">
      <formula>" "</formula>
    </cfRule>
  </conditionalFormatting>
  <conditionalFormatting sqref="H95:H97 F95:F97 J95:J97">
    <cfRule type="cellIs" dxfId="387" priority="30" operator="equal">
      <formula>$D95="SI"</formula>
    </cfRule>
  </conditionalFormatting>
  <conditionalFormatting sqref="H95:H97 J95:J97">
    <cfRule type="cellIs" dxfId="386" priority="29" operator="equal">
      <formula>$D95="SI"</formula>
    </cfRule>
  </conditionalFormatting>
  <conditionalFormatting sqref="J95:J97">
    <cfRule type="cellIs" dxfId="385" priority="27" operator="notEqual">
      <formula>$D$10</formula>
    </cfRule>
    <cfRule type="cellIs" dxfId="384" priority="28" operator="equal">
      <formula>$D$10</formula>
    </cfRule>
  </conditionalFormatting>
  <conditionalFormatting sqref="X95:Y97">
    <cfRule type="cellIs" dxfId="383" priority="25" operator="equal">
      <formula>" "</formula>
    </cfRule>
  </conditionalFormatting>
  <conditionalFormatting sqref="H98:H100 F98:F100 J98:J100">
    <cfRule type="cellIs" dxfId="382" priority="24" operator="equal">
      <formula>$D98="SI"</formula>
    </cfRule>
  </conditionalFormatting>
  <conditionalFormatting sqref="H98:H100 J98:J100">
    <cfRule type="cellIs" dxfId="381" priority="23" operator="equal">
      <formula>$D98="SI"</formula>
    </cfRule>
  </conditionalFormatting>
  <conditionalFormatting sqref="J98:J100">
    <cfRule type="cellIs" dxfId="380" priority="21" operator="notEqual">
      <formula>$D$10</formula>
    </cfRule>
    <cfRule type="cellIs" dxfId="379" priority="22" operator="equal">
      <formula>$D$10</formula>
    </cfRule>
  </conditionalFormatting>
  <conditionalFormatting sqref="X98:Y100">
    <cfRule type="cellIs" dxfId="378" priority="19" operator="equal">
      <formula>" "</formula>
    </cfRule>
  </conditionalFormatting>
  <conditionalFormatting sqref="H101:H103 F101:F103 J101:J103">
    <cfRule type="cellIs" dxfId="377" priority="18" operator="equal">
      <formula>$D101="SI"</formula>
    </cfRule>
  </conditionalFormatting>
  <conditionalFormatting sqref="H101:H103 J101:J103">
    <cfRule type="cellIs" dxfId="376" priority="17" operator="equal">
      <formula>$D101="SI"</formula>
    </cfRule>
  </conditionalFormatting>
  <conditionalFormatting sqref="J101:J103">
    <cfRule type="cellIs" dxfId="375" priority="15" operator="notEqual">
      <formula>$D$10</formula>
    </cfRule>
    <cfRule type="cellIs" dxfId="374" priority="16" operator="equal">
      <formula>$D$10</formula>
    </cfRule>
  </conditionalFormatting>
  <conditionalFormatting sqref="X101:Y103">
    <cfRule type="cellIs" dxfId="373" priority="13" operator="equal">
      <formula>" "</formula>
    </cfRule>
  </conditionalFormatting>
  <conditionalFormatting sqref="H104:H106 F104:F106 J104:J106">
    <cfRule type="cellIs" dxfId="372" priority="12" operator="equal">
      <formula>$D104="SI"</formula>
    </cfRule>
  </conditionalFormatting>
  <conditionalFormatting sqref="H104:H106 J104:J106">
    <cfRule type="cellIs" dxfId="371" priority="11" operator="equal">
      <formula>$D104="SI"</formula>
    </cfRule>
  </conditionalFormatting>
  <conditionalFormatting sqref="J104:J106">
    <cfRule type="cellIs" dxfId="370" priority="9" operator="notEqual">
      <formula>$D$10</formula>
    </cfRule>
    <cfRule type="cellIs" dxfId="369" priority="10" operator="equal">
      <formula>$D$10</formula>
    </cfRule>
  </conditionalFormatting>
  <conditionalFormatting sqref="X104:Y106">
    <cfRule type="cellIs" dxfId="368" priority="7" operator="equal">
      <formula>" "</formula>
    </cfRule>
  </conditionalFormatting>
  <conditionalFormatting sqref="J107:J196">
    <cfRule type="cellIs" dxfId="367" priority="3" operator="notEqual">
      <formula>$D$10</formula>
    </cfRule>
    <cfRule type="cellIs" dxfId="366" priority="4" operator="equal">
      <formula>$D$10</formula>
    </cfRule>
  </conditionalFormatting>
  <conditionalFormatting sqref="X107:Y196">
    <cfRule type="cellIs" dxfId="365" priority="1" operator="equal">
      <formula>" "</formula>
    </cfRule>
  </conditionalFormatting>
  <dataValidations count="11">
    <dataValidation type="list" allowBlank="1" showInputMessage="1" showErrorMessage="1" sqref="D14:D15 D17:D18 D20:D21 D23:D24 D26:D27 D29:D30 D32:D33 D35:D36 D108:D109 D11:D12 D96:D97 D99:D100 D102:D103 D105:D106 D38:D39 D41:D42 D65:D66 D44:D45 D50:D51 D56:D57 D62:D63 D68:D69 D47:D48 D53:D54 D59:D60 D71:D72 D74:D75 D77:D78 D80:D81 D83:D84 D86:D87 D89:D90 D92:D93 D111:D112 D114:D115 D117:D118 D120:D121 D123:D124 D126:D127 D129:D130 D132:D133 D135:D136 D138:D139 D141:D142 D144:D145 D147:D148 D150:D151 D153:D154 D156:D157 D159:D160 D162:D163 D165:D166 D168:D169 D171:D172 D174:D175 D177:D178 D180:D181 D183:D184 D186:D187 D189:D190 D192:D193 D195:D196">
      <formula1>IF(D10="SI",exisc23,"")</formula1>
    </dataValidation>
    <dataValidation operator="equal" allowBlank="1" showInputMessage="1" showErrorMessage="1" sqref="J95:J196 J10:J93"/>
    <dataValidation type="list" allowBlank="1" showInputMessage="1" showErrorMessage="1" sqref="D37 D34 D31 D28 D25 D22 D19 D16 D10 D13 D95 D98 D101 D104 D107 D40 D43 D49 D55 D61 D67 D46 D52 D58 D64 D70 D73 D76 D79 D82 D85 D88 D91 D110 D113 D116 D119 D122 D125 D128 D131 D134 D137 D140 D143 D146 D149 D152 D155 D158 D161 D164 D167 D170 D173 D176 D179 D182 D185 D188 D191 D194">
      <formula1>exisc</formula1>
    </dataValidation>
    <dataValidation type="list" operator="equal" allowBlank="1" showInputMessage="1" showErrorMessage="1" sqref="H10:H93 H95:H196">
      <formula1>IF(D10="SI",tip,"")</formula1>
    </dataValidation>
    <dataValidation type="textLength" operator="lessThanOrEqual" showInputMessage="1" showErrorMessage="1" errorTitle="Contenido Campo" error="Indique SI existe o NO control_x000a_si NO existe, no permite el ingreso de datos_x000a_si SI existe, maximo 100 caracteres" sqref="F10:F93 F95:F196">
      <formula1>IF(OR(D10="NO",D10=""),0,100)</formula1>
    </dataValidation>
    <dataValidation type="list" allowBlank="1" showInputMessage="1" showErrorMessage="1" sqref="K10:K93 K95:K196">
      <formula1>IF(D10="SI",exis,"")</formula1>
    </dataValidation>
    <dataValidation type="list" allowBlank="1" showInputMessage="1" showErrorMessage="1" sqref="M10:M93 M95:M196">
      <formula1>IF(D10="SI",exis,"")</formula1>
    </dataValidation>
    <dataValidation type="list" allowBlank="1" showInputMessage="1" showErrorMessage="1" sqref="Q10:Q93 Q95:Q196">
      <formula1>IF(D10="SI",exis,"")</formula1>
    </dataValidation>
    <dataValidation type="list" allowBlank="1" showInputMessage="1" showErrorMessage="1" sqref="O10:O93 O95:O196">
      <formula1>IF(D10="SI",automanu,"")</formula1>
    </dataValidation>
    <dataValidation type="list" allowBlank="1" showInputMessage="1" showErrorMessage="1" sqref="U10:U93 U95:U196">
      <formula1>IF(D10="SI",exis,"")</formula1>
    </dataValidation>
    <dataValidation type="list" allowBlank="1" showInputMessage="1" showErrorMessage="1" sqref="S10:S93 S95:S196">
      <formula1>IF(D10="SI",exis,"")</formula1>
    </dataValidation>
  </dataValidations>
  <pageMargins left="0.31" right="0.2" top="0.91" bottom="0.98425196850393704" header="0.6" footer="0"/>
  <pageSetup paperSize="9" scale="38" orientation="landscape" r:id="rId1"/>
  <headerFooter alignWithMargins="0">
    <oddHeader>&amp;C&amp;"Kredit,Normal"&amp;22M A P A   D E   R I E S G O S</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beginsWith" priority="41" operator="beginsWith" id="{A528D932-176E-4663-857C-A8F98D7A8162}">
            <xm:f>LEFT(X10,5)="Falta"</xm:f>
            <x14:dxf>
              <font>
                <color rgb="FF9C0006"/>
              </font>
              <fill>
                <patternFill>
                  <bgColor rgb="FFFFC7CE"/>
                </patternFill>
              </fill>
            </x14:dxf>
          </x14:cfRule>
          <xm:sqref>X10:Y93</xm:sqref>
        </x14:conditionalFormatting>
        <x14:conditionalFormatting xmlns:xm="http://schemas.microsoft.com/office/excel/2006/main">
          <x14:cfRule type="beginsWith" priority="26" operator="beginsWith" id="{DDEA9D45-5FCB-4B4B-B456-E4ADDD9C35C1}">
            <xm:f>LEFT(X95,5)="Falta"</xm:f>
            <x14:dxf>
              <font>
                <color rgb="FF9C0006"/>
              </font>
              <fill>
                <patternFill>
                  <bgColor rgb="FFFFC7CE"/>
                </patternFill>
              </fill>
            </x14:dxf>
          </x14:cfRule>
          <xm:sqref>X95:Y97</xm:sqref>
        </x14:conditionalFormatting>
        <x14:conditionalFormatting xmlns:xm="http://schemas.microsoft.com/office/excel/2006/main">
          <x14:cfRule type="beginsWith" priority="20" operator="beginsWith" id="{FBA77D90-3CBF-419D-90B5-128059E0A51D}">
            <xm:f>LEFT(X98,5)="Falta"</xm:f>
            <x14:dxf>
              <font>
                <color rgb="FF9C0006"/>
              </font>
              <fill>
                <patternFill>
                  <bgColor rgb="FFFFC7CE"/>
                </patternFill>
              </fill>
            </x14:dxf>
          </x14:cfRule>
          <xm:sqref>X98:Y100</xm:sqref>
        </x14:conditionalFormatting>
        <x14:conditionalFormatting xmlns:xm="http://schemas.microsoft.com/office/excel/2006/main">
          <x14:cfRule type="beginsWith" priority="14" operator="beginsWith" id="{EDA9B9FE-5A01-43C6-970A-37F82F5BBAAF}">
            <xm:f>LEFT(X101,5)="Falta"</xm:f>
            <x14:dxf>
              <font>
                <color rgb="FF9C0006"/>
              </font>
              <fill>
                <patternFill>
                  <bgColor rgb="FFFFC7CE"/>
                </patternFill>
              </fill>
            </x14:dxf>
          </x14:cfRule>
          <xm:sqref>X101:Y103</xm:sqref>
        </x14:conditionalFormatting>
        <x14:conditionalFormatting xmlns:xm="http://schemas.microsoft.com/office/excel/2006/main">
          <x14:cfRule type="beginsWith" priority="8" operator="beginsWith" id="{A755FCCA-2DB1-432E-A3C9-3FEEC3C68854}">
            <xm:f>LEFT(X104,5)="Falta"</xm:f>
            <x14:dxf>
              <font>
                <color rgb="FF9C0006"/>
              </font>
              <fill>
                <patternFill>
                  <bgColor rgb="FFFFC7CE"/>
                </patternFill>
              </fill>
            </x14:dxf>
          </x14:cfRule>
          <xm:sqref>X104:Y106</xm:sqref>
        </x14:conditionalFormatting>
        <x14:conditionalFormatting xmlns:xm="http://schemas.microsoft.com/office/excel/2006/main">
          <x14:cfRule type="beginsWith" priority="2" operator="beginsWith" id="{B00DC0A1-D042-4E00-9FFF-54A4371309FA}">
            <xm:f>LEFT(X107,5)="Falta"</xm:f>
            <x14:dxf>
              <font>
                <color rgb="FF9C0006"/>
              </font>
              <fill>
                <patternFill>
                  <bgColor rgb="FFFFC7CE"/>
                </patternFill>
              </fill>
            </x14:dxf>
          </x14:cfRule>
          <xm:sqref>X107:Y196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5" tint="-0.249977111117893"/>
  </sheetPr>
  <dimension ref="A1:R196"/>
  <sheetViews>
    <sheetView zoomScale="90" zoomScaleNormal="90" workbookViewId="0">
      <pane xSplit="4" ySplit="8" topLeftCell="E9" activePane="bottomRight" state="frozen"/>
      <selection activeCell="A12" sqref="A12:E12"/>
      <selection pane="topRight" activeCell="A12" sqref="A12:E12"/>
      <selection pane="bottomLeft" activeCell="A12" sqref="A12:E12"/>
      <selection pane="bottomRight" activeCell="P9" sqref="P9"/>
    </sheetView>
  </sheetViews>
  <sheetFormatPr baseColWidth="10" defaultRowHeight="15.75" x14ac:dyDescent="0.2"/>
  <cols>
    <col min="1" max="1" width="4" style="3" customWidth="1"/>
    <col min="2" max="2" width="16.88671875" style="3" customWidth="1"/>
    <col min="3" max="4" width="12.88671875" style="3" customWidth="1"/>
    <col min="5" max="5" width="2.21875" style="3" customWidth="1"/>
    <col min="6" max="6" width="2.109375" style="3" customWidth="1"/>
    <col min="7" max="7" width="1.88671875" style="3" customWidth="1"/>
    <col min="8" max="8" width="2.44140625" style="3" customWidth="1"/>
    <col min="9" max="9" width="4.88671875" style="228" customWidth="1"/>
    <col min="10" max="10" width="5.21875" style="3" customWidth="1"/>
    <col min="11" max="11" width="17.44140625" style="3" customWidth="1"/>
    <col min="12" max="13" width="9" style="3" customWidth="1"/>
    <col min="14" max="14" width="9.21875" style="3" customWidth="1"/>
    <col min="15" max="15" width="18.109375" style="3" customWidth="1"/>
    <col min="16" max="16" width="14.77734375" style="3" customWidth="1"/>
    <col min="17" max="17" width="23.109375" style="3" customWidth="1"/>
    <col min="18" max="18" width="13" style="3" customWidth="1"/>
    <col min="19" max="16384" width="11.5546875" style="3"/>
  </cols>
  <sheetData>
    <row r="1" spans="1:18" ht="22.5" customHeight="1" x14ac:dyDescent="0.2">
      <c r="A1" s="433" t="s">
        <v>145</v>
      </c>
      <c r="B1" s="433"/>
      <c r="C1" s="515" t="s">
        <v>151</v>
      </c>
      <c r="D1" s="516"/>
      <c r="E1" s="516"/>
      <c r="F1" s="516"/>
      <c r="G1" s="516"/>
      <c r="H1" s="516"/>
      <c r="I1" s="516"/>
      <c r="J1" s="516"/>
      <c r="K1" s="516"/>
      <c r="L1" s="516"/>
      <c r="M1" s="516"/>
      <c r="N1" s="516"/>
      <c r="O1" s="516"/>
      <c r="P1" s="517"/>
      <c r="Q1" s="510" t="s">
        <v>71</v>
      </c>
      <c r="R1" s="510"/>
    </row>
    <row r="2" spans="1:18" ht="22.5" customHeight="1" x14ac:dyDescent="0.2">
      <c r="A2" s="433"/>
      <c r="B2" s="433"/>
      <c r="C2" s="518"/>
      <c r="D2" s="519"/>
      <c r="E2" s="519"/>
      <c r="F2" s="519"/>
      <c r="G2" s="519"/>
      <c r="H2" s="519"/>
      <c r="I2" s="519"/>
      <c r="J2" s="519"/>
      <c r="K2" s="519"/>
      <c r="L2" s="519"/>
      <c r="M2" s="519"/>
      <c r="N2" s="519"/>
      <c r="O2" s="519"/>
      <c r="P2" s="520"/>
      <c r="Q2" s="510" t="s">
        <v>107</v>
      </c>
      <c r="R2" s="510"/>
    </row>
    <row r="3" spans="1:18" ht="22.5" customHeight="1" x14ac:dyDescent="0.2">
      <c r="A3" s="433"/>
      <c r="B3" s="433"/>
      <c r="C3" s="521"/>
      <c r="D3" s="522"/>
      <c r="E3" s="522"/>
      <c r="F3" s="522"/>
      <c r="G3" s="522"/>
      <c r="H3" s="522"/>
      <c r="I3" s="522"/>
      <c r="J3" s="522"/>
      <c r="K3" s="522"/>
      <c r="L3" s="522"/>
      <c r="M3" s="522"/>
      <c r="N3" s="522"/>
      <c r="O3" s="522"/>
      <c r="P3" s="523"/>
      <c r="Q3" s="510" t="s">
        <v>408</v>
      </c>
      <c r="R3" s="510"/>
    </row>
    <row r="4" spans="1:18" ht="3.75" customHeight="1" x14ac:dyDescent="0.2">
      <c r="A4" s="33"/>
      <c r="B4" s="34"/>
      <c r="C4" s="34"/>
      <c r="D4" s="34"/>
      <c r="E4" s="35"/>
      <c r="F4" s="35"/>
      <c r="G4" s="35"/>
      <c r="H4" s="35"/>
      <c r="I4" s="227"/>
      <c r="J4" s="35"/>
      <c r="K4" s="35"/>
      <c r="L4" s="35"/>
      <c r="M4" s="38"/>
      <c r="N4" s="58"/>
      <c r="O4" s="58"/>
      <c r="P4" s="49"/>
      <c r="Q4" s="49"/>
    </row>
    <row r="5" spans="1:18" ht="36" customHeight="1" x14ac:dyDescent="0.2">
      <c r="A5" s="435" t="s">
        <v>27</v>
      </c>
      <c r="B5" s="435"/>
      <c r="C5" s="435"/>
      <c r="D5" s="435"/>
      <c r="E5" s="435"/>
      <c r="F5" s="435"/>
      <c r="G5" s="435"/>
      <c r="H5" s="435"/>
      <c r="I5" s="435"/>
      <c r="J5" s="435"/>
      <c r="K5" s="435"/>
      <c r="L5" s="435"/>
      <c r="M5" s="435"/>
      <c r="N5" s="514"/>
      <c r="O5" s="514"/>
      <c r="P5" s="514"/>
      <c r="Q5" s="514"/>
      <c r="R5" s="435"/>
    </row>
    <row r="6" spans="1:18" ht="15.75" customHeight="1" x14ac:dyDescent="0.2">
      <c r="A6" s="559" t="str">
        <f>'CONTEXTO ESTRATEGICO'!A7</f>
        <v>INSTITUCIONAL</v>
      </c>
      <c r="B6" s="559"/>
      <c r="C6" s="554" t="str">
        <f>'CONTEXTO ESTRATEGICO'!B7</f>
        <v>Mapa de Riesgo Institucional</v>
      </c>
      <c r="D6" s="555"/>
      <c r="E6" s="555"/>
      <c r="F6" s="555"/>
      <c r="G6" s="555"/>
      <c r="H6" s="555"/>
      <c r="I6" s="555"/>
      <c r="J6" s="555"/>
      <c r="K6" s="555"/>
      <c r="L6" s="555"/>
      <c r="M6" s="555"/>
      <c r="N6" s="555"/>
      <c r="O6" s="177"/>
      <c r="P6" s="560" t="str">
        <f>'CONTEXTO ESTRATEGICO'!A6</f>
        <v>Fecha de Actualización (AAAA/MM/DD)</v>
      </c>
      <c r="Q6" s="561"/>
      <c r="R6" s="97">
        <f>'CONTEXTO ESTRATEGICO'!B6</f>
        <v>42443</v>
      </c>
    </row>
    <row r="7" spans="1:18" ht="32.25" customHeight="1" x14ac:dyDescent="0.2">
      <c r="A7" s="559" t="str">
        <f>'CONTEXTO ESTRATEGICO'!A8</f>
        <v>MISION</v>
      </c>
      <c r="B7" s="559"/>
      <c r="C7" s="554"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555"/>
      <c r="E7" s="555"/>
      <c r="F7" s="555"/>
      <c r="G7" s="555"/>
      <c r="H7" s="555"/>
      <c r="I7" s="555"/>
      <c r="J7" s="555"/>
      <c r="K7" s="555"/>
      <c r="L7" s="555"/>
      <c r="M7" s="555"/>
      <c r="N7" s="556" t="s">
        <v>212</v>
      </c>
      <c r="O7" s="556"/>
      <c r="P7" s="557" t="s">
        <v>18</v>
      </c>
      <c r="Q7" s="557" t="s">
        <v>150</v>
      </c>
      <c r="R7" s="557" t="s">
        <v>143</v>
      </c>
    </row>
    <row r="8" spans="1:18" ht="31.5" customHeight="1" x14ac:dyDescent="0.2">
      <c r="A8" s="6" t="s">
        <v>26</v>
      </c>
      <c r="B8" s="11" t="s">
        <v>1</v>
      </c>
      <c r="C8" s="11" t="s">
        <v>147</v>
      </c>
      <c r="D8" s="11" t="s">
        <v>148</v>
      </c>
      <c r="E8" s="553" t="s">
        <v>312</v>
      </c>
      <c r="F8" s="553"/>
      <c r="G8" s="553" t="s">
        <v>314</v>
      </c>
      <c r="H8" s="553"/>
      <c r="I8" s="229" t="s">
        <v>313</v>
      </c>
      <c r="J8" s="53" t="s">
        <v>25</v>
      </c>
      <c r="K8" s="53" t="s">
        <v>17</v>
      </c>
      <c r="L8" s="189" t="s">
        <v>296</v>
      </c>
      <c r="M8" s="72" t="s">
        <v>74</v>
      </c>
      <c r="N8" s="186" t="s">
        <v>18</v>
      </c>
      <c r="O8" s="53" t="s">
        <v>211</v>
      </c>
      <c r="P8" s="558"/>
      <c r="Q8" s="558"/>
      <c r="R8" s="558"/>
    </row>
    <row r="9" spans="1:18" ht="39.75" customHeight="1" x14ac:dyDescent="0.2">
      <c r="A9" s="503" t="str">
        <f>VALORACIÓN!A10</f>
        <v>1G</v>
      </c>
      <c r="B9" s="496" t="str">
        <f>VALORACIÓN!B10</f>
        <v>Relaciones Interinstitucionales. Concentrar labores múltiples en poco personal</v>
      </c>
      <c r="C9" s="527" t="str">
        <f>IF(IDENTIFICACIÓN!B9="","",IDENTIFICACIÓN!B9)</f>
        <v>Gestión de nuevos proyectos de movilidad, convenios y cooperación. Falta de vinculación de personal necesario en la Oficina de Relaciones Internacionales.</v>
      </c>
      <c r="D9" s="527" t="str">
        <f>IF(IDENTIFICACIÓN!F9="","",IDENTIFICACIÓN!F9)</f>
        <v>Bajo rendimiento en la gestión</v>
      </c>
      <c r="E9" s="537">
        <f>ANALISIS!D11</f>
        <v>3</v>
      </c>
      <c r="F9" s="538" t="str">
        <f>ANALISIS!E11</f>
        <v>POSIBLE</v>
      </c>
      <c r="G9" s="537">
        <f>ANALISIS!G11</f>
        <v>3</v>
      </c>
      <c r="H9" s="538" t="str">
        <f>ANALISIS!H11</f>
        <v>MODERADO</v>
      </c>
      <c r="I9" s="552" t="str">
        <f>ANALISIS!J11</f>
        <v>ALTA 3:3</v>
      </c>
      <c r="J9" s="20">
        <f>VALORACIÓN!C10</f>
        <v>1</v>
      </c>
      <c r="K9" s="230" t="str">
        <f>IF(VALORACIÓN!F10=0,"",VALORACIÓN!F10)</f>
        <v/>
      </c>
      <c r="L9" s="550" t="str">
        <f>VALORACIÓN!AA10</f>
        <v/>
      </c>
      <c r="M9" s="551" t="str">
        <f>VALORACIÓN!AG10</f>
        <v>ALTA 3:3</v>
      </c>
      <c r="N9" s="527" t="str">
        <f>VALORACIÓN!AG11</f>
        <v>- Evitar Posibilidad de Ocurrencia- Reducir el Riesgo- Compartir o Transferir el Riesgo</v>
      </c>
      <c r="O9" s="528" t="str">
        <f>IF(B9="","",IF(VALORACIÓN!BA10="","Aceptar el Riesgo sin necesidad de tomar otras medidas de control diferentes a las que se poseen, considerando que estos son efectivos con ponderacion de 100, y la evaluación final del riesgos es Baja 1:1",VALORACIÓN!BA10))</f>
        <v>- Tomar Acciones Preventivas y Correctivas</v>
      </c>
      <c r="P9" s="393" t="s">
        <v>399</v>
      </c>
      <c r="Q9" s="393" t="s">
        <v>779</v>
      </c>
      <c r="R9" s="394" t="s">
        <v>70</v>
      </c>
    </row>
    <row r="10" spans="1:18" ht="39.75" customHeight="1" x14ac:dyDescent="0.2">
      <c r="A10" s="503"/>
      <c r="B10" s="496"/>
      <c r="C10" s="527"/>
      <c r="D10" s="527"/>
      <c r="E10" s="537"/>
      <c r="F10" s="539"/>
      <c r="G10" s="537"/>
      <c r="H10" s="539"/>
      <c r="I10" s="548"/>
      <c r="J10" s="20">
        <f>VALORACIÓN!C11</f>
        <v>2</v>
      </c>
      <c r="K10" s="230" t="str">
        <f>IF(VALORACIÓN!F11=0,"",VALORACIÓN!F11)</f>
        <v/>
      </c>
      <c r="L10" s="550"/>
      <c r="M10" s="525"/>
      <c r="N10" s="527"/>
      <c r="O10" s="529"/>
      <c r="P10" s="393"/>
      <c r="Q10" s="393"/>
      <c r="R10" s="394"/>
    </row>
    <row r="11" spans="1:18" ht="39.75" customHeight="1" x14ac:dyDescent="0.2">
      <c r="A11" s="503"/>
      <c r="B11" s="496"/>
      <c r="C11" s="527"/>
      <c r="D11" s="527"/>
      <c r="E11" s="537"/>
      <c r="F11" s="540"/>
      <c r="G11" s="537"/>
      <c r="H11" s="540"/>
      <c r="I11" s="549"/>
      <c r="J11" s="20">
        <f>VALORACIÓN!C12</f>
        <v>3</v>
      </c>
      <c r="K11" s="230" t="str">
        <f>IF(VALORACIÓN!F12=0,"",VALORACIÓN!F12)</f>
        <v/>
      </c>
      <c r="L11" s="550"/>
      <c r="M11" s="526"/>
      <c r="N11" s="527"/>
      <c r="O11" s="530"/>
      <c r="P11" s="393"/>
      <c r="Q11" s="393"/>
      <c r="R11" s="394"/>
    </row>
    <row r="12" spans="1:18" ht="39.75" customHeight="1" x14ac:dyDescent="0.2">
      <c r="A12" s="503" t="str">
        <f>VALORACIÓN!A13</f>
        <v>2G</v>
      </c>
      <c r="B12" s="496" t="str">
        <f>VALORACIÓN!B13</f>
        <v xml:space="preserve">Relaciones Interinstitucionales. Escaso registro y control de la movilidad internacional entrante y saliente. </v>
      </c>
      <c r="C12" s="527" t="str">
        <f>IF(IDENTIFICACIÓN!B10="","",IDENTIFICACIÓN!B10)</f>
        <v>Desconocimiento de los usuarios en relacion al procedimiendo de registro de la movilidad internacional entrante y saliente</v>
      </c>
      <c r="D12" s="527" t="str">
        <f>IF(IDENTIFICACIÓN!F10="","",IDENTIFICACIÓN!F10)</f>
        <v>Bajo resultado en los indicadores. Percepciónes poco favorables en distintos escenarios (Visita de PARES, Evaluadores del MEN, SNIES y SUE). Bajo registro de movilidad internacional. Disminución de los recursos aportados por falta de información real.</v>
      </c>
      <c r="E12" s="537">
        <f>ANALISIS!D12</f>
        <v>3</v>
      </c>
      <c r="F12" s="538" t="str">
        <f>ANALISIS!E12</f>
        <v>POSIBLE</v>
      </c>
      <c r="G12" s="537">
        <f>ANALISIS!G12</f>
        <v>4</v>
      </c>
      <c r="H12" s="538" t="str">
        <f>ANALISIS!H12</f>
        <v>MAYOR</v>
      </c>
      <c r="I12" s="552" t="str">
        <f>ANALISIS!J12</f>
        <v>EXTREMA 3:4</v>
      </c>
      <c r="J12" s="20">
        <f>VALORACIÓN!C13</f>
        <v>1</v>
      </c>
      <c r="K12" s="230" t="str">
        <f>IF(VALORACIÓN!F13=0,"",VALORACIÓN!F13)</f>
        <v>Guia de tramites migratorios</v>
      </c>
      <c r="L12" s="550">
        <f>VALORACIÓN!AA13</f>
        <v>95</v>
      </c>
      <c r="M12" s="551" t="str">
        <f>VALORACIÓN!AG13</f>
        <v>ALTA 1:4</v>
      </c>
      <c r="N12" s="527" t="str">
        <f>VALORACIÓN!AG14</f>
        <v>- Reducir el Riesgo- Compartir o Transferir el Riesgo</v>
      </c>
      <c r="O12" s="528" t="str">
        <f>IF(B12="","",IF(VALORACIÓN!BA13="","Aceptar el Riesgo sin necesidad de tomar otras medidas de control diferentes a las que se poseen, considerando que estos son efectivos con ponderacion de 100, y la evaluación final del riesgos es Baja 1:1",VALORACIÓN!BA13))</f>
        <v>- Tomar Acciones Correctivas</v>
      </c>
      <c r="P12" s="393" t="s">
        <v>403</v>
      </c>
      <c r="Q12" s="393" t="s">
        <v>780</v>
      </c>
      <c r="R12" s="394" t="s">
        <v>70</v>
      </c>
    </row>
    <row r="13" spans="1:18" ht="39.75" customHeight="1" x14ac:dyDescent="0.2">
      <c r="A13" s="503"/>
      <c r="B13" s="496"/>
      <c r="C13" s="527"/>
      <c r="D13" s="527"/>
      <c r="E13" s="537"/>
      <c r="F13" s="539"/>
      <c r="G13" s="537"/>
      <c r="H13" s="539"/>
      <c r="I13" s="548"/>
      <c r="J13" s="20">
        <f>VALORACIÓN!C14</f>
        <v>2</v>
      </c>
      <c r="K13" s="230" t="str">
        <f>IF(VALORACIÓN!F14=0,"",VALORACIÓN!F14)</f>
        <v>Difusión de procedimientos  para el registro de la movilidad Internacional</v>
      </c>
      <c r="L13" s="550"/>
      <c r="M13" s="525"/>
      <c r="N13" s="527"/>
      <c r="O13" s="529"/>
      <c r="P13" s="393" t="s">
        <v>403</v>
      </c>
      <c r="Q13" s="393" t="s">
        <v>781</v>
      </c>
      <c r="R13" s="394" t="s">
        <v>70</v>
      </c>
    </row>
    <row r="14" spans="1:18" ht="39.75" customHeight="1" x14ac:dyDescent="0.2">
      <c r="A14" s="503"/>
      <c r="B14" s="496"/>
      <c r="C14" s="527"/>
      <c r="D14" s="527"/>
      <c r="E14" s="537"/>
      <c r="F14" s="540"/>
      <c r="G14" s="537"/>
      <c r="H14" s="540"/>
      <c r="I14" s="549"/>
      <c r="J14" s="20">
        <f>VALORACIÓN!C15</f>
        <v>3</v>
      </c>
      <c r="K14" s="230" t="str">
        <f>IF(VALORACIÓN!F15=0,"",VALORACIÓN!F15)</f>
        <v>Formatos para el registro de la movilidad.  RI - F01 y RI - F02</v>
      </c>
      <c r="L14" s="550"/>
      <c r="M14" s="526"/>
      <c r="N14" s="527"/>
      <c r="O14" s="530"/>
      <c r="P14" s="393" t="s">
        <v>403</v>
      </c>
      <c r="Q14" s="393" t="s">
        <v>782</v>
      </c>
      <c r="R14" s="394" t="s">
        <v>70</v>
      </c>
    </row>
    <row r="15" spans="1:18" ht="39.75" customHeight="1" x14ac:dyDescent="0.2">
      <c r="A15" s="503" t="str">
        <f>VALORACIÓN!A16</f>
        <v>3G</v>
      </c>
      <c r="B15" s="496" t="str">
        <f>VALORACIÓN!B16</f>
        <v>Relaciones Interinstitucionales. Gestionar la movilidad internacional sin requisitos legales</v>
      </c>
      <c r="C15" s="527" t="str">
        <f>IF(IDENTIFICACIÓN!B11="","",IDENTIFICACIÓN!B11)</f>
        <v>Desconocimiento del  personal de la Oficina de Relaciones  internacionales y la comunidad universitaria de los procedimietos y requisitos nacionales e internacionales legales y migratorios</v>
      </c>
      <c r="D15" s="527" t="str">
        <f>IF(IDENTIFICACIÓN!F11="","",IDENTIFICACIÓN!F11)</f>
        <v>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v>
      </c>
      <c r="E15" s="537">
        <f>ANALISIS!D13</f>
        <v>2</v>
      </c>
      <c r="F15" s="538" t="str">
        <f>ANALISIS!E13</f>
        <v>IMPROBABLE</v>
      </c>
      <c r="G15" s="537">
        <f>ANALISIS!G13</f>
        <v>4</v>
      </c>
      <c r="H15" s="538" t="str">
        <f>ANALISIS!H13</f>
        <v>MAYOR</v>
      </c>
      <c r="I15" s="552" t="str">
        <f>ANALISIS!J13</f>
        <v>ALTA 2:4</v>
      </c>
      <c r="J15" s="20">
        <f>VALORACIÓN!C16</f>
        <v>1</v>
      </c>
      <c r="K15" s="230" t="str">
        <f>IF(VALORACIÓN!F16=0,"",VALORACIÓN!F16)</f>
        <v>Guia de tramites migratorios</v>
      </c>
      <c r="L15" s="550">
        <f>VALORACIÓN!AA16</f>
        <v>95</v>
      </c>
      <c r="M15" s="551" t="str">
        <f>VALORACIÓN!AG16</f>
        <v>ALTA 1:4</v>
      </c>
      <c r="N15" s="527" t="str">
        <f>VALORACIÓN!AG17</f>
        <v>- Reducir el Riesgo- Compartir o Transferir el Riesgo</v>
      </c>
      <c r="O15" s="528" t="str">
        <f>IF(B15="","",IF(VALORACIÓN!BA16="","Aceptar el Riesgo sin necesidad de tomar otras medidas de control diferentes a las que se poseen, considerando que estos son efectivos con ponderacion de 100, y la evaluación final del riesgos es Baja 1:1",VALORACIÓN!BA16))</f>
        <v>- Tomar Acciones Correctivas</v>
      </c>
      <c r="P15" s="393" t="s">
        <v>403</v>
      </c>
      <c r="Q15" s="393" t="s">
        <v>782</v>
      </c>
      <c r="R15" s="394" t="s">
        <v>70</v>
      </c>
    </row>
    <row r="16" spans="1:18" ht="39.75" customHeight="1" x14ac:dyDescent="0.2">
      <c r="A16" s="503"/>
      <c r="B16" s="496"/>
      <c r="C16" s="527"/>
      <c r="D16" s="527"/>
      <c r="E16" s="537"/>
      <c r="F16" s="539"/>
      <c r="G16" s="537"/>
      <c r="H16" s="539"/>
      <c r="I16" s="548"/>
      <c r="J16" s="20">
        <f>VALORACIÓN!C17</f>
        <v>2</v>
      </c>
      <c r="K16" s="230" t="str">
        <f>IF(VALORACIÓN!F17=0,"",VALORACIÓN!F17)</f>
        <v/>
      </c>
      <c r="L16" s="550"/>
      <c r="M16" s="525"/>
      <c r="N16" s="527"/>
      <c r="O16" s="529"/>
      <c r="P16" s="393"/>
      <c r="Q16" s="393"/>
      <c r="R16" s="394"/>
    </row>
    <row r="17" spans="1:18" ht="39.75" customHeight="1" x14ac:dyDescent="0.2">
      <c r="A17" s="503"/>
      <c r="B17" s="496"/>
      <c r="C17" s="527"/>
      <c r="D17" s="527"/>
      <c r="E17" s="537"/>
      <c r="F17" s="540"/>
      <c r="G17" s="537"/>
      <c r="H17" s="540"/>
      <c r="I17" s="549"/>
      <c r="J17" s="20">
        <f>VALORACIÓN!C18</f>
        <v>3</v>
      </c>
      <c r="K17" s="230" t="str">
        <f>IF(VALORACIÓN!F18=0,"",VALORACIÓN!F18)</f>
        <v/>
      </c>
      <c r="L17" s="550"/>
      <c r="M17" s="526"/>
      <c r="N17" s="527"/>
      <c r="O17" s="530"/>
      <c r="P17" s="393"/>
      <c r="Q17" s="393"/>
      <c r="R17" s="394"/>
    </row>
    <row r="18" spans="1:18" ht="39.75" customHeight="1" x14ac:dyDescent="0.2">
      <c r="A18" s="503" t="str">
        <f>VALORACIÓN!A19</f>
        <v>4G</v>
      </c>
      <c r="B18" s="496" t="str">
        <f>VALORACIÓN!B19</f>
        <v>Acreditación. Insuficiente Implementación de la Política Institucional de Autoevaluación, Acreditación y Aseguramiento de la calidad</v>
      </c>
      <c r="C18" s="527" t="str">
        <f>IF(IDENTIFICACIÓN!B12="","",IDENTIFICACIÓN!B12)</f>
        <v>1. Poco conocimiento y difusión de la política de autoevaluación y del funcionamiento de la misma</v>
      </c>
      <c r="D18" s="527" t="str">
        <f>IF(IDENTIFICACIÓN!F12="","",IDENTIFICACIÓN!F12)</f>
        <v xml:space="preserve">1. Atraso en la dinámica de fortalecimiento de la cultura de autoevaluación, acreditación y mejoramiento continuo en los programas académicos.
2. Bajo desarrollo en los procesos académicos
3. Incumplimiento de las metas del plan de gobierno. </v>
      </c>
      <c r="E18" s="537">
        <f>ANALISIS!D14</f>
        <v>3</v>
      </c>
      <c r="F18" s="538" t="str">
        <f>ANALISIS!E14</f>
        <v>POSIBLE</v>
      </c>
      <c r="G18" s="537">
        <f>ANALISIS!G14</f>
        <v>4</v>
      </c>
      <c r="H18" s="538" t="str">
        <f>ANALISIS!H14</f>
        <v>MAYOR</v>
      </c>
      <c r="I18" s="552" t="str">
        <f>ANALISIS!J14</f>
        <v>EXTREMA 3:4</v>
      </c>
      <c r="J18" s="20">
        <f>VALORACIÓN!C19</f>
        <v>1</v>
      </c>
      <c r="K18" s="230" t="str">
        <f>IF(VALORACIÓN!F19=0,"",VALORACIÓN!F19)</f>
        <v>Acompañamiento de la OAC mediante asesorías y revisión permanente durante la ejecución del proceso</v>
      </c>
      <c r="L18" s="550">
        <f>VALORACIÓN!AA19</f>
        <v>95</v>
      </c>
      <c r="M18" s="551" t="str">
        <f>VALORACIÓN!AG19</f>
        <v>ALTA 1:4</v>
      </c>
      <c r="N18" s="527" t="str">
        <f>VALORACIÓN!AG20</f>
        <v>- Reducir el Riesgo- Compartir o Transferir el Riesgo</v>
      </c>
      <c r="O18" s="528" t="str">
        <f>IF(B18="","",IF(VALORACIÓN!BA19="","Aceptar el Riesgo sin necesidad de tomar otras medidas de control diferentes a las que se poseen, considerando que estos son efectivos con ponderacion de 100, y la evaluación final del riesgos es Baja 1:1",VALORACIÓN!BA19))</f>
        <v>- Tomar Acciones Correctivas</v>
      </c>
      <c r="P18" s="395" t="s">
        <v>404</v>
      </c>
      <c r="Q18" s="395" t="s">
        <v>783</v>
      </c>
      <c r="R18" s="396" t="s">
        <v>70</v>
      </c>
    </row>
    <row r="19" spans="1:18" ht="39.75" customHeight="1" x14ac:dyDescent="0.2">
      <c r="A19" s="503"/>
      <c r="B19" s="496"/>
      <c r="C19" s="527"/>
      <c r="D19" s="527"/>
      <c r="E19" s="537"/>
      <c r="F19" s="539"/>
      <c r="G19" s="537"/>
      <c r="H19" s="539"/>
      <c r="I19" s="548"/>
      <c r="J19" s="20">
        <f>VALORACIÓN!C20</f>
        <v>2</v>
      </c>
      <c r="K19" s="230" t="str">
        <f>IF(VALORACIÓN!F20=0,"",VALORACIÓN!F20)</f>
        <v>Sensibilización a través de talleres, seminarios, reuniones  y comunicaciones afines al riesgo</v>
      </c>
      <c r="L19" s="550"/>
      <c r="M19" s="525"/>
      <c r="N19" s="527"/>
      <c r="O19" s="529"/>
      <c r="P19" s="395"/>
      <c r="Q19" s="395"/>
      <c r="R19" s="396"/>
    </row>
    <row r="20" spans="1:18" ht="39.75" customHeight="1" x14ac:dyDescent="0.2">
      <c r="A20" s="503"/>
      <c r="B20" s="496"/>
      <c r="C20" s="527"/>
      <c r="D20" s="527"/>
      <c r="E20" s="537"/>
      <c r="F20" s="540"/>
      <c r="G20" s="537"/>
      <c r="H20" s="540"/>
      <c r="I20" s="549"/>
      <c r="J20" s="20">
        <f>VALORACIÓN!C21</f>
        <v>3</v>
      </c>
      <c r="K20" s="230" t="str">
        <f>IF(VALORACIÓN!F21=0,"",VALORACIÓN!F21)</f>
        <v>Procedimientos, formatos y guías</v>
      </c>
      <c r="L20" s="550"/>
      <c r="M20" s="526"/>
      <c r="N20" s="527"/>
      <c r="O20" s="530"/>
      <c r="P20" s="395"/>
      <c r="Q20" s="395"/>
      <c r="R20" s="396"/>
    </row>
    <row r="21" spans="1:18" ht="39.75" customHeight="1" x14ac:dyDescent="0.2">
      <c r="A21" s="503" t="str">
        <f>VALORACIÓN!A22</f>
        <v>5G</v>
      </c>
      <c r="B21" s="496" t="str">
        <f>VALORACIÓN!B22</f>
        <v xml:space="preserve">Acreditación. Deficiencia en la calidad técnica de los informes </v>
      </c>
      <c r="C21" s="527" t="str">
        <f>IF(IDENTIFICACIÓN!B13="","",IDENTIFICACIÓN!B13)</f>
        <v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v>
      </c>
      <c r="D21" s="527" t="str">
        <f>IF(IDENTIFICACIÓN!F13="","",IDENTIFICACIÓN!F13)</f>
        <v>1. Informes que no corresponden con las realidades del programa
2. Pérdida de credibilidad en los procesos de autoevaluación y mejora continua
3. Requerimiento de información complentaria (Auto)</v>
      </c>
      <c r="E21" s="537">
        <f>ANALISIS!D15</f>
        <v>1</v>
      </c>
      <c r="F21" s="538" t="str">
        <f>ANALISIS!E15</f>
        <v>RARO</v>
      </c>
      <c r="G21" s="537">
        <f>ANALISIS!G15</f>
        <v>4</v>
      </c>
      <c r="H21" s="538" t="str">
        <f>ANALISIS!H15</f>
        <v>MAYOR</v>
      </c>
      <c r="I21" s="552" t="str">
        <f>ANALISIS!J15</f>
        <v>ALTA 1:4</v>
      </c>
      <c r="J21" s="20">
        <f>VALORACIÓN!C22</f>
        <v>1</v>
      </c>
      <c r="K21" s="230" t="str">
        <f>IF(VALORACIÓN!F22=0,"",VALORACIÓN!F22)</f>
        <v>Procedimientos, formatos y guías</v>
      </c>
      <c r="L21" s="550">
        <f>VALORACIÓN!AA22</f>
        <v>95</v>
      </c>
      <c r="M21" s="551" t="str">
        <f>VALORACIÓN!AG22</f>
        <v>ALTA 1:4</v>
      </c>
      <c r="N21" s="527" t="str">
        <f>VALORACIÓN!AG23</f>
        <v>- Reducir el Riesgo- Compartir o Transferir el Riesgo</v>
      </c>
      <c r="O21" s="528" t="str">
        <f>IF(B21="","",IF(VALORACIÓN!BA22="","Aceptar el Riesgo sin necesidad de tomar otras medidas de control diferentes a las que se poseen, considerando que estos son efectivos con ponderacion de 100, y la evaluación final del riesgos es Baja 1:1",VALORACIÓN!BA22))</f>
        <v>- Tomar Acciones Correctivas</v>
      </c>
      <c r="P21" s="395" t="s">
        <v>404</v>
      </c>
      <c r="Q21" s="395" t="s">
        <v>783</v>
      </c>
      <c r="R21" s="396" t="s">
        <v>70</v>
      </c>
    </row>
    <row r="22" spans="1:18" ht="39.75" customHeight="1" x14ac:dyDescent="0.2">
      <c r="A22" s="503"/>
      <c r="B22" s="496"/>
      <c r="C22" s="527"/>
      <c r="D22" s="527"/>
      <c r="E22" s="537"/>
      <c r="F22" s="539"/>
      <c r="G22" s="537"/>
      <c r="H22" s="539"/>
      <c r="I22" s="548"/>
      <c r="J22" s="20">
        <f>VALORACIÓN!C23</f>
        <v>2</v>
      </c>
      <c r="K22" s="230" t="str">
        <f>IF(VALORACIÓN!F23=0,"",VALORACIÓN!F23)</f>
        <v>Sensibilización a través de talleres, seminarios, reuniones  y comunicaciones afines al riesgo</v>
      </c>
      <c r="L22" s="550"/>
      <c r="M22" s="525"/>
      <c r="N22" s="527"/>
      <c r="O22" s="529"/>
      <c r="P22" s="395"/>
      <c r="Q22" s="395"/>
      <c r="R22" s="396"/>
    </row>
    <row r="23" spans="1:18" ht="39.75" customHeight="1" x14ac:dyDescent="0.2">
      <c r="A23" s="503"/>
      <c r="B23" s="496"/>
      <c r="C23" s="527"/>
      <c r="D23" s="527"/>
      <c r="E23" s="537"/>
      <c r="F23" s="540"/>
      <c r="G23" s="537"/>
      <c r="H23" s="540"/>
      <c r="I23" s="549"/>
      <c r="J23" s="20">
        <f>VALORACIÓN!C24</f>
        <v>3</v>
      </c>
      <c r="K23" s="230" t="str">
        <f>IF(VALORACIÓN!F24=0,"",VALORACIÓN!F24)</f>
        <v>Lectura y valoración por parte de lectores o pares colaborativos internos y/o externos</v>
      </c>
      <c r="L23" s="550"/>
      <c r="M23" s="526"/>
      <c r="N23" s="527"/>
      <c r="O23" s="530"/>
      <c r="P23" s="395"/>
      <c r="Q23" s="395"/>
      <c r="R23" s="396"/>
    </row>
    <row r="24" spans="1:18" ht="39.75" customHeight="1" x14ac:dyDescent="0.2">
      <c r="A24" s="503" t="str">
        <f>VALORACIÓN!A25</f>
        <v>6G</v>
      </c>
      <c r="B24" s="496" t="str">
        <f>VALORACIÓN!B25</f>
        <v>Acreditación. Negación de la acreditación o de la renovación de registro calificado</v>
      </c>
      <c r="C24" s="527" t="str">
        <f>IF(IDENTIFICACIÓN!B14="","",IDENTIFICACIÓN!B14)</f>
        <v>1. Pocas competencias en la administración del trámite de registro calificado o acreditación, de algunos directivos para el cumplimiento de procedimientos y lineamientos 
2. Baja calidad de los programas académicos</v>
      </c>
      <c r="D24" s="527" t="str">
        <f>IF(IDENTIFICACIÓN!F14="","",IDENTIFICACIÓN!F14)</f>
        <v>1. Desprestigio tanto de la Institución como del programa académico
2. Baja posibilidad de continuar con el proceso de Acreditación Institucional</v>
      </c>
      <c r="E24" s="537">
        <f>ANALISIS!D16</f>
        <v>3</v>
      </c>
      <c r="F24" s="538" t="str">
        <f>ANALISIS!E16</f>
        <v>POSIBLE</v>
      </c>
      <c r="G24" s="537">
        <f>ANALISIS!G16</f>
        <v>4</v>
      </c>
      <c r="H24" s="538" t="str">
        <f>ANALISIS!H16</f>
        <v>MAYOR</v>
      </c>
      <c r="I24" s="552" t="str">
        <f>ANALISIS!J16</f>
        <v>EXTREMA 3:4</v>
      </c>
      <c r="J24" s="20">
        <f>VALORACIÓN!C25</f>
        <v>1</v>
      </c>
      <c r="K24" s="230" t="str">
        <f>IF(VALORACIÓN!F25=0,"",VALORACIÓN!F25)</f>
        <v>Se han implementado, procedimientos y formatos</v>
      </c>
      <c r="L24" s="550">
        <f>VALORACIÓN!AA25</f>
        <v>95</v>
      </c>
      <c r="M24" s="551" t="str">
        <f>VALORACIÓN!AG25</f>
        <v>ALTA 1:4</v>
      </c>
      <c r="N24" s="527" t="str">
        <f>VALORACIÓN!AG26</f>
        <v>- Reducir el Riesgo- Compartir o Transferir el Riesgo</v>
      </c>
      <c r="O24" s="528" t="str">
        <f>IF(B24="","",IF(VALORACIÓN!BA25="","Aceptar el Riesgo sin necesidad de tomar otras medidas de control diferentes a las que se poseen, considerando que estos son efectivos con ponderacion de 100, y la evaluación final del riesgos es Baja 1:1",VALORACIÓN!BA25))</f>
        <v>- Tomar Acciones Correctivas</v>
      </c>
      <c r="P24" s="395" t="s">
        <v>400</v>
      </c>
      <c r="Q24" s="395" t="s">
        <v>784</v>
      </c>
      <c r="R24" s="396" t="s">
        <v>97</v>
      </c>
    </row>
    <row r="25" spans="1:18" ht="39.75" customHeight="1" x14ac:dyDescent="0.2">
      <c r="A25" s="503"/>
      <c r="B25" s="496"/>
      <c r="C25" s="527"/>
      <c r="D25" s="527"/>
      <c r="E25" s="537"/>
      <c r="F25" s="539"/>
      <c r="G25" s="537"/>
      <c r="H25" s="539"/>
      <c r="I25" s="548"/>
      <c r="J25" s="20">
        <f>VALORACIÓN!C26</f>
        <v>2</v>
      </c>
      <c r="K25" s="230" t="str">
        <f>IF(VALORACIÓN!F26=0,"",VALORACIÓN!F26)</f>
        <v>Lectura y valoración técnica y/o disciplinar de los informes</v>
      </c>
      <c r="L25" s="550"/>
      <c r="M25" s="525"/>
      <c r="N25" s="527"/>
      <c r="O25" s="529"/>
      <c r="P25" s="395"/>
      <c r="Q25" s="395"/>
      <c r="R25" s="396"/>
    </row>
    <row r="26" spans="1:18" ht="39.75" customHeight="1" x14ac:dyDescent="0.2">
      <c r="A26" s="503"/>
      <c r="B26" s="496"/>
      <c r="C26" s="527"/>
      <c r="D26" s="527"/>
      <c r="E26" s="537"/>
      <c r="F26" s="540"/>
      <c r="G26" s="537"/>
      <c r="H26" s="540"/>
      <c r="I26" s="549"/>
      <c r="J26" s="20">
        <f>VALORACIÓN!C27</f>
        <v>3</v>
      </c>
      <c r="K26" s="230" t="str">
        <f>IF(VALORACIÓN!F27=0,"",VALORACIÓN!F27)</f>
        <v>Contextualización y aplicación de los lineamientos establecidos por el MEN y el CNA</v>
      </c>
      <c r="L26" s="550"/>
      <c r="M26" s="526"/>
      <c r="N26" s="527"/>
      <c r="O26" s="530"/>
      <c r="P26" s="395"/>
      <c r="Q26" s="395"/>
      <c r="R26" s="396"/>
    </row>
    <row r="27" spans="1:18" ht="39.75" customHeight="1" x14ac:dyDescent="0.2">
      <c r="A27" s="503" t="str">
        <f>VALORACIÓN!A28</f>
        <v>7G</v>
      </c>
      <c r="B27" s="496" t="str">
        <f>VALORACIÓN!B28</f>
        <v>Acreditación. Incumplimiento en algunas actividades establecidas en el plan de trabajo</v>
      </c>
      <c r="C27" s="527" t="str">
        <f>IF(IDENTIFICACIÓN!B15="","",IDENTIFICACIÓN!B15)</f>
        <v>*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v>
      </c>
      <c r="D27" s="527" t="str">
        <f>IF(IDENTIFICACIÓN!F15="","",IDENTIFICACIÓN!F15)</f>
        <v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v>
      </c>
      <c r="E27" s="537">
        <f>ANALISIS!D17</f>
        <v>5</v>
      </c>
      <c r="F27" s="538" t="str">
        <f>ANALISIS!E17</f>
        <v>CASI CERTEZA</v>
      </c>
      <c r="G27" s="537">
        <f>ANALISIS!G17</f>
        <v>3</v>
      </c>
      <c r="H27" s="538" t="str">
        <f>ANALISIS!H17</f>
        <v>MODERADO</v>
      </c>
      <c r="I27" s="552" t="str">
        <f>ANALISIS!J17</f>
        <v>EXTREMA 5:3</v>
      </c>
      <c r="J27" s="20">
        <f>VALORACIÓN!C28</f>
        <v>1</v>
      </c>
      <c r="K27" s="230" t="str">
        <f>IF(VALORACIÓN!F28=0,"",VALORACIÓN!F28)</f>
        <v>Asignación de rubro para remodelación y dotación de elementos y equipos de oficina</v>
      </c>
      <c r="L27" s="550">
        <f>VALORACIÓN!AA28</f>
        <v>80</v>
      </c>
      <c r="M27" s="551" t="str">
        <f>VALORACIÓN!AG28</f>
        <v>ALTA 5:1</v>
      </c>
      <c r="N27" s="527" t="str">
        <f>VALORACIÓN!AG29</f>
        <v>- Evitar Posibilidad de Ocurrencia- Reducir el Riesgo- Compartir o Transferir el riesgo</v>
      </c>
      <c r="O27" s="528" t="str">
        <f>IF(B27="","",IF(VALORACIÓN!BA28="","Aceptar el Riesgo sin necesidad de tomar otras medidas de control diferentes a las que se poseen, considerando que estos son efectivos con ponderacion de 100, y la evaluación final del riesgos es Baja 1:1",VALORACIÓN!BA28))</f>
        <v>- Establecer periodos de seguimiento adecuados (de) el(los) control(es) Efectivo(s) - Tomar Acciones Preventivas</v>
      </c>
      <c r="P27" s="395" t="s">
        <v>400</v>
      </c>
      <c r="Q27" s="395" t="s">
        <v>784</v>
      </c>
      <c r="R27" s="396" t="s">
        <v>97</v>
      </c>
    </row>
    <row r="28" spans="1:18" ht="39.75" customHeight="1" x14ac:dyDescent="0.2">
      <c r="A28" s="503"/>
      <c r="B28" s="496"/>
      <c r="C28" s="527"/>
      <c r="D28" s="527"/>
      <c r="E28" s="537"/>
      <c r="F28" s="539"/>
      <c r="G28" s="537"/>
      <c r="H28" s="539"/>
      <c r="I28" s="548"/>
      <c r="J28" s="20">
        <f>VALORACIÓN!C29</f>
        <v>2</v>
      </c>
      <c r="K28" s="230" t="str">
        <f>IF(VALORACIÓN!F29=0,"",VALORACIÓN!F29)</f>
        <v>Reubicación de espacios y fortalecimiento del # de funcionarios y contratistas adscritos a la OAC</v>
      </c>
      <c r="L28" s="550"/>
      <c r="M28" s="525"/>
      <c r="N28" s="527"/>
      <c r="O28" s="529"/>
      <c r="P28" s="395"/>
      <c r="Q28" s="395"/>
      <c r="R28" s="396"/>
    </row>
    <row r="29" spans="1:18" ht="39.75" customHeight="1" x14ac:dyDescent="0.2">
      <c r="A29" s="503"/>
      <c r="B29" s="496"/>
      <c r="C29" s="527"/>
      <c r="D29" s="527"/>
      <c r="E29" s="537"/>
      <c r="F29" s="540"/>
      <c r="G29" s="537"/>
      <c r="H29" s="540"/>
      <c r="I29" s="549"/>
      <c r="J29" s="20">
        <f>VALORACIÓN!C30</f>
        <v>3</v>
      </c>
      <c r="K29" s="230" t="str">
        <f>IF(VALORACIÓN!F30=0,"",VALORACIÓN!F30)</f>
        <v/>
      </c>
      <c r="L29" s="550"/>
      <c r="M29" s="526"/>
      <c r="N29" s="527"/>
      <c r="O29" s="530"/>
      <c r="P29" s="395"/>
      <c r="Q29" s="395"/>
      <c r="R29" s="396"/>
    </row>
    <row r="30" spans="1:18" ht="39.75" customHeight="1" x14ac:dyDescent="0.2">
      <c r="A30" s="503" t="str">
        <f>VALORACIÓN!A31</f>
        <v>8G</v>
      </c>
      <c r="B30" s="496" t="str">
        <f>VALORACIÓN!B31</f>
        <v>Acreditación. Retraso en el otorgamiento o renovacion del registro calificado</v>
      </c>
      <c r="C30" s="527" t="str">
        <f>IF(IDENTIFICACIÓN!B16="","",IDENTIFICACIÓN!B16)</f>
        <v>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v>
      </c>
      <c r="D30" s="527" t="str">
        <f>IF(IDENTIFICACIÓN!F16="","",IDENTIFICACIÓN!F16)</f>
        <v>1. Suspensión de la oferta del programa por vencimiento de registro sin que se haya producido la respuesta del MEN.
2. Impacto en los indicadores de la Institución</v>
      </c>
      <c r="E30" s="537">
        <f>ANALISIS!D18</f>
        <v>4</v>
      </c>
      <c r="F30" s="538" t="str">
        <f>ANALISIS!E18</f>
        <v>PROBABLE</v>
      </c>
      <c r="G30" s="537">
        <f>ANALISIS!G18</f>
        <v>4</v>
      </c>
      <c r="H30" s="538" t="str">
        <f>ANALISIS!H18</f>
        <v>MAYOR</v>
      </c>
      <c r="I30" s="552" t="str">
        <f>ANALISIS!J18</f>
        <v>EXTREMA 4:4</v>
      </c>
      <c r="J30" s="20">
        <f>VALORACIÓN!C31</f>
        <v>1</v>
      </c>
      <c r="K30" s="230" t="str">
        <f>IF(VALORACIÓN!F31=0,"",VALORACIÓN!F31)</f>
        <v>Alerta a la fecha de vencimiento</v>
      </c>
      <c r="L30" s="550">
        <f>VALORACIÓN!AA31</f>
        <v>95</v>
      </c>
      <c r="M30" s="551" t="str">
        <f>VALORACIÓN!AG31</f>
        <v>ALTA 1:4</v>
      </c>
      <c r="N30" s="527" t="str">
        <f>VALORACIÓN!AG32</f>
        <v>- Reducir el Riesgo- Compartir o Transferir el Riesgo</v>
      </c>
      <c r="O30" s="528" t="str">
        <f>IF(B30="","",IF(VALORACIÓN!BA31="","Aceptar el Riesgo sin necesidad de tomar otras medidas de control diferentes a las que se poseen, considerando que estos son efectivos con ponderacion de 100, y la evaluación final del riesgos es Baja 1:1",VALORACIÓN!BA31))</f>
        <v>- Tomar Acciones Correctivas</v>
      </c>
      <c r="P30" s="395" t="s">
        <v>400</v>
      </c>
      <c r="Q30" s="395" t="s">
        <v>784</v>
      </c>
      <c r="R30" s="396" t="s">
        <v>97</v>
      </c>
    </row>
    <row r="31" spans="1:18" ht="39.75" customHeight="1" x14ac:dyDescent="0.2">
      <c r="A31" s="503"/>
      <c r="B31" s="496"/>
      <c r="C31" s="527"/>
      <c r="D31" s="527"/>
      <c r="E31" s="537"/>
      <c r="F31" s="539"/>
      <c r="G31" s="537"/>
      <c r="H31" s="539"/>
      <c r="I31" s="548"/>
      <c r="J31" s="20">
        <f>VALORACIÓN!C32</f>
        <v>2</v>
      </c>
      <c r="K31" s="230" t="str">
        <f>IF(VALORACIÓN!F32=0,"",VALORACIÓN!F32)</f>
        <v>Seguimiento permanente a la respuesta del CNA a través de diversos medios de comunicación</v>
      </c>
      <c r="L31" s="550"/>
      <c r="M31" s="525"/>
      <c r="N31" s="527"/>
      <c r="O31" s="529"/>
      <c r="P31" s="395"/>
      <c r="Q31" s="395"/>
      <c r="R31" s="396"/>
    </row>
    <row r="32" spans="1:18" ht="39.75" customHeight="1" x14ac:dyDescent="0.2">
      <c r="A32" s="503"/>
      <c r="B32" s="496"/>
      <c r="C32" s="527"/>
      <c r="D32" s="527"/>
      <c r="E32" s="537"/>
      <c r="F32" s="540"/>
      <c r="G32" s="537"/>
      <c r="H32" s="540"/>
      <c r="I32" s="549"/>
      <c r="J32" s="20">
        <f>VALORACIÓN!C33</f>
        <v>3</v>
      </c>
      <c r="K32" s="230" t="str">
        <f>IF(VALORACIÓN!F33=0,"",VALORACIÓN!F33)</f>
        <v/>
      </c>
      <c r="L32" s="550"/>
      <c r="M32" s="526"/>
      <c r="N32" s="527"/>
      <c r="O32" s="530"/>
      <c r="P32" s="395"/>
      <c r="Q32" s="395"/>
      <c r="R32" s="396"/>
    </row>
    <row r="33" spans="1:18" ht="39.75" customHeight="1" x14ac:dyDescent="0.2">
      <c r="A33" s="503" t="str">
        <f>VALORACIÓN!A34</f>
        <v>9G</v>
      </c>
      <c r="B33" s="496" t="str">
        <f>VALORACIÓN!B34</f>
        <v>Gestión de la Calidad. La alta dirección no asegura la disponibilidad de los recursos para el mantenimiento y mejora del sistema.</v>
      </c>
      <c r="C33" s="527" t="str">
        <f>IF(IDENTIFICACIÓN!B17="","",IDENTIFICACIÓN!B17)</f>
        <v>Insuficientes mecanismos de control y seguimiento para el aseguramiento de la calidad. 
Desarticulación de planes de mejoramientos de los procesos con el plan de acción institucional.</v>
      </c>
      <c r="D33" s="527" t="str">
        <f>IF(IDENTIFICACIÓN!F17="","",IDENTIFICACIÓN!F17)</f>
        <v>Suspensión o pérdida de los Certificados de la calidad.
Pérdida de la cultura de la gestión de la calidad institucional.</v>
      </c>
      <c r="E33" s="537">
        <f>ANALISIS!D19</f>
        <v>1</v>
      </c>
      <c r="F33" s="538" t="str">
        <f>ANALISIS!E19</f>
        <v>RARO</v>
      </c>
      <c r="G33" s="537">
        <f>ANALISIS!G19</f>
        <v>4</v>
      </c>
      <c r="H33" s="538" t="str">
        <f>ANALISIS!H19</f>
        <v>MAYOR</v>
      </c>
      <c r="I33" s="552" t="str">
        <f>ANALISIS!J19</f>
        <v>ALTA 1:4</v>
      </c>
      <c r="J33" s="20">
        <f>VALORACIÓN!C34</f>
        <v>1</v>
      </c>
      <c r="K33" s="230" t="str">
        <f>IF(VALORACIÓN!F34=0,"",VALORACIÓN!F34)</f>
        <v>Revisiones del Sistema COGUI por la alta dirección.</v>
      </c>
      <c r="L33" s="550">
        <f>VALORACIÓN!AA34</f>
        <v>95</v>
      </c>
      <c r="M33" s="551" t="str">
        <f>VALORACIÓN!AG34</f>
        <v>ALTA 1:4</v>
      </c>
      <c r="N33" s="527" t="str">
        <f>VALORACIÓN!AG35</f>
        <v>- Reducir el Riesgo- Compartir o Transferir el Riesgo</v>
      </c>
      <c r="O33" s="528" t="str">
        <f>IF(B33="","",IF(VALORACIÓN!BA34="","Aceptar el Riesgo sin necesidad de tomar otras medidas de control diferentes a las que se poseen, considerando que estos son efectivos con ponderacion de 100, y la evaluación final del riesgos es Baja 1:1",VALORACIÓN!BA34))</f>
        <v>- Tomar Acciones Correctivas</v>
      </c>
      <c r="P33" s="395" t="s">
        <v>404</v>
      </c>
      <c r="Q33" s="395" t="s">
        <v>785</v>
      </c>
      <c r="R33" s="396" t="s">
        <v>70</v>
      </c>
    </row>
    <row r="34" spans="1:18" ht="39.75" customHeight="1" x14ac:dyDescent="0.2">
      <c r="A34" s="503"/>
      <c r="B34" s="496"/>
      <c r="C34" s="527"/>
      <c r="D34" s="527"/>
      <c r="E34" s="537"/>
      <c r="F34" s="539"/>
      <c r="G34" s="537"/>
      <c r="H34" s="539"/>
      <c r="I34" s="548"/>
      <c r="J34" s="20">
        <f>VALORACIÓN!C35</f>
        <v>2</v>
      </c>
      <c r="K34" s="230" t="str">
        <f>IF(VALORACIÓN!F35=0,"",VALORACIÓN!F35)</f>
        <v>Informar a la alta dirección las necesidades de recursos.</v>
      </c>
      <c r="L34" s="550"/>
      <c r="M34" s="525"/>
      <c r="N34" s="527"/>
      <c r="O34" s="529"/>
      <c r="P34" s="395"/>
      <c r="Q34" s="395"/>
      <c r="R34" s="396"/>
    </row>
    <row r="35" spans="1:18" ht="39.75" customHeight="1" x14ac:dyDescent="0.2">
      <c r="A35" s="503"/>
      <c r="B35" s="496"/>
      <c r="C35" s="527"/>
      <c r="D35" s="527"/>
      <c r="E35" s="537"/>
      <c r="F35" s="540"/>
      <c r="G35" s="537"/>
      <c r="H35" s="540"/>
      <c r="I35" s="549"/>
      <c r="J35" s="20">
        <f>VALORACIÓN!C36</f>
        <v>3</v>
      </c>
      <c r="K35" s="230" t="str">
        <f>IF(VALORACIÓN!F36=0,"",VALORACIÓN!F36)</f>
        <v/>
      </c>
      <c r="L35" s="550"/>
      <c r="M35" s="526"/>
      <c r="N35" s="527"/>
      <c r="O35" s="530"/>
      <c r="P35" s="395"/>
      <c r="Q35" s="395"/>
      <c r="R35" s="396"/>
    </row>
    <row r="36" spans="1:18" ht="39.75" customHeight="1" x14ac:dyDescent="0.2">
      <c r="A36" s="503" t="str">
        <f>VALORACIÓN!A37</f>
        <v>10G</v>
      </c>
      <c r="B36" s="496" t="str">
        <f>VALORACIÓN!B37</f>
        <v>Comunicaciones. Inoportuna e ineficaz divulgación de los productos comunicativos y publicitarios ante los usuarios internos y externos.</v>
      </c>
      <c r="C36" s="527" t="str">
        <f>IF(IDENTIFICACIÓN!B18="","",IDENTIFICACIÓN!B18)</f>
        <v xml:space="preserve">Dependencia en la toma de decisiones. Demora en la revisión de los productos comunicativos por parte de la Alta Dirección y/o jefes. </v>
      </c>
      <c r="D36" s="527" t="str">
        <f>IF(IDENTIFICACIÓN!F18="","",IDENTIFICACIÓN!F18)</f>
        <v>Disminución de los indicadores de calidad, pérdida de la credibilidad, presentación desactualizada de la información y discontinuidad de publicaciones.</v>
      </c>
      <c r="E36" s="537">
        <f>ANALISIS!D20</f>
        <v>3</v>
      </c>
      <c r="F36" s="538" t="str">
        <f>ANALISIS!E20</f>
        <v>POSIBLE</v>
      </c>
      <c r="G36" s="537">
        <f>ANALISIS!G20</f>
        <v>4</v>
      </c>
      <c r="H36" s="538" t="str">
        <f>ANALISIS!H20</f>
        <v>MAYOR</v>
      </c>
      <c r="I36" s="552" t="str">
        <f>ANALISIS!J20</f>
        <v>EXTREMA 3:4</v>
      </c>
      <c r="J36" s="20">
        <f>VALORACIÓN!C37</f>
        <v>1</v>
      </c>
      <c r="K36" s="230" t="str">
        <f>IF(VALORACIÓN!F37=0,"",VALORACIÓN!F37)</f>
        <v>Aprobación y visto bueno del jefe inmediato</v>
      </c>
      <c r="L36" s="550">
        <f>VALORACIÓN!AA37</f>
        <v>95</v>
      </c>
      <c r="M36" s="551" t="str">
        <f>VALORACIÓN!AG37</f>
        <v>ALTA 1:4</v>
      </c>
      <c r="N36" s="527" t="str">
        <f>VALORACIÓN!AG38</f>
        <v>- Reducir el Riesgo- Compartir o Transferir el Riesgo</v>
      </c>
      <c r="O36" s="528" t="str">
        <f>IF(B36="","",IF(VALORACIÓN!BA37="","Aceptar el Riesgo sin necesidad de tomar otras medidas de control diferentes a las que se poseen, considerando que estos son efectivos con ponderacion de 100, y la evaluación final del riesgos es Baja 1:1",VALORACIÓN!BA37))</f>
        <v>- Tomar Acciones Correctivas</v>
      </c>
      <c r="P36" s="395" t="s">
        <v>404</v>
      </c>
      <c r="Q36" s="395" t="s">
        <v>786</v>
      </c>
      <c r="R36" s="396" t="s">
        <v>70</v>
      </c>
    </row>
    <row r="37" spans="1:18" ht="39.75" customHeight="1" x14ac:dyDescent="0.2">
      <c r="A37" s="503"/>
      <c r="B37" s="496"/>
      <c r="C37" s="527"/>
      <c r="D37" s="527"/>
      <c r="E37" s="537"/>
      <c r="F37" s="539"/>
      <c r="G37" s="537"/>
      <c r="H37" s="539"/>
      <c r="I37" s="548"/>
      <c r="J37" s="20">
        <f>VALORACIÓN!C38</f>
        <v>2</v>
      </c>
      <c r="K37" s="230" t="str">
        <f>IF(VALORACIÓN!F38=0,"",VALORACIÓN!F38)</f>
        <v/>
      </c>
      <c r="L37" s="550"/>
      <c r="M37" s="525"/>
      <c r="N37" s="527"/>
      <c r="O37" s="529"/>
      <c r="P37" s="395" t="s">
        <v>404</v>
      </c>
      <c r="Q37" s="395" t="s">
        <v>787</v>
      </c>
      <c r="R37" s="396" t="s">
        <v>70</v>
      </c>
    </row>
    <row r="38" spans="1:18" ht="39.75" customHeight="1" x14ac:dyDescent="0.2">
      <c r="A38" s="503"/>
      <c r="B38" s="496"/>
      <c r="C38" s="527"/>
      <c r="D38" s="527"/>
      <c r="E38" s="537"/>
      <c r="F38" s="540"/>
      <c r="G38" s="537"/>
      <c r="H38" s="540"/>
      <c r="I38" s="549"/>
      <c r="J38" s="20">
        <f>VALORACIÓN!C39</f>
        <v>3</v>
      </c>
      <c r="K38" s="230" t="str">
        <f>IF(VALORACIÓN!F39=0,"",VALORACIÓN!F39)</f>
        <v/>
      </c>
      <c r="L38" s="550"/>
      <c r="M38" s="526"/>
      <c r="N38" s="527"/>
      <c r="O38" s="530"/>
      <c r="P38" s="395"/>
      <c r="Q38" s="395"/>
      <c r="R38" s="396"/>
    </row>
    <row r="39" spans="1:18" ht="39.75" customHeight="1" x14ac:dyDescent="0.2">
      <c r="A39" s="503" t="str">
        <f>VALORACIÓN!A40</f>
        <v>11G</v>
      </c>
      <c r="B39" s="496" t="str">
        <f>VALORACIÓN!B40</f>
        <v>Gestión Academica. Pérdida de Registro Calificado de los Programas Académicos.</v>
      </c>
      <c r="C39" s="527" t="str">
        <f>IF(IDENTIFICACIÓN!B19="","",IDENTIFICACIÓN!B19)</f>
        <v>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v>
      </c>
      <c r="D39" s="527" t="str">
        <f>IF(IDENTIFICACIÓN!F19="","",IDENTIFICACIÓN!F19)</f>
        <v>1. Reducción de la oferta académica.
2. Pérdida de la credibilidad institucional.
3.  Impacto económico (Disminución de ingresos).
4. Deserción estudiantil.</v>
      </c>
      <c r="E39" s="537">
        <f>ANALISIS!D21</f>
        <v>3</v>
      </c>
      <c r="F39" s="538" t="str">
        <f>ANALISIS!E21</f>
        <v>POSIBLE</v>
      </c>
      <c r="G39" s="537">
        <f>ANALISIS!G21</f>
        <v>4</v>
      </c>
      <c r="H39" s="538" t="str">
        <f>ANALISIS!H21</f>
        <v>MAYOR</v>
      </c>
      <c r="I39" s="552" t="str">
        <f>ANALISIS!J21</f>
        <v>EXTREMA 3:4</v>
      </c>
      <c r="J39" s="357">
        <f>VALORACIÓN!C40</f>
        <v>1</v>
      </c>
      <c r="K39" s="358" t="str">
        <f>IF(VALORACIÓN!F40=0,"",VALORACIÓN!F40)</f>
        <v>Sensibilización a través de talleres, seminarios, reuniones  y comunicaciones afines al riesgo</v>
      </c>
      <c r="L39" s="550">
        <f>VALORACIÓN!AA40</f>
        <v>88</v>
      </c>
      <c r="M39" s="551" t="str">
        <f>VALORACIÓN!AG40</f>
        <v>ALTA 1:4</v>
      </c>
      <c r="N39" s="527" t="str">
        <f>VALORACIÓN!AG41</f>
        <v>- Reducir el Riesgo- Compartir o Transferir el Riesgo</v>
      </c>
      <c r="O39" s="528" t="str">
        <f>IF(B39="","",IF(VALORACIÓN!BA40="","Aceptar el Riesgo sin necesidad de tomar otras medidas de control diferentes a las que se poseen, considerando que estos son efectivos con ponderacion de 100, y la evaluación final del riesgos es Baja 1:1",VALORACIÓN!BA40))</f>
        <v>- Establecer periodos de seguimiento adecuados (de) el(los) control(es) Efectivo(s) - Tomar Acciones Correctivas</v>
      </c>
      <c r="P39" s="395" t="s">
        <v>404</v>
      </c>
      <c r="Q39" s="395" t="s">
        <v>788</v>
      </c>
      <c r="R39" s="396" t="s">
        <v>69</v>
      </c>
    </row>
    <row r="40" spans="1:18" ht="39.75" customHeight="1" x14ac:dyDescent="0.2">
      <c r="A40" s="503"/>
      <c r="B40" s="496"/>
      <c r="C40" s="527"/>
      <c r="D40" s="527"/>
      <c r="E40" s="537"/>
      <c r="F40" s="539"/>
      <c r="G40" s="537"/>
      <c r="H40" s="539"/>
      <c r="I40" s="548"/>
      <c r="J40" s="357">
        <f>VALORACIÓN!C41</f>
        <v>2</v>
      </c>
      <c r="K40" s="358" t="str">
        <f>IF(VALORACIÓN!F41=0,"",VALORACIÓN!F41)</f>
        <v>Se han implementado, procedimientos, formatos y guías</v>
      </c>
      <c r="L40" s="550"/>
      <c r="M40" s="525"/>
      <c r="N40" s="527"/>
      <c r="O40" s="529"/>
      <c r="P40" s="395" t="s">
        <v>403</v>
      </c>
      <c r="Q40" s="395" t="s">
        <v>789</v>
      </c>
      <c r="R40" s="396" t="s">
        <v>69</v>
      </c>
    </row>
    <row r="41" spans="1:18" ht="39.75" customHeight="1" x14ac:dyDescent="0.2">
      <c r="A41" s="503"/>
      <c r="B41" s="496"/>
      <c r="C41" s="527"/>
      <c r="D41" s="527"/>
      <c r="E41" s="537"/>
      <c r="F41" s="540"/>
      <c r="G41" s="537"/>
      <c r="H41" s="540"/>
      <c r="I41" s="549"/>
      <c r="J41" s="357">
        <f>VALORACIÓN!C42</f>
        <v>3</v>
      </c>
      <c r="K41" s="358" t="str">
        <f>IF(VALORACIÓN!F42=0,"",VALORACIÓN!F42)</f>
        <v/>
      </c>
      <c r="L41" s="550"/>
      <c r="M41" s="526"/>
      <c r="N41" s="527"/>
      <c r="O41" s="530"/>
      <c r="P41" s="395"/>
      <c r="Q41" s="395"/>
      <c r="R41" s="396"/>
    </row>
    <row r="42" spans="1:18" ht="39.75" customHeight="1" x14ac:dyDescent="0.2">
      <c r="A42" s="503" t="str">
        <f>VALORACIÓN!A43</f>
        <v>12G</v>
      </c>
      <c r="B42" s="496" t="str">
        <f>VALORACIÓN!B43</f>
        <v>Gestión Academica. Formulación inadecuada de políticas.</v>
      </c>
      <c r="C42" s="527" t="str">
        <f>IF(IDENTIFICACIÓN!B20="","",IDENTIFICACIÓN!B20)</f>
        <v>1. Inadecuada revisión del contexto. 
2.  Toma de decisiones basadas en situaciones particulares, sin considerar la generalidad que aplica en cada caso.  
3. Alta carga laboral.</v>
      </c>
      <c r="D42" s="527" t="str">
        <f>IF(IDENTIFICACIÓN!F20="","",IDENTIFICACIÓN!F20)</f>
        <v>1. Ausencia de unidad de criterio.
2. Posibles toma de decisiones inadecuadas.
3. Retrasa el desarrollo institucional.
4. Exposición a sanciones.
5. Favorecimiento a casos particulares.</v>
      </c>
      <c r="E42" s="537">
        <f>ANALISIS!D22</f>
        <v>3</v>
      </c>
      <c r="F42" s="538" t="str">
        <f>ANALISIS!E22</f>
        <v>POSIBLE</v>
      </c>
      <c r="G42" s="537">
        <f>ANALISIS!G22</f>
        <v>4</v>
      </c>
      <c r="H42" s="538" t="str">
        <f>ANALISIS!H22</f>
        <v>MAYOR</v>
      </c>
      <c r="I42" s="552" t="str">
        <f>ANALISIS!J22</f>
        <v>EXTREMA 3:4</v>
      </c>
      <c r="J42" s="357">
        <f>VALORACIÓN!C43</f>
        <v>1</v>
      </c>
      <c r="K42" s="358" t="str">
        <f>IF(VALORACIÓN!F43=0,"",VALORACIÓN!F43)</f>
        <v>Reuniones de revision de los directivos academicos en los difrentes programas</v>
      </c>
      <c r="L42" s="550">
        <f>VALORACIÓN!AA43</f>
        <v>95</v>
      </c>
      <c r="M42" s="551" t="str">
        <f>VALORACIÓN!AG43</f>
        <v>ALTA 1:4</v>
      </c>
      <c r="N42" s="527" t="str">
        <f>VALORACIÓN!AG44</f>
        <v>- Reducir el Riesgo- Compartir o Transferir el Riesgo</v>
      </c>
      <c r="O42" s="528" t="str">
        <f>IF(B42="","",IF(VALORACIÓN!BA43="","Aceptar el Riesgo sin necesidad de tomar otras medidas de control diferentes a las que se poseen, considerando que estos son efectivos con ponderacion de 100, y la evaluación final del riesgos es Baja 1:1",VALORACIÓN!BA43))</f>
        <v>- Tomar Acciones Correctivas</v>
      </c>
      <c r="P42" s="395" t="s">
        <v>403</v>
      </c>
      <c r="Q42" s="395" t="s">
        <v>790</v>
      </c>
      <c r="R42" s="396" t="s">
        <v>69</v>
      </c>
    </row>
    <row r="43" spans="1:18" ht="39.75" customHeight="1" x14ac:dyDescent="0.2">
      <c r="A43" s="503"/>
      <c r="B43" s="496"/>
      <c r="C43" s="527"/>
      <c r="D43" s="527"/>
      <c r="E43" s="537"/>
      <c r="F43" s="539"/>
      <c r="G43" s="537"/>
      <c r="H43" s="539"/>
      <c r="I43" s="548"/>
      <c r="J43" s="357">
        <f>VALORACIÓN!C44</f>
        <v>2</v>
      </c>
      <c r="K43" s="358" t="str">
        <f>IF(VALORACIÓN!F44=0,"",VALORACIÓN!F44)</f>
        <v>Se ha recibido orientacion y apoyo de asesores internos y externos para el tema.</v>
      </c>
      <c r="L43" s="550"/>
      <c r="M43" s="525"/>
      <c r="N43" s="527"/>
      <c r="O43" s="529"/>
      <c r="P43" s="395"/>
      <c r="Q43" s="395"/>
      <c r="R43" s="396"/>
    </row>
    <row r="44" spans="1:18" ht="39.75" customHeight="1" x14ac:dyDescent="0.2">
      <c r="A44" s="503"/>
      <c r="B44" s="496"/>
      <c r="C44" s="527"/>
      <c r="D44" s="527"/>
      <c r="E44" s="537"/>
      <c r="F44" s="540"/>
      <c r="G44" s="537"/>
      <c r="H44" s="540"/>
      <c r="I44" s="549"/>
      <c r="J44" s="357">
        <f>VALORACIÓN!C45</f>
        <v>3</v>
      </c>
      <c r="K44" s="358" t="str">
        <f>IF(VALORACIÓN!F45=0,"",VALORACIÓN!F45)</f>
        <v/>
      </c>
      <c r="L44" s="550"/>
      <c r="M44" s="526"/>
      <c r="N44" s="527"/>
      <c r="O44" s="530"/>
      <c r="P44" s="395"/>
      <c r="Q44" s="395"/>
      <c r="R44" s="396"/>
    </row>
    <row r="45" spans="1:18" ht="39.75" customHeight="1" x14ac:dyDescent="0.2">
      <c r="A45" s="503" t="str">
        <f>VALORACIÓN!A46</f>
        <v>13G</v>
      </c>
      <c r="B45" s="496" t="str">
        <f>VALORACIÓN!B46</f>
        <v>Gestión Academica. Aplicación inadecuada de la normatividad en el desarrollo de los diferentes procesos academicos de los programas.</v>
      </c>
      <c r="C45" s="527" t="str">
        <f>IF(IDENTIFICACIÓN!B21="","",IDENTIFICACIÓN!B21)</f>
        <v xml:space="preserve">1. Desconocimiento de la normativa existente o falta de revisión de los responsables del proceso.
2.  Descuido por parte de personal responsable del proceso.
3.  Alta carga laboral.                                   </v>
      </c>
      <c r="D45" s="527" t="str">
        <f>IF(IDENTIFICACIÓN!F21="","",IDENTIFICACIÓN!F21)</f>
        <v>1. Incremento de: demandas, derechos de petición, tutelas, PQR.
2. Incumplimiento de la planeación académica.
3. Perdida de credibilidad institucional.
4. Sanciones económicas y/o administrativas.
5. Afectación de la gobernabilidad institucional.</v>
      </c>
      <c r="E45" s="537">
        <f>ANALISIS!D23</f>
        <v>2</v>
      </c>
      <c r="F45" s="538" t="str">
        <f>ANALISIS!E23</f>
        <v>IMPROBABLE</v>
      </c>
      <c r="G45" s="537">
        <f>ANALISIS!G23</f>
        <v>4</v>
      </c>
      <c r="H45" s="538" t="str">
        <f>ANALISIS!H23</f>
        <v>MAYOR</v>
      </c>
      <c r="I45" s="552" t="str">
        <f>ANALISIS!J23</f>
        <v>ALTA 2:4</v>
      </c>
      <c r="J45" s="357">
        <f>VALORACIÓN!C46</f>
        <v>1</v>
      </c>
      <c r="K45" s="358" t="str">
        <f>IF(VALORACIÓN!F46=0,"",VALORACIÓN!F46)</f>
        <v>Procedimientos escritos</v>
      </c>
      <c r="L45" s="550">
        <f>VALORACIÓN!AA46</f>
        <v>95</v>
      </c>
      <c r="M45" s="551" t="str">
        <f>VALORACIÓN!AG46</f>
        <v>ALTA 1:4</v>
      </c>
      <c r="N45" s="527" t="str">
        <f>VALORACIÓN!AG47</f>
        <v>- Reducir el Riesgo- Compartir o Transferir el Riesgo</v>
      </c>
      <c r="O45" s="528" t="str">
        <f>IF(B45="","",IF(VALORACIÓN!BA46="","Aceptar el Riesgo sin necesidad de tomar otras medidas de control diferentes a las que se poseen, considerando que estos son efectivos con ponderacion de 100, y la evaluación final del riesgos es Baja 1:1",VALORACIÓN!BA46))</f>
        <v>- Tomar Acciones Correctivas</v>
      </c>
      <c r="P45" s="395" t="s">
        <v>404</v>
      </c>
      <c r="Q45" s="395" t="s">
        <v>791</v>
      </c>
      <c r="R45" s="396" t="s">
        <v>70</v>
      </c>
    </row>
    <row r="46" spans="1:18" ht="39.75" customHeight="1" x14ac:dyDescent="0.2">
      <c r="A46" s="503"/>
      <c r="B46" s="496"/>
      <c r="C46" s="527"/>
      <c r="D46" s="527"/>
      <c r="E46" s="537"/>
      <c r="F46" s="539"/>
      <c r="G46" s="537"/>
      <c r="H46" s="539"/>
      <c r="I46" s="548"/>
      <c r="J46" s="357">
        <f>VALORACIÓN!C47</f>
        <v>2</v>
      </c>
      <c r="K46" s="358" t="str">
        <f>IF(VALORACIÓN!F47=0,"",VALORACIÓN!F47)</f>
        <v>Utilización Formato</v>
      </c>
      <c r="L46" s="550"/>
      <c r="M46" s="525"/>
      <c r="N46" s="527"/>
      <c r="O46" s="529"/>
      <c r="P46" s="395"/>
      <c r="Q46" s="395"/>
      <c r="R46" s="396"/>
    </row>
    <row r="47" spans="1:18" ht="39.75" customHeight="1" x14ac:dyDescent="0.2">
      <c r="A47" s="503"/>
      <c r="B47" s="496"/>
      <c r="C47" s="527"/>
      <c r="D47" s="527"/>
      <c r="E47" s="537"/>
      <c r="F47" s="540"/>
      <c r="G47" s="537"/>
      <c r="H47" s="540"/>
      <c r="I47" s="549"/>
      <c r="J47" s="357">
        <f>VALORACIÓN!C48</f>
        <v>3</v>
      </c>
      <c r="K47" s="358" t="str">
        <f>IF(VALORACIÓN!F48=0,"",VALORACIÓN!F48)</f>
        <v>Uso de Normograma</v>
      </c>
      <c r="L47" s="550"/>
      <c r="M47" s="526"/>
      <c r="N47" s="527"/>
      <c r="O47" s="530"/>
      <c r="P47" s="395"/>
      <c r="Q47" s="395"/>
      <c r="R47" s="396"/>
    </row>
    <row r="48" spans="1:18" ht="39.75" customHeight="1" x14ac:dyDescent="0.2">
      <c r="A48" s="503" t="str">
        <f>VALORACIÓN!A49</f>
        <v>14G</v>
      </c>
      <c r="B48" s="496" t="str">
        <f>VALORACIÓN!B49</f>
        <v>Gestión Academica. Deterioro en la calidad de los programas académicos por necesidades de recursos no cubiertas.</v>
      </c>
      <c r="C48" s="527" t="str">
        <f>IF(IDENTIFICACIÓN!B22="","",IDENTIFICACIÓN!B22)</f>
        <v>1. Planeación inadecuada.                                         
2. Mala priorización de las necesidades de los programas académicos.</v>
      </c>
      <c r="D48" s="527" t="str">
        <f>IF(IDENTIFICACIÓN!F22="","",IDENTIFICACIÓN!F22)</f>
        <v>1. Mala ejecución de los recursos.
2. Necesidades insatisfechas de los programas académicos.</v>
      </c>
      <c r="E48" s="537">
        <f>ANALISIS!D24</f>
        <v>3</v>
      </c>
      <c r="F48" s="538" t="str">
        <f>ANALISIS!E24</f>
        <v>POSIBLE</v>
      </c>
      <c r="G48" s="537">
        <f>ANALISIS!G24</f>
        <v>4</v>
      </c>
      <c r="H48" s="538" t="str">
        <f>ANALISIS!H24</f>
        <v>MAYOR</v>
      </c>
      <c r="I48" s="552" t="str">
        <f>ANALISIS!J24</f>
        <v>EXTREMA 3:4</v>
      </c>
      <c r="J48" s="357">
        <f>VALORACIÓN!C49</f>
        <v>1</v>
      </c>
      <c r="K48" s="358" t="str">
        <f>IF(VALORACIÓN!F49=0,"",VALORACIÓN!F49)</f>
        <v>Procedimientos escritos</v>
      </c>
      <c r="L48" s="550">
        <f>VALORACIÓN!AA49</f>
        <v>95</v>
      </c>
      <c r="M48" s="551" t="str">
        <f>VALORACIÓN!AG49</f>
        <v>ALTA 1:4</v>
      </c>
      <c r="N48" s="527" t="str">
        <f>VALORACIÓN!AG50</f>
        <v>- Reducir el Riesgo- Compartir o Transferir el Riesgo</v>
      </c>
      <c r="O48" s="528" t="str">
        <f>IF(B48="","",IF(VALORACIÓN!BA49="","Aceptar el Riesgo sin necesidad de tomar otras medidas de control diferentes a las que se poseen, considerando que estos son efectivos con ponderacion de 100, y la evaluación final del riesgos es Baja 1:1",VALORACIÓN!BA49))</f>
        <v>- Tomar Acciones Correctivas</v>
      </c>
      <c r="P48" s="395" t="s">
        <v>404</v>
      </c>
      <c r="Q48" s="395" t="s">
        <v>792</v>
      </c>
      <c r="R48" s="396" t="s">
        <v>69</v>
      </c>
    </row>
    <row r="49" spans="1:18" ht="39.75" customHeight="1" x14ac:dyDescent="0.2">
      <c r="A49" s="503"/>
      <c r="B49" s="496"/>
      <c r="C49" s="527"/>
      <c r="D49" s="527"/>
      <c r="E49" s="537"/>
      <c r="F49" s="539"/>
      <c r="G49" s="537"/>
      <c r="H49" s="539"/>
      <c r="I49" s="548"/>
      <c r="J49" s="357">
        <f>VALORACIÓN!C50</f>
        <v>2</v>
      </c>
      <c r="K49" s="358" t="str">
        <f>IF(VALORACIÓN!F50=0,"",VALORACIÓN!F50)</f>
        <v>Formatos establecidos</v>
      </c>
      <c r="L49" s="550"/>
      <c r="M49" s="525"/>
      <c r="N49" s="527"/>
      <c r="O49" s="529"/>
      <c r="P49" s="395"/>
      <c r="Q49" s="395"/>
      <c r="R49" s="396"/>
    </row>
    <row r="50" spans="1:18" ht="39.75" customHeight="1" x14ac:dyDescent="0.2">
      <c r="A50" s="503"/>
      <c r="B50" s="496"/>
      <c r="C50" s="527"/>
      <c r="D50" s="527"/>
      <c r="E50" s="537"/>
      <c r="F50" s="540"/>
      <c r="G50" s="537"/>
      <c r="H50" s="540"/>
      <c r="I50" s="549"/>
      <c r="J50" s="357">
        <f>VALORACIÓN!C51</f>
        <v>3</v>
      </c>
      <c r="K50" s="358" t="str">
        <f>IF(VALORACIÓN!F51=0,"",VALORACIÓN!F51)</f>
        <v>Capacitaciones, talleres, seminarios</v>
      </c>
      <c r="L50" s="550"/>
      <c r="M50" s="526"/>
      <c r="N50" s="527"/>
      <c r="O50" s="530"/>
      <c r="P50" s="395"/>
      <c r="Q50" s="395"/>
      <c r="R50" s="396"/>
    </row>
    <row r="51" spans="1:18" ht="39.75" customHeight="1" x14ac:dyDescent="0.2">
      <c r="A51" s="503" t="str">
        <f>VALORACIÓN!A52</f>
        <v>15G</v>
      </c>
      <c r="B51" s="496" t="str">
        <f>VALORACIÓN!B52</f>
        <v xml:space="preserve">Gestión de Investigación. No fomentar la actividad investigativa en la Universidad.  </v>
      </c>
      <c r="C51" s="527" t="str">
        <f>IF(IDENTIFICACIÓN!B23="","",IDENTIFICACIÓN!B23)</f>
        <v xml:space="preserve">Falta de gestión de recursos para actividades de investigación. 
Desconocimiento de necesidades de los grupos de investigación
Desconocimiento de procedimientos </v>
      </c>
      <c r="D51" s="527" t="str">
        <f>IF(IDENTIFICACIÓN!F23="","",IDENTIFICACIÓN!F23)</f>
        <v>Disminuyen los indicadores de la actividad investigativa
Reducción de presupuesto para la investigación
Disminución de la visibilidad de la Universidad</v>
      </c>
      <c r="E51" s="537">
        <f>ANALISIS!D25</f>
        <v>1</v>
      </c>
      <c r="F51" s="538" t="str">
        <f>ANALISIS!E25</f>
        <v>RARO</v>
      </c>
      <c r="G51" s="537">
        <f>ANALISIS!G25</f>
        <v>5</v>
      </c>
      <c r="H51" s="538" t="str">
        <f>ANALISIS!H25</f>
        <v>CATASTRÓFICO</v>
      </c>
      <c r="I51" s="552" t="str">
        <f>ANALISIS!J25</f>
        <v>ALTA 1:5</v>
      </c>
      <c r="J51" s="357">
        <f>VALORACIÓN!C52</f>
        <v>1</v>
      </c>
      <c r="K51" s="358" t="str">
        <f>IF(VALORACIÓN!F52=0,"",VALORACIÓN!F52)</f>
        <v>plan de acción</v>
      </c>
      <c r="L51" s="550">
        <f>VALORACIÓN!AA52</f>
        <v>98</v>
      </c>
      <c r="M51" s="551" t="str">
        <f>VALORACIÓN!AG52</f>
        <v>ALTA 1:5</v>
      </c>
      <c r="N51" s="527" t="str">
        <f>VALORACIÓN!AG53</f>
        <v>- Reducir el Riesgo- Compartir o Transferir el Riesgo</v>
      </c>
      <c r="O51" s="528" t="str">
        <f>IF(B51="","",IF(VALORACIÓN!BA52="","Aceptar el Riesgo sin necesidad de tomar otras medidas de control diferentes a las que se poseen, considerando que estos son efectivos con ponderacion de 100, y la evaluación final del riesgos es Baja 1:1",VALORACIÓN!BA52))</f>
        <v>- Tomar Acciones Correctivas</v>
      </c>
      <c r="P51" s="397" t="s">
        <v>404</v>
      </c>
      <c r="Q51" s="397" t="s">
        <v>793</v>
      </c>
      <c r="R51" s="396" t="s">
        <v>70</v>
      </c>
    </row>
    <row r="52" spans="1:18" ht="39.75" customHeight="1" x14ac:dyDescent="0.2">
      <c r="A52" s="503"/>
      <c r="B52" s="496"/>
      <c r="C52" s="527"/>
      <c r="D52" s="527"/>
      <c r="E52" s="537"/>
      <c r="F52" s="539"/>
      <c r="G52" s="537"/>
      <c r="H52" s="539"/>
      <c r="I52" s="548"/>
      <c r="J52" s="357">
        <f>VALORACIÓN!C53</f>
        <v>2</v>
      </c>
      <c r="K52" s="358" t="str">
        <f>IF(VALORACIÓN!F53=0,"",VALORACIÓN!F53)</f>
        <v>Asignación de presupuesto</v>
      </c>
      <c r="L52" s="550"/>
      <c r="M52" s="525"/>
      <c r="N52" s="527"/>
      <c r="O52" s="529"/>
      <c r="P52" s="397" t="s">
        <v>404</v>
      </c>
      <c r="Q52" s="395" t="s">
        <v>794</v>
      </c>
      <c r="R52" s="396" t="s">
        <v>70</v>
      </c>
    </row>
    <row r="53" spans="1:18" ht="39.75" customHeight="1" x14ac:dyDescent="0.2">
      <c r="A53" s="503"/>
      <c r="B53" s="496"/>
      <c r="C53" s="527"/>
      <c r="D53" s="527"/>
      <c r="E53" s="537"/>
      <c r="F53" s="540"/>
      <c r="G53" s="537"/>
      <c r="H53" s="540"/>
      <c r="I53" s="549"/>
      <c r="J53" s="357">
        <f>VALORACIÓN!C54</f>
        <v>3</v>
      </c>
      <c r="K53" s="358" t="str">
        <f>IF(VALORACIÓN!F54=0,"",VALORACIÓN!F54)</f>
        <v>Sistema de Información SIVI</v>
      </c>
      <c r="L53" s="550"/>
      <c r="M53" s="526"/>
      <c r="N53" s="527"/>
      <c r="O53" s="530"/>
      <c r="P53" s="397" t="s">
        <v>404</v>
      </c>
      <c r="Q53" s="397" t="s">
        <v>795</v>
      </c>
      <c r="R53" s="396" t="s">
        <v>70</v>
      </c>
    </row>
    <row r="54" spans="1:18" ht="39.75" customHeight="1" x14ac:dyDescent="0.2">
      <c r="A54" s="503" t="str">
        <f>VALORACIÓN!A55</f>
        <v>16G</v>
      </c>
      <c r="B54" s="496" t="str">
        <f>VALORACIÓN!B55</f>
        <v>Gestión de Investigación. Deficiente cumplimiento del plan de acción de la Vicerrectoría de Investigación</v>
      </c>
      <c r="C54" s="527" t="str">
        <f>IF(IDENTIFICACIÓN!B24="","",IDENTIFICACIÓN!B24)</f>
        <v>Deficiente planificación del plan de acción.
Sobrecarga laboral.
Deficiente seguimiento a la ejecución del plan de acción.
Escaso personal, para el creciente incremento de las actividades de investigación.</v>
      </c>
      <c r="D54" s="527" t="str">
        <f>IF(IDENTIFICACIÓN!F24="","",IDENTIFICACIÓN!F24)</f>
        <v>Disminuyen los indicadores de la actividad investigativa.
Reducción de presupuesto para la investigación.
Disminución de la visibilidad de resultados de la investigación de la Universidad.</v>
      </c>
      <c r="E54" s="537">
        <f>ANALISIS!D26</f>
        <v>1</v>
      </c>
      <c r="F54" s="538" t="str">
        <f>ANALISIS!E26</f>
        <v>RARO</v>
      </c>
      <c r="G54" s="537">
        <f>ANALISIS!G26</f>
        <v>4</v>
      </c>
      <c r="H54" s="538" t="str">
        <f>ANALISIS!H26</f>
        <v>MAYOR</v>
      </c>
      <c r="I54" s="552" t="str">
        <f>ANALISIS!J26</f>
        <v>ALTA 1:4</v>
      </c>
      <c r="J54" s="357">
        <f>VALORACIÓN!C55</f>
        <v>1</v>
      </c>
      <c r="K54" s="358" t="str">
        <f>IF(VALORACIÓN!F55=0,"",VALORACIÓN!F55)</f>
        <v xml:space="preserve">Seguimiento del plan de acción </v>
      </c>
      <c r="L54" s="550">
        <f>VALORACIÓN!AA55</f>
        <v>95</v>
      </c>
      <c r="M54" s="551" t="str">
        <f>VALORACIÓN!AG55</f>
        <v>ALTA 1:4</v>
      </c>
      <c r="N54" s="527" t="str">
        <f>VALORACIÓN!AG56</f>
        <v>- Reducir el Riesgo- Compartir o Transferir el Riesgo</v>
      </c>
      <c r="O54" s="528" t="str">
        <f>IF(B54="","",IF(VALORACIÓN!BA55="","Aceptar el Riesgo sin necesidad de tomar otras medidas de control diferentes a las que se poseen, considerando que estos son efectivos con ponderacion de 100, y la evaluación final del riesgos es Baja 1:1",VALORACIÓN!BA55))</f>
        <v>- Tomar Acciones Correctivas</v>
      </c>
      <c r="P54" s="397" t="s">
        <v>404</v>
      </c>
      <c r="Q54" s="397" t="s">
        <v>796</v>
      </c>
      <c r="R54" s="396" t="s">
        <v>70</v>
      </c>
    </row>
    <row r="55" spans="1:18" ht="39.75" customHeight="1" x14ac:dyDescent="0.2">
      <c r="A55" s="503"/>
      <c r="B55" s="496"/>
      <c r="C55" s="527"/>
      <c r="D55" s="527"/>
      <c r="E55" s="537"/>
      <c r="F55" s="539"/>
      <c r="G55" s="537"/>
      <c r="H55" s="539"/>
      <c r="I55" s="548"/>
      <c r="J55" s="357">
        <f>VALORACIÓN!C56</f>
        <v>2</v>
      </c>
      <c r="K55" s="358" t="str">
        <f>IF(VALORACIÓN!F56=0,"",VALORACIÓN!F56)</f>
        <v>Actas de seguimiento del plan de acción.</v>
      </c>
      <c r="L55" s="550"/>
      <c r="M55" s="525"/>
      <c r="N55" s="527"/>
      <c r="O55" s="529"/>
      <c r="P55" s="397" t="s">
        <v>404</v>
      </c>
      <c r="Q55" s="397" t="s">
        <v>797</v>
      </c>
      <c r="R55" s="396" t="s">
        <v>70</v>
      </c>
    </row>
    <row r="56" spans="1:18" ht="39.75" customHeight="1" x14ac:dyDescent="0.2">
      <c r="A56" s="503"/>
      <c r="B56" s="496"/>
      <c r="C56" s="527"/>
      <c r="D56" s="527"/>
      <c r="E56" s="537"/>
      <c r="F56" s="540"/>
      <c r="G56" s="537"/>
      <c r="H56" s="540"/>
      <c r="I56" s="549"/>
      <c r="J56" s="357">
        <f>VALORACIÓN!C57</f>
        <v>3</v>
      </c>
      <c r="K56" s="358" t="str">
        <f>IF(VALORACIÓN!F57=0,"",VALORACIÓN!F57)</f>
        <v>Boletín de la Vicerrectoría de Investigación.</v>
      </c>
      <c r="L56" s="550"/>
      <c r="M56" s="526"/>
      <c r="N56" s="527"/>
      <c r="O56" s="530"/>
      <c r="P56" s="397" t="s">
        <v>404</v>
      </c>
      <c r="Q56" s="397" t="s">
        <v>798</v>
      </c>
      <c r="R56" s="396" t="s">
        <v>70</v>
      </c>
    </row>
    <row r="57" spans="1:18" ht="39.75" customHeight="1" x14ac:dyDescent="0.2">
      <c r="A57" s="503" t="str">
        <f>VALORACIÓN!A58</f>
        <v>17G</v>
      </c>
      <c r="B57" s="496" t="str">
        <f>VALORACIÓN!B58</f>
        <v>Gestión de Extensión y Proyección Social. Incumplimiento en los compromisos establecidos en la formalización de los proyectos.</v>
      </c>
      <c r="C57" s="527" t="str">
        <f>IF(IDENTIFICACIÓN!B25="","",IDENTIFICACIÓN!B25)</f>
        <v>Aumento en la oferta de servicios y los requerimientos por las partes interesadas.
Deficiencia en la infraestructura de los proveedores tecnológicos.</v>
      </c>
      <c r="D57" s="527" t="str">
        <f>IF(IDENTIFICACIÓN!F25="","",IDENTIFICACIÓN!F25)</f>
        <v>Baja competitividad.
Disminución de ventas de servicios, e impacto socioeconómicos en las áreas de influencia.</v>
      </c>
      <c r="E57" s="537">
        <f>ANALISIS!D27</f>
        <v>3</v>
      </c>
      <c r="F57" s="538" t="str">
        <f>ANALISIS!E27</f>
        <v>POSIBLE</v>
      </c>
      <c r="G57" s="537">
        <f>ANALISIS!G27</f>
        <v>4</v>
      </c>
      <c r="H57" s="538" t="str">
        <f>ANALISIS!H27</f>
        <v>MAYOR</v>
      </c>
      <c r="I57" s="552" t="str">
        <f>ANALISIS!J27</f>
        <v>EXTREMA 3:4</v>
      </c>
      <c r="J57" s="357">
        <f>VALORACIÓN!C58</f>
        <v>1</v>
      </c>
      <c r="K57" s="358" t="str">
        <f>IF(VALORACIÓN!F58=0,"",VALORACIÓN!F58)</f>
        <v>EX-F14 Procedimiento de Plan de Calidad aplicado a proyectos de la Vicerrectoría de Extensión</v>
      </c>
      <c r="L57" s="550">
        <f>VALORACIÓN!AA58</f>
        <v>95</v>
      </c>
      <c r="M57" s="551" t="str">
        <f>VALORACIÓN!AG58</f>
        <v>ALTA 1:4</v>
      </c>
      <c r="N57" s="527" t="str">
        <f>VALORACIÓN!AG59</f>
        <v>- Reducir el Riesgo- Compartir o Transferir el Riesgo</v>
      </c>
      <c r="O57" s="528" t="str">
        <f>IF(B57="","",IF(VALORACIÓN!BA58="","Aceptar el Riesgo sin necesidad de tomar otras medidas de control diferentes a las que se poseen, considerando que estos son efectivos con ponderacion de 100, y la evaluación final del riesgos es Baja 1:1",VALORACIÓN!BA58))</f>
        <v>- Tomar Acciones Correctivas</v>
      </c>
      <c r="P57" s="395" t="s">
        <v>404</v>
      </c>
      <c r="Q57" s="395" t="s">
        <v>799</v>
      </c>
      <c r="R57" s="396" t="s">
        <v>69</v>
      </c>
    </row>
    <row r="58" spans="1:18" ht="39.75" customHeight="1" x14ac:dyDescent="0.2">
      <c r="A58" s="503"/>
      <c r="B58" s="496"/>
      <c r="C58" s="527"/>
      <c r="D58" s="527"/>
      <c r="E58" s="537"/>
      <c r="F58" s="539"/>
      <c r="G58" s="537"/>
      <c r="H58" s="539"/>
      <c r="I58" s="548"/>
      <c r="J58" s="357">
        <f>VALORACIÓN!C59</f>
        <v>2</v>
      </c>
      <c r="K58" s="358" t="str">
        <f>IF(VALORACIÓN!F59=0,"",VALORACIÓN!F59)</f>
        <v>Encuestas de satisfacción del usuario.</v>
      </c>
      <c r="L58" s="550"/>
      <c r="M58" s="525"/>
      <c r="N58" s="527"/>
      <c r="O58" s="529"/>
      <c r="P58" s="395"/>
      <c r="Q58" s="395"/>
      <c r="R58" s="396"/>
    </row>
    <row r="59" spans="1:18" ht="39.75" customHeight="1" x14ac:dyDescent="0.2">
      <c r="A59" s="503"/>
      <c r="B59" s="496"/>
      <c r="C59" s="527"/>
      <c r="D59" s="527"/>
      <c r="E59" s="537"/>
      <c r="F59" s="540"/>
      <c r="G59" s="537"/>
      <c r="H59" s="540"/>
      <c r="I59" s="549"/>
      <c r="J59" s="357">
        <f>VALORACIÓN!C60</f>
        <v>3</v>
      </c>
      <c r="K59" s="358" t="str">
        <f>IF(VALORACIÓN!F60=0,"",VALORACIÓN!F60)</f>
        <v/>
      </c>
      <c r="L59" s="550"/>
      <c r="M59" s="526"/>
      <c r="N59" s="527"/>
      <c r="O59" s="530"/>
      <c r="P59" s="395"/>
      <c r="Q59" s="395"/>
      <c r="R59" s="396"/>
    </row>
    <row r="60" spans="1:18" ht="39.75" customHeight="1" x14ac:dyDescent="0.2">
      <c r="A60" s="503" t="str">
        <f>VALORACIÓN!A61</f>
        <v>18G</v>
      </c>
      <c r="B60" s="496" t="str">
        <f>VALORACIÓN!B61</f>
        <v>Gestión de Extensión y Proyección Social. Limitada interacción e integración con las comunidades nacionales e internacionales en el fortalecimiento de la presencia de la Universidad en la vida social y cultural del país.</v>
      </c>
      <c r="C60" s="527" t="str">
        <f>IF(IDENTIFICACIÓN!B26="","",IDENTIFICACIÓN!B26)</f>
        <v>Canales de comunicación deficientes.</v>
      </c>
      <c r="D60" s="527" t="str">
        <f>IF(IDENTIFICACIÓN!F26="","",IDENTIFICACIÓN!F26)</f>
        <v>Bajo impacto social.</v>
      </c>
      <c r="E60" s="537">
        <f>ANALISIS!D28</f>
        <v>4</v>
      </c>
      <c r="F60" s="538" t="str">
        <f>ANALISIS!E28</f>
        <v>PROBABLE</v>
      </c>
      <c r="G60" s="537">
        <f>ANALISIS!G28</f>
        <v>3</v>
      </c>
      <c r="H60" s="538" t="str">
        <f>ANALISIS!H28</f>
        <v>MODERADO</v>
      </c>
      <c r="I60" s="552" t="str">
        <f>ANALISIS!J28</f>
        <v>ALTA 4:3</v>
      </c>
      <c r="J60" s="357">
        <f>VALORACIÓN!C61</f>
        <v>1</v>
      </c>
      <c r="K60" s="358" t="str">
        <f>IF(VALORACIÓN!F61=0,"",VALORACIÓN!F61)</f>
        <v/>
      </c>
      <c r="L60" s="550" t="str">
        <f>VALORACIÓN!AA61</f>
        <v/>
      </c>
      <c r="M60" s="551" t="str">
        <f>VALORACIÓN!AG61</f>
        <v>ALTA 4:3</v>
      </c>
      <c r="N60" s="527" t="str">
        <f>VALORACIÓN!AG62</f>
        <v>- Evitar Posibilidad de Ocurrencia- Reducir el Riesgo- Compartir o Transferir el Riesgo</v>
      </c>
      <c r="O60" s="528" t="str">
        <f>IF(B60="","",IF(VALORACIÓN!BA61="","Aceptar el Riesgo sin necesidad de tomar otras medidas de control diferentes a las que se poseen, considerando que estos son efectivos con ponderacion de 100, y la evaluación final del riesgos es Baja 1:1",VALORACIÓN!BA61))</f>
        <v>- Tomar Acciones Preventivas y Correctivas</v>
      </c>
      <c r="P60" s="395" t="s">
        <v>400</v>
      </c>
      <c r="Q60" s="395" t="s">
        <v>800</v>
      </c>
      <c r="R60" s="396" t="s">
        <v>97</v>
      </c>
    </row>
    <row r="61" spans="1:18" ht="39.75" customHeight="1" x14ac:dyDescent="0.2">
      <c r="A61" s="503"/>
      <c r="B61" s="496"/>
      <c r="C61" s="527"/>
      <c r="D61" s="527"/>
      <c r="E61" s="537"/>
      <c r="F61" s="539"/>
      <c r="G61" s="537"/>
      <c r="H61" s="539"/>
      <c r="I61" s="548"/>
      <c r="J61" s="357">
        <f>VALORACIÓN!C62</f>
        <v>2</v>
      </c>
      <c r="K61" s="358" t="str">
        <f>IF(VALORACIÓN!F62=0,"",VALORACIÓN!F62)</f>
        <v/>
      </c>
      <c r="L61" s="550"/>
      <c r="M61" s="525"/>
      <c r="N61" s="527"/>
      <c r="O61" s="529"/>
      <c r="P61" s="395"/>
      <c r="Q61" s="395"/>
      <c r="R61" s="396"/>
    </row>
    <row r="62" spans="1:18" ht="39.75" customHeight="1" x14ac:dyDescent="0.2">
      <c r="A62" s="503"/>
      <c r="B62" s="496"/>
      <c r="C62" s="527"/>
      <c r="D62" s="527"/>
      <c r="E62" s="537"/>
      <c r="F62" s="540"/>
      <c r="G62" s="537"/>
      <c r="H62" s="540"/>
      <c r="I62" s="549"/>
      <c r="J62" s="357">
        <f>VALORACIÓN!C63</f>
        <v>3</v>
      </c>
      <c r="K62" s="358" t="str">
        <f>IF(VALORACIÓN!F63=0,"",VALORACIÓN!F63)</f>
        <v/>
      </c>
      <c r="L62" s="550"/>
      <c r="M62" s="526"/>
      <c r="N62" s="527"/>
      <c r="O62" s="530"/>
      <c r="P62" s="395"/>
      <c r="Q62" s="395"/>
      <c r="R62" s="396"/>
    </row>
    <row r="63" spans="1:18" ht="39.75" customHeight="1" x14ac:dyDescent="0.2">
      <c r="A63" s="503" t="str">
        <f>VALORACIÓN!A64</f>
        <v>19G</v>
      </c>
      <c r="B63" s="496" t="str">
        <f>VALORACIÓN!B64</f>
        <v>Gestión de Extensión y Proyección Social. Interrupción en las actividades e incumplimiento de los proyectos de extensión y proyección social, en las zonas de influencia.</v>
      </c>
      <c r="C63" s="527" t="str">
        <f>IF(IDENTIFICACIÓN!B27="","",IDENTIFICACIÓN!B27)</f>
        <v>*Presencia de grupos armados en las zonas de influencia.
*Deficiencia en las vías de acceso a las zonas de influencia.</v>
      </c>
      <c r="D63" s="527" t="str">
        <f>IF(IDENTIFICACIÓN!F27="","",IDENTIFICACIÓN!F27)</f>
        <v>Incumplimiento contractual con los aliados.
Sanciones.
Pérdida de la imagen institucional.</v>
      </c>
      <c r="E63" s="537">
        <f>ANALISIS!D29</f>
        <v>3</v>
      </c>
      <c r="F63" s="538" t="str">
        <f>ANALISIS!E29</f>
        <v>POSIBLE</v>
      </c>
      <c r="G63" s="537">
        <f>ANALISIS!G29</f>
        <v>4</v>
      </c>
      <c r="H63" s="538" t="str">
        <f>ANALISIS!H29</f>
        <v>MAYOR</v>
      </c>
      <c r="I63" s="552" t="str">
        <f>ANALISIS!J29</f>
        <v>EXTREMA 3:4</v>
      </c>
      <c r="J63" s="357">
        <f>VALORACIÓN!C64</f>
        <v>1</v>
      </c>
      <c r="K63" s="358" t="str">
        <f>IF(VALORACIÓN!F64=0,"",VALORACIÓN!F64)</f>
        <v>EX-F14 Procedimiento de Plan de Calidad aplicado a proyectos de la Vicerrectoría de Extensión</v>
      </c>
      <c r="L63" s="550">
        <f>VALORACIÓN!AA64</f>
        <v>80</v>
      </c>
      <c r="M63" s="551" t="str">
        <f>VALORACIÓN!AG64</f>
        <v>ALTA 1:4</v>
      </c>
      <c r="N63" s="527" t="str">
        <f>VALORACIÓN!AG65</f>
        <v>- Reducir el Riesgo- Compartir o Transferir el Riesgo</v>
      </c>
      <c r="O63" s="528" t="str">
        <f>IF(B63="","",IF(VALORACIÓN!BA64="","Aceptar el Riesgo sin necesidad de tomar otras medidas de control diferentes a las que se poseen, considerando que estos son efectivos con ponderacion de 100, y la evaluación final del riesgos es Baja 1:1",VALORACIÓN!BA64))</f>
        <v>- Establecer periodos de seguimiento adecuados (de) el(los) control(es) Efectivo(s) - Tomar Acciones Correctivas</v>
      </c>
      <c r="P63" s="395" t="s">
        <v>400</v>
      </c>
      <c r="Q63" s="395" t="s">
        <v>800</v>
      </c>
      <c r="R63" s="396" t="s">
        <v>97</v>
      </c>
    </row>
    <row r="64" spans="1:18" ht="39.75" customHeight="1" x14ac:dyDescent="0.2">
      <c r="A64" s="503"/>
      <c r="B64" s="496"/>
      <c r="C64" s="527"/>
      <c r="D64" s="527"/>
      <c r="E64" s="537"/>
      <c r="F64" s="539"/>
      <c r="G64" s="537"/>
      <c r="H64" s="539"/>
      <c r="I64" s="548"/>
      <c r="J64" s="357">
        <f>VALORACIÓN!C65</f>
        <v>2</v>
      </c>
      <c r="K64" s="358" t="str">
        <f>IF(VALORACIÓN!F65=0,"",VALORACIÓN!F65)</f>
        <v/>
      </c>
      <c r="L64" s="550"/>
      <c r="M64" s="525"/>
      <c r="N64" s="527"/>
      <c r="O64" s="529"/>
      <c r="P64" s="395"/>
      <c r="Q64" s="395"/>
      <c r="R64" s="396"/>
    </row>
    <row r="65" spans="1:18" ht="39.75" customHeight="1" x14ac:dyDescent="0.2">
      <c r="A65" s="503"/>
      <c r="B65" s="496"/>
      <c r="C65" s="527"/>
      <c r="D65" s="527"/>
      <c r="E65" s="537"/>
      <c r="F65" s="540"/>
      <c r="G65" s="537"/>
      <c r="H65" s="540"/>
      <c r="I65" s="549"/>
      <c r="J65" s="357">
        <f>VALORACIÓN!C66</f>
        <v>3</v>
      </c>
      <c r="K65" s="358" t="str">
        <f>IF(VALORACIÓN!F66=0,"",VALORACIÓN!F66)</f>
        <v/>
      </c>
      <c r="L65" s="550"/>
      <c r="M65" s="526"/>
      <c r="N65" s="527"/>
      <c r="O65" s="530"/>
      <c r="P65" s="395"/>
      <c r="Q65" s="395"/>
      <c r="R65" s="396"/>
    </row>
    <row r="66" spans="1:18" ht="39.75" customHeight="1" x14ac:dyDescent="0.2">
      <c r="A66" s="503" t="str">
        <f>VALORACIÓN!A67</f>
        <v>20G</v>
      </c>
      <c r="B66" s="496" t="str">
        <f>VALORACIÓN!B67</f>
        <v>Gestión de Contratación. Celebración de contratos sin el cumplimiento de los requisitos internos y externos de carácter contractual</v>
      </c>
      <c r="C66" s="527" t="str">
        <f>IF(IDENTIFICACIÓN!B28="","",IDENTIFICACIÓN!B28)</f>
        <v>Desconocimiento de las normas internas, externas y jurisprudenciales que rigen la celebración de contratos.</v>
      </c>
      <c r="D66" s="527" t="str">
        <f>IF(IDENTIFICACIÓN!F28="","",IDENTIFICACIÓN!F28)</f>
        <v>Sanciones administrativas, disciplinarias, fiscales y penales, demandas.</v>
      </c>
      <c r="E66" s="537">
        <f>ANALISIS!D30</f>
        <v>1</v>
      </c>
      <c r="F66" s="538" t="str">
        <f>ANALISIS!E30</f>
        <v>RARO</v>
      </c>
      <c r="G66" s="537">
        <f>ANALISIS!G30</f>
        <v>4</v>
      </c>
      <c r="H66" s="538" t="str">
        <f>ANALISIS!H30</f>
        <v>MAYOR</v>
      </c>
      <c r="I66" s="552" t="str">
        <f>ANALISIS!J30</f>
        <v>ALTA 1:4</v>
      </c>
      <c r="J66" s="357">
        <f>VALORACIÓN!C67</f>
        <v>1</v>
      </c>
      <c r="K66" s="358" t="str">
        <f>IF(VALORACIÓN!F67=0,"",VALORACIÓN!F67)</f>
        <v xml:space="preserve">Lista de chequeo según la clase o naturaleza del contrato  </v>
      </c>
      <c r="L66" s="550">
        <f>VALORACIÓN!AA67</f>
        <v>90</v>
      </c>
      <c r="M66" s="551" t="str">
        <f>VALORACIÓN!AG67</f>
        <v>ALTA 1:4</v>
      </c>
      <c r="N66" s="527" t="str">
        <f>VALORACIÓN!AG68</f>
        <v>- Reducir el Riesgo- Compartir o Transferir el Riesgo</v>
      </c>
      <c r="O66" s="528" t="str">
        <f>IF(B66="","",IF(VALORACIÓN!BA67="","Aceptar el Riesgo sin necesidad de tomar otras medidas de control diferentes a las que se poseen, considerando que estos son efectivos con ponderacion de 100, y la evaluación final del riesgos es Baja 1:1",VALORACIÓN!BA67))</f>
        <v>- Documentar (de) el(los) control(es) Efectivo(s) - Tomar Acciones Correctivas</v>
      </c>
      <c r="P66" s="395" t="s">
        <v>400</v>
      </c>
      <c r="Q66" s="398" t="s">
        <v>801</v>
      </c>
      <c r="R66" s="396" t="s">
        <v>97</v>
      </c>
    </row>
    <row r="67" spans="1:18" ht="39.75" customHeight="1" x14ac:dyDescent="0.2">
      <c r="A67" s="503"/>
      <c r="B67" s="496"/>
      <c r="C67" s="527"/>
      <c r="D67" s="527"/>
      <c r="E67" s="537"/>
      <c r="F67" s="539"/>
      <c r="G67" s="537"/>
      <c r="H67" s="539"/>
      <c r="I67" s="548"/>
      <c r="J67" s="357">
        <f>VALORACIÓN!C68</f>
        <v>2</v>
      </c>
      <c r="K67" s="358" t="str">
        <f>IF(VALORACIÓN!F68=0,"",VALORACIÓN!F68)</f>
        <v>Procedimiento de contratación según modalidades de selección.</v>
      </c>
      <c r="L67" s="550"/>
      <c r="M67" s="525"/>
      <c r="N67" s="527"/>
      <c r="O67" s="529"/>
      <c r="P67" s="395"/>
      <c r="Q67" s="395"/>
      <c r="R67" s="396"/>
    </row>
    <row r="68" spans="1:18" ht="39.75" customHeight="1" x14ac:dyDescent="0.2">
      <c r="A68" s="503"/>
      <c r="B68" s="496"/>
      <c r="C68" s="527"/>
      <c r="D68" s="527"/>
      <c r="E68" s="537"/>
      <c r="F68" s="540"/>
      <c r="G68" s="537"/>
      <c r="H68" s="540"/>
      <c r="I68" s="549"/>
      <c r="J68" s="357">
        <f>VALORACIÓN!C69</f>
        <v>3</v>
      </c>
      <c r="K68" s="358" t="str">
        <f>IF(VALORACIÓN!F69=0,"",VALORACIÓN!F69)</f>
        <v>Informar los cambios en materia contractual</v>
      </c>
      <c r="L68" s="550"/>
      <c r="M68" s="526"/>
      <c r="N68" s="527"/>
      <c r="O68" s="530"/>
      <c r="P68" s="395"/>
      <c r="Q68" s="395"/>
      <c r="R68" s="396"/>
    </row>
    <row r="69" spans="1:18" ht="39.75" customHeight="1" x14ac:dyDescent="0.2">
      <c r="A69" s="503" t="str">
        <f>VALORACIÓN!A70</f>
        <v>21G</v>
      </c>
      <c r="B69" s="496" t="str">
        <f>VALORACIÓN!B70</f>
        <v>Gestión de Contratación. Documentación incompleta en la carpeta contractual</v>
      </c>
      <c r="C69" s="527" t="str">
        <f>IF(IDENTIFICACIÓN!B29="","",IDENTIFICACIÓN!B29)</f>
        <v>Falta de entrega oportuna de la documentación relacionada con un contrato</v>
      </c>
      <c r="D69" s="527" t="str">
        <f>IF(IDENTIFICACIÓN!F29="","",IDENTIFICACIÓN!F29)</f>
        <v>Sanciones administrativas, disciplinarias, fiscales y penales, demandas.</v>
      </c>
      <c r="E69" s="537">
        <f>ANALISIS!D31</f>
        <v>3</v>
      </c>
      <c r="F69" s="538" t="str">
        <f>ANALISIS!E31</f>
        <v>POSIBLE</v>
      </c>
      <c r="G69" s="537">
        <f>ANALISIS!G31</f>
        <v>4</v>
      </c>
      <c r="H69" s="538" t="str">
        <f>ANALISIS!H31</f>
        <v>MAYOR</v>
      </c>
      <c r="I69" s="552" t="str">
        <f>ANALISIS!J31</f>
        <v>EXTREMA 3:4</v>
      </c>
      <c r="J69" s="357">
        <f>VALORACIÓN!C70</f>
        <v>1</v>
      </c>
      <c r="K69" s="358" t="str">
        <f>IF(VALORACIÓN!F70=0,"",VALORACIÓN!F70)</f>
        <v>Solicitar a los supervisores allegar la documentación que debe reposar en la carpeta contractual</v>
      </c>
      <c r="L69" s="550">
        <f>VALORACIÓN!AA70</f>
        <v>95</v>
      </c>
      <c r="M69" s="551" t="str">
        <f>VALORACIÓN!AG70</f>
        <v>ALTA 1:4</v>
      </c>
      <c r="N69" s="527" t="str">
        <f>VALORACIÓN!AG71</f>
        <v>- Reducir el Riesgo- Compartir o Transferir el Riesgo</v>
      </c>
      <c r="O69" s="528" t="str">
        <f>IF(B69="","",IF(VALORACIÓN!BA70="","Aceptar el Riesgo sin necesidad de tomar otras medidas de control diferentes a las que se poseen, considerando que estos son efectivos con ponderacion de 100, y la evaluación final del riesgos es Baja 1:1",VALORACIÓN!BA70))</f>
        <v>- Tomar Acciones Correctivas</v>
      </c>
      <c r="P69" s="395" t="s">
        <v>400</v>
      </c>
      <c r="Q69" s="395" t="s">
        <v>801</v>
      </c>
      <c r="R69" s="396" t="s">
        <v>97</v>
      </c>
    </row>
    <row r="70" spans="1:18" ht="39.75" customHeight="1" x14ac:dyDescent="0.2">
      <c r="A70" s="503"/>
      <c r="B70" s="496"/>
      <c r="C70" s="527"/>
      <c r="D70" s="527"/>
      <c r="E70" s="537"/>
      <c r="F70" s="539"/>
      <c r="G70" s="537"/>
      <c r="H70" s="539"/>
      <c r="I70" s="548"/>
      <c r="J70" s="357">
        <f>VALORACIÓN!C71</f>
        <v>2</v>
      </c>
      <c r="K70" s="358" t="str">
        <f>IF(VALORACIÓN!F71=0,"",VALORACIÓN!F71)</f>
        <v/>
      </c>
      <c r="L70" s="550"/>
      <c r="M70" s="525"/>
      <c r="N70" s="527"/>
      <c r="O70" s="529"/>
      <c r="P70" s="395"/>
      <c r="Q70" s="395"/>
      <c r="R70" s="396"/>
    </row>
    <row r="71" spans="1:18" ht="39.75" customHeight="1" x14ac:dyDescent="0.2">
      <c r="A71" s="503"/>
      <c r="B71" s="496"/>
      <c r="C71" s="527"/>
      <c r="D71" s="527"/>
      <c r="E71" s="537"/>
      <c r="F71" s="540"/>
      <c r="G71" s="537"/>
      <c r="H71" s="540"/>
      <c r="I71" s="549"/>
      <c r="J71" s="357">
        <f>VALORACIÓN!C72</f>
        <v>3</v>
      </c>
      <c r="K71" s="358" t="str">
        <f>IF(VALORACIÓN!F72=0,"",VALORACIÓN!F72)</f>
        <v/>
      </c>
      <c r="L71" s="550"/>
      <c r="M71" s="526"/>
      <c r="N71" s="527"/>
      <c r="O71" s="530"/>
      <c r="P71" s="395"/>
      <c r="Q71" s="395"/>
      <c r="R71" s="396"/>
    </row>
    <row r="72" spans="1:18" ht="39.75" customHeight="1" x14ac:dyDescent="0.2">
      <c r="A72" s="503" t="str">
        <f>VALORACIÓN!A73</f>
        <v>22G</v>
      </c>
      <c r="B72" s="496" t="str">
        <f>VALORACIÓN!B73</f>
        <v>Gestión Administrativa. Inseguridad en el campus</v>
      </c>
      <c r="C72" s="527" t="str">
        <f>IF(IDENTIFICACIÓN!B30="","",IDENTIFICACIÓN!B30)</f>
        <v>Falta de personal de seguridad.
Falta de dispositivos de seguridad.
poco sistema de iluminación.</v>
      </c>
      <c r="D72" s="527" t="str">
        <f>IF(IDENTIFICACIÓN!F30="","",IDENTIFICACIÓN!F30)</f>
        <v>Demandas
Detrimento del patrimonio
Incremento de la prima de poliza de seguros
Perdida de imagen</v>
      </c>
      <c r="E72" s="537">
        <f>ANALISIS!D32</f>
        <v>4</v>
      </c>
      <c r="F72" s="538" t="str">
        <f>ANALISIS!E32</f>
        <v>PROBABLE</v>
      </c>
      <c r="G72" s="537">
        <f>ANALISIS!G32</f>
        <v>5</v>
      </c>
      <c r="H72" s="538" t="str">
        <f>ANALISIS!H32</f>
        <v>CATASTRÓFICO</v>
      </c>
      <c r="I72" s="552" t="str">
        <f>ANALISIS!J32</f>
        <v>EXTREMA 4:5</v>
      </c>
      <c r="J72" s="357">
        <f>VALORACIÓN!C73</f>
        <v>1</v>
      </c>
      <c r="K72" s="358" t="str">
        <f>IF(VALORACIÓN!F73=0,"",VALORACIÓN!F73)</f>
        <v>Guardia armado fisico</v>
      </c>
      <c r="L72" s="550">
        <f>VALORACIÓN!AA73</f>
        <v>38</v>
      </c>
      <c r="M72" s="551" t="str">
        <f>VALORACIÓN!AG73</f>
        <v>EXTREMA 4:5</v>
      </c>
      <c r="N72" s="527" t="str">
        <f>VALORACIÓN!AG74</f>
        <v>- Eliminar Causa(s)- Evitar Posibilidad de Ocurrencia- Reducir el Riesgo- Compartir o Transferir el Riesgo</v>
      </c>
      <c r="O72" s="528" t="str">
        <f>IF(B72="","",IF(VALORACIÓN!BA73="","Aceptar el Riesgo sin necesidad de tomar otras medidas de control diferentes a las que se poseen, considerando que estos son efectivos con ponderacion de 100, y la evaluación final del riesgos es Baja 1:1",VALORACIÓN!BA73))</f>
        <v>- Replantear control(es) NO efectivo(s) - Tomar Acciones Preventivas y Correctivas</v>
      </c>
      <c r="P72" s="395" t="s">
        <v>404</v>
      </c>
      <c r="Q72" s="399" t="s">
        <v>802</v>
      </c>
      <c r="R72" s="396" t="s">
        <v>69</v>
      </c>
    </row>
    <row r="73" spans="1:18" ht="39.75" customHeight="1" x14ac:dyDescent="0.2">
      <c r="A73" s="503"/>
      <c r="B73" s="496"/>
      <c r="C73" s="527"/>
      <c r="D73" s="527"/>
      <c r="E73" s="537"/>
      <c r="F73" s="539"/>
      <c r="G73" s="537"/>
      <c r="H73" s="539"/>
      <c r="I73" s="548"/>
      <c r="J73" s="357">
        <f>VALORACIÓN!C74</f>
        <v>2</v>
      </c>
      <c r="K73" s="358" t="str">
        <f>IF(VALORACIÓN!F74=0,"",VALORACIÓN!F74)</f>
        <v>Camaras de vigilancia instaladas</v>
      </c>
      <c r="L73" s="550"/>
      <c r="M73" s="525"/>
      <c r="N73" s="527"/>
      <c r="O73" s="529"/>
      <c r="P73" s="395" t="s">
        <v>404</v>
      </c>
      <c r="Q73" s="399" t="s">
        <v>803</v>
      </c>
      <c r="R73" s="396" t="s">
        <v>69</v>
      </c>
    </row>
    <row r="74" spans="1:18" ht="39.75" customHeight="1" x14ac:dyDescent="0.2">
      <c r="A74" s="503"/>
      <c r="B74" s="496"/>
      <c r="C74" s="527"/>
      <c r="D74" s="527"/>
      <c r="E74" s="537"/>
      <c r="F74" s="540"/>
      <c r="G74" s="537"/>
      <c r="H74" s="540"/>
      <c r="I74" s="549"/>
      <c r="J74" s="357">
        <f>VALORACIÓN!C75</f>
        <v>3</v>
      </c>
      <c r="K74" s="358" t="str">
        <f>IF(VALORACIÓN!F75=0,"",VALORACIÓN!F75)</f>
        <v/>
      </c>
      <c r="L74" s="550"/>
      <c r="M74" s="526"/>
      <c r="N74" s="527"/>
      <c r="O74" s="530"/>
      <c r="P74" s="395"/>
      <c r="Q74" s="395"/>
      <c r="R74" s="396"/>
    </row>
    <row r="75" spans="1:18" ht="39.75" customHeight="1" x14ac:dyDescent="0.2">
      <c r="A75" s="503" t="str">
        <f>VALORACIÓN!A76</f>
        <v>23G</v>
      </c>
      <c r="B75" s="496" t="str">
        <f>VALORACIÓN!B76</f>
        <v>Gestión Administrativa. Inadecuado gestión de los residuos</v>
      </c>
      <c r="C75" s="527" t="str">
        <f>IF(IDENTIFICACIÓN!B31="","",IDENTIFICACIÓN!B31)</f>
        <v>Incumplimiento de los Programas formulados para el manejo adecuado de los residuos generados en las actividades desarrolladas.
Falta de asignación presupuestal para la implementación del PGIR.</v>
      </c>
      <c r="D75" s="527" t="str">
        <f>IF(IDENTIFICACIÓN!F31="","",IDENTIFICACIÓN!F31)</f>
        <v>Afectación y riesgos a la salud
Contaminación ambiental
Sanciones ambientales</v>
      </c>
      <c r="E75" s="537">
        <f>ANALISIS!D33</f>
        <v>4</v>
      </c>
      <c r="F75" s="538" t="str">
        <f>ANALISIS!E33</f>
        <v>PROBABLE</v>
      </c>
      <c r="G75" s="537">
        <f>ANALISIS!G33</f>
        <v>4</v>
      </c>
      <c r="H75" s="538" t="str">
        <f>ANALISIS!H33</f>
        <v>MAYOR</v>
      </c>
      <c r="I75" s="552" t="str">
        <f>ANALISIS!J33</f>
        <v>EXTREMA 4:4</v>
      </c>
      <c r="J75" s="357">
        <f>VALORACIÓN!C76</f>
        <v>1</v>
      </c>
      <c r="K75" s="358" t="str">
        <f>IF(VALORACIÓN!F76=0,"",VALORACIÓN!F76)</f>
        <v>Planes de Manejo Ambiental</v>
      </c>
      <c r="L75" s="550">
        <f>VALORACIÓN!AA76</f>
        <v>50</v>
      </c>
      <c r="M75" s="551" t="str">
        <f>VALORACIÓN!AG76</f>
        <v>EXTREMA 4:4</v>
      </c>
      <c r="N75" s="527" t="str">
        <f>VALORACIÓN!AG77</f>
        <v>- Eliminar Causa(s)- Evitar Posibilidad de Ocurrencia- Reducir el Riesgo- Compartir o Transferir el Riesgo</v>
      </c>
      <c r="O75" s="528" t="str">
        <f>IF(B75="","",IF(VALORACIÓN!BA76="","Aceptar el Riesgo sin necesidad de tomar otras medidas de control diferentes a las que se poseen, considerando que estos son efectivos con ponderacion de 100, y la evaluación final del riesgos es Baja 1:1",VALORACIÓN!BA76))</f>
        <v>- Replantear control(es) NO efectivo(s) - Tomar Acciones Preventivas y Correctivas</v>
      </c>
      <c r="P75" s="395" t="s">
        <v>404</v>
      </c>
      <c r="Q75" s="395" t="s">
        <v>804</v>
      </c>
      <c r="R75" s="396" t="s">
        <v>70</v>
      </c>
    </row>
    <row r="76" spans="1:18" ht="39.75" customHeight="1" x14ac:dyDescent="0.2">
      <c r="A76" s="503"/>
      <c r="B76" s="496"/>
      <c r="C76" s="527"/>
      <c r="D76" s="527"/>
      <c r="E76" s="537"/>
      <c r="F76" s="539"/>
      <c r="G76" s="537"/>
      <c r="H76" s="539"/>
      <c r="I76" s="548"/>
      <c r="J76" s="357">
        <f>VALORACIÓN!C77</f>
        <v>2</v>
      </c>
      <c r="K76" s="358" t="str">
        <f>IF(VALORACIÓN!F77=0,"",VALORACIÓN!F77)</f>
        <v/>
      </c>
      <c r="L76" s="550"/>
      <c r="M76" s="525"/>
      <c r="N76" s="527"/>
      <c r="O76" s="529"/>
      <c r="P76" s="395"/>
      <c r="Q76" s="395"/>
      <c r="R76" s="396"/>
    </row>
    <row r="77" spans="1:18" ht="39.75" customHeight="1" x14ac:dyDescent="0.2">
      <c r="A77" s="503"/>
      <c r="B77" s="496"/>
      <c r="C77" s="527"/>
      <c r="D77" s="527"/>
      <c r="E77" s="537"/>
      <c r="F77" s="540"/>
      <c r="G77" s="537"/>
      <c r="H77" s="540"/>
      <c r="I77" s="549"/>
      <c r="J77" s="357">
        <f>VALORACIÓN!C78</f>
        <v>3</v>
      </c>
      <c r="K77" s="358" t="str">
        <f>IF(VALORACIÓN!F78=0,"",VALORACIÓN!F78)</f>
        <v/>
      </c>
      <c r="L77" s="550"/>
      <c r="M77" s="526"/>
      <c r="N77" s="527"/>
      <c r="O77" s="530"/>
      <c r="P77" s="395"/>
      <c r="Q77" s="395"/>
      <c r="R77" s="396"/>
    </row>
    <row r="78" spans="1:18" ht="39.75" customHeight="1" x14ac:dyDescent="0.2">
      <c r="A78" s="503" t="str">
        <f>VALORACIÓN!A79</f>
        <v>24G</v>
      </c>
      <c r="B78" s="496" t="str">
        <f>VALORACIÓN!B79</f>
        <v>Gestión del Talento Humano. Deficiente desempeño laboral de los funcionarios de la Universidad.</v>
      </c>
      <c r="C78" s="527" t="str">
        <f>IF(IDENTIFICACIÓN!B32="","",IDENTIFICACIÓN!B32)</f>
        <v>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v>
      </c>
      <c r="D78" s="527" t="str">
        <f>IF(IDENTIFICACIÓN!F32="","",IDENTIFICACIÓN!F32)</f>
        <v>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v>
      </c>
      <c r="E78" s="537">
        <f>ANALISIS!D34</f>
        <v>5</v>
      </c>
      <c r="F78" s="538" t="str">
        <f>ANALISIS!E34</f>
        <v>CASI CERTEZA</v>
      </c>
      <c r="G78" s="537">
        <f>ANALISIS!G34</f>
        <v>4</v>
      </c>
      <c r="H78" s="538" t="str">
        <f>ANALISIS!H34</f>
        <v>MAYOR</v>
      </c>
      <c r="I78" s="552" t="str">
        <f>ANALISIS!J34</f>
        <v>EXTREMA 5:4</v>
      </c>
      <c r="J78" s="357">
        <f>VALORACIÓN!C79</f>
        <v>1</v>
      </c>
      <c r="K78" s="358" t="str">
        <f>IF(VALORACIÓN!F79=0,"",VALORACIÓN!F79)</f>
        <v>Procedimiento de Evaluación por Competencias</v>
      </c>
      <c r="L78" s="550">
        <f>VALORACIÓN!AA79</f>
        <v>53</v>
      </c>
      <c r="M78" s="551" t="str">
        <f>VALORACIÓN!AG79</f>
        <v>EXTREMA 4:4</v>
      </c>
      <c r="N78" s="527" t="str">
        <f>VALORACIÓN!AG80</f>
        <v>- Eliminar Causa(s)- Evitar Posibilidad de Ocurrencia- Reducir el Riesgo- Compartir o Transferir el Riesgo</v>
      </c>
      <c r="O78" s="528" t="str">
        <f>IF(B78="","",IF(VALORACIÓN!BA79="","Aceptar el Riesgo sin necesidad de tomar otras medidas de control diferentes a las que se poseen, considerando que estos son efectivos con ponderacion de 100, y la evaluación final del riesgos es Baja 1:1",VALORACIÓN!BA79))</f>
        <v>- Documentar, Establecer periodos de seguimiento adecuados (de) el(los) control(es) Efectivo(s) - Replantear control(es) NO efectivo(s) - Tomar Acciones Preventivas y Correctivas</v>
      </c>
      <c r="P78" s="395" t="s">
        <v>404</v>
      </c>
      <c r="Q78" s="395" t="s">
        <v>805</v>
      </c>
      <c r="R78" s="396" t="s">
        <v>69</v>
      </c>
    </row>
    <row r="79" spans="1:18" ht="39.75" customHeight="1" x14ac:dyDescent="0.2">
      <c r="A79" s="503"/>
      <c r="B79" s="496"/>
      <c r="C79" s="527"/>
      <c r="D79" s="527"/>
      <c r="E79" s="537"/>
      <c r="F79" s="539"/>
      <c r="G79" s="537"/>
      <c r="H79" s="539"/>
      <c r="I79" s="548"/>
      <c r="J79" s="357">
        <f>VALORACIÓN!C80</f>
        <v>2</v>
      </c>
      <c r="K79" s="358" t="str">
        <f>IF(VALORACIÓN!F80=0,"",VALORACIÓN!F80)</f>
        <v>Formatos de Inducción y Reinducción</v>
      </c>
      <c r="L79" s="550"/>
      <c r="M79" s="525"/>
      <c r="N79" s="527"/>
      <c r="O79" s="529"/>
      <c r="P79" s="395" t="s">
        <v>404</v>
      </c>
      <c r="Q79" s="395" t="s">
        <v>806</v>
      </c>
      <c r="R79" s="396" t="s">
        <v>70</v>
      </c>
    </row>
    <row r="80" spans="1:18" ht="39.75" customHeight="1" x14ac:dyDescent="0.2">
      <c r="A80" s="503"/>
      <c r="B80" s="496"/>
      <c r="C80" s="527"/>
      <c r="D80" s="527"/>
      <c r="E80" s="537"/>
      <c r="F80" s="540"/>
      <c r="G80" s="537"/>
      <c r="H80" s="540"/>
      <c r="I80" s="549"/>
      <c r="J80" s="357">
        <f>VALORACIÓN!C81</f>
        <v>3</v>
      </c>
      <c r="K80" s="358" t="str">
        <f>IF(VALORACIÓN!F81=0,"",VALORACIÓN!F81)</f>
        <v/>
      </c>
      <c r="L80" s="550"/>
      <c r="M80" s="526"/>
      <c r="N80" s="527"/>
      <c r="O80" s="530"/>
      <c r="P80" s="395"/>
      <c r="Q80" s="395"/>
      <c r="R80" s="396"/>
    </row>
    <row r="81" spans="1:18" ht="39.75" customHeight="1" x14ac:dyDescent="0.2">
      <c r="A81" s="503" t="str">
        <f>VALORACIÓN!A82</f>
        <v>25G</v>
      </c>
      <c r="B81" s="496" t="str">
        <f>VALORACIÓN!B82</f>
        <v>Gestión del Talento Humano. Falta de plan de incentivos y/o estímulos.</v>
      </c>
      <c r="C81" s="527" t="str">
        <f>IF(IDENTIFICACIÓN!B33="","",IDENTIFICACIÓN!B33)</f>
        <v>1. Falta de Formulación del plan de incentivos para los empleados.
2.Falta de diagnostico integral de las 
necesidades reales de los 
funcionarios frente al programas de 
Bienestar Social Laboral.</v>
      </c>
      <c r="D81" s="527" t="str">
        <f>IF(IDENTIFICACIÓN!F33="","",IDENTIFICACIÓN!F33)</f>
        <v>1. Inconformidad de los empleados.
2. Desestimulación del desempeño laboral.
3. Inadecuado ambiente laboral.</v>
      </c>
      <c r="E81" s="537">
        <f>ANALISIS!D35</f>
        <v>5</v>
      </c>
      <c r="F81" s="538" t="str">
        <f>ANALISIS!E35</f>
        <v>CASI CERTEZA</v>
      </c>
      <c r="G81" s="537">
        <f>ANALISIS!G35</f>
        <v>3</v>
      </c>
      <c r="H81" s="538" t="str">
        <f>ANALISIS!H35</f>
        <v>MODERADO</v>
      </c>
      <c r="I81" s="552" t="str">
        <f>ANALISIS!J35</f>
        <v>EXTREMA 5:3</v>
      </c>
      <c r="J81" s="357">
        <f>VALORACIÓN!C82</f>
        <v>1</v>
      </c>
      <c r="K81" s="358" t="str">
        <f>IF(VALORACIÓN!F82=0,"",VALORACIÓN!F82)</f>
        <v/>
      </c>
      <c r="L81" s="550" t="str">
        <f>VALORACIÓN!AA82</f>
        <v/>
      </c>
      <c r="M81" s="551" t="str">
        <f>VALORACIÓN!AG82</f>
        <v>EXTREMA 5:3</v>
      </c>
      <c r="N81" s="527" t="str">
        <f>VALORACIÓN!AG83</f>
        <v>- Eliminar Causa(s)- Evitar Posibilidad de Ocurrencia- Reducir el Riesgo- Compartir o Transferir el Riesgo</v>
      </c>
      <c r="O81" s="528" t="str">
        <f>IF(B81="","",IF(VALORACIÓN!BA82="","Aceptar el Riesgo sin necesidad de tomar otras medidas de control diferentes a las que se poseen, considerando que estos son efectivos con ponderacion de 100, y la evaluación final del riesgos es Baja 1:1",VALORACIÓN!BA82))</f>
        <v>- Tomar Acciones Preventivas y Correctivas</v>
      </c>
      <c r="P81" s="395" t="s">
        <v>404</v>
      </c>
      <c r="Q81" s="395" t="s">
        <v>807</v>
      </c>
      <c r="R81" s="396" t="s">
        <v>70</v>
      </c>
    </row>
    <row r="82" spans="1:18" ht="39.75" customHeight="1" x14ac:dyDescent="0.2">
      <c r="A82" s="503"/>
      <c r="B82" s="496"/>
      <c r="C82" s="527"/>
      <c r="D82" s="527"/>
      <c r="E82" s="537"/>
      <c r="F82" s="539"/>
      <c r="G82" s="537"/>
      <c r="H82" s="539"/>
      <c r="I82" s="548"/>
      <c r="J82" s="357">
        <f>VALORACIÓN!C83</f>
        <v>2</v>
      </c>
      <c r="K82" s="358" t="str">
        <f>IF(VALORACIÓN!F83=0,"",VALORACIÓN!F83)</f>
        <v/>
      </c>
      <c r="L82" s="550"/>
      <c r="M82" s="525"/>
      <c r="N82" s="527"/>
      <c r="O82" s="529"/>
      <c r="P82" s="395"/>
      <c r="Q82" s="395"/>
      <c r="R82" s="396"/>
    </row>
    <row r="83" spans="1:18" ht="39.75" customHeight="1" x14ac:dyDescent="0.2">
      <c r="A83" s="503"/>
      <c r="B83" s="496"/>
      <c r="C83" s="527"/>
      <c r="D83" s="527"/>
      <c r="E83" s="537"/>
      <c r="F83" s="540"/>
      <c r="G83" s="537"/>
      <c r="H83" s="540"/>
      <c r="I83" s="549"/>
      <c r="J83" s="357">
        <f>VALORACIÓN!C84</f>
        <v>3</v>
      </c>
      <c r="K83" s="358" t="str">
        <f>IF(VALORACIÓN!F84=0,"",VALORACIÓN!F84)</f>
        <v/>
      </c>
      <c r="L83" s="550"/>
      <c r="M83" s="526"/>
      <c r="N83" s="527"/>
      <c r="O83" s="530"/>
      <c r="P83" s="395"/>
      <c r="Q83" s="395"/>
      <c r="R83" s="396"/>
    </row>
    <row r="84" spans="1:18" ht="39.75" customHeight="1" x14ac:dyDescent="0.2">
      <c r="A84" s="503" t="str">
        <f>VALORACIÓN!A85</f>
        <v>26G</v>
      </c>
      <c r="B84" s="496" t="str">
        <f>VALORACIÓN!B85</f>
        <v>Gestión del Talento Humano. Demoras en la afilicación de catedráticos y ocasionales al Sistema de Seguridad Social Integral, y de los contratistas y estudiantes de Práctica a la Administradora de Riesgos Laborales.</v>
      </c>
      <c r="C84" s="527" t="str">
        <f>IF(IDENTIFICACIÓN!B34="","",IDENTIFICACIÓN!B34)</f>
        <v>1. Reporte tardío de la información de personal vinculado y/o contratado y de estudiantes de prácticas.
2. Omisión de información del personal vinculado y/o contratado y de estudiantes en prácticas.</v>
      </c>
      <c r="D84" s="527" t="str">
        <f>IF(IDENTIFICACIÓN!F34="","",IDENTIFICACIÓN!F34)</f>
        <v>1. Incumplimiento de obligaciones del empleador y/o contratante.
2. Sanciones y/o multas.
3. Demandas con repercusiones económicas.</v>
      </c>
      <c r="E84" s="537">
        <f>ANALISIS!D36</f>
        <v>5</v>
      </c>
      <c r="F84" s="538" t="str">
        <f>ANALISIS!E36</f>
        <v>CASI CERTEZA</v>
      </c>
      <c r="G84" s="537">
        <f>ANALISIS!G36</f>
        <v>5</v>
      </c>
      <c r="H84" s="538" t="str">
        <f>ANALISIS!H36</f>
        <v>CATASTRÓFICO</v>
      </c>
      <c r="I84" s="552" t="str">
        <f>ANALISIS!J36</f>
        <v>EXTREMA 5:5</v>
      </c>
      <c r="J84" s="357">
        <f>VALORACIÓN!C85</f>
        <v>1</v>
      </c>
      <c r="K84" s="358" t="str">
        <f>IF(VALORACIÓN!F85=0,"",VALORACIÓN!F85)</f>
        <v>Procedimiento de vinculación de empleados</v>
      </c>
      <c r="L84" s="550">
        <f>VALORACIÓN!AA85</f>
        <v>43</v>
      </c>
      <c r="M84" s="551" t="str">
        <f>VALORACIÓN!AG85</f>
        <v>EXTREMA 5:3</v>
      </c>
      <c r="N84" s="527" t="str">
        <f>VALORACIÓN!AG86</f>
        <v>- Eliminar Causa(s)- Evitar Posibilidad de Ocurrencia- Reducir el Riesgo- Compartir o Transferir el Riesgo</v>
      </c>
      <c r="O84" s="528" t="str">
        <f>IF(B84="","",IF(VALORACIÓN!BA85="","Aceptar el Riesgo sin necesidad de tomar otras medidas de control diferentes a las que se poseen, considerando que estos son efectivos con ponderacion de 100, y la evaluación final del riesgos es Baja 1:1",VALORACIÓN!BA85))</f>
        <v>- Replantear control(es) NO efectivo(s) - Tomar Acciones Preventivas y Correctivas</v>
      </c>
      <c r="P84" s="395" t="s">
        <v>404</v>
      </c>
      <c r="Q84" s="395" t="s">
        <v>808</v>
      </c>
      <c r="R84" s="396" t="s">
        <v>69</v>
      </c>
    </row>
    <row r="85" spans="1:18" ht="39.75" customHeight="1" x14ac:dyDescent="0.2">
      <c r="A85" s="503"/>
      <c r="B85" s="496"/>
      <c r="C85" s="527"/>
      <c r="D85" s="527"/>
      <c r="E85" s="537"/>
      <c r="F85" s="539"/>
      <c r="G85" s="537"/>
      <c r="H85" s="539"/>
      <c r="I85" s="548"/>
      <c r="J85" s="357">
        <f>VALORACIÓN!C86</f>
        <v>2</v>
      </c>
      <c r="K85" s="358" t="str">
        <f>IF(VALORACIÓN!F86=0,"",VALORACIÓN!F86)</f>
        <v>Relación de catedráticos, contratistas y estudiantes de prácticas.</v>
      </c>
      <c r="L85" s="550"/>
      <c r="M85" s="525"/>
      <c r="N85" s="527"/>
      <c r="O85" s="529"/>
      <c r="P85" s="395"/>
      <c r="Q85" s="395"/>
      <c r="R85" s="396"/>
    </row>
    <row r="86" spans="1:18" ht="39.75" customHeight="1" x14ac:dyDescent="0.2">
      <c r="A86" s="503"/>
      <c r="B86" s="496"/>
      <c r="C86" s="527"/>
      <c r="D86" s="527"/>
      <c r="E86" s="537"/>
      <c r="F86" s="540"/>
      <c r="G86" s="537"/>
      <c r="H86" s="540"/>
      <c r="I86" s="549"/>
      <c r="J86" s="357">
        <f>VALORACIÓN!C87</f>
        <v>3</v>
      </c>
      <c r="K86" s="358" t="str">
        <f>IF(VALORACIÓN!F87=0,"",VALORACIÓN!F87)</f>
        <v/>
      </c>
      <c r="L86" s="550"/>
      <c r="M86" s="526"/>
      <c r="N86" s="527"/>
      <c r="O86" s="530"/>
      <c r="P86" s="395"/>
      <c r="Q86" s="398"/>
      <c r="R86" s="398"/>
    </row>
    <row r="87" spans="1:18" ht="39.75" customHeight="1" x14ac:dyDescent="0.2">
      <c r="A87" s="503" t="str">
        <f>VALORACIÓN!A88</f>
        <v>27G</v>
      </c>
      <c r="B87" s="496" t="str">
        <f>VALORACIÓN!B88</f>
        <v>Evaluación Independiente. Deficiente evaluación y verificacion de la existencia, nivel de desarrollo y grado de efectividad del Sistema de Control Interno</v>
      </c>
      <c r="C87" s="527" t="str">
        <f>IF(IDENTIFICACIÓN!B35="","",IDENTIFICACIÓN!B35)</f>
        <v>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v>
      </c>
      <c r="D87" s="527" t="str">
        <f>IF(IDENTIFICACIÓN!F35="","",IDENTIFICACIÓN!F35)</f>
        <v xml:space="preserve">No consecución de metas misionales.
Sanciones por los diferentes organos de control.
Deterioro o perdida de los bienes o recursos publicos.
</v>
      </c>
      <c r="E87" s="537">
        <f>ANALISIS!D37</f>
        <v>1</v>
      </c>
      <c r="F87" s="538" t="str">
        <f>ANALISIS!E37</f>
        <v>RARO</v>
      </c>
      <c r="G87" s="537">
        <f>ANALISIS!G37</f>
        <v>4</v>
      </c>
      <c r="H87" s="538" t="str">
        <f>ANALISIS!H37</f>
        <v>MAYOR</v>
      </c>
      <c r="I87" s="552" t="str">
        <f>ANALISIS!J37</f>
        <v>ALTA 1:4</v>
      </c>
      <c r="J87" s="357">
        <f>VALORACIÓN!C88</f>
        <v>1</v>
      </c>
      <c r="K87" s="358" t="str">
        <f>IF(VALORACIÓN!F88=0,"",VALORACIÓN!F88)</f>
        <v>Revisión y aprobación del Plan Anual de Auditorias por el CCCI</v>
      </c>
      <c r="L87" s="550">
        <f>VALORACIÓN!AA88</f>
        <v>95</v>
      </c>
      <c r="M87" s="551" t="str">
        <f>VALORACIÓN!AG88</f>
        <v>ALTA 1:4</v>
      </c>
      <c r="N87" s="527" t="str">
        <f>VALORACIÓN!AG89</f>
        <v>- Reducir el Riesgo- Compartir o Transferir el Riesgo</v>
      </c>
      <c r="O87" s="528" t="str">
        <f>IF(B87="","",IF(VALORACIÓN!BA88="","Aceptar el Riesgo sin necesidad de tomar otras medidas de control diferentes a las que se poseen, considerando que estos son efectivos con ponderacion de 100, y la evaluación final del riesgos es Baja 1:1",VALORACIÓN!BA88))</f>
        <v>- Tomar Acciones Correctivas</v>
      </c>
      <c r="P87" s="395" t="s">
        <v>400</v>
      </c>
      <c r="Q87" s="395" t="s">
        <v>801</v>
      </c>
      <c r="R87" s="396" t="s">
        <v>97</v>
      </c>
    </row>
    <row r="88" spans="1:18" ht="39.75" customHeight="1" x14ac:dyDescent="0.2">
      <c r="A88" s="503"/>
      <c r="B88" s="496"/>
      <c r="C88" s="527"/>
      <c r="D88" s="527"/>
      <c r="E88" s="537"/>
      <c r="F88" s="539"/>
      <c r="G88" s="537"/>
      <c r="H88" s="539"/>
      <c r="I88" s="548"/>
      <c r="J88" s="357">
        <f>VALORACIÓN!C89</f>
        <v>2</v>
      </c>
      <c r="K88" s="358" t="str">
        <f>IF(VALORACIÓN!F89=0,"",VALORACIÓN!F89)</f>
        <v>Procedimiento de evaluación SCI</v>
      </c>
      <c r="L88" s="550"/>
      <c r="M88" s="525"/>
      <c r="N88" s="527"/>
      <c r="O88" s="529"/>
      <c r="P88" s="395"/>
      <c r="Q88" s="395"/>
      <c r="R88" s="396"/>
    </row>
    <row r="89" spans="1:18" ht="39.75" customHeight="1" x14ac:dyDescent="0.2">
      <c r="A89" s="503"/>
      <c r="B89" s="496"/>
      <c r="C89" s="527"/>
      <c r="D89" s="527"/>
      <c r="E89" s="537"/>
      <c r="F89" s="540"/>
      <c r="G89" s="537"/>
      <c r="H89" s="540"/>
      <c r="I89" s="549"/>
      <c r="J89" s="357">
        <f>VALORACIÓN!C90</f>
        <v>3</v>
      </c>
      <c r="K89" s="358" t="str">
        <f>IF(VALORACIÓN!F90=0,"",VALORACIÓN!F90)</f>
        <v>Seguimiento de indicadores de cumplimiento del plan anual de auditorias y de avances del sistema de control interno</v>
      </c>
      <c r="L89" s="550"/>
      <c r="M89" s="526"/>
      <c r="N89" s="527"/>
      <c r="O89" s="530"/>
      <c r="P89" s="395"/>
      <c r="Q89" s="395"/>
      <c r="R89" s="396"/>
    </row>
    <row r="90" spans="1:18" ht="39.75" customHeight="1" x14ac:dyDescent="0.2">
      <c r="A90" s="503" t="str">
        <f>VALORACIÓN!A91</f>
        <v>28G</v>
      </c>
      <c r="B90" s="496" t="str">
        <f>VALORACIÓN!B91</f>
        <v>Evaluación Independiente. Deficiente evaluación del nivel de avance de las acciones pactadas en los planes de mejoramiento</v>
      </c>
      <c r="C90" s="527" t="str">
        <f>IF(IDENTIFICACIÓN!B36="","",IDENTIFICACIÓN!B36)</f>
        <v>Baja disponibilidad en el equipo de trabajo en el seguimiento del sistema.
Personal sin las competencias y conocimientos adecuadas
Poca disponibilidad de la informacion de entrada
Falta de cultura del autocontrol, autogestion y autorregulación</v>
      </c>
      <c r="D90" s="527" t="str">
        <f>IF(IDENTIFICACIÓN!F36="","",IDENTIFICACIÓN!F36)</f>
        <v>Incumplimiento en el logro de metas y objetivos.
Sanciones de organismos de control
Deterioro o perdida de los bienes o recursos publicos.</v>
      </c>
      <c r="E90" s="537">
        <f>ANALISIS!D38</f>
        <v>2</v>
      </c>
      <c r="F90" s="538" t="str">
        <f>ANALISIS!E38</f>
        <v>IMPROBABLE</v>
      </c>
      <c r="G90" s="537">
        <f>ANALISIS!G38</f>
        <v>4</v>
      </c>
      <c r="H90" s="538" t="str">
        <f>ANALISIS!H38</f>
        <v>MAYOR</v>
      </c>
      <c r="I90" s="552" t="str">
        <f>ANALISIS!J38</f>
        <v>ALTA 2:4</v>
      </c>
      <c r="J90" s="357">
        <f>VALORACIÓN!C91</f>
        <v>1</v>
      </c>
      <c r="K90" s="358" t="str">
        <f>IF(VALORACIÓN!F91=0,"",VALORACIÓN!F91)</f>
        <v>Seguimiento de indicadores de ejecución del plan anual de auditorias, de asesorias y acompañamientos ejecutados y de informes entregados oportunamente</v>
      </c>
      <c r="L90" s="550">
        <f>VALORACIÓN!AA91</f>
        <v>95</v>
      </c>
      <c r="M90" s="551" t="str">
        <f>VALORACIÓN!AG91</f>
        <v>ALTA 1:4</v>
      </c>
      <c r="N90" s="527" t="str">
        <f>VALORACIÓN!AG92</f>
        <v>- Reducir el Riesgo- Compartir o Transferir el Riesgo</v>
      </c>
      <c r="O90" s="528" t="str">
        <f>IF(B90="","",IF(VALORACIÓN!BA91="","Aceptar el Riesgo sin necesidad de tomar otras medidas de control diferentes a las que se poseen, considerando que estos son efectivos con ponderacion de 100, y la evaluación final del riesgos es Baja 1:1",VALORACIÓN!BA91))</f>
        <v>- Tomar Acciones Correctivas</v>
      </c>
      <c r="P90" s="395" t="s">
        <v>400</v>
      </c>
      <c r="Q90" s="395" t="s">
        <v>801</v>
      </c>
      <c r="R90" s="396" t="s">
        <v>97</v>
      </c>
    </row>
    <row r="91" spans="1:18" ht="39.75" customHeight="1" x14ac:dyDescent="0.2">
      <c r="A91" s="503"/>
      <c r="B91" s="496"/>
      <c r="C91" s="527"/>
      <c r="D91" s="527"/>
      <c r="E91" s="537"/>
      <c r="F91" s="539"/>
      <c r="G91" s="537"/>
      <c r="H91" s="539"/>
      <c r="I91" s="548"/>
      <c r="J91" s="357">
        <f>VALORACIÓN!C92</f>
        <v>2</v>
      </c>
      <c r="K91" s="358" t="str">
        <f>IF(VALORACIÓN!F92=0,"",VALORACIÓN!F92)</f>
        <v>Seguimiento a las fechas de presentacion de avances de PM</v>
      </c>
      <c r="L91" s="550"/>
      <c r="M91" s="525"/>
      <c r="N91" s="527"/>
      <c r="O91" s="529"/>
      <c r="P91" s="395"/>
      <c r="Q91" s="395"/>
      <c r="R91" s="396"/>
    </row>
    <row r="92" spans="1:18" ht="39.75" customHeight="1" thickBot="1" x14ac:dyDescent="0.25">
      <c r="A92" s="503"/>
      <c r="B92" s="496"/>
      <c r="C92" s="527"/>
      <c r="D92" s="527"/>
      <c r="E92" s="537"/>
      <c r="F92" s="540"/>
      <c r="G92" s="537"/>
      <c r="H92" s="540"/>
      <c r="I92" s="549"/>
      <c r="J92" s="357">
        <f>VALORACIÓN!C93</f>
        <v>3</v>
      </c>
      <c r="K92" s="358" t="str">
        <f>IF(VALORACIÓN!F93=0,"",VALORACIÓN!F93)</f>
        <v>Procedimiento Plan de mejoramiento</v>
      </c>
      <c r="L92" s="550"/>
      <c r="M92" s="526"/>
      <c r="N92" s="527"/>
      <c r="O92" s="530"/>
      <c r="P92" s="395"/>
      <c r="Q92" s="395"/>
      <c r="R92" s="396"/>
    </row>
    <row r="93" spans="1:18" ht="24.75" customHeight="1" thickTop="1" thickBot="1" x14ac:dyDescent="0.25">
      <c r="A93" s="460" t="str">
        <f>IDENTIFICACIÓN!A37</f>
        <v>RIESGOS DE CORRUPCIÓN</v>
      </c>
      <c r="B93" s="461"/>
      <c r="C93" s="461"/>
      <c r="D93" s="461"/>
      <c r="E93" s="461"/>
      <c r="F93" s="461"/>
      <c r="G93" s="461"/>
      <c r="H93" s="461"/>
      <c r="I93" s="461"/>
      <c r="J93" s="461"/>
      <c r="K93" s="461"/>
      <c r="L93" s="461"/>
      <c r="M93" s="461"/>
      <c r="N93" s="461"/>
      <c r="O93" s="461"/>
      <c r="P93" s="461"/>
      <c r="Q93" s="461"/>
      <c r="R93" s="462"/>
    </row>
    <row r="94" spans="1:18" ht="39.75" customHeight="1" thickTop="1" x14ac:dyDescent="0.2">
      <c r="A94" s="531" t="str">
        <f>VALORACIÓN!A95</f>
        <v>1C</v>
      </c>
      <c r="B94" s="496" t="str">
        <f>VALORACIÓN!B95</f>
        <v>Relaciones Interinstitucionales. Tráfico de Influencias</v>
      </c>
      <c r="C94" s="527" t="str">
        <f>IF(IDENTIFICACIÓN!B38="","",IDENTIFICACIÓN!B38)</f>
        <v>Concentración de autoridad o exceso de poder. Extralimitación de funciones. Ausencia Cultura de Ética y Buen Gobierno.</v>
      </c>
      <c r="D94" s="534" t="str">
        <f>IF(IDENTIFICACIÓN!D38="","","NA")</f>
        <v>NA</v>
      </c>
      <c r="E94" s="537">
        <f>ANALISIS!D40</f>
        <v>3</v>
      </c>
      <c r="F94" s="538" t="str">
        <f>ANALISIS!E40</f>
        <v>POSIBLE</v>
      </c>
      <c r="G94" s="541" t="s">
        <v>353</v>
      </c>
      <c r="H94" s="542"/>
      <c r="I94" s="547" t="str">
        <f>ANALISIS!J40</f>
        <v>MODERADA</v>
      </c>
      <c r="J94" s="248">
        <f>VALORACIÓN!C95</f>
        <v>1</v>
      </c>
      <c r="K94" s="251" t="str">
        <f>IF(VALORACIÓN!F95=0,"",VALORACIÓN!F95)</f>
        <v/>
      </c>
      <c r="L94" s="550" t="str">
        <f>VALORACIÓN!AA95</f>
        <v/>
      </c>
      <c r="M94" s="524" t="str">
        <f>VALORACIÓN!AG95</f>
        <v>MODERADA</v>
      </c>
      <c r="N94" s="527" t="str">
        <f>VALORACIÓN!AG96</f>
        <v>- Evitar Posibilidad de Ocurrencia- Reducir el Riesgo</v>
      </c>
      <c r="O94" s="528" t="str">
        <f>IF(B94="","",IF(VALORACIÓN!BA95="","Aceptar el Riesgo sin necesidad de tomar otras medidas de control diferentes a las que se poseen, considerando que estos son efectivos con ponderacion de 100, y la evaluación final del riesgos es Baja 1:1",VALORACIÓN!BA95))</f>
        <v>- Tomar Acciones Preventivas</v>
      </c>
      <c r="P94" s="395" t="s">
        <v>403</v>
      </c>
      <c r="Q94" s="395" t="s">
        <v>809</v>
      </c>
      <c r="R94" s="396" t="s">
        <v>70</v>
      </c>
    </row>
    <row r="95" spans="1:18" ht="39.75" customHeight="1" x14ac:dyDescent="0.2">
      <c r="A95" s="532"/>
      <c r="B95" s="496"/>
      <c r="C95" s="527"/>
      <c r="D95" s="535"/>
      <c r="E95" s="537"/>
      <c r="F95" s="539"/>
      <c r="G95" s="543"/>
      <c r="H95" s="544"/>
      <c r="I95" s="548"/>
      <c r="J95" s="248">
        <f>VALORACIÓN!C96</f>
        <v>2</v>
      </c>
      <c r="K95" s="251" t="str">
        <f>IF(VALORACIÓN!F96=0,"",VALORACIÓN!F96)</f>
        <v/>
      </c>
      <c r="L95" s="550"/>
      <c r="M95" s="525"/>
      <c r="N95" s="527"/>
      <c r="O95" s="529"/>
      <c r="P95" s="395"/>
      <c r="Q95" s="395"/>
      <c r="R95" s="396"/>
    </row>
    <row r="96" spans="1:18" ht="39.75" customHeight="1" thickBot="1" x14ac:dyDescent="0.25">
      <c r="A96" s="533"/>
      <c r="B96" s="496"/>
      <c r="C96" s="527"/>
      <c r="D96" s="536"/>
      <c r="E96" s="537"/>
      <c r="F96" s="540"/>
      <c r="G96" s="545"/>
      <c r="H96" s="546"/>
      <c r="I96" s="549"/>
      <c r="J96" s="248">
        <f>VALORACIÓN!C97</f>
        <v>3</v>
      </c>
      <c r="K96" s="251" t="str">
        <f>IF(VALORACIÓN!F97=0,"",VALORACIÓN!F97)</f>
        <v/>
      </c>
      <c r="L96" s="550"/>
      <c r="M96" s="526"/>
      <c r="N96" s="527"/>
      <c r="O96" s="530"/>
      <c r="P96" s="395"/>
      <c r="Q96" s="395"/>
      <c r="R96" s="396"/>
    </row>
    <row r="97" spans="1:18" ht="39.75" customHeight="1" thickTop="1" x14ac:dyDescent="0.2">
      <c r="A97" s="531" t="str">
        <f>VALORACIÓN!A98</f>
        <v>2C</v>
      </c>
      <c r="B97" s="496" t="str">
        <f>VALORACIÓN!B98</f>
        <v>Dirección y Planeación. Ausencia o debilidad de procesos y procedimientos para la gestión administrativa y misional</v>
      </c>
      <c r="C97" s="527" t="str">
        <f>IF(IDENTIFICACIÓN!B39="","",IDENTIFICACIÓN!B39)</f>
        <v>Ausencia de cultura de información</v>
      </c>
      <c r="D97" s="534" t="str">
        <f>IF(IDENTIFICACIÓN!D39="","","NA")</f>
        <v>NA</v>
      </c>
      <c r="E97" s="537">
        <f>ANALISIS!D41</f>
        <v>3</v>
      </c>
      <c r="F97" s="538" t="str">
        <f>ANALISIS!E41</f>
        <v>POSIBLE</v>
      </c>
      <c r="G97" s="541" t="s">
        <v>353</v>
      </c>
      <c r="H97" s="542"/>
      <c r="I97" s="547" t="str">
        <f>ANALISIS!J41</f>
        <v>MODERADA</v>
      </c>
      <c r="J97" s="248">
        <f>VALORACIÓN!C98</f>
        <v>1</v>
      </c>
      <c r="K97" s="251" t="str">
        <f>IF(VALORACIÓN!F98=0,"",VALORACIÓN!F98)</f>
        <v>Revisión por la Alta Dirección del Sistema de Gestión Integral de la Calidad</v>
      </c>
      <c r="L97" s="550">
        <f>VALORACIÓN!AA98</f>
        <v>95</v>
      </c>
      <c r="M97" s="524" t="str">
        <f>VALORACIÓN!AG98</f>
        <v>MODERADA</v>
      </c>
      <c r="N97" s="527" t="str">
        <f>VALORACIÓN!AG99</f>
        <v>- Evitar Posibilidad de Ocurrencia- Reducir el Riesgo</v>
      </c>
      <c r="O97" s="528" t="str">
        <f>IF(B97="","",IF(VALORACIÓN!BA98="","Aceptar el Riesgo sin necesidad de tomar otras medidas de control diferentes a las que se poseen, considerando que estos son efectivos con ponderacion de 100, y la evaluación final del riesgos es Baja 1:1",VALORACIÓN!BA98))</f>
        <v>- Tomar Acciones Preventivas</v>
      </c>
      <c r="P97" s="395" t="s">
        <v>406</v>
      </c>
      <c r="Q97" s="395" t="s">
        <v>801</v>
      </c>
      <c r="R97" s="396" t="s">
        <v>97</v>
      </c>
    </row>
    <row r="98" spans="1:18" ht="39.75" customHeight="1" x14ac:dyDescent="0.2">
      <c r="A98" s="532"/>
      <c r="B98" s="496"/>
      <c r="C98" s="527"/>
      <c r="D98" s="535"/>
      <c r="E98" s="537"/>
      <c r="F98" s="539"/>
      <c r="G98" s="543"/>
      <c r="H98" s="544"/>
      <c r="I98" s="548"/>
      <c r="J98" s="248">
        <f>VALORACIÓN!C99</f>
        <v>2</v>
      </c>
      <c r="K98" s="251" t="str">
        <f>IF(VALORACIÓN!F99=0,"",VALORACIÓN!F99)</f>
        <v/>
      </c>
      <c r="L98" s="550"/>
      <c r="M98" s="525"/>
      <c r="N98" s="527"/>
      <c r="O98" s="529"/>
      <c r="P98" s="395"/>
      <c r="Q98" s="395"/>
      <c r="R98" s="396"/>
    </row>
    <row r="99" spans="1:18" ht="39.75" customHeight="1" thickBot="1" x14ac:dyDescent="0.25">
      <c r="A99" s="533"/>
      <c r="B99" s="496"/>
      <c r="C99" s="527"/>
      <c r="D99" s="536"/>
      <c r="E99" s="537"/>
      <c r="F99" s="540"/>
      <c r="G99" s="545"/>
      <c r="H99" s="546"/>
      <c r="I99" s="549"/>
      <c r="J99" s="248">
        <f>VALORACIÓN!C100</f>
        <v>3</v>
      </c>
      <c r="K99" s="251" t="str">
        <f>IF(VALORACIÓN!F100=0,"",VALORACIÓN!F100)</f>
        <v/>
      </c>
      <c r="L99" s="550"/>
      <c r="M99" s="526"/>
      <c r="N99" s="527"/>
      <c r="O99" s="530"/>
      <c r="P99" s="395"/>
      <c r="Q99" s="395"/>
      <c r="R99" s="396"/>
    </row>
    <row r="100" spans="1:18" ht="39.75" customHeight="1" thickTop="1" x14ac:dyDescent="0.2">
      <c r="A100" s="531" t="str">
        <f>VALORACIÓN!A101</f>
        <v>3C</v>
      </c>
      <c r="B100" s="496" t="str">
        <f>VALORACIÓN!B101</f>
        <v>Dirección y Planeación. Prevaricato</v>
      </c>
      <c r="C100" s="527" t="str">
        <f>IF(IDENTIFICACIÓN!B40="","",IDENTIFICACIÓN!B40)</f>
        <v>Desconocimiento de la ley</v>
      </c>
      <c r="D100" s="534" t="str">
        <f>IF(IDENTIFICACIÓN!D40="","","NA")</f>
        <v>NA</v>
      </c>
      <c r="E100" s="537">
        <f>ANALISIS!D42</f>
        <v>3</v>
      </c>
      <c r="F100" s="538" t="str">
        <f>ANALISIS!E42</f>
        <v>POSIBLE</v>
      </c>
      <c r="G100" s="541" t="s">
        <v>353</v>
      </c>
      <c r="H100" s="542"/>
      <c r="I100" s="547" t="str">
        <f>ANALISIS!J42</f>
        <v>MODERADA</v>
      </c>
      <c r="J100" s="248">
        <f>VALORACIÓN!C101</f>
        <v>1</v>
      </c>
      <c r="K100" s="251" t="str">
        <f>IF(VALORACIÓN!F101=0,"",VALORACIÓN!F101)</f>
        <v>Consejos: Superior, Académico, Investigación, Extensión, Planeación, Facultad y Programas</v>
      </c>
      <c r="L100" s="550">
        <f>VALORACIÓN!AA101</f>
        <v>95</v>
      </c>
      <c r="M100" s="524" t="str">
        <f>VALORACIÓN!AG101</f>
        <v>MODERADA</v>
      </c>
      <c r="N100" s="527" t="str">
        <f>VALORACIÓN!AG102</f>
        <v>- Evitar Posibilidad de Ocurrencia- Reducir el Riesgo</v>
      </c>
      <c r="O100" s="528" t="str">
        <f>IF(B100="","",IF(VALORACIÓN!BA101="","Aceptar el Riesgo sin necesidad de tomar otras medidas de control diferentes a las que se poseen, considerando que estos son efectivos con ponderacion de 100, y la evaluación final del riesgos es Baja 1:1",VALORACIÓN!BA101))</f>
        <v>- Tomar Acciones Preventivas</v>
      </c>
      <c r="P100" s="395" t="s">
        <v>406</v>
      </c>
      <c r="Q100" s="395" t="s">
        <v>801</v>
      </c>
      <c r="R100" s="396" t="s">
        <v>97</v>
      </c>
    </row>
    <row r="101" spans="1:18" ht="39.75" customHeight="1" x14ac:dyDescent="0.2">
      <c r="A101" s="532"/>
      <c r="B101" s="496"/>
      <c r="C101" s="527"/>
      <c r="D101" s="535"/>
      <c r="E101" s="537"/>
      <c r="F101" s="539"/>
      <c r="G101" s="543"/>
      <c r="H101" s="544"/>
      <c r="I101" s="548"/>
      <c r="J101" s="248">
        <f>VALORACIÓN!C102</f>
        <v>2</v>
      </c>
      <c r="K101" s="251" t="str">
        <f>IF(VALORACIÓN!F102=0,"",VALORACIÓN!F102)</f>
        <v/>
      </c>
      <c r="L101" s="550"/>
      <c r="M101" s="525"/>
      <c r="N101" s="527"/>
      <c r="O101" s="529"/>
      <c r="P101" s="395"/>
      <c r="Q101" s="395"/>
      <c r="R101" s="396"/>
    </row>
    <row r="102" spans="1:18" ht="39.75" customHeight="1" thickBot="1" x14ac:dyDescent="0.25">
      <c r="A102" s="533"/>
      <c r="B102" s="496"/>
      <c r="C102" s="527"/>
      <c r="D102" s="536"/>
      <c r="E102" s="537"/>
      <c r="F102" s="540"/>
      <c r="G102" s="545"/>
      <c r="H102" s="546"/>
      <c r="I102" s="549"/>
      <c r="J102" s="248">
        <f>VALORACIÓN!C103</f>
        <v>3</v>
      </c>
      <c r="K102" s="251" t="str">
        <f>IF(VALORACIÓN!F103=0,"",VALORACIÓN!F103)</f>
        <v/>
      </c>
      <c r="L102" s="550"/>
      <c r="M102" s="526"/>
      <c r="N102" s="527"/>
      <c r="O102" s="530"/>
      <c r="P102" s="395"/>
      <c r="Q102" s="395"/>
      <c r="R102" s="396"/>
    </row>
    <row r="103" spans="1:18" ht="39.75" customHeight="1" thickTop="1" x14ac:dyDescent="0.2">
      <c r="A103" s="531" t="str">
        <f>VALORACIÓN!A104</f>
        <v>4C</v>
      </c>
      <c r="B103" s="496" t="str">
        <f>VALORACIÓN!B104</f>
        <v>Dirección y Planeación. Malversación de Recursos</v>
      </c>
      <c r="C103" s="527" t="str">
        <f>IF(IDENTIFICACIÓN!B41="","",IDENTIFICACIÓN!B41)</f>
        <v>Omisión de procedimientos legales</v>
      </c>
      <c r="D103" s="534" t="str">
        <f>IF(IDENTIFICACIÓN!D41="","","NA")</f>
        <v>NA</v>
      </c>
      <c r="E103" s="537">
        <f>ANALISIS!D43</f>
        <v>3</v>
      </c>
      <c r="F103" s="538" t="str">
        <f>ANALISIS!E43</f>
        <v>POSIBLE</v>
      </c>
      <c r="G103" s="541" t="s">
        <v>353</v>
      </c>
      <c r="H103" s="542"/>
      <c r="I103" s="547" t="str">
        <f>ANALISIS!J43</f>
        <v>MODERADA</v>
      </c>
      <c r="J103" s="248">
        <f>VALORACIÓN!C104</f>
        <v>1</v>
      </c>
      <c r="K103" s="251" t="str">
        <f>IF(VALORACIÓN!F104=0,"",VALORACIÓN!F104)</f>
        <v>Consejos: Superior, Académico, Investigación, Extensión, Planeación, Facultad y Programas</v>
      </c>
      <c r="L103" s="550">
        <f>VALORACIÓN!AA104</f>
        <v>95</v>
      </c>
      <c r="M103" s="524" t="str">
        <f>VALORACIÓN!AG104</f>
        <v>MODERADA</v>
      </c>
      <c r="N103" s="527" t="str">
        <f>VALORACIÓN!AG105</f>
        <v>- Evitar Posibilidad de Ocurrencia- Reducir el Riesgo</v>
      </c>
      <c r="O103" s="528" t="str">
        <f>IF(B103="","",IF(VALORACIÓN!BA104="","Aceptar el Riesgo sin necesidad de tomar otras medidas de control diferentes a las que se poseen, considerando que estos son efectivos con ponderacion de 100, y la evaluación final del riesgos es Baja 1:1",VALORACIÓN!BA104))</f>
        <v>- Tomar Acciones Preventivas</v>
      </c>
      <c r="P103" s="395" t="s">
        <v>406</v>
      </c>
      <c r="Q103" s="395" t="s">
        <v>801</v>
      </c>
      <c r="R103" s="396" t="s">
        <v>97</v>
      </c>
    </row>
    <row r="104" spans="1:18" ht="39.75" customHeight="1" x14ac:dyDescent="0.2">
      <c r="A104" s="532"/>
      <c r="B104" s="496"/>
      <c r="C104" s="527"/>
      <c r="D104" s="535"/>
      <c r="E104" s="537"/>
      <c r="F104" s="539"/>
      <c r="G104" s="543"/>
      <c r="H104" s="544"/>
      <c r="I104" s="548"/>
      <c r="J104" s="248">
        <f>VALORACIÓN!C105</f>
        <v>2</v>
      </c>
      <c r="K104" s="251" t="str">
        <f>IF(VALORACIÓN!F105=0,"",VALORACIÓN!F105)</f>
        <v/>
      </c>
      <c r="L104" s="550"/>
      <c r="M104" s="525"/>
      <c r="N104" s="527"/>
      <c r="O104" s="529"/>
      <c r="P104" s="395"/>
      <c r="Q104" s="395"/>
      <c r="R104" s="396"/>
    </row>
    <row r="105" spans="1:18" ht="39.75" customHeight="1" thickBot="1" x14ac:dyDescent="0.25">
      <c r="A105" s="533"/>
      <c r="B105" s="496"/>
      <c r="C105" s="527"/>
      <c r="D105" s="536"/>
      <c r="E105" s="537"/>
      <c r="F105" s="540"/>
      <c r="G105" s="545"/>
      <c r="H105" s="546"/>
      <c r="I105" s="549"/>
      <c r="J105" s="248">
        <f>VALORACIÓN!C106</f>
        <v>3</v>
      </c>
      <c r="K105" s="251" t="str">
        <f>IF(VALORACIÓN!F106=0,"",VALORACIÓN!F106)</f>
        <v/>
      </c>
      <c r="L105" s="550"/>
      <c r="M105" s="526"/>
      <c r="N105" s="527"/>
      <c r="O105" s="530"/>
      <c r="P105" s="395"/>
      <c r="Q105" s="395"/>
      <c r="R105" s="396"/>
    </row>
    <row r="106" spans="1:18" ht="39.75" customHeight="1" thickTop="1" x14ac:dyDescent="0.2">
      <c r="A106" s="531" t="str">
        <f>VALORACIÓN!A107</f>
        <v>5C</v>
      </c>
      <c r="B106" s="496" t="str">
        <f>VALORACIÓN!B107</f>
        <v>Acreditación. Deficiencias en el manejo documental y de archivo</v>
      </c>
      <c r="C106" s="527" t="str">
        <f>IF(IDENTIFICACIÓN!B42="","",IDENTIFICACIÓN!B42)</f>
        <v>Deficiente o débil organización en el acervo documental</v>
      </c>
      <c r="D106" s="534" t="str">
        <f>IF(IDENTIFICACIÓN!D42="","","NA")</f>
        <v>NA</v>
      </c>
      <c r="E106" s="537">
        <f>ANALISIS!D44</f>
        <v>3</v>
      </c>
      <c r="F106" s="538" t="str">
        <f>ANALISIS!E44</f>
        <v>POSIBLE</v>
      </c>
      <c r="G106" s="541" t="s">
        <v>353</v>
      </c>
      <c r="H106" s="542"/>
      <c r="I106" s="547" t="str">
        <f>ANALISIS!J44</f>
        <v>MODERADA</v>
      </c>
      <c r="J106" s="248">
        <f>VALORACIÓN!C107</f>
        <v>1</v>
      </c>
      <c r="K106" s="251" t="str">
        <f>IF(VALORACIÓN!F107=0,"",VALORACIÓN!F107)</f>
        <v>Se han implementado, procedimientos y formatos</v>
      </c>
      <c r="L106" s="550">
        <f>VALORACIÓN!AA107</f>
        <v>95</v>
      </c>
      <c r="M106" s="524" t="str">
        <f>VALORACIÓN!AG107</f>
        <v>MODERADA</v>
      </c>
      <c r="N106" s="527" t="str">
        <f>VALORACIÓN!AG108</f>
        <v>- Evitar Posibilidad de Ocurrencia- Reducir el Riesgo</v>
      </c>
      <c r="O106" s="528" t="str">
        <f>IF(B106="","",IF(VALORACIÓN!BA107="","Aceptar el Riesgo sin necesidad de tomar otras medidas de control diferentes a las que se poseen, considerando que estos son efectivos con ponderacion de 100, y la evaluación final del riesgos es Baja 1:1",VALORACIÓN!BA107))</f>
        <v>- Tomar Acciones Preventivas</v>
      </c>
      <c r="P106" s="395" t="s">
        <v>404</v>
      </c>
      <c r="Q106" s="395" t="s">
        <v>810</v>
      </c>
      <c r="R106" s="396" t="s">
        <v>69</v>
      </c>
    </row>
    <row r="107" spans="1:18" ht="39.75" customHeight="1" x14ac:dyDescent="0.2">
      <c r="A107" s="532"/>
      <c r="B107" s="496"/>
      <c r="C107" s="527"/>
      <c r="D107" s="535"/>
      <c r="E107" s="537"/>
      <c r="F107" s="539"/>
      <c r="G107" s="543"/>
      <c r="H107" s="544"/>
      <c r="I107" s="548"/>
      <c r="J107" s="248">
        <f>VALORACIÓN!C108</f>
        <v>2</v>
      </c>
      <c r="K107" s="251" t="str">
        <f>IF(VALORACIÓN!F108=0,"",VALORACIÓN!F108)</f>
        <v>Contratación de personal</v>
      </c>
      <c r="L107" s="550"/>
      <c r="M107" s="525"/>
      <c r="N107" s="527"/>
      <c r="O107" s="529"/>
      <c r="P107" s="395"/>
      <c r="Q107" s="395"/>
      <c r="R107" s="396"/>
    </row>
    <row r="108" spans="1:18" ht="39.75" customHeight="1" thickBot="1" x14ac:dyDescent="0.25">
      <c r="A108" s="533"/>
      <c r="B108" s="496"/>
      <c r="C108" s="527"/>
      <c r="D108" s="536"/>
      <c r="E108" s="537"/>
      <c r="F108" s="540"/>
      <c r="G108" s="545"/>
      <c r="H108" s="546"/>
      <c r="I108" s="549"/>
      <c r="J108" s="248">
        <f>VALORACIÓN!C109</f>
        <v>3</v>
      </c>
      <c r="K108" s="251" t="str">
        <f>IF(VALORACIÓN!F109=0,"",VALORACIÓN!F109)</f>
        <v/>
      </c>
      <c r="L108" s="550"/>
      <c r="M108" s="526"/>
      <c r="N108" s="527"/>
      <c r="O108" s="530"/>
      <c r="P108" s="395"/>
      <c r="Q108" s="395"/>
      <c r="R108" s="396"/>
    </row>
    <row r="109" spans="1:18" ht="30.75" thickTop="1" x14ac:dyDescent="0.2">
      <c r="A109" s="531" t="str">
        <f>VALORACIÓN!A110</f>
        <v>6C</v>
      </c>
      <c r="B109" s="496" t="str">
        <f>VALORACIÓN!B110</f>
        <v>Acreditación. Concentración de información de determinadas actividades o procesos en una persona</v>
      </c>
      <c r="C109" s="527" t="str">
        <f>IF(IDENTIFICACIÓN!B43="","",IDENTIFICACIÓN!B43)</f>
        <v>Bajo numero de personal adscrito a la Oficina</v>
      </c>
      <c r="D109" s="534" t="str">
        <f>IF(IDENTIFICACIÓN!D43="","","NA")</f>
        <v>NA</v>
      </c>
      <c r="E109" s="537">
        <f>ANALISIS!D45</f>
        <v>3</v>
      </c>
      <c r="F109" s="538" t="str">
        <f>ANALISIS!E45</f>
        <v>POSIBLE</v>
      </c>
      <c r="G109" s="541" t="s">
        <v>353</v>
      </c>
      <c r="H109" s="542"/>
      <c r="I109" s="547" t="str">
        <f>ANALISIS!J45</f>
        <v>MODERADA</v>
      </c>
      <c r="J109" s="357">
        <f>VALORACIÓN!C110</f>
        <v>1</v>
      </c>
      <c r="K109" s="358" t="str">
        <f>IF(VALORACIÓN!F110=0,"",VALORACIÓN!F110)</f>
        <v>Se han implementado, procedimientos y formatos</v>
      </c>
      <c r="L109" s="550">
        <f>VALORACIÓN!AA110</f>
        <v>95</v>
      </c>
      <c r="M109" s="524" t="str">
        <f>VALORACIÓN!AG110</f>
        <v>MODERADA</v>
      </c>
      <c r="N109" s="527" t="str">
        <f>VALORACIÓN!AG111</f>
        <v>- Evitar Posibilidad de Ocurrencia- Reducir el Riesgo</v>
      </c>
      <c r="O109" s="528" t="str">
        <f>IF(B109="","",IF(VALORACIÓN!BA110="","Aceptar el Riesgo sin necesidad de tomar otras medidas de control diferentes a las que se poseen, considerando que estos son efectivos con ponderacion de 100, y la evaluación final del riesgos es Baja 1:1",VALORACIÓN!BA110))</f>
        <v>- Tomar Acciones Preventivas</v>
      </c>
      <c r="P109" s="395" t="s">
        <v>404</v>
      </c>
      <c r="Q109" s="395" t="s">
        <v>810</v>
      </c>
      <c r="R109" s="396" t="s">
        <v>69</v>
      </c>
    </row>
    <row r="110" spans="1:18" x14ac:dyDescent="0.2">
      <c r="A110" s="532"/>
      <c r="B110" s="496"/>
      <c r="C110" s="527"/>
      <c r="D110" s="535"/>
      <c r="E110" s="537"/>
      <c r="F110" s="539"/>
      <c r="G110" s="543"/>
      <c r="H110" s="544"/>
      <c r="I110" s="548"/>
      <c r="J110" s="357">
        <f>VALORACIÓN!C111</f>
        <v>2</v>
      </c>
      <c r="K110" s="358" t="str">
        <f>IF(VALORACIÓN!F111=0,"",VALORACIÓN!F111)</f>
        <v>Contratación de personal</v>
      </c>
      <c r="L110" s="550"/>
      <c r="M110" s="525"/>
      <c r="N110" s="527"/>
      <c r="O110" s="529"/>
      <c r="P110" s="395"/>
      <c r="Q110" s="395"/>
      <c r="R110" s="396"/>
    </row>
    <row r="111" spans="1:18" ht="16.5" thickBot="1" x14ac:dyDescent="0.25">
      <c r="A111" s="533"/>
      <c r="B111" s="496"/>
      <c r="C111" s="527"/>
      <c r="D111" s="536"/>
      <c r="E111" s="537"/>
      <c r="F111" s="540"/>
      <c r="G111" s="545"/>
      <c r="H111" s="546"/>
      <c r="I111" s="549"/>
      <c r="J111" s="357">
        <f>VALORACIÓN!C112</f>
        <v>3</v>
      </c>
      <c r="K111" s="358" t="str">
        <f>IF(VALORACIÓN!F112=0,"",VALORACIÓN!F112)</f>
        <v/>
      </c>
      <c r="L111" s="550"/>
      <c r="M111" s="526"/>
      <c r="N111" s="527"/>
      <c r="O111" s="530"/>
      <c r="P111" s="395"/>
      <c r="Q111" s="395"/>
      <c r="R111" s="396"/>
    </row>
    <row r="112" spans="1:18" ht="45.75" thickTop="1" x14ac:dyDescent="0.2">
      <c r="A112" s="531" t="str">
        <f>VALORACIÓN!A113</f>
        <v>7C</v>
      </c>
      <c r="B112" s="496" t="str">
        <f>VALORACIÓN!B113</f>
        <v>Gestión de la Calidad. Concentración de información de determinadas actividades o procesos en una persona</v>
      </c>
      <c r="C112" s="527" t="str">
        <f>IF(IDENTIFICACIÓN!B44="","",IDENTIFICACIÓN!B44)</f>
        <v xml:space="preserve">Falta de cualificación del personal
Alta rotación de personal
Concentración de conocimiento
</v>
      </c>
      <c r="D112" s="534" t="str">
        <f>IF(IDENTIFICACIÓN!D44="","","NA")</f>
        <v>NA</v>
      </c>
      <c r="E112" s="537">
        <f>ANALISIS!D46</f>
        <v>3</v>
      </c>
      <c r="F112" s="538" t="str">
        <f>ANALISIS!E46</f>
        <v>POSIBLE</v>
      </c>
      <c r="G112" s="541" t="s">
        <v>353</v>
      </c>
      <c r="H112" s="542"/>
      <c r="I112" s="547" t="str">
        <f>ANALISIS!J46</f>
        <v>MODERADA</v>
      </c>
      <c r="J112" s="357">
        <f>VALORACIÓN!C113</f>
        <v>1</v>
      </c>
      <c r="K112" s="358" t="str">
        <f>IF(VALORACIÓN!F113=0,"",VALORACIÓN!F113)</f>
        <v>MC-G01 Guia para la elaboración de documentos.</v>
      </c>
      <c r="L112" s="550">
        <f>VALORACIÓN!AA113</f>
        <v>95</v>
      </c>
      <c r="M112" s="524" t="str">
        <f>VALORACIÓN!AG113</f>
        <v>MODERADA</v>
      </c>
      <c r="N112" s="527" t="str">
        <f>VALORACIÓN!AG114</f>
        <v>- Evitar Posibilidad de Ocurrencia- Reducir el Riesgo</v>
      </c>
      <c r="O112" s="528" t="str">
        <f>IF(B112="","",IF(VALORACIÓN!BA113="","Aceptar el Riesgo sin necesidad de tomar otras medidas de control diferentes a las que se poseen, considerando que estos son efectivos con ponderacion de 100, y la evaluación final del riesgos es Baja 1:1",VALORACIÓN!BA113))</f>
        <v>- Tomar Acciones Preventivas</v>
      </c>
      <c r="P112" s="395" t="s">
        <v>406</v>
      </c>
      <c r="Q112" s="395" t="s">
        <v>801</v>
      </c>
      <c r="R112" s="396" t="s">
        <v>97</v>
      </c>
    </row>
    <row r="113" spans="1:18" x14ac:dyDescent="0.2">
      <c r="A113" s="532"/>
      <c r="B113" s="496"/>
      <c r="C113" s="527"/>
      <c r="D113" s="535"/>
      <c r="E113" s="537"/>
      <c r="F113" s="539"/>
      <c r="G113" s="543"/>
      <c r="H113" s="544"/>
      <c r="I113" s="548"/>
      <c r="J113" s="357">
        <f>VALORACIÓN!C114</f>
        <v>2</v>
      </c>
      <c r="K113" s="358" t="str">
        <f>IF(VALORACIÓN!F114=0,"",VALORACIÓN!F114)</f>
        <v/>
      </c>
      <c r="L113" s="550"/>
      <c r="M113" s="525"/>
      <c r="N113" s="527"/>
      <c r="O113" s="529"/>
      <c r="P113" s="395"/>
      <c r="Q113" s="395"/>
      <c r="R113" s="396"/>
    </row>
    <row r="114" spans="1:18" ht="16.5" thickBot="1" x14ac:dyDescent="0.25">
      <c r="A114" s="533"/>
      <c r="B114" s="496"/>
      <c r="C114" s="527"/>
      <c r="D114" s="536"/>
      <c r="E114" s="537"/>
      <c r="F114" s="540"/>
      <c r="G114" s="545"/>
      <c r="H114" s="546"/>
      <c r="I114" s="549"/>
      <c r="J114" s="357">
        <f>VALORACIÓN!C115</f>
        <v>3</v>
      </c>
      <c r="K114" s="358" t="str">
        <f>IF(VALORACIÓN!F115=0,"",VALORACIÓN!F115)</f>
        <v/>
      </c>
      <c r="L114" s="550"/>
      <c r="M114" s="526"/>
      <c r="N114" s="527"/>
      <c r="O114" s="530"/>
      <c r="P114" s="395"/>
      <c r="Q114" s="395"/>
      <c r="R114" s="396"/>
    </row>
    <row r="115" spans="1:18" ht="45.75" thickTop="1" x14ac:dyDescent="0.2">
      <c r="A115" s="531" t="str">
        <f>VALORACIÓN!A116</f>
        <v>8C</v>
      </c>
      <c r="B115" s="496" t="str">
        <f>VALORACIÓN!B116</f>
        <v>Gestión de la Calidad. Deficiencias en el  manejo documental y de archivo</v>
      </c>
      <c r="C115" s="527" t="str">
        <f>IF(IDENTIFICACIÓN!B45="","",IDENTIFICACIÓN!B45)</f>
        <v>Gestión documental deficiente</v>
      </c>
      <c r="D115" s="534" t="str">
        <f>IF(IDENTIFICACIÓN!D45="","","NA")</f>
        <v>NA</v>
      </c>
      <c r="E115" s="537">
        <f>ANALISIS!D47</f>
        <v>3</v>
      </c>
      <c r="F115" s="538" t="str">
        <f>ANALISIS!E47</f>
        <v>POSIBLE</v>
      </c>
      <c r="G115" s="541" t="s">
        <v>353</v>
      </c>
      <c r="H115" s="542"/>
      <c r="I115" s="547" t="str">
        <f>ANALISIS!J47</f>
        <v>MODERADA</v>
      </c>
      <c r="J115" s="357">
        <f>VALORACIÓN!C116</f>
        <v>1</v>
      </c>
      <c r="K115" s="358" t="str">
        <f>IF(VALORACIÓN!F116=0,"",VALORACIÓN!F116)</f>
        <v xml:space="preserve">MC-P01 Procedimiento para el control de documentos </v>
      </c>
      <c r="L115" s="550">
        <f>VALORACIÓN!AA116</f>
        <v>95</v>
      </c>
      <c r="M115" s="524" t="str">
        <f>VALORACIÓN!AG116</f>
        <v>MODERADA</v>
      </c>
      <c r="N115" s="527" t="str">
        <f>VALORACIÓN!AG117</f>
        <v>- Evitar Posibilidad de Ocurrencia- Reducir el Riesgo</v>
      </c>
      <c r="O115" s="528" t="str">
        <f>IF(B115="","",IF(VALORACIÓN!BA116="","Aceptar el Riesgo sin necesidad de tomar otras medidas de control diferentes a las que se poseen, considerando que estos son efectivos con ponderacion de 100, y la evaluación final del riesgos es Baja 1:1",VALORACIÓN!BA116))</f>
        <v>- Tomar Acciones Preventivas</v>
      </c>
      <c r="P115" s="395" t="s">
        <v>406</v>
      </c>
      <c r="Q115" s="395" t="s">
        <v>801</v>
      </c>
      <c r="R115" s="396" t="s">
        <v>97</v>
      </c>
    </row>
    <row r="116" spans="1:18" ht="38.25" x14ac:dyDescent="0.2">
      <c r="A116" s="532"/>
      <c r="B116" s="496"/>
      <c r="C116" s="527"/>
      <c r="D116" s="535"/>
      <c r="E116" s="537"/>
      <c r="F116" s="539"/>
      <c r="G116" s="543"/>
      <c r="H116" s="544"/>
      <c r="I116" s="548"/>
      <c r="J116" s="357">
        <f>VALORACIÓN!C117</f>
        <v>2</v>
      </c>
      <c r="K116" s="358" t="str">
        <f>IF(VALORACIÓN!F117=0,"",VALORACIÓN!F117)</f>
        <v>MC-P02 Procedimiento para el Control de Registros</v>
      </c>
      <c r="L116" s="550"/>
      <c r="M116" s="525"/>
      <c r="N116" s="527"/>
      <c r="O116" s="529"/>
      <c r="P116" s="395"/>
      <c r="Q116" s="395"/>
      <c r="R116" s="396"/>
    </row>
    <row r="117" spans="1:18" ht="16.5" thickBot="1" x14ac:dyDescent="0.25">
      <c r="A117" s="533"/>
      <c r="B117" s="496"/>
      <c r="C117" s="527"/>
      <c r="D117" s="536"/>
      <c r="E117" s="537"/>
      <c r="F117" s="540"/>
      <c r="G117" s="545"/>
      <c r="H117" s="546"/>
      <c r="I117" s="549"/>
      <c r="J117" s="357">
        <f>VALORACIÓN!C118</f>
        <v>3</v>
      </c>
      <c r="K117" s="358" t="str">
        <f>IF(VALORACIÓN!F118=0,"",VALORACIÓN!F118)</f>
        <v/>
      </c>
      <c r="L117" s="550"/>
      <c r="M117" s="526"/>
      <c r="N117" s="527"/>
      <c r="O117" s="530"/>
      <c r="P117" s="395"/>
      <c r="Q117" s="395"/>
      <c r="R117" s="396"/>
    </row>
    <row r="118" spans="1:18" ht="45.75" thickTop="1" x14ac:dyDescent="0.2">
      <c r="A118" s="531" t="str">
        <f>VALORACIÓN!A119</f>
        <v>9C</v>
      </c>
      <c r="B118" s="496" t="str">
        <f>VALORACIÓN!B119</f>
        <v>Comunicaciones Concentración de información de determinadas actividades o procesos en una persona</v>
      </c>
      <c r="C118" s="527" t="str">
        <f>IF(IDENTIFICACIÓN!B46="","",IDENTIFICACIÓN!B46)</f>
        <v xml:space="preserve">Concentración de conocimiento
</v>
      </c>
      <c r="D118" s="534" t="str">
        <f>IF(IDENTIFICACIÓN!D46="","","NA")</f>
        <v>NA</v>
      </c>
      <c r="E118" s="537">
        <f>ANALISIS!D48</f>
        <v>3</v>
      </c>
      <c r="F118" s="538" t="str">
        <f>ANALISIS!E48</f>
        <v>POSIBLE</v>
      </c>
      <c r="G118" s="541" t="s">
        <v>353</v>
      </c>
      <c r="H118" s="542"/>
      <c r="I118" s="547" t="str">
        <f>ANALISIS!J48</f>
        <v>MODERADA</v>
      </c>
      <c r="J118" s="357">
        <f>VALORACIÓN!C119</f>
        <v>1</v>
      </c>
      <c r="K118" s="358" t="str">
        <f>IF(VALORACIÓN!F119=0,"",VALORACIÓN!F119)</f>
        <v>MC-G01 Guia para la elaboración de documentos.</v>
      </c>
      <c r="L118" s="550">
        <f>VALORACIÓN!AA119</f>
        <v>95</v>
      </c>
      <c r="M118" s="524" t="str">
        <f>VALORACIÓN!AG119</f>
        <v>MODERADA</v>
      </c>
      <c r="N118" s="527" t="str">
        <f>VALORACIÓN!AG120</f>
        <v>- Evitar Posibilidad de Ocurrencia- Reducir el Riesgo</v>
      </c>
      <c r="O118" s="528" t="str">
        <f>IF(B118="","",IF(VALORACIÓN!BA119="","Aceptar el Riesgo sin necesidad de tomar otras medidas de control diferentes a las que se poseen, considerando que estos son efectivos con ponderacion de 100, y la evaluación final del riesgos es Baja 1:1",VALORACIÓN!BA119))</f>
        <v>- Tomar Acciones Preventivas</v>
      </c>
      <c r="P118" s="395" t="s">
        <v>406</v>
      </c>
      <c r="Q118" s="395" t="s">
        <v>801</v>
      </c>
      <c r="R118" s="396" t="s">
        <v>97</v>
      </c>
    </row>
    <row r="119" spans="1:18" x14ac:dyDescent="0.2">
      <c r="A119" s="532"/>
      <c r="B119" s="496"/>
      <c r="C119" s="527"/>
      <c r="D119" s="535"/>
      <c r="E119" s="537"/>
      <c r="F119" s="539"/>
      <c r="G119" s="543"/>
      <c r="H119" s="544"/>
      <c r="I119" s="548"/>
      <c r="J119" s="357">
        <f>VALORACIÓN!C120</f>
        <v>2</v>
      </c>
      <c r="K119" s="358" t="str">
        <f>IF(VALORACIÓN!F120=0,"",VALORACIÓN!F120)</f>
        <v/>
      </c>
      <c r="L119" s="550"/>
      <c r="M119" s="525"/>
      <c r="N119" s="527"/>
      <c r="O119" s="529"/>
      <c r="P119" s="395"/>
      <c r="Q119" s="395"/>
      <c r="R119" s="396"/>
    </row>
    <row r="120" spans="1:18" ht="16.5" thickBot="1" x14ac:dyDescent="0.25">
      <c r="A120" s="533"/>
      <c r="B120" s="496"/>
      <c r="C120" s="527"/>
      <c r="D120" s="536"/>
      <c r="E120" s="537"/>
      <c r="F120" s="540"/>
      <c r="G120" s="545"/>
      <c r="H120" s="546"/>
      <c r="I120" s="549"/>
      <c r="J120" s="357">
        <f>VALORACIÓN!C121</f>
        <v>3</v>
      </c>
      <c r="K120" s="358" t="str">
        <f>IF(VALORACIÓN!F121=0,"",VALORACIÓN!F121)</f>
        <v/>
      </c>
      <c r="L120" s="550"/>
      <c r="M120" s="526"/>
      <c r="N120" s="527"/>
      <c r="O120" s="530"/>
      <c r="P120" s="395"/>
      <c r="Q120" s="395"/>
      <c r="R120" s="396"/>
    </row>
    <row r="121" spans="1:18" ht="60.75" thickTop="1" x14ac:dyDescent="0.2">
      <c r="A121" s="531" t="str">
        <f>VALORACIÓN!A122</f>
        <v>10C</v>
      </c>
      <c r="B121" s="496" t="str">
        <f>VALORACIÓN!B122</f>
        <v xml:space="preserve">Gestión Academica. Ausencia de canales de comunicación
</v>
      </c>
      <c r="C121" s="527" t="str">
        <f>IF(IDENTIFICACIÓN!B47="","",IDENTIFICACIÓN!B47)</f>
        <v>1. Cambios en la alta dirección</v>
      </c>
      <c r="D121" s="534" t="str">
        <f>IF(IDENTIFICACIÓN!D47="","","NA")</f>
        <v>NA</v>
      </c>
      <c r="E121" s="537">
        <f>ANALISIS!D49</f>
        <v>3</v>
      </c>
      <c r="F121" s="538" t="str">
        <f>ANALISIS!E49</f>
        <v>POSIBLE</v>
      </c>
      <c r="G121" s="541" t="s">
        <v>353</v>
      </c>
      <c r="H121" s="542"/>
      <c r="I121" s="547" t="str">
        <f>ANALISIS!J49</f>
        <v>MODERADA</v>
      </c>
      <c r="J121" s="357">
        <f>VALORACIÓN!C122</f>
        <v>1</v>
      </c>
      <c r="K121" s="358" t="str">
        <f>IF(VALORACIÓN!F122=0,"",VALORACIÓN!F122)</f>
        <v>Inducciones, Capacitaciones</v>
      </c>
      <c r="L121" s="550">
        <f>VALORACIÓN!AA122</f>
        <v>25</v>
      </c>
      <c r="M121" s="524" t="str">
        <f>VALORACIÓN!AG122</f>
        <v>MODERADA</v>
      </c>
      <c r="N121" s="527" t="str">
        <f>VALORACIÓN!AG123</f>
        <v>- Evitar Posibilidad de Ocurrencia- Reducir el Riesgo</v>
      </c>
      <c r="O121" s="528" t="str">
        <f>IF(B121="","",IF(VALORACIÓN!BA122="","Aceptar el Riesgo sin necesidad de tomar otras medidas de control diferentes a las que se poseen, considerando que estos son efectivos con ponderacion de 100, y la evaluación final del riesgos es Baja 1:1",VALORACIÓN!BA122))</f>
        <v>- Replantear control(es) NO efectivo(s) - Tomar Acciones Preventivas</v>
      </c>
      <c r="P121" s="395" t="s">
        <v>404</v>
      </c>
      <c r="Q121" s="395" t="s">
        <v>811</v>
      </c>
      <c r="R121" s="396" t="s">
        <v>69</v>
      </c>
    </row>
    <row r="122" spans="1:18" x14ac:dyDescent="0.2">
      <c r="A122" s="532"/>
      <c r="B122" s="496"/>
      <c r="C122" s="527"/>
      <c r="D122" s="535"/>
      <c r="E122" s="537"/>
      <c r="F122" s="539"/>
      <c r="G122" s="543"/>
      <c r="H122" s="544"/>
      <c r="I122" s="548"/>
      <c r="J122" s="357">
        <f>VALORACIÓN!C123</f>
        <v>2</v>
      </c>
      <c r="K122" s="358" t="str">
        <f>IF(VALORACIÓN!F123=0,"",VALORACIÓN!F123)</f>
        <v/>
      </c>
      <c r="L122" s="550"/>
      <c r="M122" s="525"/>
      <c r="N122" s="527"/>
      <c r="O122" s="529"/>
      <c r="P122" s="395"/>
      <c r="Q122" s="395"/>
      <c r="R122" s="396"/>
    </row>
    <row r="123" spans="1:18" ht="16.5" thickBot="1" x14ac:dyDescent="0.25">
      <c r="A123" s="533"/>
      <c r="B123" s="496"/>
      <c r="C123" s="527"/>
      <c r="D123" s="536"/>
      <c r="E123" s="537"/>
      <c r="F123" s="540"/>
      <c r="G123" s="545"/>
      <c r="H123" s="546"/>
      <c r="I123" s="549"/>
      <c r="J123" s="357">
        <f>VALORACIÓN!C124</f>
        <v>3</v>
      </c>
      <c r="K123" s="358" t="str">
        <f>IF(VALORACIÓN!F124=0,"",VALORACIÓN!F124)</f>
        <v/>
      </c>
      <c r="L123" s="550"/>
      <c r="M123" s="526"/>
      <c r="N123" s="527"/>
      <c r="O123" s="530"/>
      <c r="P123" s="395"/>
      <c r="Q123" s="395"/>
      <c r="R123" s="396"/>
    </row>
    <row r="124" spans="1:18" ht="45.75" thickTop="1" x14ac:dyDescent="0.2">
      <c r="A124" s="531" t="str">
        <f>VALORACIÓN!A125</f>
        <v>11C</v>
      </c>
      <c r="B124" s="496" t="str">
        <f>VALORACIÓN!B125</f>
        <v>Gestión Academica. Concentración de información de determinadas actividades o procesos en una persona</v>
      </c>
      <c r="C124" s="527" t="str">
        <f>IF(IDENTIFICACIÓN!B48="","",IDENTIFICACIÓN!B48)</f>
        <v>1. No distribución de acuerdo a competencias</v>
      </c>
      <c r="D124" s="534" t="str">
        <f>IF(IDENTIFICACIÓN!D48="","","NA")</f>
        <v>NA</v>
      </c>
      <c r="E124" s="537">
        <f>ANALISIS!D50</f>
        <v>3</v>
      </c>
      <c r="F124" s="538" t="str">
        <f>ANALISIS!E50</f>
        <v>POSIBLE</v>
      </c>
      <c r="G124" s="541" t="s">
        <v>353</v>
      </c>
      <c r="H124" s="542"/>
      <c r="I124" s="547" t="str">
        <f>ANALISIS!J50</f>
        <v>MODERADA</v>
      </c>
      <c r="J124" s="357">
        <f>VALORACIÓN!C125</f>
        <v>1</v>
      </c>
      <c r="K124" s="358" t="str">
        <f>IF(VALORACIÓN!F125=0,"",VALORACIÓN!F125)</f>
        <v/>
      </c>
      <c r="L124" s="550" t="str">
        <f>VALORACIÓN!AA125</f>
        <v/>
      </c>
      <c r="M124" s="524" t="str">
        <f>VALORACIÓN!AG125</f>
        <v>MODERADA</v>
      </c>
      <c r="N124" s="527" t="str">
        <f>VALORACIÓN!AG126</f>
        <v>- Evitar Posibilidad de Ocurrencia- Reducir el Riesgo</v>
      </c>
      <c r="O124" s="528" t="str">
        <f>IF(B124="","",IF(VALORACIÓN!BA125="","Aceptar el Riesgo sin necesidad de tomar otras medidas de control diferentes a las que se poseen, considerando que estos son efectivos con ponderacion de 100, y la evaluación final del riesgos es Baja 1:1",VALORACIÓN!BA125))</f>
        <v>- Tomar Acciones Preventivas</v>
      </c>
      <c r="P124" s="395" t="s">
        <v>404</v>
      </c>
      <c r="Q124" s="395" t="s">
        <v>812</v>
      </c>
      <c r="R124" s="396" t="s">
        <v>69</v>
      </c>
    </row>
    <row r="125" spans="1:18" x14ac:dyDescent="0.2">
      <c r="A125" s="532"/>
      <c r="B125" s="496"/>
      <c r="C125" s="527"/>
      <c r="D125" s="535"/>
      <c r="E125" s="537"/>
      <c r="F125" s="539"/>
      <c r="G125" s="543"/>
      <c r="H125" s="544"/>
      <c r="I125" s="548"/>
      <c r="J125" s="357">
        <f>VALORACIÓN!C126</f>
        <v>2</v>
      </c>
      <c r="K125" s="358" t="str">
        <f>IF(VALORACIÓN!F126=0,"",VALORACIÓN!F126)</f>
        <v/>
      </c>
      <c r="L125" s="550"/>
      <c r="M125" s="525"/>
      <c r="N125" s="527"/>
      <c r="O125" s="529"/>
      <c r="P125" s="395"/>
      <c r="Q125" s="395"/>
      <c r="R125" s="396"/>
    </row>
    <row r="126" spans="1:18" ht="16.5" thickBot="1" x14ac:dyDescent="0.25">
      <c r="A126" s="533"/>
      <c r="B126" s="496"/>
      <c r="C126" s="527"/>
      <c r="D126" s="536"/>
      <c r="E126" s="537"/>
      <c r="F126" s="540"/>
      <c r="G126" s="545"/>
      <c r="H126" s="546"/>
      <c r="I126" s="549"/>
      <c r="J126" s="357">
        <f>VALORACIÓN!C127</f>
        <v>3</v>
      </c>
      <c r="K126" s="358" t="str">
        <f>IF(VALORACIÓN!F127=0,"",VALORACIÓN!F127)</f>
        <v/>
      </c>
      <c r="L126" s="550"/>
      <c r="M126" s="526"/>
      <c r="N126" s="527"/>
      <c r="O126" s="530"/>
      <c r="P126" s="395"/>
      <c r="Q126" s="395"/>
      <c r="R126" s="396"/>
    </row>
    <row r="127" spans="1:18" ht="30.75" thickTop="1" x14ac:dyDescent="0.2">
      <c r="A127" s="531" t="str">
        <f>VALORACIÓN!A128</f>
        <v>12C</v>
      </c>
      <c r="B127" s="496" t="str">
        <f>VALORACIÓN!B128</f>
        <v>Gestión Academica. Deficiencias en el manejo documental y de archivo</v>
      </c>
      <c r="C127" s="527" t="str">
        <f>IF(IDENTIFICACIÓN!B49="","",IDENTIFICACIÓN!B49)</f>
        <v>1. Gestión Documental deficiente</v>
      </c>
      <c r="D127" s="534" t="str">
        <f>IF(IDENTIFICACIÓN!D49="","","NA")</f>
        <v>NA</v>
      </c>
      <c r="E127" s="537">
        <f>ANALISIS!D51</f>
        <v>3</v>
      </c>
      <c r="F127" s="538" t="str">
        <f>ANALISIS!E51</f>
        <v>POSIBLE</v>
      </c>
      <c r="G127" s="541" t="s">
        <v>353</v>
      </c>
      <c r="H127" s="542"/>
      <c r="I127" s="547" t="str">
        <f>ANALISIS!J51</f>
        <v>MODERADA</v>
      </c>
      <c r="J127" s="357">
        <f>VALORACIÓN!C128</f>
        <v>1</v>
      </c>
      <c r="K127" s="358" t="str">
        <f>IF(VALORACIÓN!F128=0,"",VALORACIÓN!F128)</f>
        <v/>
      </c>
      <c r="L127" s="550" t="str">
        <f>VALORACIÓN!AA128</f>
        <v/>
      </c>
      <c r="M127" s="524" t="str">
        <f>VALORACIÓN!AG128</f>
        <v>MODERADA</v>
      </c>
      <c r="N127" s="527" t="str">
        <f>VALORACIÓN!AG129</f>
        <v>- Evitar Posibilidad de Ocurrencia- Reducir el Riesgo</v>
      </c>
      <c r="O127" s="528" t="str">
        <f>IF(B127="","",IF(VALORACIÓN!BA128="","Aceptar el Riesgo sin necesidad de tomar otras medidas de control diferentes a las que se poseen, considerando que estos son efectivos con ponderacion de 100, y la evaluación final del riesgos es Baja 1:1",VALORACIÓN!BA128))</f>
        <v>- Tomar Acciones Preventivas</v>
      </c>
      <c r="P127" s="395" t="s">
        <v>404</v>
      </c>
      <c r="Q127" s="395" t="s">
        <v>813</v>
      </c>
      <c r="R127" s="396" t="s">
        <v>69</v>
      </c>
    </row>
    <row r="128" spans="1:18" x14ac:dyDescent="0.2">
      <c r="A128" s="532"/>
      <c r="B128" s="496"/>
      <c r="C128" s="527"/>
      <c r="D128" s="535"/>
      <c r="E128" s="537"/>
      <c r="F128" s="539"/>
      <c r="G128" s="543"/>
      <c r="H128" s="544"/>
      <c r="I128" s="548"/>
      <c r="J128" s="357">
        <f>VALORACIÓN!C129</f>
        <v>2</v>
      </c>
      <c r="K128" s="358" t="str">
        <f>IF(VALORACIÓN!F129=0,"",VALORACIÓN!F129)</f>
        <v/>
      </c>
      <c r="L128" s="550"/>
      <c r="M128" s="525"/>
      <c r="N128" s="527"/>
      <c r="O128" s="529"/>
      <c r="P128" s="395"/>
      <c r="Q128" s="395"/>
      <c r="R128" s="396"/>
    </row>
    <row r="129" spans="1:18" ht="16.5" thickBot="1" x14ac:dyDescent="0.25">
      <c r="A129" s="533"/>
      <c r="B129" s="496"/>
      <c r="C129" s="527"/>
      <c r="D129" s="536"/>
      <c r="E129" s="537"/>
      <c r="F129" s="540"/>
      <c r="G129" s="545"/>
      <c r="H129" s="546"/>
      <c r="I129" s="549"/>
      <c r="J129" s="357">
        <f>VALORACIÓN!C130</f>
        <v>3</v>
      </c>
      <c r="K129" s="358" t="str">
        <f>IF(VALORACIÓN!F130=0,"",VALORACIÓN!F130)</f>
        <v/>
      </c>
      <c r="L129" s="550"/>
      <c r="M129" s="526"/>
      <c r="N129" s="527"/>
      <c r="O129" s="530"/>
      <c r="P129" s="395"/>
      <c r="Q129" s="395"/>
      <c r="R129" s="396"/>
    </row>
    <row r="130" spans="1:18" ht="45.75" thickTop="1" x14ac:dyDescent="0.2">
      <c r="A130" s="531" t="str">
        <f>VALORACIÓN!A131</f>
        <v>13C</v>
      </c>
      <c r="B130" s="496" t="str">
        <f>VALORACIÓN!B131</f>
        <v>Gestión de Investigación. Vulnerabilidad en el manejo de la información de la actividad investigativa</v>
      </c>
      <c r="C130" s="527" t="str">
        <f>IF(IDENTIFICACIÓN!B50="","",IDENTIFICACIÓN!B50)</f>
        <v xml:space="preserve">Se carece de un sistema de información que permita tener información unificada, actualizada y facilite el seguimiento y control de la actividad investigativa.
</v>
      </c>
      <c r="D130" s="534" t="str">
        <f>IF(IDENTIFICACIÓN!D50="","","NA")</f>
        <v>NA</v>
      </c>
      <c r="E130" s="537">
        <f>ANALISIS!D52</f>
        <v>5</v>
      </c>
      <c r="F130" s="538" t="str">
        <f>ANALISIS!E52</f>
        <v>CASI CERTEZA</v>
      </c>
      <c r="G130" s="541" t="s">
        <v>353</v>
      </c>
      <c r="H130" s="542"/>
      <c r="I130" s="547" t="str">
        <f>ANALISIS!J52</f>
        <v>EXTREMA</v>
      </c>
      <c r="J130" s="357">
        <f>VALORACIÓN!C131</f>
        <v>1</v>
      </c>
      <c r="K130" s="358" t="str">
        <f>IF(VALORACIÓN!F131=0,"",VALORACIÓN!F131)</f>
        <v>Sistema de Información SIVI</v>
      </c>
      <c r="L130" s="550">
        <f>VALORACIÓN!AA131</f>
        <v>100</v>
      </c>
      <c r="M130" s="524" t="str">
        <f>VALORACIÓN!AG131</f>
        <v>EXTREMA</v>
      </c>
      <c r="N130" s="527" t="str">
        <f>VALORACIÓN!AG132</f>
        <v>- Evitar Posibilidad de Ocurrencia- Reducir el Riesgo</v>
      </c>
      <c r="O130" s="528" t="str">
        <f>IF(B130="","",IF(VALORACIÓN!BA131="","Aceptar el Riesgo sin necesidad de tomar otras medidas de control diferentes a las que se poseen, considerando que estos son efectivos con ponderacion de 100, y la evaluación final del riesgos es Baja 1:1",VALORACIÓN!BA131))</f>
        <v>- Tomar Acciones Preventivas</v>
      </c>
      <c r="P130" s="395" t="s">
        <v>404</v>
      </c>
      <c r="Q130" s="395" t="s">
        <v>814</v>
      </c>
      <c r="R130" s="396" t="s">
        <v>70</v>
      </c>
    </row>
    <row r="131" spans="1:18" x14ac:dyDescent="0.2">
      <c r="A131" s="532"/>
      <c r="B131" s="496"/>
      <c r="C131" s="527"/>
      <c r="D131" s="535"/>
      <c r="E131" s="537"/>
      <c r="F131" s="539"/>
      <c r="G131" s="543"/>
      <c r="H131" s="544"/>
      <c r="I131" s="548"/>
      <c r="J131" s="357">
        <f>VALORACIÓN!C132</f>
        <v>2</v>
      </c>
      <c r="K131" s="358" t="str">
        <f>IF(VALORACIÓN!F132=0,"",VALORACIÓN!F132)</f>
        <v/>
      </c>
      <c r="L131" s="550"/>
      <c r="M131" s="525"/>
      <c r="N131" s="527"/>
      <c r="O131" s="529"/>
      <c r="P131" s="395"/>
      <c r="Q131" s="395"/>
      <c r="R131" s="396"/>
    </row>
    <row r="132" spans="1:18" ht="16.5" thickBot="1" x14ac:dyDescent="0.25">
      <c r="A132" s="533"/>
      <c r="B132" s="496"/>
      <c r="C132" s="527"/>
      <c r="D132" s="536"/>
      <c r="E132" s="537"/>
      <c r="F132" s="540"/>
      <c r="G132" s="545"/>
      <c r="H132" s="546"/>
      <c r="I132" s="549"/>
      <c r="J132" s="357">
        <f>VALORACIÓN!C133</f>
        <v>3</v>
      </c>
      <c r="K132" s="358" t="str">
        <f>IF(VALORACIÓN!F133=0,"",VALORACIÓN!F133)</f>
        <v/>
      </c>
      <c r="L132" s="550"/>
      <c r="M132" s="526"/>
      <c r="N132" s="527"/>
      <c r="O132" s="530"/>
      <c r="P132" s="395"/>
      <c r="Q132" s="395"/>
      <c r="R132" s="396"/>
    </row>
    <row r="133" spans="1:18" ht="30.75" thickTop="1" x14ac:dyDescent="0.2">
      <c r="A133" s="531" t="str">
        <f>VALORACIÓN!A134</f>
        <v>14C</v>
      </c>
      <c r="B133" s="496" t="str">
        <f>VALORACIÓN!B134</f>
        <v>Gestión de Investigación. Violación de la propiedad Intelectual.</v>
      </c>
      <c r="C133" s="527" t="str">
        <f>IF(IDENTIFICACIÓN!B51="","",IDENTIFICACIÓN!B51)</f>
        <v>Desconocimiento de la normatividad de Propiedad Intelectual.</v>
      </c>
      <c r="D133" s="534" t="str">
        <f>IF(IDENTIFICACIÓN!D51="","","NA")</f>
        <v>NA</v>
      </c>
      <c r="E133" s="537">
        <f>ANALISIS!D53</f>
        <v>5</v>
      </c>
      <c r="F133" s="538" t="str">
        <f>ANALISIS!E53</f>
        <v>CASI CERTEZA</v>
      </c>
      <c r="G133" s="541" t="s">
        <v>353</v>
      </c>
      <c r="H133" s="542"/>
      <c r="I133" s="547" t="str">
        <f>ANALISIS!J53</f>
        <v>EXTREMA</v>
      </c>
      <c r="J133" s="357">
        <f>VALORACIÓN!C134</f>
        <v>1</v>
      </c>
      <c r="K133" s="358" t="str">
        <f>IF(VALORACIÓN!F134=0,"",VALORACIÓN!F134)</f>
        <v>Capacitaciones</v>
      </c>
      <c r="L133" s="550">
        <f>VALORACIÓN!AA134</f>
        <v>95</v>
      </c>
      <c r="M133" s="524" t="str">
        <f>VALORACIÓN!AG134</f>
        <v>MODERADA</v>
      </c>
      <c r="N133" s="527" t="str">
        <f>VALORACIÓN!AG135</f>
        <v>- Evitar Posibilidad de Ocurrencia- Reducir el Riesgo</v>
      </c>
      <c r="O133" s="528" t="str">
        <f>IF(B133="","",IF(VALORACIÓN!BA134="","Aceptar el Riesgo sin necesidad de tomar otras medidas de control diferentes a las que se poseen, considerando que estos son efectivos con ponderacion de 100, y la evaluación final del riesgos es Baja 1:1",VALORACIÓN!BA134))</f>
        <v>- Tomar Acciones Preventivas</v>
      </c>
      <c r="P133" s="395" t="s">
        <v>404</v>
      </c>
      <c r="Q133" s="395" t="s">
        <v>815</v>
      </c>
      <c r="R133" s="396" t="s">
        <v>70</v>
      </c>
    </row>
    <row r="134" spans="1:18" ht="30" x14ac:dyDescent="0.2">
      <c r="A134" s="532"/>
      <c r="B134" s="496"/>
      <c r="C134" s="527"/>
      <c r="D134" s="535"/>
      <c r="E134" s="537"/>
      <c r="F134" s="539"/>
      <c r="G134" s="543"/>
      <c r="H134" s="544"/>
      <c r="I134" s="548"/>
      <c r="J134" s="357">
        <f>VALORACIÓN!C135</f>
        <v>2</v>
      </c>
      <c r="K134" s="358" t="str">
        <f>IF(VALORACIÓN!F135=0,"",VALORACIÓN!F135)</f>
        <v>Normatividad legal</v>
      </c>
      <c r="L134" s="550"/>
      <c r="M134" s="525"/>
      <c r="N134" s="527"/>
      <c r="O134" s="529"/>
      <c r="P134" s="395" t="s">
        <v>404</v>
      </c>
      <c r="Q134" s="395" t="s">
        <v>816</v>
      </c>
      <c r="R134" s="396" t="s">
        <v>69</v>
      </c>
    </row>
    <row r="135" spans="1:18" ht="16.5" thickBot="1" x14ac:dyDescent="0.25">
      <c r="A135" s="533"/>
      <c r="B135" s="496"/>
      <c r="C135" s="527"/>
      <c r="D135" s="536"/>
      <c r="E135" s="537"/>
      <c r="F135" s="540"/>
      <c r="G135" s="545"/>
      <c r="H135" s="546"/>
      <c r="I135" s="549"/>
      <c r="J135" s="357">
        <f>VALORACIÓN!C136</f>
        <v>3</v>
      </c>
      <c r="K135" s="358" t="str">
        <f>IF(VALORACIÓN!F136=0,"",VALORACIÓN!F136)</f>
        <v/>
      </c>
      <c r="L135" s="550"/>
      <c r="M135" s="526"/>
      <c r="N135" s="527"/>
      <c r="O135" s="530"/>
      <c r="P135" s="395"/>
      <c r="Q135" s="395"/>
      <c r="R135" s="396"/>
    </row>
    <row r="136" spans="1:18" ht="51.75" thickTop="1" x14ac:dyDescent="0.2">
      <c r="A136" s="531" t="str">
        <f>VALORACIÓN!A137</f>
        <v>15C</v>
      </c>
      <c r="B136" s="496" t="str">
        <f>VALORACIÓN!B137</f>
        <v>Gestión de Extensión y Proyección Social. Desviación o uso indebido de recursos, que impidan la ejecución de los proyectos y actividades misionales de la vicerrectoria de extensión y proyección social</v>
      </c>
      <c r="C136" s="527" t="str">
        <f>IF(IDENTIFICACIÓN!B52="","",IDENTIFICACIÓN!B52)</f>
        <v>Falta de cultura y aplicación de valores éticos.
Designación de personal con bajas competencias.</v>
      </c>
      <c r="D136" s="534" t="str">
        <f>IF(IDENTIFICACIÓN!D52="","","NA")</f>
        <v>NA</v>
      </c>
      <c r="E136" s="537">
        <f>ANALISIS!D54</f>
        <v>3</v>
      </c>
      <c r="F136" s="538" t="str">
        <f>ANALISIS!E54</f>
        <v>POSIBLE</v>
      </c>
      <c r="G136" s="541" t="s">
        <v>353</v>
      </c>
      <c r="H136" s="542"/>
      <c r="I136" s="547" t="str">
        <f>ANALISIS!J54</f>
        <v>MODERADA</v>
      </c>
      <c r="J136" s="357">
        <f>VALORACIÓN!C137</f>
        <v>1</v>
      </c>
      <c r="K136" s="358" t="str">
        <f>IF(VALORACIÓN!F137=0,"",VALORACIÓN!F137)</f>
        <v>EX-F14 Procedimiento de Plan de Calidad aplicado a proyectos de la Vicerrectoría de Extensión</v>
      </c>
      <c r="L136" s="550">
        <f>VALORACIÓN!AA137</f>
        <v>95</v>
      </c>
      <c r="M136" s="524" t="str">
        <f>VALORACIÓN!AG137</f>
        <v>MODERADA</v>
      </c>
      <c r="N136" s="527" t="str">
        <f>VALORACIÓN!AG138</f>
        <v>- Evitar Posibilidad de Ocurrencia- Reducir el Riesgo</v>
      </c>
      <c r="O136" s="528" t="str">
        <f>IF(B136="","",IF(VALORACIÓN!BA137="","Aceptar el Riesgo sin necesidad de tomar otras medidas de control diferentes a las que se poseen, considerando que estos son efectivos con ponderacion de 100, y la evaluación final del riesgos es Baja 1:1",VALORACIÓN!BA137))</f>
        <v>- Tomar Acciones Preventivas</v>
      </c>
      <c r="P136" s="395" t="s">
        <v>404</v>
      </c>
      <c r="Q136" s="395" t="s">
        <v>817</v>
      </c>
      <c r="R136" s="396" t="s">
        <v>69</v>
      </c>
    </row>
    <row r="137" spans="1:18" ht="25.5" x14ac:dyDescent="0.2">
      <c r="A137" s="532"/>
      <c r="B137" s="496"/>
      <c r="C137" s="527"/>
      <c r="D137" s="535"/>
      <c r="E137" s="537"/>
      <c r="F137" s="539"/>
      <c r="G137" s="543"/>
      <c r="H137" s="544"/>
      <c r="I137" s="548"/>
      <c r="J137" s="357">
        <f>VALORACIÓN!C138</f>
        <v>2</v>
      </c>
      <c r="K137" s="358" t="str">
        <f>IF(VALORACIÓN!F138=0,"",VALORACIÓN!F138)</f>
        <v>Encuestas de satisfacción del usuario.</v>
      </c>
      <c r="L137" s="550"/>
      <c r="M137" s="525"/>
      <c r="N137" s="527"/>
      <c r="O137" s="529"/>
      <c r="P137" s="395"/>
      <c r="Q137" s="395"/>
      <c r="R137" s="396"/>
    </row>
    <row r="138" spans="1:18" ht="77.25" thickBot="1" x14ac:dyDescent="0.25">
      <c r="A138" s="533"/>
      <c r="B138" s="496"/>
      <c r="C138" s="527"/>
      <c r="D138" s="536"/>
      <c r="E138" s="537"/>
      <c r="F138" s="540"/>
      <c r="G138" s="545"/>
      <c r="H138" s="546"/>
      <c r="I138" s="549"/>
      <c r="J138" s="357">
        <f>VALORACIÓN!C139</f>
        <v>3</v>
      </c>
      <c r="K138" s="358" t="str">
        <f>IF(VALORACIÓN!F139=0,"",VALORACIÓN!F139)</f>
        <v>CO-F25 Est. de conveniencia y oportunidad para contratar serv. Profesionales y de apoyo a la gestión</v>
      </c>
      <c r="L138" s="550"/>
      <c r="M138" s="526"/>
      <c r="N138" s="527"/>
      <c r="O138" s="530"/>
      <c r="P138" s="395"/>
      <c r="Q138" s="395"/>
      <c r="R138" s="396"/>
    </row>
    <row r="139" spans="1:18" ht="45.75" thickTop="1" x14ac:dyDescent="0.2">
      <c r="A139" s="531" t="str">
        <f>VALORACIÓN!A140</f>
        <v>16C</v>
      </c>
      <c r="B139" s="496" t="str">
        <f>VALORACIÓN!B140</f>
        <v xml:space="preserve">Gestión de Extensión y Proyección Social. Concentración de la información en una persona. </v>
      </c>
      <c r="C139" s="527" t="str">
        <f>IF(IDENTIFICACIÓN!B53="","",IDENTIFICACIÓN!B53)</f>
        <v>No cumplimiento de las funciones establecidas según el cargo.
Mal manejo de los procesos.</v>
      </c>
      <c r="D139" s="534" t="str">
        <f>IF(IDENTIFICACIÓN!D53="","","NA")</f>
        <v>NA</v>
      </c>
      <c r="E139" s="537">
        <f>ANALISIS!D55</f>
        <v>3</v>
      </c>
      <c r="F139" s="538" t="str">
        <f>ANALISIS!E55</f>
        <v>POSIBLE</v>
      </c>
      <c r="G139" s="541" t="s">
        <v>353</v>
      </c>
      <c r="H139" s="542"/>
      <c r="I139" s="547" t="str">
        <f>ANALISIS!J55</f>
        <v>MODERADA</v>
      </c>
      <c r="J139" s="357">
        <f>VALORACIÓN!C140</f>
        <v>1</v>
      </c>
      <c r="K139" s="358" t="str">
        <f>IF(VALORACIÓN!F140=0,"",VALORACIÓN!F140)</f>
        <v>Acuerdo Superior 013 de Septiembre 2 de 2011</v>
      </c>
      <c r="L139" s="550">
        <f>VALORACIÓN!AA140</f>
        <v>95</v>
      </c>
      <c r="M139" s="524" t="str">
        <f>VALORACIÓN!AG140</f>
        <v>MODERADA</v>
      </c>
      <c r="N139" s="527" t="str">
        <f>VALORACIÓN!AG141</f>
        <v>- Evitar Posibilidad de Ocurrencia- Reducir el Riesgo</v>
      </c>
      <c r="O139" s="528" t="str">
        <f>IF(B139="","",IF(VALORACIÓN!BA140="","Aceptar el Riesgo sin necesidad de tomar otras medidas de control diferentes a las que se poseen, considerando que estos son efectivos con ponderacion de 100, y la evaluación final del riesgos es Baja 1:1",VALORACIÓN!BA140))</f>
        <v>- Tomar Acciones Preventivas</v>
      </c>
      <c r="P139" s="395" t="s">
        <v>403</v>
      </c>
      <c r="Q139" s="395" t="s">
        <v>818</v>
      </c>
      <c r="R139" s="396" t="s">
        <v>69</v>
      </c>
    </row>
    <row r="140" spans="1:18" ht="25.5" x14ac:dyDescent="0.2">
      <c r="A140" s="532"/>
      <c r="B140" s="496"/>
      <c r="C140" s="527"/>
      <c r="D140" s="535"/>
      <c r="E140" s="537"/>
      <c r="F140" s="539"/>
      <c r="G140" s="543"/>
      <c r="H140" s="544"/>
      <c r="I140" s="548"/>
      <c r="J140" s="357">
        <f>VALORACIÓN!C141</f>
        <v>2</v>
      </c>
      <c r="K140" s="358" t="str">
        <f>IF(VALORACIÓN!F141=0,"",VALORACIÓN!F141)</f>
        <v>Resolución Rectoral 143 de Marzo 1 de 2012</v>
      </c>
      <c r="L140" s="550"/>
      <c r="M140" s="525"/>
      <c r="N140" s="527"/>
      <c r="O140" s="529"/>
      <c r="P140" s="395"/>
      <c r="Q140" s="395"/>
      <c r="R140" s="396"/>
    </row>
    <row r="141" spans="1:18" ht="16.5" thickBot="1" x14ac:dyDescent="0.25">
      <c r="A141" s="533"/>
      <c r="B141" s="496"/>
      <c r="C141" s="527"/>
      <c r="D141" s="536"/>
      <c r="E141" s="537"/>
      <c r="F141" s="540"/>
      <c r="G141" s="545"/>
      <c r="H141" s="546"/>
      <c r="I141" s="549"/>
      <c r="J141" s="357">
        <f>VALORACIÓN!C142</f>
        <v>3</v>
      </c>
      <c r="K141" s="358" t="str">
        <f>IF(VALORACIÓN!F142=0,"",VALORACIÓN!F142)</f>
        <v/>
      </c>
      <c r="L141" s="550"/>
      <c r="M141" s="526"/>
      <c r="N141" s="527"/>
      <c r="O141" s="530"/>
      <c r="P141" s="395"/>
      <c r="Q141" s="395"/>
      <c r="R141" s="396"/>
    </row>
    <row r="142" spans="1:18" ht="51.75" thickTop="1" x14ac:dyDescent="0.2">
      <c r="A142" s="531" t="str">
        <f>VALORACIÓN!A143</f>
        <v>17C</v>
      </c>
      <c r="B142" s="496" t="str">
        <f>VALORACIÓN!B143</f>
        <v xml:space="preserve">Gestión de Extensión y Proyección Social. Inadecuada ejecución de los recursos asignados </v>
      </c>
      <c r="C142" s="527" t="str">
        <f>IF(IDENTIFICACIÓN!B54="","",IDENTIFICACIÓN!B54)</f>
        <v xml:space="preserve">*Falta de herramientas técnicas y tecnológicas en gestión de la información.
*Incertidumbre en el uso preciso de los recursos.
*Desconocimiento en el impacto logrado por los proyectos.
</v>
      </c>
      <c r="D142" s="534" t="str">
        <f>IF(IDENTIFICACIÓN!D54="","","NA")</f>
        <v>NA</v>
      </c>
      <c r="E142" s="537">
        <f>ANALISIS!D56</f>
        <v>3</v>
      </c>
      <c r="F142" s="538" t="str">
        <f>ANALISIS!E56</f>
        <v>POSIBLE</v>
      </c>
      <c r="G142" s="541" t="s">
        <v>353</v>
      </c>
      <c r="H142" s="542"/>
      <c r="I142" s="547" t="str">
        <f>ANALISIS!J56</f>
        <v>MODERADA</v>
      </c>
      <c r="J142" s="357">
        <f>VALORACIÓN!C143</f>
        <v>1</v>
      </c>
      <c r="K142" s="358" t="str">
        <f>IF(VALORACIÓN!F143=0,"",VALORACIÓN!F143)</f>
        <v>EX-F14 Procedimiento de Plan de Calidad aplicado a proyectos de la Vicerrectoría de Extensión</v>
      </c>
      <c r="L142" s="550">
        <f>VALORACIÓN!AA143</f>
        <v>95</v>
      </c>
      <c r="M142" s="524" t="str">
        <f>VALORACIÓN!AG143</f>
        <v>MODERADA</v>
      </c>
      <c r="N142" s="527" t="str">
        <f>VALORACIÓN!AG144</f>
        <v>- Evitar Posibilidad de Ocurrencia- Reducir el Riesgo</v>
      </c>
      <c r="O142" s="528" t="str">
        <f>IF(B142="","",IF(VALORACIÓN!BA143="","Aceptar el Riesgo sin necesidad de tomar otras medidas de control diferentes a las que se poseen, considerando que estos son efectivos con ponderacion de 100, y la evaluación final del riesgos es Baja 1:1",VALORACIÓN!BA143))</f>
        <v>- Tomar Acciones Preventivas</v>
      </c>
      <c r="P142" s="395" t="s">
        <v>403</v>
      </c>
      <c r="Q142" s="395" t="s">
        <v>819</v>
      </c>
      <c r="R142" s="396" t="s">
        <v>70</v>
      </c>
    </row>
    <row r="143" spans="1:18" ht="25.5" x14ac:dyDescent="0.2">
      <c r="A143" s="532"/>
      <c r="B143" s="496"/>
      <c r="C143" s="527"/>
      <c r="D143" s="535"/>
      <c r="E143" s="537"/>
      <c r="F143" s="539"/>
      <c r="G143" s="543"/>
      <c r="H143" s="544"/>
      <c r="I143" s="548"/>
      <c r="J143" s="357">
        <f>VALORACIÓN!C144</f>
        <v>2</v>
      </c>
      <c r="K143" s="358" t="str">
        <f>IF(VALORACIÓN!F144=0,"",VALORACIÓN!F144)</f>
        <v>Encuestas de satisfacción del usuario.</v>
      </c>
      <c r="L143" s="550"/>
      <c r="M143" s="525"/>
      <c r="N143" s="527"/>
      <c r="O143" s="529"/>
      <c r="P143" s="395"/>
      <c r="Q143" s="395"/>
      <c r="R143" s="396"/>
    </row>
    <row r="144" spans="1:18" ht="16.5" thickBot="1" x14ac:dyDescent="0.25">
      <c r="A144" s="533"/>
      <c r="B144" s="496"/>
      <c r="C144" s="527"/>
      <c r="D144" s="536"/>
      <c r="E144" s="537"/>
      <c r="F144" s="540"/>
      <c r="G144" s="545"/>
      <c r="H144" s="546"/>
      <c r="I144" s="549"/>
      <c r="J144" s="357">
        <f>VALORACIÓN!C145</f>
        <v>3</v>
      </c>
      <c r="K144" s="358" t="str">
        <f>IF(VALORACIÓN!F145=0,"",VALORACIÓN!F145)</f>
        <v/>
      </c>
      <c r="L144" s="550"/>
      <c r="M144" s="526"/>
      <c r="N144" s="527"/>
      <c r="O144" s="530"/>
      <c r="P144" s="395"/>
      <c r="Q144" s="395"/>
      <c r="R144" s="396"/>
    </row>
    <row r="145" spans="1:18" ht="51.75" thickTop="1" x14ac:dyDescent="0.2">
      <c r="A145" s="531" t="str">
        <f>VALORACIÓN!A146</f>
        <v>18C</v>
      </c>
      <c r="B145" s="496" t="str">
        <f>VALORACIÓN!B146</f>
        <v>Gestión de Extensión y Proyección Social. Extralimitación de funciones.</v>
      </c>
      <c r="C145" s="527" t="str">
        <f>IF(IDENTIFICACIÓN!B55="","",IDENTIFICACIÓN!B55)</f>
        <v>*Falta de información para la planificación del desarrollo de los proyectos.
*Escasos recursos asignados para el desarrollo de las actividades programadas en el proceso misional de vicerrectoria de extensión y proyección social.</v>
      </c>
      <c r="D145" s="534" t="str">
        <f>IF(IDENTIFICACIÓN!D55="","","NA")</f>
        <v>NA</v>
      </c>
      <c r="E145" s="537">
        <f>ANALISIS!D57</f>
        <v>3</v>
      </c>
      <c r="F145" s="538" t="str">
        <f>ANALISIS!E57</f>
        <v>POSIBLE</v>
      </c>
      <c r="G145" s="541" t="s">
        <v>353</v>
      </c>
      <c r="H145" s="542"/>
      <c r="I145" s="547" t="str">
        <f>ANALISIS!J57</f>
        <v>MODERADA</v>
      </c>
      <c r="J145" s="357">
        <f>VALORACIÓN!C146</f>
        <v>1</v>
      </c>
      <c r="K145" s="358" t="str">
        <f>IF(VALORACIÓN!F146=0,"",VALORACIÓN!F146)</f>
        <v>EX-F14 Procedimiento de Plan de Calidad aplicado a proyectos de la Vicerrectoría de Extensión</v>
      </c>
      <c r="L145" s="550">
        <f>VALORACIÓN!AA146</f>
        <v>95</v>
      </c>
      <c r="M145" s="524" t="str">
        <f>VALORACIÓN!AG146</f>
        <v>MODERADA</v>
      </c>
      <c r="N145" s="527" t="str">
        <f>VALORACIÓN!AG147</f>
        <v>- Evitar Posibilidad de Ocurrencia- Reducir el Riesgo</v>
      </c>
      <c r="O145" s="528" t="str">
        <f>IF(B145="","",IF(VALORACIÓN!BA146="","Aceptar el Riesgo sin necesidad de tomar otras medidas de control diferentes a las que se poseen, considerando que estos son efectivos con ponderacion de 100, y la evaluación final del riesgos es Baja 1:1",VALORACIÓN!BA146))</f>
        <v>- Tomar Acciones Preventivas</v>
      </c>
      <c r="P145" s="395" t="s">
        <v>403</v>
      </c>
      <c r="Q145" s="395" t="s">
        <v>820</v>
      </c>
      <c r="R145" s="396" t="s">
        <v>70</v>
      </c>
    </row>
    <row r="146" spans="1:18" ht="25.5" x14ac:dyDescent="0.2">
      <c r="A146" s="532"/>
      <c r="B146" s="496"/>
      <c r="C146" s="527"/>
      <c r="D146" s="535"/>
      <c r="E146" s="537"/>
      <c r="F146" s="539"/>
      <c r="G146" s="543"/>
      <c r="H146" s="544"/>
      <c r="I146" s="548"/>
      <c r="J146" s="357">
        <f>VALORACIÓN!C147</f>
        <v>2</v>
      </c>
      <c r="K146" s="358" t="str">
        <f>IF(VALORACIÓN!F147=0,"",VALORACIÓN!F147)</f>
        <v>Encuestas de satisfacción del usuario.</v>
      </c>
      <c r="L146" s="550"/>
      <c r="M146" s="525"/>
      <c r="N146" s="527"/>
      <c r="O146" s="529"/>
      <c r="P146" s="395"/>
      <c r="Q146" s="395"/>
      <c r="R146" s="396"/>
    </row>
    <row r="147" spans="1:18" ht="16.5" thickBot="1" x14ac:dyDescent="0.25">
      <c r="A147" s="533"/>
      <c r="B147" s="496"/>
      <c r="C147" s="527"/>
      <c r="D147" s="536"/>
      <c r="E147" s="537"/>
      <c r="F147" s="540"/>
      <c r="G147" s="545"/>
      <c r="H147" s="546"/>
      <c r="I147" s="549"/>
      <c r="J147" s="357">
        <f>VALORACIÓN!C148</f>
        <v>3</v>
      </c>
      <c r="K147" s="358" t="str">
        <f>IF(VALORACIÓN!F148=0,"",VALORACIÓN!F148)</f>
        <v/>
      </c>
      <c r="L147" s="550"/>
      <c r="M147" s="526"/>
      <c r="N147" s="527"/>
      <c r="O147" s="530"/>
      <c r="P147" s="395"/>
      <c r="Q147" s="395"/>
      <c r="R147" s="396"/>
    </row>
    <row r="148" spans="1:18" ht="64.5" thickTop="1" x14ac:dyDescent="0.2">
      <c r="A148" s="531" t="str">
        <f>VALORACIÓN!A149</f>
        <v>19C</v>
      </c>
      <c r="B148" s="496" t="str">
        <f>VALORACIÓN!B149</f>
        <v>Gestión de Extensión y Proyección Social. Omisión de la ley para beneficio propio.</v>
      </c>
      <c r="C148" s="527" t="str">
        <f>IF(IDENTIFICACIÓN!B56="","",IDENTIFICACIÓN!B56)</f>
        <v>Dificultad en la identificación y acceso a los cambios en la normativa y regulaciones.</v>
      </c>
      <c r="D148" s="534" t="str">
        <f>IF(IDENTIFICACIÓN!D56="","","NA")</f>
        <v>NA</v>
      </c>
      <c r="E148" s="537">
        <f>ANALISIS!D58</f>
        <v>3</v>
      </c>
      <c r="F148" s="538" t="str">
        <f>ANALISIS!E58</f>
        <v>POSIBLE</v>
      </c>
      <c r="G148" s="541" t="s">
        <v>353</v>
      </c>
      <c r="H148" s="542"/>
      <c r="I148" s="547" t="str">
        <f>ANALISIS!J58</f>
        <v>MODERADA</v>
      </c>
      <c r="J148" s="357">
        <f>VALORACIÓN!C149</f>
        <v>1</v>
      </c>
      <c r="K148" s="358" t="str">
        <f>IF(VALORACIÓN!F149=0,"",VALORACIÓN!F149)</f>
        <v>GD-P11 Procedimiento para el control de comunicaciones oficiales recibidas y externas a enviar.</v>
      </c>
      <c r="L148" s="550">
        <f>VALORACIÓN!AA149</f>
        <v>95</v>
      </c>
      <c r="M148" s="524" t="str">
        <f>VALORACIÓN!AG149</f>
        <v>MODERADA</v>
      </c>
      <c r="N148" s="527" t="str">
        <f>VALORACIÓN!AG150</f>
        <v>- Evitar Posibilidad de Ocurrencia- Reducir el Riesgo</v>
      </c>
      <c r="O148" s="528" t="str">
        <f>IF(B148="","",IF(VALORACIÓN!BA149="","Aceptar el Riesgo sin necesidad de tomar otras medidas de control diferentes a las que se poseen, considerando que estos son efectivos con ponderacion de 100, y la evaluación final del riesgos es Baja 1:1",VALORACIÓN!BA149))</f>
        <v>- Tomar Acciones Preventivas</v>
      </c>
      <c r="P148" s="395" t="s">
        <v>403</v>
      </c>
      <c r="Q148" s="395" t="s">
        <v>821</v>
      </c>
      <c r="R148" s="396" t="s">
        <v>70</v>
      </c>
    </row>
    <row r="149" spans="1:18" ht="51" x14ac:dyDescent="0.2">
      <c r="A149" s="532"/>
      <c r="B149" s="496"/>
      <c r="C149" s="527"/>
      <c r="D149" s="535"/>
      <c r="E149" s="537"/>
      <c r="F149" s="539"/>
      <c r="G149" s="543"/>
      <c r="H149" s="544"/>
      <c r="I149" s="548"/>
      <c r="J149" s="357">
        <f>VALORACIÓN!C150</f>
        <v>2</v>
      </c>
      <c r="K149" s="358" t="str">
        <f>IF(VALORACIÓN!F150=0,"",VALORACIÓN!F150)</f>
        <v>GD-P08 Procedimiento para la actualización de información y grupos de interés.</v>
      </c>
      <c r="L149" s="550"/>
      <c r="M149" s="525"/>
      <c r="N149" s="527"/>
      <c r="O149" s="529"/>
      <c r="P149" s="395"/>
      <c r="Q149" s="395"/>
      <c r="R149" s="396"/>
    </row>
    <row r="150" spans="1:18" ht="16.5" thickBot="1" x14ac:dyDescent="0.25">
      <c r="A150" s="533"/>
      <c r="B150" s="496"/>
      <c r="C150" s="527"/>
      <c r="D150" s="536"/>
      <c r="E150" s="537"/>
      <c r="F150" s="540"/>
      <c r="G150" s="545"/>
      <c r="H150" s="546"/>
      <c r="I150" s="549"/>
      <c r="J150" s="357">
        <f>VALORACIÓN!C151</f>
        <v>3</v>
      </c>
      <c r="K150" s="358" t="str">
        <f>IF(VALORACIÓN!F151=0,"",VALORACIÓN!F151)</f>
        <v/>
      </c>
      <c r="L150" s="550"/>
      <c r="M150" s="526"/>
      <c r="N150" s="527"/>
      <c r="O150" s="530"/>
      <c r="P150" s="395"/>
      <c r="Q150" s="395"/>
      <c r="R150" s="396"/>
    </row>
    <row r="151" spans="1:18" ht="45.75" thickTop="1" x14ac:dyDescent="0.2">
      <c r="A151" s="531" t="str">
        <f>VALORACIÓN!A152</f>
        <v>20C</v>
      </c>
      <c r="B151" s="496" t="str">
        <f>VALORACIÓN!B152</f>
        <v>Gestión de Contratación. Pliegos de condiciones hechos a la medida de una firma en particular.</v>
      </c>
      <c r="C151" s="527" t="str">
        <f>IF(IDENTIFICACIÓN!B57="","",IDENTIFICACIÓN!B57)</f>
        <v xml:space="preserve">Presiones por parte de personas, gremios o entidades externas
</v>
      </c>
      <c r="D151" s="534" t="str">
        <f>IF(IDENTIFICACIÓN!D57="","","NA")</f>
        <v>NA</v>
      </c>
      <c r="E151" s="537">
        <f>ANALISIS!D59</f>
        <v>3</v>
      </c>
      <c r="F151" s="538" t="str">
        <f>ANALISIS!E59</f>
        <v>POSIBLE</v>
      </c>
      <c r="G151" s="541" t="s">
        <v>353</v>
      </c>
      <c r="H151" s="542"/>
      <c r="I151" s="547" t="str">
        <f>ANALISIS!J59</f>
        <v>MODERADA</v>
      </c>
      <c r="J151" s="357">
        <f>VALORACIÓN!C152</f>
        <v>1</v>
      </c>
      <c r="K151" s="358" t="str">
        <f>IF(VALORACIÓN!F152=0,"",VALORACIÓN!F152)</f>
        <v>Aprobación de los pliegos de condiciones por parte del ordenador del gasto</v>
      </c>
      <c r="L151" s="550">
        <f>VALORACIÓN!AA152</f>
        <v>95</v>
      </c>
      <c r="M151" s="524" t="str">
        <f>VALORACIÓN!AG152</f>
        <v>MODERADA</v>
      </c>
      <c r="N151" s="527" t="str">
        <f>VALORACIÓN!AG153</f>
        <v>- Evitar Posibilidad de Ocurrencia- Reducir el Riesgo</v>
      </c>
      <c r="O151" s="528" t="str">
        <f>IF(B151="","",IF(VALORACIÓN!BA152="","Aceptar el Riesgo sin necesidad de tomar otras medidas de control diferentes a las que se poseen, considerando que estos son efectivos con ponderacion de 100, y la evaluación final del riesgos es Baja 1:1",VALORACIÓN!BA152))</f>
        <v>- Tomar Acciones Preventivas</v>
      </c>
      <c r="P151" s="395" t="s">
        <v>406</v>
      </c>
      <c r="Q151" s="395" t="s">
        <v>801</v>
      </c>
      <c r="R151" s="396" t="s">
        <v>97</v>
      </c>
    </row>
    <row r="152" spans="1:18" x14ac:dyDescent="0.2">
      <c r="A152" s="532"/>
      <c r="B152" s="496"/>
      <c r="C152" s="527"/>
      <c r="D152" s="535"/>
      <c r="E152" s="537"/>
      <c r="F152" s="539"/>
      <c r="G152" s="543"/>
      <c r="H152" s="544"/>
      <c r="I152" s="548"/>
      <c r="J152" s="357">
        <f>VALORACIÓN!C153</f>
        <v>2</v>
      </c>
      <c r="K152" s="358" t="str">
        <f>IF(VALORACIÓN!F153=0,"",VALORACIÓN!F153)</f>
        <v/>
      </c>
      <c r="L152" s="550"/>
      <c r="M152" s="525"/>
      <c r="N152" s="527"/>
      <c r="O152" s="529"/>
      <c r="P152" s="395"/>
      <c r="Q152" s="395"/>
      <c r="R152" s="396"/>
    </row>
    <row r="153" spans="1:18" ht="16.5" thickBot="1" x14ac:dyDescent="0.25">
      <c r="A153" s="533"/>
      <c r="B153" s="496"/>
      <c r="C153" s="527"/>
      <c r="D153" s="536"/>
      <c r="E153" s="537"/>
      <c r="F153" s="540"/>
      <c r="G153" s="545"/>
      <c r="H153" s="546"/>
      <c r="I153" s="549"/>
      <c r="J153" s="357">
        <f>VALORACIÓN!C154</f>
        <v>3</v>
      </c>
      <c r="K153" s="358" t="str">
        <f>IF(VALORACIÓN!F154=0,"",VALORACIÓN!F154)</f>
        <v/>
      </c>
      <c r="L153" s="550"/>
      <c r="M153" s="526"/>
      <c r="N153" s="527"/>
      <c r="O153" s="530"/>
      <c r="P153" s="395"/>
      <c r="Q153" s="395"/>
      <c r="R153" s="396"/>
    </row>
    <row r="154" spans="1:18" ht="64.5" thickTop="1" x14ac:dyDescent="0.2">
      <c r="A154" s="531" t="str">
        <f>VALORACIÓN!A155</f>
        <v>21C</v>
      </c>
      <c r="B154" s="496" t="str">
        <f>VALORACIÓN!B155</f>
        <v xml:space="preserve">Gestión Financiera. Pago de obligaciones sin el lleno de requisitos. </v>
      </c>
      <c r="C154" s="527" t="str">
        <f>IF(IDENTIFICACIÓN!B58="","",IDENTIFICACIÓN!B58)</f>
        <v>Desconocimiento de la Normatividad aplicada a los procesos de pago.</v>
      </c>
      <c r="D154" s="534" t="str">
        <f>IF(IDENTIFICACIÓN!D58="","","NA")</f>
        <v>NA</v>
      </c>
      <c r="E154" s="537">
        <f>ANALISIS!D60</f>
        <v>3</v>
      </c>
      <c r="F154" s="538" t="str">
        <f>ANALISIS!E60</f>
        <v>POSIBLE</v>
      </c>
      <c r="G154" s="541" t="s">
        <v>353</v>
      </c>
      <c r="H154" s="542"/>
      <c r="I154" s="547" t="str">
        <f>ANALISIS!J60</f>
        <v>MODERADA</v>
      </c>
      <c r="J154" s="357">
        <f>VALORACIÓN!C155</f>
        <v>1</v>
      </c>
      <c r="K154" s="358" t="str">
        <f>IF(VALORACIÓN!F155=0,"",VALORACIÓN!F155)</f>
        <v>Definición  y  claridad en los requisitos legales a cumplir en los documentos recibidos para trámite de pagos</v>
      </c>
      <c r="L154" s="550">
        <f>VALORACIÓN!AA155</f>
        <v>95</v>
      </c>
      <c r="M154" s="524" t="str">
        <f>VALORACIÓN!AG155</f>
        <v>MODERADA</v>
      </c>
      <c r="N154" s="527" t="str">
        <f>VALORACIÓN!AG156</f>
        <v>- Evitar Posibilidad de Ocurrencia- Reducir el Riesgo</v>
      </c>
      <c r="O154" s="528" t="str">
        <f>IF(B154="","",IF(VALORACIÓN!BA155="","Aceptar el Riesgo sin necesidad de tomar otras medidas de control diferentes a las que se poseen, considerando que estos son efectivos con ponderacion de 100, y la evaluación final del riesgos es Baja 1:1",VALORACIÓN!BA155))</f>
        <v>- Tomar Acciones Preventivas</v>
      </c>
      <c r="P154" s="395" t="s">
        <v>404</v>
      </c>
      <c r="Q154" s="395" t="s">
        <v>822</v>
      </c>
      <c r="R154" s="396" t="s">
        <v>70</v>
      </c>
    </row>
    <row r="155" spans="1:18" ht="63.75" x14ac:dyDescent="0.2">
      <c r="A155" s="532"/>
      <c r="B155" s="496"/>
      <c r="C155" s="527"/>
      <c r="D155" s="535"/>
      <c r="E155" s="537"/>
      <c r="F155" s="539"/>
      <c r="G155" s="543"/>
      <c r="H155" s="544"/>
      <c r="I155" s="548"/>
      <c r="J155" s="357">
        <f>VALORACIÓN!C156</f>
        <v>2</v>
      </c>
      <c r="K155" s="358" t="str">
        <f>IF(VALORACIÓN!F156=0,"",VALORACIÓN!F156)</f>
        <v>Verificación del cumplimiento de los requisitos: legales, contables, tributarios y administrativos.</v>
      </c>
      <c r="L155" s="550"/>
      <c r="M155" s="525"/>
      <c r="N155" s="527"/>
      <c r="O155" s="529"/>
      <c r="P155" s="395"/>
      <c r="Q155" s="395"/>
      <c r="R155" s="396"/>
    </row>
    <row r="156" spans="1:18" ht="16.5" thickBot="1" x14ac:dyDescent="0.25">
      <c r="A156" s="533"/>
      <c r="B156" s="496"/>
      <c r="C156" s="527"/>
      <c r="D156" s="536"/>
      <c r="E156" s="537"/>
      <c r="F156" s="540"/>
      <c r="G156" s="545"/>
      <c r="H156" s="546"/>
      <c r="I156" s="549"/>
      <c r="J156" s="357">
        <f>VALORACIÓN!C157</f>
        <v>3</v>
      </c>
      <c r="K156" s="358" t="str">
        <f>IF(VALORACIÓN!F157=0,"",VALORACIÓN!F157)</f>
        <v/>
      </c>
      <c r="L156" s="550"/>
      <c r="M156" s="526"/>
      <c r="N156" s="527"/>
      <c r="O156" s="530"/>
      <c r="P156" s="395"/>
      <c r="Q156" s="395"/>
      <c r="R156" s="396"/>
    </row>
    <row r="157" spans="1:18" ht="30.75" thickTop="1" x14ac:dyDescent="0.2">
      <c r="A157" s="531" t="str">
        <f>VALORACIÓN!A158</f>
        <v>22C</v>
      </c>
      <c r="B157" s="496" t="str">
        <f>VALORACIÓN!B158</f>
        <v>Gestión Financiera. Perdida de titulos valores</v>
      </c>
      <c r="C157" s="527" t="str">
        <f>IF(IDENTIFICACIÓN!B59="","",IDENTIFICACIÓN!B59)</f>
        <v xml:space="preserve">Error humano, deficiencia en la custodia, protección y entrega de titulos valores </v>
      </c>
      <c r="D157" s="534" t="str">
        <f>IF(IDENTIFICACIÓN!D59="","","NA")</f>
        <v>NA</v>
      </c>
      <c r="E157" s="537">
        <f>ANALISIS!D61</f>
        <v>3</v>
      </c>
      <c r="F157" s="538" t="str">
        <f>ANALISIS!E61</f>
        <v>POSIBLE</v>
      </c>
      <c r="G157" s="541" t="s">
        <v>353</v>
      </c>
      <c r="H157" s="542"/>
      <c r="I157" s="547" t="str">
        <f>ANALISIS!J61</f>
        <v>MODERADA</v>
      </c>
      <c r="J157" s="357">
        <f>VALORACIÓN!C158</f>
        <v>1</v>
      </c>
      <c r="K157" s="358" t="str">
        <f>IF(VALORACIÓN!F158=0,"",VALORACIÓN!F158)</f>
        <v>Conciliaciones Bancarias</v>
      </c>
      <c r="L157" s="550">
        <f>VALORACIÓN!AA158</f>
        <v>95</v>
      </c>
      <c r="M157" s="524" t="str">
        <f>VALORACIÓN!AG158</f>
        <v>MODERADA</v>
      </c>
      <c r="N157" s="527" t="str">
        <f>VALORACIÓN!AG159</f>
        <v>- Evitar Posibilidad de Ocurrencia- Reducir el Riesgo</v>
      </c>
      <c r="O157" s="528" t="str">
        <f>IF(B157="","",IF(VALORACIÓN!BA158="","Aceptar el Riesgo sin necesidad de tomar otras medidas de control diferentes a las que se poseen, considerando que estos son efectivos con ponderacion de 100, y la evaluación final del riesgos es Baja 1:1",VALORACIÓN!BA158))</f>
        <v>- Tomar Acciones Preventivas</v>
      </c>
      <c r="P157" s="395" t="s">
        <v>403</v>
      </c>
      <c r="Q157" s="395" t="s">
        <v>823</v>
      </c>
      <c r="R157" s="396" t="s">
        <v>70</v>
      </c>
    </row>
    <row r="158" spans="1:18" ht="63.75" x14ac:dyDescent="0.2">
      <c r="A158" s="532"/>
      <c r="B158" s="496"/>
      <c r="C158" s="527"/>
      <c r="D158" s="535"/>
      <c r="E158" s="537"/>
      <c r="F158" s="539"/>
      <c r="G158" s="543"/>
      <c r="H158" s="544"/>
      <c r="I158" s="548"/>
      <c r="J158" s="357">
        <f>VALORACIÓN!C159</f>
        <v>2</v>
      </c>
      <c r="K158" s="358" t="str">
        <f>IF(VALORACIÓN!F159=0,"",VALORACIÓN!F159)</f>
        <v>Custodia en Caja Fuerte de los títulos valores (chequeras, cheques, sellos humedos y protectógrafo)</v>
      </c>
      <c r="L158" s="550"/>
      <c r="M158" s="525"/>
      <c r="N158" s="527"/>
      <c r="O158" s="529"/>
      <c r="P158" s="395"/>
      <c r="Q158" s="395"/>
      <c r="R158" s="396"/>
    </row>
    <row r="159" spans="1:18" ht="16.5" thickBot="1" x14ac:dyDescent="0.25">
      <c r="A159" s="533"/>
      <c r="B159" s="496"/>
      <c r="C159" s="527"/>
      <c r="D159" s="536"/>
      <c r="E159" s="537"/>
      <c r="F159" s="540"/>
      <c r="G159" s="545"/>
      <c r="H159" s="546"/>
      <c r="I159" s="549"/>
      <c r="J159" s="357">
        <f>VALORACIÓN!C160</f>
        <v>3</v>
      </c>
      <c r="K159" s="358" t="str">
        <f>IF(VALORACIÓN!F160=0,"",VALORACIÓN!F160)</f>
        <v/>
      </c>
      <c r="L159" s="550"/>
      <c r="M159" s="526"/>
      <c r="N159" s="527"/>
      <c r="O159" s="530"/>
      <c r="P159" s="395"/>
      <c r="Q159" s="395"/>
      <c r="R159" s="396"/>
    </row>
    <row r="160" spans="1:18" ht="45.75" thickTop="1" x14ac:dyDescent="0.2">
      <c r="A160" s="531" t="str">
        <f>VALORACIÓN!A161</f>
        <v>23C</v>
      </c>
      <c r="B160" s="496" t="str">
        <f>VALORACIÓN!B161</f>
        <v>Gestión Financiera. Omisión en la aplicación  de la normatividad vigente en los procesos de la Gestión Financiera</v>
      </c>
      <c r="C160" s="527" t="str">
        <f>IF(IDENTIFICACIÓN!B60="","",IDENTIFICACIÓN!B60)</f>
        <v xml:space="preserve">Desconocimiento ó desactualización de la normatividad externa aplicable a los procesos. </v>
      </c>
      <c r="D160" s="534" t="str">
        <f>IF(IDENTIFICACIÓN!D60="","","NA")</f>
        <v>NA</v>
      </c>
      <c r="E160" s="537">
        <f>ANALISIS!D62</f>
        <v>3</v>
      </c>
      <c r="F160" s="538" t="str">
        <f>ANALISIS!E62</f>
        <v>POSIBLE</v>
      </c>
      <c r="G160" s="541" t="s">
        <v>353</v>
      </c>
      <c r="H160" s="542"/>
      <c r="I160" s="547" t="str">
        <f>ANALISIS!J62</f>
        <v>MODERADA</v>
      </c>
      <c r="J160" s="357">
        <f>VALORACIÓN!C161</f>
        <v>1</v>
      </c>
      <c r="K160" s="358" t="str">
        <f>IF(VALORACIÓN!F161=0,"",VALORACIÓN!F161)</f>
        <v>Reuniones de Calidad</v>
      </c>
      <c r="L160" s="550">
        <f>VALORACIÓN!AA161</f>
        <v>95</v>
      </c>
      <c r="M160" s="524" t="str">
        <f>VALORACIÓN!AG161</f>
        <v>MODERADA</v>
      </c>
      <c r="N160" s="527" t="str">
        <f>VALORACIÓN!AG162</f>
        <v>- Evitar Posibilidad de Ocurrencia- Reducir el Riesgo</v>
      </c>
      <c r="O160" s="528" t="str">
        <f>IF(B160="","",IF(VALORACIÓN!BA161="","Aceptar el Riesgo sin necesidad de tomar otras medidas de control diferentes a las que se poseen, considerando que estos son efectivos con ponderacion de 100, y la evaluación final del riesgos es Baja 1:1",VALORACIÓN!BA161))</f>
        <v>- Tomar Acciones Preventivas</v>
      </c>
      <c r="P160" s="395" t="s">
        <v>404</v>
      </c>
      <c r="Q160" s="395" t="s">
        <v>824</v>
      </c>
      <c r="R160" s="396" t="s">
        <v>70</v>
      </c>
    </row>
    <row r="161" spans="1:18" ht="25.5" x14ac:dyDescent="0.2">
      <c r="A161" s="532"/>
      <c r="B161" s="496"/>
      <c r="C161" s="527"/>
      <c r="D161" s="535"/>
      <c r="E161" s="537"/>
      <c r="F161" s="539"/>
      <c r="G161" s="543"/>
      <c r="H161" s="544"/>
      <c r="I161" s="548"/>
      <c r="J161" s="357">
        <f>VALORACIÓN!C162</f>
        <v>2</v>
      </c>
      <c r="K161" s="358" t="str">
        <f>IF(VALORACIÓN!F162=0,"",VALORACIÓN!F162)</f>
        <v>Reuniones equipo Financiero</v>
      </c>
      <c r="L161" s="550"/>
      <c r="M161" s="525"/>
      <c r="N161" s="527"/>
      <c r="O161" s="529"/>
      <c r="P161" s="395"/>
      <c r="Q161" s="395"/>
      <c r="R161" s="396"/>
    </row>
    <row r="162" spans="1:18" ht="64.5" thickBot="1" x14ac:dyDescent="0.25">
      <c r="A162" s="533"/>
      <c r="B162" s="496"/>
      <c r="C162" s="527"/>
      <c r="D162" s="536"/>
      <c r="E162" s="537"/>
      <c r="F162" s="540"/>
      <c r="G162" s="545"/>
      <c r="H162" s="546"/>
      <c r="I162" s="549"/>
      <c r="J162" s="357">
        <f>VALORACIÓN!C163</f>
        <v>3</v>
      </c>
      <c r="K162" s="358" t="str">
        <f>IF(VALORACIÓN!F163=0,"",VALORACIÓN!F163)</f>
        <v>Planes de Mejoramiento y notificaciones y actualizaciones de la normatividad aplicable al proceso.</v>
      </c>
      <c r="L162" s="550"/>
      <c r="M162" s="526"/>
      <c r="N162" s="527"/>
      <c r="O162" s="530"/>
      <c r="P162" s="395"/>
      <c r="Q162" s="395"/>
      <c r="R162" s="396"/>
    </row>
    <row r="163" spans="1:18" ht="45.75" thickTop="1" x14ac:dyDescent="0.2">
      <c r="A163" s="531" t="str">
        <f>VALORACIÓN!A164</f>
        <v>24C</v>
      </c>
      <c r="B163" s="496" t="str">
        <f>VALORACIÓN!B164</f>
        <v xml:space="preserve">Apoyo Tecnológico TIC. Vulnerabilidad de la Información </v>
      </c>
      <c r="C163" s="527" t="str">
        <f>IF(IDENTIFICACIÓN!B61="","",IDENTIFICACIÓN!B61)</f>
        <v>Ausenca de controles para la implementacion, administracion y soportes de SI</v>
      </c>
      <c r="D163" s="534" t="str">
        <f>IF(IDENTIFICACIÓN!D61="","","NA")</f>
        <v>NA</v>
      </c>
      <c r="E163" s="537">
        <f>ANALISIS!D63</f>
        <v>3</v>
      </c>
      <c r="F163" s="538" t="str">
        <f>ANALISIS!E63</f>
        <v>POSIBLE</v>
      </c>
      <c r="G163" s="541" t="s">
        <v>353</v>
      </c>
      <c r="H163" s="542"/>
      <c r="I163" s="547" t="str">
        <f>ANALISIS!J63</f>
        <v>MODERADA</v>
      </c>
      <c r="J163" s="357">
        <f>VALORACIÓN!C164</f>
        <v>1</v>
      </c>
      <c r="K163" s="358" t="str">
        <f>IF(VALORACIÓN!F164=0,"",VALORACIÓN!F164)</f>
        <v>Roles para el acceso a la información</v>
      </c>
      <c r="L163" s="550">
        <f>VALORACIÓN!AA164</f>
        <v>78</v>
      </c>
      <c r="M163" s="524" t="str">
        <f>VALORACIÓN!AG164</f>
        <v>MODERADA</v>
      </c>
      <c r="N163" s="527" t="str">
        <f>VALORACIÓN!AG165</f>
        <v>- Evitar Posibilidad de Ocurrencia- Reducir el Riesgo</v>
      </c>
      <c r="O163" s="528" t="str">
        <f>IF(B163="","",IF(VALORACIÓN!BA164="","Aceptar el Riesgo sin necesidad de tomar otras medidas de control diferentes a las que se poseen, considerando que estos son efectivos con ponderacion de 100, y la evaluación final del riesgos es Baja 1:1",VALORACIÓN!BA164))</f>
        <v>- Documentar, Guardar Evidencias (de) el(los) control(es) Efectivo(s) - Tomar Acciones Preventivas</v>
      </c>
      <c r="P163" s="395" t="s">
        <v>404</v>
      </c>
      <c r="Q163" s="395" t="s">
        <v>825</v>
      </c>
      <c r="R163" s="396" t="s">
        <v>70</v>
      </c>
    </row>
    <row r="164" spans="1:18" ht="38.25" x14ac:dyDescent="0.2">
      <c r="A164" s="532"/>
      <c r="B164" s="496"/>
      <c r="C164" s="527"/>
      <c r="D164" s="535"/>
      <c r="E164" s="537"/>
      <c r="F164" s="539"/>
      <c r="G164" s="543"/>
      <c r="H164" s="544"/>
      <c r="I164" s="548"/>
      <c r="J164" s="357">
        <f>VALORACIÓN!C165</f>
        <v>2</v>
      </c>
      <c r="K164" s="358" t="str">
        <f>IF(VALORACIÓN!F165=0,"",VALORACIÓN!F165)</f>
        <v>Firewall para el control de ingreso a red y sistemas de información</v>
      </c>
      <c r="L164" s="550"/>
      <c r="M164" s="525"/>
      <c r="N164" s="527"/>
      <c r="O164" s="529"/>
      <c r="P164" s="395" t="s">
        <v>404</v>
      </c>
      <c r="Q164" s="395" t="s">
        <v>826</v>
      </c>
      <c r="R164" s="396" t="s">
        <v>69</v>
      </c>
    </row>
    <row r="165" spans="1:18" ht="45.75" thickBot="1" x14ac:dyDescent="0.25">
      <c r="A165" s="533"/>
      <c r="B165" s="496"/>
      <c r="C165" s="527"/>
      <c r="D165" s="536"/>
      <c r="E165" s="537"/>
      <c r="F165" s="540"/>
      <c r="G165" s="545"/>
      <c r="H165" s="546"/>
      <c r="I165" s="549"/>
      <c r="J165" s="357">
        <f>VALORACIÓN!C166</f>
        <v>3</v>
      </c>
      <c r="K165" s="358" t="str">
        <f>IF(VALORACIÓN!F166=0,"",VALORACIÓN!F166)</f>
        <v/>
      </c>
      <c r="L165" s="550"/>
      <c r="M165" s="526"/>
      <c r="N165" s="527"/>
      <c r="O165" s="530"/>
      <c r="P165" s="395" t="s">
        <v>404</v>
      </c>
      <c r="Q165" s="395" t="s">
        <v>827</v>
      </c>
      <c r="R165" s="396" t="s">
        <v>69</v>
      </c>
    </row>
    <row r="166" spans="1:18" ht="45.75" thickTop="1" x14ac:dyDescent="0.2">
      <c r="A166" s="531" t="str">
        <f>VALORACIÓN!A167</f>
        <v>25C</v>
      </c>
      <c r="B166" s="496" t="str">
        <f>VALORACIÓN!B167</f>
        <v xml:space="preserve">Gestión Documental. Entregar un título o certificado sin los requisitos para ello </v>
      </c>
      <c r="C166" s="527" t="str">
        <f>IF(IDENTIFICACIÓN!B62="","",IDENTIFICACIÓN!B62)</f>
        <v>Omisión de procedimientos legal 
Falta de cualificación del personal
Ausencia de cultura ética y buen gobierno</v>
      </c>
      <c r="D166" s="534" t="str">
        <f>IF(IDENTIFICACIÓN!D62="","","NA")</f>
        <v>NA</v>
      </c>
      <c r="E166" s="537">
        <f>ANALISIS!D64</f>
        <v>3</v>
      </c>
      <c r="F166" s="538" t="str">
        <f>ANALISIS!E64</f>
        <v>POSIBLE</v>
      </c>
      <c r="G166" s="541" t="s">
        <v>353</v>
      </c>
      <c r="H166" s="542"/>
      <c r="I166" s="547" t="str">
        <f>ANALISIS!J64</f>
        <v>MODERADA</v>
      </c>
      <c r="J166" s="357">
        <f>VALORACIÓN!C167</f>
        <v>1</v>
      </c>
      <c r="K166" s="358" t="str">
        <f>IF(VALORACIÓN!F167=0,"",VALORACIÓN!F167)</f>
        <v>Recibir y verificar los requisitos de grados</v>
      </c>
      <c r="L166" s="550">
        <f>VALORACIÓN!AA167</f>
        <v>90</v>
      </c>
      <c r="M166" s="524" t="str">
        <f>VALORACIÓN!AG167</f>
        <v>MODERADA</v>
      </c>
      <c r="N166" s="527" t="str">
        <f>VALORACIÓN!AG168</f>
        <v>- Evitar Posibilidad de Ocurrencia- Reducir el Riesgo</v>
      </c>
      <c r="O166" s="528" t="str">
        <f>IF(B166="","",IF(VALORACIÓN!BA167="","Aceptar el Riesgo sin necesidad de tomar otras medidas de control diferentes a las que se poseen, considerando que estos son efectivos con ponderacion de 100, y la evaluación final del riesgos es Baja 1:1",VALORACIÓN!BA167))</f>
        <v>- Documentar (de) el(los) control(es) Efectivo(s) - Tomar Acciones Preventivas</v>
      </c>
      <c r="P166" s="395" t="s">
        <v>406</v>
      </c>
      <c r="Q166" s="395" t="s">
        <v>828</v>
      </c>
      <c r="R166" s="396" t="s">
        <v>97</v>
      </c>
    </row>
    <row r="167" spans="1:18" ht="38.25" x14ac:dyDescent="0.2">
      <c r="A167" s="532"/>
      <c r="B167" s="496"/>
      <c r="C167" s="527"/>
      <c r="D167" s="535"/>
      <c r="E167" s="537"/>
      <c r="F167" s="539"/>
      <c r="G167" s="543"/>
      <c r="H167" s="544"/>
      <c r="I167" s="548"/>
      <c r="J167" s="357">
        <f>VALORACIÓN!C168</f>
        <v>2</v>
      </c>
      <c r="K167" s="358" t="str">
        <f>IF(VALORACIÓN!F168=0,"",VALORACIÓN!F168)</f>
        <v>Consolidación de la información y envío de la misma al sistema de AyRE</v>
      </c>
      <c r="L167" s="550"/>
      <c r="M167" s="525"/>
      <c r="N167" s="527"/>
      <c r="O167" s="529"/>
      <c r="P167" s="395"/>
      <c r="Q167" s="395"/>
      <c r="R167" s="396"/>
    </row>
    <row r="168" spans="1:18" ht="39" thickBot="1" x14ac:dyDescent="0.25">
      <c r="A168" s="533"/>
      <c r="B168" s="496"/>
      <c r="C168" s="527"/>
      <c r="D168" s="536"/>
      <c r="E168" s="537"/>
      <c r="F168" s="540"/>
      <c r="G168" s="545"/>
      <c r="H168" s="546"/>
      <c r="I168" s="549"/>
      <c r="J168" s="357">
        <f>VALORACIÓN!C169</f>
        <v>3</v>
      </c>
      <c r="K168" s="358" t="str">
        <f>IF(VALORACIÓN!F169=0,"",VALORACIÓN!F169)</f>
        <v xml:space="preserve">Utilización de papel de seguridad para la elaboración de diplomas </v>
      </c>
      <c r="L168" s="550"/>
      <c r="M168" s="526"/>
      <c r="N168" s="527"/>
      <c r="O168" s="530"/>
      <c r="P168" s="395"/>
      <c r="Q168" s="395"/>
      <c r="R168" s="396"/>
    </row>
    <row r="169" spans="1:18" ht="45.75" thickTop="1" x14ac:dyDescent="0.2">
      <c r="A169" s="531" t="str">
        <f>VALORACIÓN!A170</f>
        <v>26C</v>
      </c>
      <c r="B169" s="496" t="str">
        <f>VALORACIÓN!B170</f>
        <v>Gestión Documental. Expedición de un certificado de título falso</v>
      </c>
      <c r="C169" s="527" t="str">
        <f>IF(IDENTIFICACIÓN!B63="","",IDENTIFICACIÓN!B63)</f>
        <v>Omisión de procedimientos legal 
Falta de cualificación del personal
Ausencia de cultura ética y buen gobierno</v>
      </c>
      <c r="D169" s="534" t="str">
        <f>IF(IDENTIFICACIÓN!D63="","","NA")</f>
        <v>NA</v>
      </c>
      <c r="E169" s="537">
        <f>ANALISIS!D65</f>
        <v>3</v>
      </c>
      <c r="F169" s="538" t="str">
        <f>ANALISIS!E65</f>
        <v>POSIBLE</v>
      </c>
      <c r="G169" s="541" t="s">
        <v>353</v>
      </c>
      <c r="H169" s="542"/>
      <c r="I169" s="547" t="str">
        <f>ANALISIS!J65</f>
        <v>MODERADA</v>
      </c>
      <c r="J169" s="357">
        <f>VALORACIÓN!C170</f>
        <v>1</v>
      </c>
      <c r="K169" s="358" t="str">
        <f>IF(VALORACIÓN!F170=0,"",VALORACIÓN!F170)</f>
        <v>Revisión de la información en el Archivo de la Secretaría General</v>
      </c>
      <c r="L169" s="550">
        <f>VALORACIÓN!AA170</f>
        <v>85</v>
      </c>
      <c r="M169" s="524" t="str">
        <f>VALORACIÓN!AG170</f>
        <v>MODERADA</v>
      </c>
      <c r="N169" s="527" t="str">
        <f>VALORACIÓN!AG171</f>
        <v>- Evitar Posibilidad de Ocurrencia- Reducir el Riesgo</v>
      </c>
      <c r="O169" s="528" t="str">
        <f>IF(B169="","",IF(VALORACIÓN!BA170="","Aceptar el Riesgo sin necesidad de tomar otras medidas de control diferentes a las que se poseen, considerando que estos son efectivos con ponderacion de 100, y la evaluación final del riesgos es Baja 1:1",VALORACIÓN!BA170))</f>
        <v>- Guardar Evidencias (de) el(los) control(es) Efectivo(s) - Tomar Acciones Preventivas</v>
      </c>
      <c r="P169" s="395" t="s">
        <v>406</v>
      </c>
      <c r="Q169" s="395" t="s">
        <v>828</v>
      </c>
      <c r="R169" s="396" t="s">
        <v>97</v>
      </c>
    </row>
    <row r="170" spans="1:18" ht="38.25" x14ac:dyDescent="0.2">
      <c r="A170" s="532"/>
      <c r="B170" s="496"/>
      <c r="C170" s="527"/>
      <c r="D170" s="535"/>
      <c r="E170" s="537"/>
      <c r="F170" s="539"/>
      <c r="G170" s="543"/>
      <c r="H170" s="544"/>
      <c r="I170" s="548"/>
      <c r="J170" s="357">
        <f>VALORACIÓN!C171</f>
        <v>2</v>
      </c>
      <c r="K170" s="358" t="str">
        <f>IF(VALORACIÓN!F171=0,"",VALORACIÓN!F171)</f>
        <v>Validación de la información en el sistema AyRE</v>
      </c>
      <c r="L170" s="550"/>
      <c r="M170" s="525"/>
      <c r="N170" s="527"/>
      <c r="O170" s="529"/>
      <c r="P170" s="395"/>
      <c r="Q170" s="395"/>
      <c r="R170" s="396"/>
    </row>
    <row r="171" spans="1:18" ht="16.5" thickBot="1" x14ac:dyDescent="0.25">
      <c r="A171" s="533"/>
      <c r="B171" s="496"/>
      <c r="C171" s="527"/>
      <c r="D171" s="536"/>
      <c r="E171" s="537"/>
      <c r="F171" s="540"/>
      <c r="G171" s="545"/>
      <c r="H171" s="546"/>
      <c r="I171" s="549"/>
      <c r="J171" s="357">
        <f>VALORACIÓN!C172</f>
        <v>3</v>
      </c>
      <c r="K171" s="358" t="str">
        <f>IF(VALORACIÓN!F172=0,"",VALORACIÓN!F172)</f>
        <v/>
      </c>
      <c r="L171" s="550"/>
      <c r="M171" s="526"/>
      <c r="N171" s="527"/>
      <c r="O171" s="530"/>
      <c r="P171" s="395"/>
      <c r="Q171" s="395"/>
      <c r="R171" s="396"/>
    </row>
    <row r="172" spans="1:18" ht="39" customHeight="1" thickTop="1" x14ac:dyDescent="0.2">
      <c r="A172" s="531" t="str">
        <f>VALORACIÓN!A173</f>
        <v>27C</v>
      </c>
      <c r="B172" s="496" t="str">
        <f>VALORACIÓN!B173</f>
        <v>Gestión del Talento Humano. Concentración de información de determinadas actividades o procesos en una persona.</v>
      </c>
      <c r="C172" s="527" t="str">
        <f>IF(IDENTIFICACIÓN!B64="","",IDENTIFICACIÓN!B64)</f>
        <v>1. Inadecuada distribución de personal, de acuerdo a competencias.
2. Falta de definición de puntos de control
3. Bajo nivel de automatización en el seguimiento de los procesos.</v>
      </c>
      <c r="D172" s="534" t="str">
        <f>IF(IDENTIFICACIÓN!D64="","","NA")</f>
        <v>NA</v>
      </c>
      <c r="E172" s="537">
        <f>ANALISIS!D66</f>
        <v>3</v>
      </c>
      <c r="F172" s="538" t="str">
        <f>ANALISIS!E66</f>
        <v>POSIBLE</v>
      </c>
      <c r="G172" s="541" t="s">
        <v>353</v>
      </c>
      <c r="H172" s="542"/>
      <c r="I172" s="547" t="str">
        <f>ANALISIS!J66</f>
        <v>MODERADA</v>
      </c>
      <c r="J172" s="386">
        <f>VALORACIÓN!C173</f>
        <v>1</v>
      </c>
      <c r="K172" s="387" t="str">
        <f>IF(VALORACIÓN!F173=0,"",VALORACIÓN!F173)</f>
        <v>Procedimientos documentados en COGUI</v>
      </c>
      <c r="L172" s="550">
        <f>VALORACIÓN!AA173</f>
        <v>80</v>
      </c>
      <c r="M172" s="524" t="str">
        <f>VALORACIÓN!AG173</f>
        <v>MODERADA</v>
      </c>
      <c r="N172" s="527" t="str">
        <f>VALORACIÓN!AG174</f>
        <v>- Evitar Posibilidad de Ocurrencia- Reducir el Riesgo</v>
      </c>
      <c r="O172" s="528" t="str">
        <f>IF(B172="","",IF(VALORACIÓN!BA173="","Aceptar el Riesgo sin necesidad de tomar otras medidas de control diferentes a las que se poseen, considerando que estos son efectivos con ponderacion de 100, y la evaluación final del riesgos es Baja 1:1",VALORACIÓN!BA173))</f>
        <v>- Establecer periodos de seguimiento adecuados (de) el(los) control(es) Efectivo(s) - Tomar Acciones Preventivas</v>
      </c>
      <c r="P172" s="395" t="s">
        <v>404</v>
      </c>
      <c r="Q172" s="395" t="s">
        <v>829</v>
      </c>
      <c r="R172" s="396" t="s">
        <v>70</v>
      </c>
    </row>
    <row r="173" spans="1:18" x14ac:dyDescent="0.2">
      <c r="A173" s="532"/>
      <c r="B173" s="496"/>
      <c r="C173" s="527"/>
      <c r="D173" s="535"/>
      <c r="E173" s="537"/>
      <c r="F173" s="539"/>
      <c r="G173" s="543"/>
      <c r="H173" s="544"/>
      <c r="I173" s="548"/>
      <c r="J173" s="386">
        <f>VALORACIÓN!C174</f>
        <v>2</v>
      </c>
      <c r="K173" s="387" t="str">
        <f>IF(VALORACIÓN!F174=0,"",VALORACIÓN!F174)</f>
        <v/>
      </c>
      <c r="L173" s="550"/>
      <c r="M173" s="525"/>
      <c r="N173" s="527"/>
      <c r="O173" s="529"/>
      <c r="P173" s="395"/>
      <c r="Q173" s="395"/>
      <c r="R173" s="396"/>
    </row>
    <row r="174" spans="1:18" ht="16.5" thickBot="1" x14ac:dyDescent="0.25">
      <c r="A174" s="533"/>
      <c r="B174" s="496"/>
      <c r="C174" s="527"/>
      <c r="D174" s="536"/>
      <c r="E174" s="537"/>
      <c r="F174" s="540"/>
      <c r="G174" s="545"/>
      <c r="H174" s="546"/>
      <c r="I174" s="549"/>
      <c r="J174" s="386">
        <f>VALORACIÓN!C175</f>
        <v>3</v>
      </c>
      <c r="K174" s="387" t="str">
        <f>IF(VALORACIÓN!F175=0,"",VALORACIÓN!F175)</f>
        <v/>
      </c>
      <c r="L174" s="550"/>
      <c r="M174" s="526"/>
      <c r="N174" s="527"/>
      <c r="O174" s="530"/>
      <c r="P174" s="395"/>
      <c r="Q174" s="395"/>
      <c r="R174" s="396"/>
    </row>
    <row r="175" spans="1:18" ht="60.75" thickTop="1" x14ac:dyDescent="0.2">
      <c r="A175" s="531" t="str">
        <f>VALORACIÓN!A176</f>
        <v>28C</v>
      </c>
      <c r="B175" s="496" t="str">
        <f>VALORACIÓN!B176</f>
        <v>Gestión del Talento Humano. Decisiones no ajustadas a la normatividad legal.</v>
      </c>
      <c r="C175" s="527" t="str">
        <f>IF(IDENTIFICACIÓN!B65="","",IDENTIFICACIÓN!B65)</f>
        <v>1. Omisión de procedimientos legales
2. Falta de definición de puntos de control
3. Bajo nivel de automatización en el seguimiento de los procesos.</v>
      </c>
      <c r="D175" s="534" t="str">
        <f>IF(IDENTIFICACIÓN!D65="","","NA")</f>
        <v>NA</v>
      </c>
      <c r="E175" s="537">
        <f>ANALISIS!D67</f>
        <v>3</v>
      </c>
      <c r="F175" s="538" t="str">
        <f>ANALISIS!E67</f>
        <v>POSIBLE</v>
      </c>
      <c r="G175" s="541" t="s">
        <v>353</v>
      </c>
      <c r="H175" s="542"/>
      <c r="I175" s="547" t="str">
        <f>ANALISIS!J67</f>
        <v>MODERADA</v>
      </c>
      <c r="J175" s="386">
        <f>VALORACIÓN!C176</f>
        <v>1</v>
      </c>
      <c r="K175" s="387" t="str">
        <f>IF(VALORACIÓN!F176=0,"",VALORACIÓN!F176)</f>
        <v>Normograma / Procedimientos documentados en COGUI</v>
      </c>
      <c r="L175" s="550">
        <f>VALORACIÓN!AA176</f>
        <v>80</v>
      </c>
      <c r="M175" s="524" t="str">
        <f>VALORACIÓN!AG176</f>
        <v>MODERADA</v>
      </c>
      <c r="N175" s="527" t="str">
        <f>VALORACIÓN!AG177</f>
        <v>- Evitar Posibilidad de Ocurrencia- Reducir el Riesgo</v>
      </c>
      <c r="O175" s="528" t="str">
        <f>IF(B175="","",IF(VALORACIÓN!BA176="","Aceptar el Riesgo sin necesidad de tomar otras medidas de control diferentes a las que se poseen, considerando que estos son efectivos con ponderacion de 100, y la evaluación final del riesgos es Baja 1:1",VALORACIÓN!BA176))</f>
        <v>- Establecer periodos de seguimiento adecuados (de) el(los) control(es) Efectivo(s) - Tomar Acciones Preventivas</v>
      </c>
      <c r="P175" s="395" t="s">
        <v>404</v>
      </c>
      <c r="Q175" s="395" t="s">
        <v>830</v>
      </c>
      <c r="R175" s="396" t="s">
        <v>70</v>
      </c>
    </row>
    <row r="176" spans="1:18" x14ac:dyDescent="0.2">
      <c r="A176" s="532"/>
      <c r="B176" s="496"/>
      <c r="C176" s="527"/>
      <c r="D176" s="535"/>
      <c r="E176" s="537"/>
      <c r="F176" s="539"/>
      <c r="G176" s="543"/>
      <c r="H176" s="544"/>
      <c r="I176" s="548"/>
      <c r="J176" s="386">
        <f>VALORACIÓN!C177</f>
        <v>2</v>
      </c>
      <c r="K176" s="387" t="str">
        <f>IF(VALORACIÓN!F177=0,"",VALORACIÓN!F177)</f>
        <v/>
      </c>
      <c r="L176" s="550"/>
      <c r="M176" s="525"/>
      <c r="N176" s="527"/>
      <c r="O176" s="529"/>
      <c r="P176" s="395"/>
      <c r="Q176" s="395"/>
      <c r="R176" s="396"/>
    </row>
    <row r="177" spans="1:18" ht="16.5" thickBot="1" x14ac:dyDescent="0.25">
      <c r="A177" s="533"/>
      <c r="B177" s="496"/>
      <c r="C177" s="527"/>
      <c r="D177" s="536"/>
      <c r="E177" s="537"/>
      <c r="F177" s="540"/>
      <c r="G177" s="545"/>
      <c r="H177" s="546"/>
      <c r="I177" s="549"/>
      <c r="J177" s="386">
        <f>VALORACIÓN!C178</f>
        <v>3</v>
      </c>
      <c r="K177" s="387" t="str">
        <f>IF(VALORACIÓN!F178=0,"",VALORACIÓN!F178)</f>
        <v/>
      </c>
      <c r="L177" s="550"/>
      <c r="M177" s="526"/>
      <c r="N177" s="527"/>
      <c r="O177" s="530"/>
      <c r="P177" s="395"/>
      <c r="Q177" s="395"/>
      <c r="R177" s="396"/>
    </row>
    <row r="178" spans="1:18" ht="51.75" thickTop="1" x14ac:dyDescent="0.2">
      <c r="A178" s="531" t="str">
        <f>VALORACIÓN!A179</f>
        <v>29C</v>
      </c>
      <c r="B178" s="496" t="str">
        <f>VALORACIÓN!B179</f>
        <v>Gestión de Admisiones y Registro. Manipulación de resultados del examen  de admisión.</v>
      </c>
      <c r="C178" s="527" t="str">
        <f>IF(IDENTIFICACIÓN!B66="","",IDENTIFICACIÓN!B66)</f>
        <v>Ausencia Cultura de Buen Gobierno, Falta de control al poder, Baja visibilidad de las acciones, Asimetrías de la información, bajo nivel de automatización en el seguimiento de los procesos.</v>
      </c>
      <c r="D178" s="534" t="str">
        <f>IF(IDENTIFICACIÓN!D66="","","NA")</f>
        <v>NA</v>
      </c>
      <c r="E178" s="537">
        <f>ANALISIS!D68</f>
        <v>3</v>
      </c>
      <c r="F178" s="538" t="str">
        <f>ANALISIS!E68</f>
        <v>POSIBLE</v>
      </c>
      <c r="G178" s="541" t="s">
        <v>353</v>
      </c>
      <c r="H178" s="542"/>
      <c r="I178" s="547" t="str">
        <f>ANALISIS!J68</f>
        <v>MODERADA</v>
      </c>
      <c r="J178" s="386">
        <f>VALORACIÓN!C179</f>
        <v>1</v>
      </c>
      <c r="K178" s="387" t="str">
        <f>IF(VALORACIÓN!F179=0,"",VALORACIÓN!F179)</f>
        <v>Entrega en custodia de los resultados del la prueba de admisión a la Oficina de control interno.</v>
      </c>
      <c r="L178" s="550">
        <f>VALORACIÓN!AA179</f>
        <v>88</v>
      </c>
      <c r="M178" s="524" t="str">
        <f>VALORACIÓN!AG179</f>
        <v>MODERADA</v>
      </c>
      <c r="N178" s="527" t="str">
        <f>VALORACIÓN!AG180</f>
        <v>- Evitar Posibilidad de Ocurrencia- Reducir el Riesgo</v>
      </c>
      <c r="O178" s="528" t="str">
        <f>IF(B178="","",IF(VALORACIÓN!BA179="","Aceptar el Riesgo sin necesidad de tomar otras medidas de control diferentes a las que se poseen, considerando que estos son efectivos con ponderacion de 100, y la evaluación final del riesgos es Baja 1:1",VALORACIÓN!BA179))</f>
        <v>- Documentar (de) el(los) control(es) Efectivo(s) - Tomar Acciones Preventivas</v>
      </c>
      <c r="P178" s="395" t="s">
        <v>406</v>
      </c>
      <c r="Q178" s="395" t="s">
        <v>800</v>
      </c>
      <c r="R178" s="396" t="s">
        <v>97</v>
      </c>
    </row>
    <row r="179" spans="1:18" ht="63.75" x14ac:dyDescent="0.2">
      <c r="A179" s="532"/>
      <c r="B179" s="496"/>
      <c r="C179" s="527"/>
      <c r="D179" s="535"/>
      <c r="E179" s="537"/>
      <c r="F179" s="539"/>
      <c r="G179" s="543"/>
      <c r="H179" s="544"/>
      <c r="I179" s="548"/>
      <c r="J179" s="386">
        <f>VALORACIÓN!C180</f>
        <v>2</v>
      </c>
      <c r="K179" s="387" t="str">
        <f>IF(VALORACIÓN!F180=0,"",VALORACIÓN!F180)</f>
        <v>Verificación y aprobación del listado de preseleccionados por parte del Comité de Admisiones.</v>
      </c>
      <c r="L179" s="550"/>
      <c r="M179" s="525"/>
      <c r="N179" s="527"/>
      <c r="O179" s="529"/>
      <c r="P179" s="395"/>
      <c r="Q179" s="395"/>
      <c r="R179" s="396"/>
    </row>
    <row r="180" spans="1:18" ht="16.5" thickBot="1" x14ac:dyDescent="0.25">
      <c r="A180" s="533"/>
      <c r="B180" s="496"/>
      <c r="C180" s="527"/>
      <c r="D180" s="536"/>
      <c r="E180" s="537"/>
      <c r="F180" s="540"/>
      <c r="G180" s="545"/>
      <c r="H180" s="546"/>
      <c r="I180" s="549"/>
      <c r="J180" s="386">
        <f>VALORACIÓN!C181</f>
        <v>3</v>
      </c>
      <c r="K180" s="387" t="str">
        <f>IF(VALORACIÓN!F181=0,"",VALORACIÓN!F181)</f>
        <v/>
      </c>
      <c r="L180" s="550"/>
      <c r="M180" s="526"/>
      <c r="N180" s="527"/>
      <c r="O180" s="530"/>
      <c r="P180" s="395"/>
      <c r="Q180" s="395"/>
      <c r="R180" s="396"/>
    </row>
    <row r="181" spans="1:18" ht="45.75" thickTop="1" x14ac:dyDescent="0.2">
      <c r="A181" s="531" t="str">
        <f>VALORACIÓN!A182</f>
        <v>30C</v>
      </c>
      <c r="B181" s="496" t="str">
        <f>VALORACIÓN!B182</f>
        <v>Gestión de Admisiones y Registro. Alteración de notas de estudiantes.</v>
      </c>
      <c r="C181" s="527" t="str">
        <f>IF(IDENTIFICACIÓN!B67="","",IDENTIFICACIÓN!B67)</f>
        <v>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v>
      </c>
      <c r="D181" s="534" t="str">
        <f>IF(IDENTIFICACIÓN!D67="","","NA")</f>
        <v>NA</v>
      </c>
      <c r="E181" s="537">
        <f>ANALISIS!D69</f>
        <v>3</v>
      </c>
      <c r="F181" s="538" t="str">
        <f>ANALISIS!E69</f>
        <v>POSIBLE</v>
      </c>
      <c r="G181" s="541" t="s">
        <v>353</v>
      </c>
      <c r="H181" s="542"/>
      <c r="I181" s="547" t="str">
        <f>ANALISIS!J69</f>
        <v>MODERADA</v>
      </c>
      <c r="J181" s="386">
        <f>VALORACIÓN!C182</f>
        <v>1</v>
      </c>
      <c r="K181" s="387" t="str">
        <f>IF(VALORACIÓN!F182=0,"",VALORACIÓN!F182)</f>
        <v>Uso de codigos de verificación para el registro de notas</v>
      </c>
      <c r="L181" s="550">
        <f>VALORACIÓN!AA182</f>
        <v>85</v>
      </c>
      <c r="M181" s="524" t="str">
        <f>VALORACIÓN!AG182</f>
        <v>MODERADA</v>
      </c>
      <c r="N181" s="527" t="str">
        <f>VALORACIÓN!AG183</f>
        <v>- Evitar Posibilidad de Ocurrencia- Reducir el Riesgo</v>
      </c>
      <c r="O181" s="528" t="str">
        <f>IF(B181="","",IF(VALORACIÓN!BA182="","Aceptar el Riesgo sin necesidad de tomar otras medidas de control diferentes a las que se poseen, considerando que estos son efectivos con ponderacion de 100, y la evaluación final del riesgos es Baja 1:1",VALORACIÓN!BA182))</f>
        <v>- Documentar (de) el(los) control(es) Efectivo(s) - Tomar Acciones Preventivas</v>
      </c>
      <c r="P181" s="395" t="s">
        <v>406</v>
      </c>
      <c r="Q181" s="395" t="s">
        <v>800</v>
      </c>
      <c r="R181" s="396" t="s">
        <v>97</v>
      </c>
    </row>
    <row r="182" spans="1:18" ht="25.5" x14ac:dyDescent="0.2">
      <c r="A182" s="532"/>
      <c r="B182" s="496"/>
      <c r="C182" s="527"/>
      <c r="D182" s="535"/>
      <c r="E182" s="537"/>
      <c r="F182" s="539"/>
      <c r="G182" s="543"/>
      <c r="H182" s="544"/>
      <c r="I182" s="548"/>
      <c r="J182" s="386">
        <f>VALORACIÓN!C183</f>
        <v>2</v>
      </c>
      <c r="K182" s="387" t="str">
        <f>IF(VALORACIÓN!F183=0,"",VALORACIÓN!F183)</f>
        <v>Auditorias al registro de notas</v>
      </c>
      <c r="L182" s="550"/>
      <c r="M182" s="525"/>
      <c r="N182" s="527"/>
      <c r="O182" s="529"/>
      <c r="P182" s="395"/>
      <c r="Q182" s="395"/>
      <c r="R182" s="396"/>
    </row>
    <row r="183" spans="1:18" ht="51.75" thickBot="1" x14ac:dyDescent="0.25">
      <c r="A183" s="533"/>
      <c r="B183" s="496"/>
      <c r="C183" s="527"/>
      <c r="D183" s="536"/>
      <c r="E183" s="537"/>
      <c r="F183" s="540"/>
      <c r="G183" s="545"/>
      <c r="H183" s="546"/>
      <c r="I183" s="549"/>
      <c r="J183" s="386">
        <f>VALORACIÓN!C184</f>
        <v>3</v>
      </c>
      <c r="K183" s="387" t="str">
        <f>IF(VALORACIÓN!F184=0,"",VALORACIÓN!F184)</f>
        <v>Envió de correos al docente titular y al programa  una vez se haya  modificado una nota</v>
      </c>
      <c r="L183" s="550"/>
      <c r="M183" s="526"/>
      <c r="N183" s="527"/>
      <c r="O183" s="530"/>
      <c r="P183" s="395"/>
      <c r="Q183" s="395"/>
      <c r="R183" s="396"/>
    </row>
    <row r="184" spans="1:18" ht="45.75" thickTop="1" x14ac:dyDescent="0.2">
      <c r="A184" s="531" t="str">
        <f>VALORACIÓN!A185</f>
        <v>31C</v>
      </c>
      <c r="B184" s="496" t="str">
        <f>VALORACIÓN!B185</f>
        <v>Gestión y Rendición de Cuentas. Rendición de cuentas a la ciudadanía inadecuada, incompleta e inoportuna</v>
      </c>
      <c r="C184" s="527" t="str">
        <f>IF(IDENTIFICACIÓN!B68="","",IDENTIFICACIÓN!B68)</f>
        <v>* Desconocimiento de las funciones.
* Baja integridad de la información.
* Falta de cualificación del personal.</v>
      </c>
      <c r="D184" s="534" t="str">
        <f>IF(IDENTIFICACIÓN!D68="","","NA")</f>
        <v>NA</v>
      </c>
      <c r="E184" s="537">
        <f>ANALISIS!D70</f>
        <v>3</v>
      </c>
      <c r="F184" s="538" t="str">
        <f>ANALISIS!E70</f>
        <v>POSIBLE</v>
      </c>
      <c r="G184" s="541" t="s">
        <v>353</v>
      </c>
      <c r="H184" s="542"/>
      <c r="I184" s="547" t="str">
        <f>ANALISIS!J70</f>
        <v>MODERADA</v>
      </c>
      <c r="J184" s="386">
        <f>VALORACIÓN!C185</f>
        <v>1</v>
      </c>
      <c r="K184" s="387" t="str">
        <f>IF(VALORACIÓN!F185=0,"",VALORACIÓN!F185)</f>
        <v>Guía de rendición de cuentas basada en los lineamientos del DAFP</v>
      </c>
      <c r="L184" s="550">
        <f>VALORACIÓN!AA185</f>
        <v>95</v>
      </c>
      <c r="M184" s="524" t="str">
        <f>VALORACIÓN!AG185</f>
        <v>MODERADA</v>
      </c>
      <c r="N184" s="527" t="str">
        <f>VALORACIÓN!AG186</f>
        <v>- Evitar Posibilidad de Ocurrencia- Reducir el Riesgo</v>
      </c>
      <c r="O184" s="528" t="str">
        <f>IF(B184="","",IF(VALORACIÓN!BA185="","Aceptar el Riesgo sin necesidad de tomar otras medidas de control diferentes a las que se poseen, considerando que estos son efectivos con ponderacion de 100, y la evaluación final del riesgos es Baja 1:1",VALORACIÓN!BA185))</f>
        <v>- Tomar Acciones Preventivas</v>
      </c>
      <c r="P184" s="395" t="s">
        <v>404</v>
      </c>
      <c r="Q184" s="395" t="s">
        <v>831</v>
      </c>
      <c r="R184" s="396" t="s">
        <v>69</v>
      </c>
    </row>
    <row r="185" spans="1:18" ht="60" x14ac:dyDescent="0.2">
      <c r="A185" s="532"/>
      <c r="B185" s="496"/>
      <c r="C185" s="527"/>
      <c r="D185" s="535"/>
      <c r="E185" s="537"/>
      <c r="F185" s="539"/>
      <c r="G185" s="543"/>
      <c r="H185" s="544"/>
      <c r="I185" s="548"/>
      <c r="J185" s="386">
        <f>VALORACIÓN!C186</f>
        <v>2</v>
      </c>
      <c r="K185" s="387" t="str">
        <f>IF(VALORACIÓN!F186=0,"",VALORACIÓN!F186)</f>
        <v/>
      </c>
      <c r="L185" s="550"/>
      <c r="M185" s="525"/>
      <c r="N185" s="527"/>
      <c r="O185" s="529"/>
      <c r="P185" s="395" t="s">
        <v>404</v>
      </c>
      <c r="Q185" s="395" t="s">
        <v>832</v>
      </c>
      <c r="R185" s="396" t="s">
        <v>70</v>
      </c>
    </row>
    <row r="186" spans="1:18" ht="16.5" thickBot="1" x14ac:dyDescent="0.25">
      <c r="A186" s="533"/>
      <c r="B186" s="496"/>
      <c r="C186" s="527"/>
      <c r="D186" s="536"/>
      <c r="E186" s="537"/>
      <c r="F186" s="540"/>
      <c r="G186" s="545"/>
      <c r="H186" s="546"/>
      <c r="I186" s="549"/>
      <c r="J186" s="386">
        <f>VALORACIÓN!C187</f>
        <v>3</v>
      </c>
      <c r="K186" s="387" t="str">
        <f>IF(VALORACIÓN!F187=0,"",VALORACIÓN!F187)</f>
        <v/>
      </c>
      <c r="L186" s="550"/>
      <c r="M186" s="526"/>
      <c r="N186" s="527"/>
      <c r="O186" s="530"/>
      <c r="P186" s="395"/>
      <c r="Q186" s="395"/>
      <c r="R186" s="396"/>
    </row>
    <row r="187" spans="1:18" ht="39" thickTop="1" x14ac:dyDescent="0.2">
      <c r="A187" s="531" t="str">
        <f>VALORACIÓN!A188</f>
        <v>32C</v>
      </c>
      <c r="B187" s="496" t="str">
        <f>VALORACIÓN!B188</f>
        <v>Gestión y Rendición de Cuentas. Alteración de la información</v>
      </c>
      <c r="C187" s="527" t="str">
        <f>IF(IDENTIFICACIÓN!B69="","",IDENTIFICACIÓN!B69)</f>
        <v>* Falta de controles en el manejo de la información.
* Inadecuada infraestructura tecnológica.
* Presiones internas o externas.
* Ausencia de cultura de ética.</v>
      </c>
      <c r="D187" s="534" t="str">
        <f>IF(IDENTIFICACIÓN!D69="","","NA")</f>
        <v>NA</v>
      </c>
      <c r="E187" s="537">
        <f>ANALISIS!D71</f>
        <v>3</v>
      </c>
      <c r="F187" s="538" t="str">
        <f>ANALISIS!E71</f>
        <v>POSIBLE</v>
      </c>
      <c r="G187" s="541" t="s">
        <v>353</v>
      </c>
      <c r="H187" s="542"/>
      <c r="I187" s="547" t="str">
        <f>ANALISIS!J71</f>
        <v>MODERADA</v>
      </c>
      <c r="J187" s="386">
        <f>VALORACIÓN!C188</f>
        <v>1</v>
      </c>
      <c r="K187" s="387" t="str">
        <f>IF(VALORACIÓN!F188=0,"",VALORACIÓN!F188)</f>
        <v>Revisión de la información antes de ser reportada o publicada</v>
      </c>
      <c r="L187" s="550">
        <f>VALORACIÓN!AA188</f>
        <v>82</v>
      </c>
      <c r="M187" s="524" t="str">
        <f>VALORACIÓN!AG188</f>
        <v>MODERADA</v>
      </c>
      <c r="N187" s="527" t="str">
        <f>VALORACIÓN!AG189</f>
        <v>- Evitar Posibilidad de Ocurrencia- Reducir el Riesgo</v>
      </c>
      <c r="O187" s="528" t="str">
        <f>IF(B187="","",IF(VALORACIÓN!BA188="","Aceptar el Riesgo sin necesidad de tomar otras medidas de control diferentes a las que se poseen, considerando que estos son efectivos con ponderacion de 100, y la evaluación final del riesgos es Baja 1:1",VALORACIÓN!BA188))</f>
        <v>- Documentar, Establecer periodos de seguimiento adecuados, Guardar Evidencias (de) el(los) control(es) Efectivo(s) - Tomar Acciones Preventivas</v>
      </c>
      <c r="P187" s="395" t="s">
        <v>403</v>
      </c>
      <c r="Q187" s="395" t="s">
        <v>833</v>
      </c>
      <c r="R187" s="396" t="s">
        <v>69</v>
      </c>
    </row>
    <row r="188" spans="1:18" ht="51" x14ac:dyDescent="0.2">
      <c r="A188" s="532"/>
      <c r="B188" s="496"/>
      <c r="C188" s="527"/>
      <c r="D188" s="535"/>
      <c r="E188" s="537"/>
      <c r="F188" s="539"/>
      <c r="G188" s="543"/>
      <c r="H188" s="544"/>
      <c r="I188" s="548"/>
      <c r="J188" s="386">
        <f>VALORACIÓN!C189</f>
        <v>2</v>
      </c>
      <c r="K188" s="387" t="str">
        <f>IF(VALORACIÓN!F189=0,"",VALORACIÓN!F189)</f>
        <v>Auditorías del Ministerio de Educación Nacional a la información reportada al SNIES</v>
      </c>
      <c r="L188" s="550"/>
      <c r="M188" s="525"/>
      <c r="N188" s="527"/>
      <c r="O188" s="529"/>
      <c r="P188" s="395" t="s">
        <v>404</v>
      </c>
      <c r="Q188" s="395" t="s">
        <v>834</v>
      </c>
      <c r="R188" s="396" t="s">
        <v>69</v>
      </c>
    </row>
    <row r="189" spans="1:18" ht="60.75" thickBot="1" x14ac:dyDescent="0.25">
      <c r="A189" s="533"/>
      <c r="B189" s="496"/>
      <c r="C189" s="527"/>
      <c r="D189" s="536"/>
      <c r="E189" s="537"/>
      <c r="F189" s="540"/>
      <c r="G189" s="545"/>
      <c r="H189" s="546"/>
      <c r="I189" s="549"/>
      <c r="J189" s="386">
        <f>VALORACIÓN!C190</f>
        <v>3</v>
      </c>
      <c r="K189" s="387" t="str">
        <f>IF(VALORACIÓN!F190=0,"",VALORACIÓN!F190)</f>
        <v>Sitio Web de Transparencia y Acceso a la Información Pública</v>
      </c>
      <c r="L189" s="550"/>
      <c r="M189" s="526"/>
      <c r="N189" s="527"/>
      <c r="O189" s="530"/>
      <c r="P189" s="395" t="s">
        <v>404</v>
      </c>
      <c r="Q189" s="395" t="s">
        <v>835</v>
      </c>
      <c r="R189" s="396" t="s">
        <v>69</v>
      </c>
    </row>
    <row r="190" spans="1:18" ht="45.75" thickTop="1" x14ac:dyDescent="0.2">
      <c r="A190" s="531" t="str">
        <f>VALORACIÓN!A191</f>
        <v>33C</v>
      </c>
      <c r="B190" s="496" t="str">
        <f>VALORACIÓN!B191</f>
        <v>Evaluación Independiente. Falta de Objetividad e Independencia en el proceso auditor, de evaluación y seguimiento</v>
      </c>
      <c r="C190" s="527" t="str">
        <f>IF(IDENTIFICACIÓN!B70="","",IDENTIFICACIÓN!B70)</f>
        <v>Inobservancia de Principios Eticos
No distribución de funciones o actividades de acuerdo a competencias
Deficientes puntos de control</v>
      </c>
      <c r="D190" s="534" t="str">
        <f>IF(IDENTIFICACIÓN!D70="","","NA")</f>
        <v>NA</v>
      </c>
      <c r="E190" s="537">
        <f>ANALISIS!D72</f>
        <v>3</v>
      </c>
      <c r="F190" s="538" t="str">
        <f>ANALISIS!E72</f>
        <v>POSIBLE</v>
      </c>
      <c r="G190" s="541" t="s">
        <v>353</v>
      </c>
      <c r="H190" s="542"/>
      <c r="I190" s="547" t="str">
        <f>ANALISIS!J72</f>
        <v>MODERADA</v>
      </c>
      <c r="J190" s="386">
        <f>VALORACIÓN!C191</f>
        <v>1</v>
      </c>
      <c r="K190" s="387" t="str">
        <f>IF(VALORACIÓN!F191=0,"",VALORACIÓN!F191)</f>
        <v>Procedimientos del proceso evaluacion independiente</v>
      </c>
      <c r="L190" s="550">
        <f>VALORACIÓN!AA191</f>
        <v>95</v>
      </c>
      <c r="M190" s="524" t="str">
        <f>VALORACIÓN!AG191</f>
        <v>MODERADA</v>
      </c>
      <c r="N190" s="527" t="str">
        <f>VALORACIÓN!AG192</f>
        <v>- Evitar Posibilidad de Ocurrencia- Reducir el Riesgo</v>
      </c>
      <c r="O190" s="528" t="str">
        <f>IF(B190="","",IF(VALORACIÓN!BA191="","Aceptar el Riesgo sin necesidad de tomar otras medidas de control diferentes a las que se poseen, considerando que estos son efectivos con ponderacion de 100, y la evaluación final del riesgos es Baja 1:1",VALORACIÓN!BA191))</f>
        <v>- Tomar Acciones Preventivas</v>
      </c>
      <c r="P190" s="395" t="s">
        <v>406</v>
      </c>
      <c r="Q190" s="395" t="s">
        <v>801</v>
      </c>
      <c r="R190" s="396" t="s">
        <v>97</v>
      </c>
    </row>
    <row r="191" spans="1:18" x14ac:dyDescent="0.2">
      <c r="A191" s="532"/>
      <c r="B191" s="496"/>
      <c r="C191" s="527"/>
      <c r="D191" s="535"/>
      <c r="E191" s="537"/>
      <c r="F191" s="539"/>
      <c r="G191" s="543"/>
      <c r="H191" s="544"/>
      <c r="I191" s="548"/>
      <c r="J191" s="386">
        <f>VALORACIÓN!C192</f>
        <v>2</v>
      </c>
      <c r="K191" s="387" t="str">
        <f>IF(VALORACIÓN!F192=0,"",VALORACIÓN!F192)</f>
        <v/>
      </c>
      <c r="L191" s="550"/>
      <c r="M191" s="525"/>
      <c r="N191" s="527"/>
      <c r="O191" s="529"/>
      <c r="P191" s="395"/>
      <c r="Q191" s="395"/>
      <c r="R191" s="396"/>
    </row>
    <row r="192" spans="1:18" ht="16.5" thickBot="1" x14ac:dyDescent="0.25">
      <c r="A192" s="533"/>
      <c r="B192" s="496"/>
      <c r="C192" s="527"/>
      <c r="D192" s="536"/>
      <c r="E192" s="537"/>
      <c r="F192" s="540"/>
      <c r="G192" s="545"/>
      <c r="H192" s="546"/>
      <c r="I192" s="549"/>
      <c r="J192" s="386">
        <f>VALORACIÓN!C193</f>
        <v>3</v>
      </c>
      <c r="K192" s="387" t="str">
        <f>IF(VALORACIÓN!F193=0,"",VALORACIÓN!F193)</f>
        <v/>
      </c>
      <c r="L192" s="550"/>
      <c r="M192" s="526"/>
      <c r="N192" s="527"/>
      <c r="O192" s="530"/>
      <c r="P192" s="395"/>
      <c r="Q192" s="395"/>
      <c r="R192" s="396"/>
    </row>
    <row r="193" spans="1:18" ht="45.75" thickTop="1" x14ac:dyDescent="0.2">
      <c r="A193" s="531" t="str">
        <f>VALORACIÓN!A194</f>
        <v>34C</v>
      </c>
      <c r="B193" s="496" t="str">
        <f>VALORACIÓN!B194</f>
        <v>Evaluación Independiente. No reportar posibles actos de corrupción e irregularidades</v>
      </c>
      <c r="C193" s="527" t="str">
        <f>IF(IDENTIFICACIÓN!B71="","",IDENTIFICACIÓN!B71)</f>
        <v xml:space="preserve">Inobservancia de Principios Eticos
Desconocimiento u omisión de las funciones o normativa
</v>
      </c>
      <c r="D193" s="534" t="str">
        <f>IF(IDENTIFICACIÓN!D71="","","NA")</f>
        <v>NA</v>
      </c>
      <c r="E193" s="537">
        <f>ANALISIS!D73</f>
        <v>3</v>
      </c>
      <c r="F193" s="538" t="str">
        <f>ANALISIS!E73</f>
        <v>POSIBLE</v>
      </c>
      <c r="G193" s="541" t="s">
        <v>353</v>
      </c>
      <c r="H193" s="542"/>
      <c r="I193" s="547" t="str">
        <f>ANALISIS!J73</f>
        <v>MODERADA</v>
      </c>
      <c r="J193" s="386">
        <f>VALORACIÓN!C194</f>
        <v>1</v>
      </c>
      <c r="K193" s="387" t="str">
        <f>IF(VALORACIÓN!F194=0,"",VALORACIÓN!F194)</f>
        <v>Procedimientos del proceso evaluacion independiente</v>
      </c>
      <c r="L193" s="550">
        <f>VALORACIÓN!AA194</f>
        <v>95</v>
      </c>
      <c r="M193" s="524" t="str">
        <f>VALORACIÓN!AG194</f>
        <v>MODERADA</v>
      </c>
      <c r="N193" s="527" t="str">
        <f>VALORACIÓN!AG195</f>
        <v>- Evitar Posibilidad de Ocurrencia- Reducir el Riesgo</v>
      </c>
      <c r="O193" s="528" t="str">
        <f>IF(B193="","",IF(VALORACIÓN!BA194="","Aceptar el Riesgo sin necesidad de tomar otras medidas de control diferentes a las que se poseen, considerando que estos son efectivos con ponderacion de 100, y la evaluación final del riesgos es Baja 1:1",VALORACIÓN!BA194))</f>
        <v>- Tomar Acciones Preventivas</v>
      </c>
      <c r="P193" s="395" t="s">
        <v>406</v>
      </c>
      <c r="Q193" s="395" t="s">
        <v>801</v>
      </c>
      <c r="R193" s="396" t="s">
        <v>97</v>
      </c>
    </row>
    <row r="194" spans="1:18" x14ac:dyDescent="0.2">
      <c r="A194" s="532"/>
      <c r="B194" s="496"/>
      <c r="C194" s="527"/>
      <c r="D194" s="535"/>
      <c r="E194" s="537"/>
      <c r="F194" s="539"/>
      <c r="G194" s="543"/>
      <c r="H194" s="544"/>
      <c r="I194" s="548"/>
      <c r="J194" s="386">
        <f>VALORACIÓN!C195</f>
        <v>2</v>
      </c>
      <c r="K194" s="387" t="str">
        <f>IF(VALORACIÓN!F195=0,"",VALORACIÓN!F195)</f>
        <v/>
      </c>
      <c r="L194" s="550"/>
      <c r="M194" s="525"/>
      <c r="N194" s="527"/>
      <c r="O194" s="529"/>
      <c r="P194" s="395"/>
      <c r="Q194" s="395"/>
      <c r="R194" s="396"/>
    </row>
    <row r="195" spans="1:18" ht="16.5" thickBot="1" x14ac:dyDescent="0.25">
      <c r="A195" s="533"/>
      <c r="B195" s="496"/>
      <c r="C195" s="527"/>
      <c r="D195" s="536"/>
      <c r="E195" s="537"/>
      <c r="F195" s="540"/>
      <c r="G195" s="545"/>
      <c r="H195" s="546"/>
      <c r="I195" s="549"/>
      <c r="J195" s="386">
        <f>VALORACIÓN!C196</f>
        <v>3</v>
      </c>
      <c r="K195" s="387" t="str">
        <f>IF(VALORACIÓN!F196=0,"",VALORACIÓN!F196)</f>
        <v/>
      </c>
      <c r="L195" s="550"/>
      <c r="M195" s="526"/>
      <c r="N195" s="527"/>
      <c r="O195" s="530"/>
      <c r="P195" s="395"/>
      <c r="Q195" s="395"/>
      <c r="R195" s="396"/>
    </row>
    <row r="196" spans="1:18" ht="16.5" thickTop="1" x14ac:dyDescent="0.2"/>
  </sheetData>
  <sheetProtection algorithmName="SHA-512" hashValue="y/fmoZBdBRMR405HKDtHhZ4uyLfL1FUYFJflIbNMRIs1FWIZLcBfdAEbtixMnc/vXPFsgPWrUtZT6QrDDnu58A==" saltValue="mUtaPpj3i/iq5rmaxn7EVQ==" spinCount="100000" sheet="1" objects="1" scenarios="1" formatCells="0" formatRows="0" insertRows="0" selectLockedCells="1"/>
  <mergeCells count="790">
    <mergeCell ref="P7:P8"/>
    <mergeCell ref="Q7:Q8"/>
    <mergeCell ref="R7:R8"/>
    <mergeCell ref="C1:P3"/>
    <mergeCell ref="Q1:R1"/>
    <mergeCell ref="Q2:R2"/>
    <mergeCell ref="Q3:R3"/>
    <mergeCell ref="M9:M11"/>
    <mergeCell ref="A5:R5"/>
    <mergeCell ref="A6:B6"/>
    <mergeCell ref="N9:N11"/>
    <mergeCell ref="E8:F8"/>
    <mergeCell ref="C9:C11"/>
    <mergeCell ref="D9:D11"/>
    <mergeCell ref="E9:E11"/>
    <mergeCell ref="F9:F11"/>
    <mergeCell ref="G9:G11"/>
    <mergeCell ref="A1:B3"/>
    <mergeCell ref="A9:A11"/>
    <mergeCell ref="C6:N6"/>
    <mergeCell ref="P6:Q6"/>
    <mergeCell ref="A7:B7"/>
    <mergeCell ref="H9:H11"/>
    <mergeCell ref="B9:B11"/>
    <mergeCell ref="G8:H8"/>
    <mergeCell ref="C7:M7"/>
    <mergeCell ref="N12:N14"/>
    <mergeCell ref="M15:M17"/>
    <mergeCell ref="M12:M14"/>
    <mergeCell ref="H15:H17"/>
    <mergeCell ref="N15:N17"/>
    <mergeCell ref="C15:C17"/>
    <mergeCell ref="D15:D17"/>
    <mergeCell ref="I9:I11"/>
    <mergeCell ref="L9:L11"/>
    <mergeCell ref="N7:O7"/>
    <mergeCell ref="A12:A14"/>
    <mergeCell ref="B12:B14"/>
    <mergeCell ref="E12:E14"/>
    <mergeCell ref="F12:F14"/>
    <mergeCell ref="I18:I20"/>
    <mergeCell ref="L18:L20"/>
    <mergeCell ref="I15:I17"/>
    <mergeCell ref="L15:L17"/>
    <mergeCell ref="I12:I14"/>
    <mergeCell ref="C12:C14"/>
    <mergeCell ref="A15:A17"/>
    <mergeCell ref="B15:B17"/>
    <mergeCell ref="L12:L14"/>
    <mergeCell ref="E15:E17"/>
    <mergeCell ref="F15:F17"/>
    <mergeCell ref="G15:G17"/>
    <mergeCell ref="G12:G14"/>
    <mergeCell ref="H12:H14"/>
    <mergeCell ref="D12:D14"/>
    <mergeCell ref="H21:H23"/>
    <mergeCell ref="M21:M23"/>
    <mergeCell ref="N18:N20"/>
    <mergeCell ref="A18:A20"/>
    <mergeCell ref="B18:B20"/>
    <mergeCell ref="E18:E20"/>
    <mergeCell ref="F18:F20"/>
    <mergeCell ref="G18:G20"/>
    <mergeCell ref="H18:H20"/>
    <mergeCell ref="M18:M20"/>
    <mergeCell ref="C18:C20"/>
    <mergeCell ref="D18:D20"/>
    <mergeCell ref="C21:C23"/>
    <mergeCell ref="D21:D23"/>
    <mergeCell ref="I21:I23"/>
    <mergeCell ref="L21:L23"/>
    <mergeCell ref="N21:N23"/>
    <mergeCell ref="A21:A23"/>
    <mergeCell ref="B21:B23"/>
    <mergeCell ref="E21:E23"/>
    <mergeCell ref="F21:F23"/>
    <mergeCell ref="G21:G23"/>
    <mergeCell ref="I24:I26"/>
    <mergeCell ref="L24:L26"/>
    <mergeCell ref="N24:N26"/>
    <mergeCell ref="A24:A26"/>
    <mergeCell ref="B24:B26"/>
    <mergeCell ref="E24:E26"/>
    <mergeCell ref="F24:F26"/>
    <mergeCell ref="G24:G26"/>
    <mergeCell ref="H24:H26"/>
    <mergeCell ref="M24:M26"/>
    <mergeCell ref="C24:C26"/>
    <mergeCell ref="D24:D26"/>
    <mergeCell ref="I27:I29"/>
    <mergeCell ref="L27:L29"/>
    <mergeCell ref="N27:N29"/>
    <mergeCell ref="A27:A29"/>
    <mergeCell ref="B27:B29"/>
    <mergeCell ref="E27:E29"/>
    <mergeCell ref="F27:F29"/>
    <mergeCell ref="G27:G29"/>
    <mergeCell ref="H27:H29"/>
    <mergeCell ref="M27:M29"/>
    <mergeCell ref="C27:C29"/>
    <mergeCell ref="D27:D29"/>
    <mergeCell ref="I30:I32"/>
    <mergeCell ref="L30:L32"/>
    <mergeCell ref="N30:N32"/>
    <mergeCell ref="M30:M32"/>
    <mergeCell ref="A30:A32"/>
    <mergeCell ref="B30:B32"/>
    <mergeCell ref="E30:E32"/>
    <mergeCell ref="F30:F32"/>
    <mergeCell ref="G30:G32"/>
    <mergeCell ref="H30:H32"/>
    <mergeCell ref="C30:C32"/>
    <mergeCell ref="D30:D32"/>
    <mergeCell ref="I33:I35"/>
    <mergeCell ref="L33:L35"/>
    <mergeCell ref="N33:N35"/>
    <mergeCell ref="M33:M35"/>
    <mergeCell ref="A33:A35"/>
    <mergeCell ref="B33:B35"/>
    <mergeCell ref="E33:E35"/>
    <mergeCell ref="F33:F35"/>
    <mergeCell ref="G33:G35"/>
    <mergeCell ref="H33:H35"/>
    <mergeCell ref="C33:C35"/>
    <mergeCell ref="D33:D35"/>
    <mergeCell ref="I36:I38"/>
    <mergeCell ref="L36:L38"/>
    <mergeCell ref="N36:N38"/>
    <mergeCell ref="M36:M38"/>
    <mergeCell ref="A36:A38"/>
    <mergeCell ref="B36:B38"/>
    <mergeCell ref="E36:E38"/>
    <mergeCell ref="F36:F38"/>
    <mergeCell ref="G36:G38"/>
    <mergeCell ref="H36:H38"/>
    <mergeCell ref="C36:C38"/>
    <mergeCell ref="D36:D38"/>
    <mergeCell ref="O36:O38"/>
    <mergeCell ref="O9:O11"/>
    <mergeCell ref="O12:O14"/>
    <mergeCell ref="O15:O17"/>
    <mergeCell ref="O18:O20"/>
    <mergeCell ref="O21:O23"/>
    <mergeCell ref="O24:O26"/>
    <mergeCell ref="O27:O29"/>
    <mergeCell ref="O30:O32"/>
    <mergeCell ref="O33:O35"/>
    <mergeCell ref="I97:I99"/>
    <mergeCell ref="L97:L99"/>
    <mergeCell ref="A93:R93"/>
    <mergeCell ref="A94:A96"/>
    <mergeCell ref="B94:B96"/>
    <mergeCell ref="C94:C96"/>
    <mergeCell ref="D94:D96"/>
    <mergeCell ref="E94:E96"/>
    <mergeCell ref="F94:F96"/>
    <mergeCell ref="I94:I96"/>
    <mergeCell ref="L94:L96"/>
    <mergeCell ref="M94:M96"/>
    <mergeCell ref="N94:N96"/>
    <mergeCell ref="O94:O96"/>
    <mergeCell ref="G94:H96"/>
    <mergeCell ref="I103:I105"/>
    <mergeCell ref="L103:L105"/>
    <mergeCell ref="M97:M99"/>
    <mergeCell ref="N97:N99"/>
    <mergeCell ref="O97:O99"/>
    <mergeCell ref="A100:A102"/>
    <mergeCell ref="B100:B102"/>
    <mergeCell ref="C100:C102"/>
    <mergeCell ref="D100:D102"/>
    <mergeCell ref="E100:E102"/>
    <mergeCell ref="F100:F102"/>
    <mergeCell ref="G100:H102"/>
    <mergeCell ref="I100:I102"/>
    <mergeCell ref="L100:L102"/>
    <mergeCell ref="M100:M102"/>
    <mergeCell ref="N100:N102"/>
    <mergeCell ref="O100:O102"/>
    <mergeCell ref="A97:A99"/>
    <mergeCell ref="B97:B99"/>
    <mergeCell ref="C97:C99"/>
    <mergeCell ref="D97:D99"/>
    <mergeCell ref="E97:E99"/>
    <mergeCell ref="F97:F99"/>
    <mergeCell ref="G97:H99"/>
    <mergeCell ref="H39:H41"/>
    <mergeCell ref="I39:I41"/>
    <mergeCell ref="M103:M105"/>
    <mergeCell ref="N103:N105"/>
    <mergeCell ref="O103:O105"/>
    <mergeCell ref="A106:A108"/>
    <mergeCell ref="B106:B108"/>
    <mergeCell ref="C106:C108"/>
    <mergeCell ref="D106:D108"/>
    <mergeCell ref="E106:E108"/>
    <mergeCell ref="F106:F108"/>
    <mergeCell ref="G106:H108"/>
    <mergeCell ref="I106:I108"/>
    <mergeCell ref="L106:L108"/>
    <mergeCell ref="M106:M108"/>
    <mergeCell ref="N106:N108"/>
    <mergeCell ref="O106:O108"/>
    <mergeCell ref="A103:A105"/>
    <mergeCell ref="B103:B105"/>
    <mergeCell ref="C103:C105"/>
    <mergeCell ref="D103:D105"/>
    <mergeCell ref="E103:E105"/>
    <mergeCell ref="F103:F105"/>
    <mergeCell ref="G103:H105"/>
    <mergeCell ref="L39:L41"/>
    <mergeCell ref="M39:M41"/>
    <mergeCell ref="N39:N41"/>
    <mergeCell ref="O39:O41"/>
    <mergeCell ref="A42:A44"/>
    <mergeCell ref="B42:B44"/>
    <mergeCell ref="C42:C44"/>
    <mergeCell ref="D42:D44"/>
    <mergeCell ref="E42:E44"/>
    <mergeCell ref="F42:F44"/>
    <mergeCell ref="G42:G44"/>
    <mergeCell ref="H42:H44"/>
    <mergeCell ref="I42:I44"/>
    <mergeCell ref="L42:L44"/>
    <mergeCell ref="M42:M44"/>
    <mergeCell ref="N42:N44"/>
    <mergeCell ref="O42:O44"/>
    <mergeCell ref="A39:A41"/>
    <mergeCell ref="B39:B41"/>
    <mergeCell ref="C39:C41"/>
    <mergeCell ref="D39:D41"/>
    <mergeCell ref="E39:E41"/>
    <mergeCell ref="F39:F41"/>
    <mergeCell ref="G39:G41"/>
    <mergeCell ref="O45:O47"/>
    <mergeCell ref="A48:A50"/>
    <mergeCell ref="B48:B50"/>
    <mergeCell ref="C48:C50"/>
    <mergeCell ref="D48:D50"/>
    <mergeCell ref="E48:E50"/>
    <mergeCell ref="F48:F50"/>
    <mergeCell ref="G48:G50"/>
    <mergeCell ref="H48:H50"/>
    <mergeCell ref="I48:I50"/>
    <mergeCell ref="L48:L50"/>
    <mergeCell ref="M48:M50"/>
    <mergeCell ref="N48:N50"/>
    <mergeCell ref="O48:O50"/>
    <mergeCell ref="A45:A47"/>
    <mergeCell ref="B45:B47"/>
    <mergeCell ref="C45:C47"/>
    <mergeCell ref="D45:D47"/>
    <mergeCell ref="E45:E47"/>
    <mergeCell ref="F45:F47"/>
    <mergeCell ref="G45:G47"/>
    <mergeCell ref="H45:H47"/>
    <mergeCell ref="I45:I47"/>
    <mergeCell ref="D51:D53"/>
    <mergeCell ref="E51:E53"/>
    <mergeCell ref="F51:F53"/>
    <mergeCell ref="G51:G53"/>
    <mergeCell ref="H51:H53"/>
    <mergeCell ref="I51:I53"/>
    <mergeCell ref="L45:L47"/>
    <mergeCell ref="M45:M47"/>
    <mergeCell ref="N45:N47"/>
    <mergeCell ref="F57:F59"/>
    <mergeCell ref="G57:G59"/>
    <mergeCell ref="H57:H59"/>
    <mergeCell ref="I57:I59"/>
    <mergeCell ref="L51:L53"/>
    <mergeCell ref="M51:M53"/>
    <mergeCell ref="N51:N53"/>
    <mergeCell ref="O51:O53"/>
    <mergeCell ref="A54:A56"/>
    <mergeCell ref="B54:B56"/>
    <mergeCell ref="C54:C56"/>
    <mergeCell ref="D54:D56"/>
    <mergeCell ref="E54:E56"/>
    <mergeCell ref="F54:F56"/>
    <mergeCell ref="G54:G56"/>
    <mergeCell ref="H54:H56"/>
    <mergeCell ref="I54:I56"/>
    <mergeCell ref="L54:L56"/>
    <mergeCell ref="M54:M56"/>
    <mergeCell ref="N54:N56"/>
    <mergeCell ref="O54:O56"/>
    <mergeCell ref="A51:A53"/>
    <mergeCell ref="B51:B53"/>
    <mergeCell ref="C51:C53"/>
    <mergeCell ref="H63:H65"/>
    <mergeCell ref="I63:I65"/>
    <mergeCell ref="L57:L59"/>
    <mergeCell ref="M57:M59"/>
    <mergeCell ref="N57:N59"/>
    <mergeCell ref="O57:O59"/>
    <mergeCell ref="A60:A62"/>
    <mergeCell ref="B60:B62"/>
    <mergeCell ref="C60:C62"/>
    <mergeCell ref="D60:D62"/>
    <mergeCell ref="E60:E62"/>
    <mergeCell ref="F60:F62"/>
    <mergeCell ref="G60:G62"/>
    <mergeCell ref="H60:H62"/>
    <mergeCell ref="I60:I62"/>
    <mergeCell ref="L60:L62"/>
    <mergeCell ref="M60:M62"/>
    <mergeCell ref="N60:N62"/>
    <mergeCell ref="O60:O62"/>
    <mergeCell ref="A57:A59"/>
    <mergeCell ref="B57:B59"/>
    <mergeCell ref="C57:C59"/>
    <mergeCell ref="D57:D59"/>
    <mergeCell ref="E57:E59"/>
    <mergeCell ref="L63:L65"/>
    <mergeCell ref="M63:M65"/>
    <mergeCell ref="N63:N65"/>
    <mergeCell ref="O63:O65"/>
    <mergeCell ref="A66:A68"/>
    <mergeCell ref="B66:B68"/>
    <mergeCell ref="C66:C68"/>
    <mergeCell ref="D66:D68"/>
    <mergeCell ref="E66:E68"/>
    <mergeCell ref="F66:F68"/>
    <mergeCell ref="G66:G68"/>
    <mergeCell ref="H66:H68"/>
    <mergeCell ref="I66:I68"/>
    <mergeCell ref="L66:L68"/>
    <mergeCell ref="M66:M68"/>
    <mergeCell ref="N66:N68"/>
    <mergeCell ref="O66:O68"/>
    <mergeCell ref="A63:A65"/>
    <mergeCell ref="B63:B65"/>
    <mergeCell ref="C63:C65"/>
    <mergeCell ref="D63:D65"/>
    <mergeCell ref="E63:E65"/>
    <mergeCell ref="F63:F65"/>
    <mergeCell ref="G63:G65"/>
    <mergeCell ref="O69:O71"/>
    <mergeCell ref="A72:A74"/>
    <mergeCell ref="B72:B74"/>
    <mergeCell ref="C72:C74"/>
    <mergeCell ref="D72:D74"/>
    <mergeCell ref="E72:E74"/>
    <mergeCell ref="F72:F74"/>
    <mergeCell ref="G72:G74"/>
    <mergeCell ref="H72:H74"/>
    <mergeCell ref="I72:I74"/>
    <mergeCell ref="L72:L74"/>
    <mergeCell ref="M72:M74"/>
    <mergeCell ref="N72:N74"/>
    <mergeCell ref="O72:O74"/>
    <mergeCell ref="A69:A71"/>
    <mergeCell ref="B69:B71"/>
    <mergeCell ref="C69:C71"/>
    <mergeCell ref="D69:D71"/>
    <mergeCell ref="E69:E71"/>
    <mergeCell ref="F69:F71"/>
    <mergeCell ref="G69:G71"/>
    <mergeCell ref="H69:H71"/>
    <mergeCell ref="I69:I71"/>
    <mergeCell ref="D75:D77"/>
    <mergeCell ref="E75:E77"/>
    <mergeCell ref="F75:F77"/>
    <mergeCell ref="G75:G77"/>
    <mergeCell ref="H75:H77"/>
    <mergeCell ref="I75:I77"/>
    <mergeCell ref="L69:L71"/>
    <mergeCell ref="M69:M71"/>
    <mergeCell ref="N69:N71"/>
    <mergeCell ref="F81:F83"/>
    <mergeCell ref="G81:G83"/>
    <mergeCell ref="H81:H83"/>
    <mergeCell ref="I81:I83"/>
    <mergeCell ref="L75:L77"/>
    <mergeCell ref="M75:M77"/>
    <mergeCell ref="N75:N77"/>
    <mergeCell ref="O75:O77"/>
    <mergeCell ref="A78:A80"/>
    <mergeCell ref="B78:B80"/>
    <mergeCell ref="C78:C80"/>
    <mergeCell ref="D78:D80"/>
    <mergeCell ref="E78:E80"/>
    <mergeCell ref="F78:F80"/>
    <mergeCell ref="G78:G80"/>
    <mergeCell ref="H78:H80"/>
    <mergeCell ref="I78:I80"/>
    <mergeCell ref="L78:L80"/>
    <mergeCell ref="M78:M80"/>
    <mergeCell ref="N78:N80"/>
    <mergeCell ref="O78:O80"/>
    <mergeCell ref="A75:A77"/>
    <mergeCell ref="B75:B77"/>
    <mergeCell ref="C75:C77"/>
    <mergeCell ref="H87:H89"/>
    <mergeCell ref="I87:I89"/>
    <mergeCell ref="L81:L83"/>
    <mergeCell ref="M81:M83"/>
    <mergeCell ref="N81:N83"/>
    <mergeCell ref="O81:O83"/>
    <mergeCell ref="A84:A86"/>
    <mergeCell ref="B84:B86"/>
    <mergeCell ref="C84:C86"/>
    <mergeCell ref="D84:D86"/>
    <mergeCell ref="E84:E86"/>
    <mergeCell ref="F84:F86"/>
    <mergeCell ref="G84:G86"/>
    <mergeCell ref="H84:H86"/>
    <mergeCell ref="I84:I86"/>
    <mergeCell ref="L84:L86"/>
    <mergeCell ref="M84:M86"/>
    <mergeCell ref="N84:N86"/>
    <mergeCell ref="O84:O86"/>
    <mergeCell ref="A81:A83"/>
    <mergeCell ref="B81:B83"/>
    <mergeCell ref="C81:C83"/>
    <mergeCell ref="D81:D83"/>
    <mergeCell ref="E81:E83"/>
    <mergeCell ref="L87:L89"/>
    <mergeCell ref="M87:M89"/>
    <mergeCell ref="N87:N89"/>
    <mergeCell ref="O87:O89"/>
    <mergeCell ref="A90:A92"/>
    <mergeCell ref="B90:B92"/>
    <mergeCell ref="C90:C92"/>
    <mergeCell ref="D90:D92"/>
    <mergeCell ref="E90:E92"/>
    <mergeCell ref="F90:F92"/>
    <mergeCell ref="G90:G92"/>
    <mergeCell ref="H90:H92"/>
    <mergeCell ref="I90:I92"/>
    <mergeCell ref="L90:L92"/>
    <mergeCell ref="M90:M92"/>
    <mergeCell ref="N90:N92"/>
    <mergeCell ref="O90:O92"/>
    <mergeCell ref="A87:A89"/>
    <mergeCell ref="B87:B89"/>
    <mergeCell ref="C87:C89"/>
    <mergeCell ref="D87:D89"/>
    <mergeCell ref="E87:E89"/>
    <mergeCell ref="F87:F89"/>
    <mergeCell ref="G87:G89"/>
    <mergeCell ref="M109:M111"/>
    <mergeCell ref="N109:N111"/>
    <mergeCell ref="O109:O111"/>
    <mergeCell ref="A112:A114"/>
    <mergeCell ref="B112:B114"/>
    <mergeCell ref="C112:C114"/>
    <mergeCell ref="D112:D114"/>
    <mergeCell ref="E112:E114"/>
    <mergeCell ref="F112:F114"/>
    <mergeCell ref="G112:H114"/>
    <mergeCell ref="I112:I114"/>
    <mergeCell ref="L112:L114"/>
    <mergeCell ref="M112:M114"/>
    <mergeCell ref="N112:N114"/>
    <mergeCell ref="O112:O114"/>
    <mergeCell ref="A109:A111"/>
    <mergeCell ref="B109:B111"/>
    <mergeCell ref="C109:C111"/>
    <mergeCell ref="D109:D111"/>
    <mergeCell ref="E109:E111"/>
    <mergeCell ref="F109:F111"/>
    <mergeCell ref="G109:H111"/>
    <mergeCell ref="I109:I111"/>
    <mergeCell ref="L109:L111"/>
    <mergeCell ref="M115:M117"/>
    <mergeCell ref="N115:N117"/>
    <mergeCell ref="O115:O117"/>
    <mergeCell ref="A118:A120"/>
    <mergeCell ref="B118:B120"/>
    <mergeCell ref="C118:C120"/>
    <mergeCell ref="D118:D120"/>
    <mergeCell ref="E118:E120"/>
    <mergeCell ref="F118:F120"/>
    <mergeCell ref="G118:H120"/>
    <mergeCell ref="I118:I120"/>
    <mergeCell ref="L118:L120"/>
    <mergeCell ref="M118:M120"/>
    <mergeCell ref="N118:N120"/>
    <mergeCell ref="O118:O120"/>
    <mergeCell ref="A115:A117"/>
    <mergeCell ref="B115:B117"/>
    <mergeCell ref="C115:C117"/>
    <mergeCell ref="D115:D117"/>
    <mergeCell ref="E115:E117"/>
    <mergeCell ref="F115:F117"/>
    <mergeCell ref="G115:H117"/>
    <mergeCell ref="I115:I117"/>
    <mergeCell ref="L115:L117"/>
    <mergeCell ref="M121:M123"/>
    <mergeCell ref="N121:N123"/>
    <mergeCell ref="O121:O123"/>
    <mergeCell ref="A124:A126"/>
    <mergeCell ref="B124:B126"/>
    <mergeCell ref="C124:C126"/>
    <mergeCell ref="D124:D126"/>
    <mergeCell ref="E124:E126"/>
    <mergeCell ref="F124:F126"/>
    <mergeCell ref="G124:H126"/>
    <mergeCell ref="I124:I126"/>
    <mergeCell ref="L124:L126"/>
    <mergeCell ref="M124:M126"/>
    <mergeCell ref="N124:N126"/>
    <mergeCell ref="O124:O126"/>
    <mergeCell ref="A121:A123"/>
    <mergeCell ref="B121:B123"/>
    <mergeCell ref="C121:C123"/>
    <mergeCell ref="D121:D123"/>
    <mergeCell ref="E121:E123"/>
    <mergeCell ref="F121:F123"/>
    <mergeCell ref="G121:H123"/>
    <mergeCell ref="I121:I123"/>
    <mergeCell ref="L121:L123"/>
    <mergeCell ref="M127:M129"/>
    <mergeCell ref="N127:N129"/>
    <mergeCell ref="O127:O129"/>
    <mergeCell ref="A130:A132"/>
    <mergeCell ref="B130:B132"/>
    <mergeCell ref="C130:C132"/>
    <mergeCell ref="D130:D132"/>
    <mergeCell ref="E130:E132"/>
    <mergeCell ref="F130:F132"/>
    <mergeCell ref="G130:H132"/>
    <mergeCell ref="I130:I132"/>
    <mergeCell ref="L130:L132"/>
    <mergeCell ref="M130:M132"/>
    <mergeCell ref="N130:N132"/>
    <mergeCell ref="O130:O132"/>
    <mergeCell ref="A127:A129"/>
    <mergeCell ref="B127:B129"/>
    <mergeCell ref="C127:C129"/>
    <mergeCell ref="D127:D129"/>
    <mergeCell ref="E127:E129"/>
    <mergeCell ref="F127:F129"/>
    <mergeCell ref="G127:H129"/>
    <mergeCell ref="I127:I129"/>
    <mergeCell ref="L127:L129"/>
    <mergeCell ref="M133:M135"/>
    <mergeCell ref="N133:N135"/>
    <mergeCell ref="O133:O135"/>
    <mergeCell ref="A136:A138"/>
    <mergeCell ref="B136:B138"/>
    <mergeCell ref="C136:C138"/>
    <mergeCell ref="D136:D138"/>
    <mergeCell ref="E136:E138"/>
    <mergeCell ref="F136:F138"/>
    <mergeCell ref="G136:H138"/>
    <mergeCell ref="I136:I138"/>
    <mergeCell ref="L136:L138"/>
    <mergeCell ref="M136:M138"/>
    <mergeCell ref="N136:N138"/>
    <mergeCell ref="O136:O138"/>
    <mergeCell ref="A133:A135"/>
    <mergeCell ref="B133:B135"/>
    <mergeCell ref="C133:C135"/>
    <mergeCell ref="D133:D135"/>
    <mergeCell ref="E133:E135"/>
    <mergeCell ref="F133:F135"/>
    <mergeCell ref="G133:H135"/>
    <mergeCell ref="I133:I135"/>
    <mergeCell ref="L133:L135"/>
    <mergeCell ref="M139:M141"/>
    <mergeCell ref="N139:N141"/>
    <mergeCell ref="O139:O141"/>
    <mergeCell ref="A142:A144"/>
    <mergeCell ref="B142:B144"/>
    <mergeCell ref="C142:C144"/>
    <mergeCell ref="D142:D144"/>
    <mergeCell ref="E142:E144"/>
    <mergeCell ref="F142:F144"/>
    <mergeCell ref="G142:H144"/>
    <mergeCell ref="I142:I144"/>
    <mergeCell ref="L142:L144"/>
    <mergeCell ref="M142:M144"/>
    <mergeCell ref="N142:N144"/>
    <mergeCell ref="O142:O144"/>
    <mergeCell ref="A139:A141"/>
    <mergeCell ref="B139:B141"/>
    <mergeCell ref="C139:C141"/>
    <mergeCell ref="D139:D141"/>
    <mergeCell ref="E139:E141"/>
    <mergeCell ref="F139:F141"/>
    <mergeCell ref="G139:H141"/>
    <mergeCell ref="I139:I141"/>
    <mergeCell ref="L139:L141"/>
    <mergeCell ref="M145:M147"/>
    <mergeCell ref="N145:N147"/>
    <mergeCell ref="O145:O147"/>
    <mergeCell ref="A148:A150"/>
    <mergeCell ref="B148:B150"/>
    <mergeCell ref="C148:C150"/>
    <mergeCell ref="D148:D150"/>
    <mergeCell ref="E148:E150"/>
    <mergeCell ref="F148:F150"/>
    <mergeCell ref="G148:H150"/>
    <mergeCell ref="I148:I150"/>
    <mergeCell ref="L148:L150"/>
    <mergeCell ref="M148:M150"/>
    <mergeCell ref="N148:N150"/>
    <mergeCell ref="O148:O150"/>
    <mergeCell ref="A145:A147"/>
    <mergeCell ref="B145:B147"/>
    <mergeCell ref="C145:C147"/>
    <mergeCell ref="D145:D147"/>
    <mergeCell ref="E145:E147"/>
    <mergeCell ref="F145:F147"/>
    <mergeCell ref="G145:H147"/>
    <mergeCell ref="I145:I147"/>
    <mergeCell ref="L145:L147"/>
    <mergeCell ref="M151:M153"/>
    <mergeCell ref="N151:N153"/>
    <mergeCell ref="O151:O153"/>
    <mergeCell ref="A154:A156"/>
    <mergeCell ref="B154:B156"/>
    <mergeCell ref="C154:C156"/>
    <mergeCell ref="D154:D156"/>
    <mergeCell ref="E154:E156"/>
    <mergeCell ref="F154:F156"/>
    <mergeCell ref="G154:H156"/>
    <mergeCell ref="I154:I156"/>
    <mergeCell ref="L154:L156"/>
    <mergeCell ref="M154:M156"/>
    <mergeCell ref="N154:N156"/>
    <mergeCell ref="O154:O156"/>
    <mergeCell ref="A151:A153"/>
    <mergeCell ref="B151:B153"/>
    <mergeCell ref="C151:C153"/>
    <mergeCell ref="D151:D153"/>
    <mergeCell ref="E151:E153"/>
    <mergeCell ref="F151:F153"/>
    <mergeCell ref="G151:H153"/>
    <mergeCell ref="I151:I153"/>
    <mergeCell ref="L151:L153"/>
    <mergeCell ref="M157:M159"/>
    <mergeCell ref="N157:N159"/>
    <mergeCell ref="O157:O159"/>
    <mergeCell ref="A160:A162"/>
    <mergeCell ref="B160:B162"/>
    <mergeCell ref="C160:C162"/>
    <mergeCell ref="D160:D162"/>
    <mergeCell ref="E160:E162"/>
    <mergeCell ref="F160:F162"/>
    <mergeCell ref="G160:H162"/>
    <mergeCell ref="I160:I162"/>
    <mergeCell ref="L160:L162"/>
    <mergeCell ref="M160:M162"/>
    <mergeCell ref="N160:N162"/>
    <mergeCell ref="O160:O162"/>
    <mergeCell ref="A157:A159"/>
    <mergeCell ref="B157:B159"/>
    <mergeCell ref="C157:C159"/>
    <mergeCell ref="D157:D159"/>
    <mergeCell ref="E157:E159"/>
    <mergeCell ref="F157:F159"/>
    <mergeCell ref="G157:H159"/>
    <mergeCell ref="I157:I159"/>
    <mergeCell ref="L157:L159"/>
    <mergeCell ref="M163:M165"/>
    <mergeCell ref="N163:N165"/>
    <mergeCell ref="O163:O165"/>
    <mergeCell ref="A166:A168"/>
    <mergeCell ref="B166:B168"/>
    <mergeCell ref="C166:C168"/>
    <mergeCell ref="D166:D168"/>
    <mergeCell ref="E166:E168"/>
    <mergeCell ref="F166:F168"/>
    <mergeCell ref="G166:H168"/>
    <mergeCell ref="I166:I168"/>
    <mergeCell ref="L166:L168"/>
    <mergeCell ref="M166:M168"/>
    <mergeCell ref="N166:N168"/>
    <mergeCell ref="O166:O168"/>
    <mergeCell ref="A163:A165"/>
    <mergeCell ref="B163:B165"/>
    <mergeCell ref="C163:C165"/>
    <mergeCell ref="D163:D165"/>
    <mergeCell ref="E163:E165"/>
    <mergeCell ref="F163:F165"/>
    <mergeCell ref="G163:H165"/>
    <mergeCell ref="I163:I165"/>
    <mergeCell ref="L163:L165"/>
    <mergeCell ref="M169:M171"/>
    <mergeCell ref="N169:N171"/>
    <mergeCell ref="O169:O171"/>
    <mergeCell ref="A169:A171"/>
    <mergeCell ref="B169:B171"/>
    <mergeCell ref="C169:C171"/>
    <mergeCell ref="D169:D171"/>
    <mergeCell ref="E169:E171"/>
    <mergeCell ref="F169:F171"/>
    <mergeCell ref="G169:H171"/>
    <mergeCell ref="I169:I171"/>
    <mergeCell ref="L169:L171"/>
    <mergeCell ref="M172:M174"/>
    <mergeCell ref="N172:N174"/>
    <mergeCell ref="O172:O174"/>
    <mergeCell ref="A175:A177"/>
    <mergeCell ref="B175:B177"/>
    <mergeCell ref="C175:C177"/>
    <mergeCell ref="D175:D177"/>
    <mergeCell ref="E175:E177"/>
    <mergeCell ref="F175:F177"/>
    <mergeCell ref="G175:H177"/>
    <mergeCell ref="I175:I177"/>
    <mergeCell ref="L175:L177"/>
    <mergeCell ref="M175:M177"/>
    <mergeCell ref="N175:N177"/>
    <mergeCell ref="O175:O177"/>
    <mergeCell ref="A172:A174"/>
    <mergeCell ref="B172:B174"/>
    <mergeCell ref="C172:C174"/>
    <mergeCell ref="D172:D174"/>
    <mergeCell ref="E172:E174"/>
    <mergeCell ref="F172:F174"/>
    <mergeCell ref="G172:H174"/>
    <mergeCell ref="I172:I174"/>
    <mergeCell ref="L172:L174"/>
    <mergeCell ref="M178:M180"/>
    <mergeCell ref="N178:N180"/>
    <mergeCell ref="O178:O180"/>
    <mergeCell ref="A181:A183"/>
    <mergeCell ref="B181:B183"/>
    <mergeCell ref="C181:C183"/>
    <mergeCell ref="D181:D183"/>
    <mergeCell ref="E181:E183"/>
    <mergeCell ref="F181:F183"/>
    <mergeCell ref="G181:H183"/>
    <mergeCell ref="I181:I183"/>
    <mergeCell ref="L181:L183"/>
    <mergeCell ref="M181:M183"/>
    <mergeCell ref="N181:N183"/>
    <mergeCell ref="O181:O183"/>
    <mergeCell ref="A178:A180"/>
    <mergeCell ref="B178:B180"/>
    <mergeCell ref="C178:C180"/>
    <mergeCell ref="D178:D180"/>
    <mergeCell ref="E178:E180"/>
    <mergeCell ref="F178:F180"/>
    <mergeCell ref="G178:H180"/>
    <mergeCell ref="I178:I180"/>
    <mergeCell ref="L178:L180"/>
    <mergeCell ref="M184:M186"/>
    <mergeCell ref="N184:N186"/>
    <mergeCell ref="O184:O186"/>
    <mergeCell ref="A187:A189"/>
    <mergeCell ref="B187:B189"/>
    <mergeCell ref="C187:C189"/>
    <mergeCell ref="D187:D189"/>
    <mergeCell ref="E187:E189"/>
    <mergeCell ref="F187:F189"/>
    <mergeCell ref="G187:H189"/>
    <mergeCell ref="I187:I189"/>
    <mergeCell ref="L187:L189"/>
    <mergeCell ref="M187:M189"/>
    <mergeCell ref="N187:N189"/>
    <mergeCell ref="O187:O189"/>
    <mergeCell ref="A184:A186"/>
    <mergeCell ref="B184:B186"/>
    <mergeCell ref="C184:C186"/>
    <mergeCell ref="D184:D186"/>
    <mergeCell ref="E184:E186"/>
    <mergeCell ref="F184:F186"/>
    <mergeCell ref="G184:H186"/>
    <mergeCell ref="I184:I186"/>
    <mergeCell ref="L184:L186"/>
    <mergeCell ref="M190:M192"/>
    <mergeCell ref="N190:N192"/>
    <mergeCell ref="O190:O192"/>
    <mergeCell ref="A193:A195"/>
    <mergeCell ref="B193:B195"/>
    <mergeCell ref="C193:C195"/>
    <mergeCell ref="D193:D195"/>
    <mergeCell ref="E193:E195"/>
    <mergeCell ref="F193:F195"/>
    <mergeCell ref="G193:H195"/>
    <mergeCell ref="I193:I195"/>
    <mergeCell ref="L193:L195"/>
    <mergeCell ref="M193:M195"/>
    <mergeCell ref="N193:N195"/>
    <mergeCell ref="O193:O195"/>
    <mergeCell ref="A190:A192"/>
    <mergeCell ref="B190:B192"/>
    <mergeCell ref="C190:C192"/>
    <mergeCell ref="D190:D192"/>
    <mergeCell ref="E190:E192"/>
    <mergeCell ref="F190:F192"/>
    <mergeCell ref="G190:H192"/>
    <mergeCell ref="I190:I192"/>
    <mergeCell ref="L190:L192"/>
  </mergeCells>
  <phoneticPr fontId="5" type="noConversion"/>
  <conditionalFormatting sqref="I9:I92 M9:M92">
    <cfRule type="cellIs" dxfId="358" priority="183" operator="equal">
      <formula>"EXTREMA 5:5"</formula>
    </cfRule>
    <cfRule type="cellIs" dxfId="357" priority="184" operator="equal">
      <formula>"EXTREMA 4:5"</formula>
    </cfRule>
    <cfRule type="cellIs" dxfId="356" priority="185" operator="equal">
      <formula>"EXTREMA 3:5"</formula>
    </cfRule>
    <cfRule type="cellIs" dxfId="355" priority="186" operator="equal">
      <formula>"EXTREMA 2:5"</formula>
    </cfRule>
    <cfRule type="cellIs" dxfId="354" priority="187" operator="equal">
      <formula>"EXTREMA 5:4"</formula>
    </cfRule>
    <cfRule type="cellIs" dxfId="353" priority="188" operator="equal">
      <formula>"EXTREMA 4:4"</formula>
    </cfRule>
    <cfRule type="cellIs" dxfId="352" priority="189" operator="equal">
      <formula>"EXTREMA 3:4"</formula>
    </cfRule>
    <cfRule type="cellIs" dxfId="351" priority="190" operator="equal">
      <formula>"EXTREMA 5:3"</formula>
    </cfRule>
    <cfRule type="cellIs" dxfId="350" priority="191" operator="equal">
      <formula>"ALTA 1:5"</formula>
    </cfRule>
    <cfRule type="cellIs" dxfId="349" priority="192" operator="equal">
      <formula>"ALTA 2:4"</formula>
    </cfRule>
    <cfRule type="cellIs" dxfId="348" priority="193" operator="equal">
      <formula>"ALTA 1:4"</formula>
    </cfRule>
    <cfRule type="cellIs" dxfId="347" priority="194" operator="equal">
      <formula>"ALTA 4:3"</formula>
    </cfRule>
    <cfRule type="cellIs" dxfId="346" priority="195" operator="equal">
      <formula>"ALTA 3:3"</formula>
    </cfRule>
    <cfRule type="cellIs" dxfId="345" priority="196" operator="equal">
      <formula>"ALTA 5:2"</formula>
    </cfRule>
    <cfRule type="cellIs" dxfId="344" priority="197" operator="equal">
      <formula>"ALTA 4:2"</formula>
    </cfRule>
    <cfRule type="cellIs" dxfId="343" priority="198" operator="equal">
      <formula>"ALTA 5:1"</formula>
    </cfRule>
    <cfRule type="cellIs" dxfId="342" priority="199" operator="equal">
      <formula>"MODERADA 2:3"</formula>
    </cfRule>
    <cfRule type="cellIs" dxfId="341" priority="200" operator="equal">
      <formula>"MODERADA 1:3"</formula>
    </cfRule>
    <cfRule type="cellIs" dxfId="340" priority="201" operator="equal">
      <formula>"MODERADA 3:2"</formula>
    </cfRule>
    <cfRule type="cellIs" dxfId="339" priority="202" operator="equal">
      <formula>"MODERADA 4:1"</formula>
    </cfRule>
    <cfRule type="cellIs" dxfId="338" priority="203" operator="equal">
      <formula>"BAJA 2:2"</formula>
    </cfRule>
    <cfRule type="cellIs" dxfId="337" priority="204" operator="equal">
      <formula>"BAJA 1:2"</formula>
    </cfRule>
    <cfRule type="cellIs" dxfId="336" priority="205" operator="equal">
      <formula>"BAJA 3:1"</formula>
    </cfRule>
    <cfRule type="cellIs" dxfId="335" priority="206" operator="equal">
      <formula>"BAJA 2:1"</formula>
    </cfRule>
    <cfRule type="cellIs" dxfId="334" priority="207" operator="equal">
      <formula>"BAJA 1:1"</formula>
    </cfRule>
  </conditionalFormatting>
  <conditionalFormatting sqref="F9:F92">
    <cfRule type="cellIs" dxfId="333" priority="128" operator="equal">
      <formula>"RARO"</formula>
    </cfRule>
    <cfRule type="cellIs" dxfId="332" priority="129" operator="equal">
      <formula>"IMPROBABLE"</formula>
    </cfRule>
    <cfRule type="cellIs" dxfId="331" priority="130" operator="equal">
      <formula>"POSIBLE"</formula>
    </cfRule>
    <cfRule type="cellIs" dxfId="330" priority="131" operator="equal">
      <formula>"PROBABLE"</formula>
    </cfRule>
    <cfRule type="cellIs" dxfId="329" priority="132" operator="equal">
      <formula>"CASI CERTEZA"</formula>
    </cfRule>
  </conditionalFormatting>
  <conditionalFormatting sqref="H9:H92">
    <cfRule type="containsText" dxfId="328" priority="120" stopIfTrue="1" operator="containsText" text="ALTA">
      <formula>NOT(ISERROR(SEARCH("ALTA",H9)))</formula>
    </cfRule>
    <cfRule type="containsText" dxfId="327" priority="121" stopIfTrue="1" operator="containsText" text="MEDIA">
      <formula>NOT(ISERROR(SEARCH("MEDIA",H9)))</formula>
    </cfRule>
    <cfRule type="containsText" dxfId="326" priority="122" stopIfTrue="1" operator="containsText" text="BAJA">
      <formula>NOT(ISERROR(SEARCH("BAJA",H9)))</formula>
    </cfRule>
  </conditionalFormatting>
  <conditionalFormatting sqref="H9:H92">
    <cfRule type="containsText" dxfId="325" priority="115" stopIfTrue="1" operator="containsText" text="ALTO">
      <formula>NOT(ISERROR(SEARCH("ALTO",H9)))</formula>
    </cfRule>
    <cfRule type="containsText" dxfId="324" priority="116" stopIfTrue="1" operator="containsText" text="ALTO">
      <formula>NOT(ISERROR(SEARCH("ALTO",H9)))</formula>
    </cfRule>
    <cfRule type="containsText" dxfId="323" priority="117" stopIfTrue="1" operator="containsText" text="MEDIO">
      <formula>NOT(ISERROR(SEARCH("MEDIO",H9)))</formula>
    </cfRule>
    <cfRule type="containsText" dxfId="322" priority="118" stopIfTrue="1" operator="containsText" text="MEDIO">
      <formula>NOT(ISERROR(SEARCH("MEDIO",H9)))</formula>
    </cfRule>
    <cfRule type="containsText" dxfId="321" priority="119" stopIfTrue="1" operator="containsText" text="BAJO">
      <formula>NOT(ISERROR(SEARCH("BAJO",H9)))</formula>
    </cfRule>
  </conditionalFormatting>
  <conditionalFormatting sqref="H9:H92">
    <cfRule type="cellIs" dxfId="320" priority="110" operator="equal">
      <formula>"INSIGNIFICANTE"</formula>
    </cfRule>
    <cfRule type="cellIs" dxfId="319" priority="111" operator="equal">
      <formula>"MENOR"</formula>
    </cfRule>
    <cfRule type="cellIs" dxfId="318" priority="112" operator="equal">
      <formula>"MODERADO"</formula>
    </cfRule>
    <cfRule type="cellIs" dxfId="317" priority="113" operator="equal">
      <formula>"MAYOR"</formula>
    </cfRule>
    <cfRule type="cellIs" dxfId="316" priority="114" operator="equal">
      <formula>"CATASTRÓFICO"</formula>
    </cfRule>
  </conditionalFormatting>
  <conditionalFormatting sqref="I94:I96">
    <cfRule type="containsText" dxfId="315" priority="4" operator="containsText" text="MODERADA">
      <formula>NOT(ISERROR(SEARCH("MODERADA",I94)))</formula>
    </cfRule>
    <cfRule type="cellIs" dxfId="314" priority="72" operator="equal">
      <formula>"EXTREMA"</formula>
    </cfRule>
  </conditionalFormatting>
  <conditionalFormatting sqref="F94:F96">
    <cfRule type="cellIs" dxfId="313" priority="67" operator="equal">
      <formula>"RARO"</formula>
    </cfRule>
    <cfRule type="cellIs" dxfId="312" priority="68" operator="equal">
      <formula>"IMPROBABLE"</formula>
    </cfRule>
    <cfRule type="cellIs" dxfId="311" priority="69" operator="equal">
      <formula>"POSIBLE"</formula>
    </cfRule>
    <cfRule type="cellIs" dxfId="310" priority="70" operator="equal">
      <formula>"PROBABLE"</formula>
    </cfRule>
    <cfRule type="cellIs" dxfId="309" priority="71" operator="equal">
      <formula>"CASI CERTEZA"</formula>
    </cfRule>
  </conditionalFormatting>
  <conditionalFormatting sqref="M94 M97 M100 M103 M106 M109 M112 M115 M118 M121 M124 M127 M130 M133 M136 M139 M142 M145 M148 M151 M154 M157 M160 M163 M166 M169 M172 M175 M178 M181 M184 M187 M190 M193">
    <cfRule type="containsText" dxfId="308" priority="52" operator="containsText" text="EXTREMA">
      <formula>NOT(ISERROR(SEARCH("EXTREMA",M94)))</formula>
    </cfRule>
  </conditionalFormatting>
  <conditionalFormatting sqref="G94">
    <cfRule type="cellIs" dxfId="307" priority="50" operator="notEqual">
      <formula>$D$10</formula>
    </cfRule>
    <cfRule type="cellIs" dxfId="306" priority="51" operator="equal">
      <formula>$D$10</formula>
    </cfRule>
  </conditionalFormatting>
  <conditionalFormatting sqref="I97:I99">
    <cfRule type="cellIs" dxfId="305" priority="48" operator="equal">
      <formula>"EXTREMA"</formula>
    </cfRule>
  </conditionalFormatting>
  <conditionalFormatting sqref="F97:F99">
    <cfRule type="cellIs" dxfId="304" priority="43" operator="equal">
      <formula>"RARO"</formula>
    </cfRule>
    <cfRule type="cellIs" dxfId="303" priority="44" operator="equal">
      <formula>"IMPROBABLE"</formula>
    </cfRule>
    <cfRule type="cellIs" dxfId="302" priority="45" operator="equal">
      <formula>"POSIBLE"</formula>
    </cfRule>
    <cfRule type="cellIs" dxfId="301" priority="46" operator="equal">
      <formula>"PROBABLE"</formula>
    </cfRule>
    <cfRule type="cellIs" dxfId="300" priority="47" operator="equal">
      <formula>"CASI CERTEZA"</formula>
    </cfRule>
  </conditionalFormatting>
  <conditionalFormatting sqref="G97">
    <cfRule type="cellIs" dxfId="299" priority="39" operator="notEqual">
      <formula>$D$10</formula>
    </cfRule>
    <cfRule type="cellIs" dxfId="298" priority="40" operator="equal">
      <formula>$D$10</formula>
    </cfRule>
  </conditionalFormatting>
  <conditionalFormatting sqref="I100:I102">
    <cfRule type="cellIs" dxfId="297" priority="37" operator="equal">
      <formula>"EXTREMA"</formula>
    </cfRule>
  </conditionalFormatting>
  <conditionalFormatting sqref="F100:F102">
    <cfRule type="cellIs" dxfId="296" priority="32" operator="equal">
      <formula>"RARO"</formula>
    </cfRule>
    <cfRule type="cellIs" dxfId="295" priority="33" operator="equal">
      <formula>"IMPROBABLE"</formula>
    </cfRule>
    <cfRule type="cellIs" dxfId="294" priority="34" operator="equal">
      <formula>"POSIBLE"</formula>
    </cfRule>
    <cfRule type="cellIs" dxfId="293" priority="35" operator="equal">
      <formula>"PROBABLE"</formula>
    </cfRule>
    <cfRule type="cellIs" dxfId="292" priority="36" operator="equal">
      <formula>"CASI CERTEZA"</formula>
    </cfRule>
  </conditionalFormatting>
  <conditionalFormatting sqref="G100">
    <cfRule type="cellIs" dxfId="291" priority="28" operator="notEqual">
      <formula>$D$10</formula>
    </cfRule>
    <cfRule type="cellIs" dxfId="290" priority="29" operator="equal">
      <formula>$D$10</formula>
    </cfRule>
  </conditionalFormatting>
  <conditionalFormatting sqref="I103:I105">
    <cfRule type="cellIs" dxfId="289" priority="26" operator="equal">
      <formula>"EXTREMA"</formula>
    </cfRule>
  </conditionalFormatting>
  <conditionalFormatting sqref="F103:F105">
    <cfRule type="cellIs" dxfId="288" priority="21" operator="equal">
      <formula>"RARO"</formula>
    </cfRule>
    <cfRule type="cellIs" dxfId="287" priority="22" operator="equal">
      <formula>"IMPROBABLE"</formula>
    </cfRule>
    <cfRule type="cellIs" dxfId="286" priority="23" operator="equal">
      <formula>"POSIBLE"</formula>
    </cfRule>
    <cfRule type="cellIs" dxfId="285" priority="24" operator="equal">
      <formula>"PROBABLE"</formula>
    </cfRule>
    <cfRule type="cellIs" dxfId="284" priority="25" operator="equal">
      <formula>"CASI CERTEZA"</formula>
    </cfRule>
  </conditionalFormatting>
  <conditionalFormatting sqref="G103">
    <cfRule type="cellIs" dxfId="283" priority="17" operator="notEqual">
      <formula>$D$10</formula>
    </cfRule>
    <cfRule type="cellIs" dxfId="282" priority="18" operator="equal">
      <formula>$D$10</formula>
    </cfRule>
  </conditionalFormatting>
  <conditionalFormatting sqref="I106:I195">
    <cfRule type="cellIs" dxfId="281" priority="15" operator="equal">
      <formula>"EXTREMA"</formula>
    </cfRule>
  </conditionalFormatting>
  <conditionalFormatting sqref="F106:F195">
    <cfRule type="cellIs" dxfId="280" priority="10" operator="equal">
      <formula>"RARO"</formula>
    </cfRule>
    <cfRule type="cellIs" dxfId="279" priority="11" operator="equal">
      <formula>"IMPROBABLE"</formula>
    </cfRule>
    <cfRule type="cellIs" dxfId="278" priority="12" operator="equal">
      <formula>"POSIBLE"</formula>
    </cfRule>
    <cfRule type="cellIs" dxfId="277" priority="13" operator="equal">
      <formula>"PROBABLE"</formula>
    </cfRule>
    <cfRule type="cellIs" dxfId="276" priority="14" operator="equal">
      <formula>"CASI CERTEZA"</formula>
    </cfRule>
  </conditionalFormatting>
  <conditionalFormatting sqref="G106 G109 G112 G115 G118 G121 G124 G127 G130 G133 G136 G139 G142 G145 G148 G151 G154 G157 G160 G163 G166 G169 G172 G175 G178 G181 G184 G187 G190 G193">
    <cfRule type="cellIs" dxfId="275" priority="6" operator="notEqual">
      <formula>$D$10</formula>
    </cfRule>
    <cfRule type="cellIs" dxfId="274" priority="7" operator="equal">
      <formula>$D$10</formula>
    </cfRule>
  </conditionalFormatting>
  <conditionalFormatting sqref="M94:M195">
    <cfRule type="containsText" dxfId="273" priority="5" operator="containsText" text="MODERADA">
      <formula>NOT(ISERROR(SEARCH("MODERADA",M94)))</formula>
    </cfRule>
  </conditionalFormatting>
  <conditionalFormatting sqref="I97:I195">
    <cfRule type="containsText" dxfId="272" priority="3" operator="containsText" text="MODERADA">
      <formula>NOT(ISERROR(SEARCH("MODERADA",I97)))</formula>
    </cfRule>
  </conditionalFormatting>
  <conditionalFormatting sqref="D94 D97 D100 D103 D106 D109 D112 D115 D118 D121 D124 D127 D130 D133 D136 D139 D142 D145 D148 D151 D154 D157 D160 D163 D166 D169 D172 D175 D178 D181 D184 D187 D190 D193">
    <cfRule type="cellIs" dxfId="271" priority="1" operator="notEqual">
      <formula>$D$10</formula>
    </cfRule>
    <cfRule type="cellIs" dxfId="270" priority="2" operator="equal">
      <formula>$D$10</formula>
    </cfRule>
  </conditionalFormatting>
  <dataValidations xWindow="1224" yWindow="483" count="4">
    <dataValidation type="list" allowBlank="1" showInputMessage="1" showErrorMessage="1" prompt="Si decide ASUMIR EL RIESGO, se recomienda colocar en Definición de Acciones: Seguir ejecutando y monitoreando los controles existentes " sqref="P18:P92">
      <formula1>opcmang</formula1>
    </dataValidation>
    <dataValidation type="list" allowBlank="1" showInputMessage="1" showErrorMessage="1" prompt="Si decidió ASUMIR EL RIESGO, se recomienda seleccionar NO APLICA" sqref="R18:R92">
      <formula1>IF(P18="Asumir",noapli,indicador)</formula1>
    </dataValidation>
    <dataValidation type="list" allowBlank="1" showInputMessage="1" showErrorMessage="1" prompt="Si decide NO ESTABLECER NUEVAS ACCIONES, se recomienda colocar en Definición de Acciones: Seguir ejecutando y monitoreando los controles existentes " sqref="P94:P195">
      <formula1>opcmanc</formula1>
    </dataValidation>
    <dataValidation type="list" allowBlank="1" showInputMessage="1" showErrorMessage="1" prompt="Si decidió No establecer nuevas acciones, se recomienda escoger para este indicador NO APLICA" sqref="R94:R195">
      <formula1>IF(P94="No Establecer",noapli,indicador)</formula1>
    </dataValidation>
  </dataValidations>
  <pageMargins left="3.25" right="0.75" top="1" bottom="1" header="0" footer="0"/>
  <pageSetup paperSize="5"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92D050"/>
  </sheetPr>
  <dimension ref="A1:J196"/>
  <sheetViews>
    <sheetView workbookViewId="0">
      <pane xSplit="5" ySplit="8" topLeftCell="F87" activePane="bottomRight" state="frozen"/>
      <selection activeCell="A9" sqref="A9:E9"/>
      <selection pane="topRight" activeCell="A9" sqref="A9:E9"/>
      <selection pane="bottomLeft" activeCell="A9" sqref="A9:E9"/>
      <selection pane="bottomRight" activeCell="H12" sqref="H12"/>
    </sheetView>
  </sheetViews>
  <sheetFormatPr baseColWidth="10" defaultRowHeight="15" x14ac:dyDescent="0.2"/>
  <cols>
    <col min="1" max="1" width="4" customWidth="1"/>
    <col min="2" max="2" width="18.33203125" customWidth="1"/>
    <col min="3" max="3" width="12.21875" customWidth="1"/>
    <col min="4" max="4" width="22.77734375" customWidth="1"/>
    <col min="5" max="5" width="12.109375" customWidth="1"/>
    <col min="6" max="6" width="22.33203125" customWidth="1"/>
    <col min="7" max="7" width="13" customWidth="1"/>
    <col min="8" max="9" width="14.44140625" style="96" customWidth="1"/>
    <col min="10" max="10" width="12" style="96" hidden="1" customWidth="1"/>
  </cols>
  <sheetData>
    <row r="1" spans="1:10" ht="24" customHeight="1" x14ac:dyDescent="0.2">
      <c r="A1" s="433" t="s">
        <v>145</v>
      </c>
      <c r="B1" s="433"/>
      <c r="C1" s="434" t="s">
        <v>152</v>
      </c>
      <c r="D1" s="434"/>
      <c r="E1" s="434"/>
      <c r="F1" s="434"/>
      <c r="G1" s="434"/>
      <c r="H1" s="434"/>
      <c r="I1" s="32" t="s">
        <v>71</v>
      </c>
      <c r="J1" s="32"/>
    </row>
    <row r="2" spans="1:10" ht="24" customHeight="1" x14ac:dyDescent="0.2">
      <c r="A2" s="433"/>
      <c r="B2" s="433"/>
      <c r="C2" s="434"/>
      <c r="D2" s="434"/>
      <c r="E2" s="434"/>
      <c r="F2" s="434"/>
      <c r="G2" s="434"/>
      <c r="H2" s="434"/>
      <c r="I2" s="32" t="s">
        <v>107</v>
      </c>
      <c r="J2" s="32"/>
    </row>
    <row r="3" spans="1:10" ht="15" customHeight="1" x14ac:dyDescent="0.2">
      <c r="A3" s="433"/>
      <c r="B3" s="433"/>
      <c r="C3" s="434"/>
      <c r="D3" s="434"/>
      <c r="E3" s="434"/>
      <c r="F3" s="434"/>
      <c r="G3" s="434"/>
      <c r="H3" s="434"/>
      <c r="I3" s="32" t="s">
        <v>408</v>
      </c>
      <c r="J3" s="32"/>
    </row>
    <row r="4" spans="1:10" ht="3.75" customHeight="1" x14ac:dyDescent="0.2">
      <c r="A4" s="33"/>
      <c r="B4" s="34"/>
      <c r="C4" s="49"/>
      <c r="D4" s="49"/>
      <c r="E4" s="3"/>
      <c r="F4" s="3"/>
      <c r="G4" s="3"/>
    </row>
    <row r="5" spans="1:10" ht="15.75" customHeight="1" x14ac:dyDescent="0.2">
      <c r="A5" s="570" t="s">
        <v>176</v>
      </c>
      <c r="B5" s="571"/>
      <c r="C5" s="571"/>
      <c r="D5" s="571"/>
      <c r="E5" s="571"/>
      <c r="F5" s="571"/>
      <c r="G5" s="571"/>
      <c r="H5" s="571"/>
      <c r="I5" s="571"/>
      <c r="J5" s="571"/>
    </row>
    <row r="6" spans="1:10" ht="15.75" customHeight="1" x14ac:dyDescent="0.2">
      <c r="A6" s="567" t="str">
        <f>'CONTEXTO ESTRATEGICO'!A7</f>
        <v>INSTITUCIONAL</v>
      </c>
      <c r="B6" s="567"/>
      <c r="C6" s="490" t="str">
        <f>'CONTEXTO ESTRATEGICO'!B7</f>
        <v>Mapa de Riesgo Institucional</v>
      </c>
      <c r="D6" s="491"/>
      <c r="E6" s="491"/>
      <c r="F6" s="491"/>
      <c r="G6" s="568" t="str">
        <f>'CONTEXTO ESTRATEGICO'!A6</f>
        <v>Fecha de Actualización (AAAA/MM/DD)</v>
      </c>
      <c r="H6" s="569"/>
      <c r="I6" s="102">
        <f>'CONTEXTO ESTRATEGICO'!B6</f>
        <v>42443</v>
      </c>
    </row>
    <row r="7" spans="1:10" ht="15.75" x14ac:dyDescent="0.2">
      <c r="A7" s="559" t="str">
        <f>'CONTEXTO ESTRATEGICO'!A8</f>
        <v>MISION</v>
      </c>
      <c r="B7" s="559"/>
      <c r="C7" s="490"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1"/>
      <c r="G7" s="491"/>
      <c r="H7" s="491"/>
      <c r="I7" s="492"/>
      <c r="J7" s="78"/>
    </row>
    <row r="8" spans="1:10" ht="37.5" customHeight="1" x14ac:dyDescent="0.2">
      <c r="A8" s="92" t="s">
        <v>26</v>
      </c>
      <c r="B8" s="11" t="s">
        <v>1</v>
      </c>
      <c r="C8" s="80" t="s">
        <v>18</v>
      </c>
      <c r="D8" s="80" t="s">
        <v>153</v>
      </c>
      <c r="E8" s="80" t="s">
        <v>143</v>
      </c>
      <c r="F8" s="75" t="s">
        <v>177</v>
      </c>
      <c r="G8" s="75" t="s">
        <v>178</v>
      </c>
      <c r="H8" s="75" t="s">
        <v>166</v>
      </c>
      <c r="I8" s="75" t="s">
        <v>167</v>
      </c>
      <c r="J8" s="99" t="s">
        <v>179</v>
      </c>
    </row>
    <row r="9" spans="1:10" ht="31.5" x14ac:dyDescent="0.25">
      <c r="A9" s="566" t="str">
        <f>'CONSOLIDACION DEL MAPA'!A9</f>
        <v>1G</v>
      </c>
      <c r="B9" s="565" t="str">
        <f>'CONSOLIDACION DEL MAPA'!B9</f>
        <v>Relaciones Interinstitucionales. Concentrar labores múltiples en poco personal</v>
      </c>
      <c r="C9" s="82" t="str">
        <f>IF('CONSOLIDACION DEL MAPA'!P9="","",'CONSOLIDACION DEL MAPA'!P9)</f>
        <v>Compartir</v>
      </c>
      <c r="D9" s="82" t="str">
        <f>IF('CONSOLIDACION DEL MAPA'!Q9="","",'CONSOLIDACION DEL MAPA'!Q9)</f>
        <v>Trabajo conjunto con Rectoría para contratación de personal</v>
      </c>
      <c r="E9" s="82" t="str">
        <f>IF('CONSOLIDACION DEL MAPA'!R9="","",'CONSOLIDACION DEL MAPA'!R9)</f>
        <v>En Ejecución</v>
      </c>
      <c r="F9" s="101" t="s">
        <v>836</v>
      </c>
      <c r="G9" s="101">
        <v>1</v>
      </c>
      <c r="H9" s="163">
        <v>42491</v>
      </c>
      <c r="I9" s="163">
        <v>42735</v>
      </c>
      <c r="J9" s="100">
        <f>(I9-H9)/7</f>
        <v>34.857142857142854</v>
      </c>
    </row>
    <row r="10" spans="1:10" ht="15.75" x14ac:dyDescent="0.25">
      <c r="A10" s="566"/>
      <c r="B10" s="565"/>
      <c r="C10" s="82" t="str">
        <f>IF('CONSOLIDACION DEL MAPA'!P10="","",'CONSOLIDACION DEL MAPA'!P10)</f>
        <v/>
      </c>
      <c r="D10" s="82" t="str">
        <f>IF('CONSOLIDACION DEL MAPA'!Q10="","",'CONSOLIDACION DEL MAPA'!Q10)</f>
        <v/>
      </c>
      <c r="E10" s="82" t="str">
        <f>IF('CONSOLIDACION DEL MAPA'!R10="","",'CONSOLIDACION DEL MAPA'!R10)</f>
        <v/>
      </c>
      <c r="F10" s="101"/>
      <c r="G10" s="101"/>
      <c r="H10" s="163"/>
      <c r="I10" s="163"/>
      <c r="J10" s="100">
        <f t="shared" ref="J10:J38" si="0">(I10-H10)/7</f>
        <v>0</v>
      </c>
    </row>
    <row r="11" spans="1:10" ht="15.75" x14ac:dyDescent="0.25">
      <c r="A11" s="566"/>
      <c r="B11" s="565"/>
      <c r="C11" s="82" t="str">
        <f>IF('CONSOLIDACION DEL MAPA'!P11="","",'CONSOLIDACION DEL MAPA'!P11)</f>
        <v/>
      </c>
      <c r="D11" s="82" t="str">
        <f>IF('CONSOLIDACION DEL MAPA'!Q11="","",'CONSOLIDACION DEL MAPA'!Q11)</f>
        <v/>
      </c>
      <c r="E11" s="82" t="str">
        <f>IF('CONSOLIDACION DEL MAPA'!R11="","",'CONSOLIDACION DEL MAPA'!R11)</f>
        <v/>
      </c>
      <c r="F11" s="101"/>
      <c r="G11" s="101"/>
      <c r="H11" s="163"/>
      <c r="I11" s="163"/>
      <c r="J11" s="100">
        <f t="shared" si="0"/>
        <v>0</v>
      </c>
    </row>
    <row r="12" spans="1:10" ht="25.5" x14ac:dyDescent="0.25">
      <c r="A12" s="566" t="str">
        <f>'CONSOLIDACION DEL MAPA'!A12</f>
        <v>2G</v>
      </c>
      <c r="B12" s="565" t="str">
        <f>'CONSOLIDACION DEL MAPA'!B12</f>
        <v xml:space="preserve">Relaciones Interinstitucionales. Escaso registro y control de la movilidad internacional entrante y saliente. </v>
      </c>
      <c r="C12" s="82" t="str">
        <f>IF('CONSOLIDACION DEL MAPA'!P12="","",'CONSOLIDACION DEL MAPA'!P12)</f>
        <v>Evitar</v>
      </c>
      <c r="D12" s="82" t="str">
        <f>IF('CONSOLIDACION DEL MAPA'!Q12="","",'CONSOLIDACION DEL MAPA'!Q12)</f>
        <v>Actualizacion constante. Difusion de la Guia.</v>
      </c>
      <c r="E12" s="82" t="str">
        <f>IF('CONSOLIDACION DEL MAPA'!R12="","",'CONSOLIDACION DEL MAPA'!R12)</f>
        <v>En Ejecución</v>
      </c>
      <c r="F12" s="101" t="s">
        <v>837</v>
      </c>
      <c r="G12" s="101">
        <v>1</v>
      </c>
      <c r="H12" s="163">
        <v>42401</v>
      </c>
      <c r="I12" s="163">
        <v>42405</v>
      </c>
      <c r="J12" s="100">
        <f t="shared" si="0"/>
        <v>0.5714285714285714</v>
      </c>
    </row>
    <row r="13" spans="1:10" ht="51" x14ac:dyDescent="0.25">
      <c r="A13" s="566"/>
      <c r="B13" s="565"/>
      <c r="C13" s="82" t="str">
        <f>IF('CONSOLIDACION DEL MAPA'!P13="","",'CONSOLIDACION DEL MAPA'!P13)</f>
        <v>Evitar</v>
      </c>
      <c r="D13" s="82" t="str">
        <f>IF('CONSOLIDACION DEL MAPA'!Q13="","",'CONSOLIDACION DEL MAPA'!Q13)</f>
        <v>Seguimiento periodico a los controles existentes en el procedimiento. Difusión del procedimiento.</v>
      </c>
      <c r="E13" s="82" t="str">
        <f>IF('CONSOLIDACION DEL MAPA'!R13="","",'CONSOLIDACION DEL MAPA'!R13)</f>
        <v>En Ejecución</v>
      </c>
      <c r="F13" s="101" t="s">
        <v>837</v>
      </c>
      <c r="G13" s="101">
        <v>1</v>
      </c>
      <c r="H13" s="163">
        <v>42401</v>
      </c>
      <c r="I13" s="163">
        <v>42405</v>
      </c>
      <c r="J13" s="100">
        <f t="shared" si="0"/>
        <v>0.5714285714285714</v>
      </c>
    </row>
    <row r="14" spans="1:10" ht="38.25" x14ac:dyDescent="0.25">
      <c r="A14" s="566"/>
      <c r="B14" s="565"/>
      <c r="C14" s="82" t="str">
        <f>IF('CONSOLIDACION DEL MAPA'!P14="","",'CONSOLIDACION DEL MAPA'!P14)</f>
        <v>Evitar</v>
      </c>
      <c r="D14" s="82" t="str">
        <f>IF('CONSOLIDACION DEL MAPA'!Q14="","",'CONSOLIDACION DEL MAPA'!Q14)</f>
        <v>Difusion adecuada de los formatos. Recopilacion de los soportes requeridos.</v>
      </c>
      <c r="E14" s="82" t="str">
        <f>IF('CONSOLIDACION DEL MAPA'!R14="","",'CONSOLIDACION DEL MAPA'!R14)</f>
        <v>En Ejecución</v>
      </c>
      <c r="F14" s="101" t="s">
        <v>837</v>
      </c>
      <c r="G14" s="101">
        <v>1</v>
      </c>
      <c r="H14" s="163">
        <v>42401</v>
      </c>
      <c r="I14" s="163">
        <v>42405</v>
      </c>
      <c r="J14" s="100">
        <f t="shared" si="0"/>
        <v>0.5714285714285714</v>
      </c>
    </row>
    <row r="15" spans="1:10" ht="38.25" x14ac:dyDescent="0.25">
      <c r="A15" s="566" t="str">
        <f>'CONSOLIDACION DEL MAPA'!A15</f>
        <v>3G</v>
      </c>
      <c r="B15" s="565" t="str">
        <f>'CONSOLIDACION DEL MAPA'!B15</f>
        <v>Relaciones Interinstitucionales. Gestionar la movilidad internacional sin requisitos legales</v>
      </c>
      <c r="C15" s="82" t="str">
        <f>IF('CONSOLIDACION DEL MAPA'!P15="","",'CONSOLIDACION DEL MAPA'!P15)</f>
        <v>Evitar</v>
      </c>
      <c r="D15" s="82" t="str">
        <f>IF('CONSOLIDACION DEL MAPA'!Q15="","",'CONSOLIDACION DEL MAPA'!Q15)</f>
        <v>Difusion adecuada de los formatos. Recopilacion de los soportes requeridos.</v>
      </c>
      <c r="E15" s="82" t="str">
        <f>IF('CONSOLIDACION DEL MAPA'!R15="","",'CONSOLIDACION DEL MAPA'!R15)</f>
        <v>En Ejecución</v>
      </c>
      <c r="F15" s="101" t="s">
        <v>838</v>
      </c>
      <c r="G15" s="101">
        <v>1</v>
      </c>
      <c r="H15" s="163">
        <v>42370</v>
      </c>
      <c r="I15" s="163">
        <v>42490</v>
      </c>
      <c r="J15" s="100">
        <f t="shared" si="0"/>
        <v>17.142857142857142</v>
      </c>
    </row>
    <row r="16" spans="1:10" ht="15.75" x14ac:dyDescent="0.25">
      <c r="A16" s="566"/>
      <c r="B16" s="565"/>
      <c r="C16" s="82" t="str">
        <f>IF('CONSOLIDACION DEL MAPA'!P16="","",'CONSOLIDACION DEL MAPA'!P16)</f>
        <v/>
      </c>
      <c r="D16" s="82" t="str">
        <f>IF('CONSOLIDACION DEL MAPA'!Q16="","",'CONSOLIDACION DEL MAPA'!Q16)</f>
        <v/>
      </c>
      <c r="E16" s="82" t="str">
        <f>IF('CONSOLIDACION DEL MAPA'!R16="","",'CONSOLIDACION DEL MAPA'!R16)</f>
        <v/>
      </c>
      <c r="F16" s="101"/>
      <c r="G16" s="101"/>
      <c r="H16" s="163"/>
      <c r="I16" s="163"/>
      <c r="J16" s="100">
        <f t="shared" si="0"/>
        <v>0</v>
      </c>
    </row>
    <row r="17" spans="1:10" ht="15.75" x14ac:dyDescent="0.25">
      <c r="A17" s="566"/>
      <c r="B17" s="565"/>
      <c r="C17" s="82" t="str">
        <f>IF('CONSOLIDACION DEL MAPA'!P17="","",'CONSOLIDACION DEL MAPA'!P17)</f>
        <v/>
      </c>
      <c r="D17" s="82" t="str">
        <f>IF('CONSOLIDACION DEL MAPA'!Q17="","",'CONSOLIDACION DEL MAPA'!Q17)</f>
        <v/>
      </c>
      <c r="E17" s="82" t="str">
        <f>IF('CONSOLIDACION DEL MAPA'!R17="","",'CONSOLIDACION DEL MAPA'!R17)</f>
        <v/>
      </c>
      <c r="F17" s="101"/>
      <c r="G17" s="101"/>
      <c r="H17" s="163"/>
      <c r="I17" s="163"/>
      <c r="J17" s="100">
        <f t="shared" si="0"/>
        <v>0</v>
      </c>
    </row>
    <row r="18" spans="1:10" ht="51" x14ac:dyDescent="0.25">
      <c r="A18" s="566" t="str">
        <f>'CONSOLIDACION DEL MAPA'!A18</f>
        <v>4G</v>
      </c>
      <c r="B18" s="565" t="str">
        <f>'CONSOLIDACION DEL MAPA'!B18</f>
        <v>Acreditación. Insuficiente Implementación de la Política Institucional de Autoevaluación, Acreditación y Aseguramiento de la calidad</v>
      </c>
      <c r="C18" s="82" t="str">
        <f>IF('CONSOLIDACION DEL MAPA'!P18="","",'CONSOLIDACION DEL MAPA'!P18)</f>
        <v>Reducir</v>
      </c>
      <c r="D18" s="82" t="str">
        <f>IF('CONSOLIDACION DEL MAPA'!Q18="","",'CONSOLIDACION DEL MAPA'!Q18)</f>
        <v>Cumplimiento de metas para  cualificación a la comunidad universitaria acordes con el plan de trabajo.</v>
      </c>
      <c r="E18" s="82" t="str">
        <f>IF('CONSOLIDACION DEL MAPA'!R18="","",'CONSOLIDACION DEL MAPA'!R18)</f>
        <v>En Ejecución</v>
      </c>
      <c r="F18" s="101" t="s">
        <v>117</v>
      </c>
      <c r="G18" s="101">
        <v>1</v>
      </c>
      <c r="H18" s="163">
        <v>42383</v>
      </c>
      <c r="I18" s="163">
        <v>42720</v>
      </c>
      <c r="J18" s="100">
        <f t="shared" si="0"/>
        <v>48.142857142857146</v>
      </c>
    </row>
    <row r="19" spans="1:10" ht="15.75" x14ac:dyDescent="0.25">
      <c r="A19" s="566"/>
      <c r="B19" s="565"/>
      <c r="C19" s="82" t="str">
        <f>IF('CONSOLIDACION DEL MAPA'!P19="","",'CONSOLIDACION DEL MAPA'!P19)</f>
        <v/>
      </c>
      <c r="D19" s="82" t="str">
        <f>IF('CONSOLIDACION DEL MAPA'!Q19="","",'CONSOLIDACION DEL MAPA'!Q19)</f>
        <v/>
      </c>
      <c r="E19" s="82" t="str">
        <f>IF('CONSOLIDACION DEL MAPA'!R19="","",'CONSOLIDACION DEL MAPA'!R19)</f>
        <v/>
      </c>
      <c r="F19" s="101"/>
      <c r="G19" s="101"/>
      <c r="H19" s="163"/>
      <c r="I19" s="163"/>
      <c r="J19" s="100">
        <f t="shared" si="0"/>
        <v>0</v>
      </c>
    </row>
    <row r="20" spans="1:10" ht="15.75" x14ac:dyDescent="0.25">
      <c r="A20" s="566"/>
      <c r="B20" s="565"/>
      <c r="C20" s="82" t="str">
        <f>IF('CONSOLIDACION DEL MAPA'!P20="","",'CONSOLIDACION DEL MAPA'!P20)</f>
        <v/>
      </c>
      <c r="D20" s="82" t="str">
        <f>IF('CONSOLIDACION DEL MAPA'!Q20="","",'CONSOLIDACION DEL MAPA'!Q20)</f>
        <v/>
      </c>
      <c r="E20" s="82" t="str">
        <f>IF('CONSOLIDACION DEL MAPA'!R20="","",'CONSOLIDACION DEL MAPA'!R20)</f>
        <v/>
      </c>
      <c r="F20" s="101"/>
      <c r="G20" s="101"/>
      <c r="H20" s="163"/>
      <c r="I20" s="163"/>
      <c r="J20" s="100">
        <f t="shared" si="0"/>
        <v>0</v>
      </c>
    </row>
    <row r="21" spans="1:10" ht="51" x14ac:dyDescent="0.25">
      <c r="A21" s="566" t="str">
        <f>'CONSOLIDACION DEL MAPA'!A21</f>
        <v>5G</v>
      </c>
      <c r="B21" s="565" t="str">
        <f>'CONSOLIDACION DEL MAPA'!B21</f>
        <v xml:space="preserve">Acreditación. Deficiencia en la calidad técnica de los informes </v>
      </c>
      <c r="C21" s="82" t="str">
        <f>IF('CONSOLIDACION DEL MAPA'!P21="","",'CONSOLIDACION DEL MAPA'!P21)</f>
        <v>Reducir</v>
      </c>
      <c r="D21" s="82" t="str">
        <f>IF('CONSOLIDACION DEL MAPA'!Q21="","",'CONSOLIDACION DEL MAPA'!Q21)</f>
        <v>Cumplimiento de metas para  cualificación a la comunidad universitaria acordes con el plan de trabajo.</v>
      </c>
      <c r="E21" s="82" t="str">
        <f>IF('CONSOLIDACION DEL MAPA'!R21="","",'CONSOLIDACION DEL MAPA'!R21)</f>
        <v>En Ejecución</v>
      </c>
      <c r="F21" s="101" t="s">
        <v>839</v>
      </c>
      <c r="G21" s="101">
        <v>1</v>
      </c>
      <c r="H21" s="163">
        <v>42383</v>
      </c>
      <c r="I21" s="163">
        <v>42720</v>
      </c>
      <c r="J21" s="100">
        <f t="shared" si="0"/>
        <v>48.142857142857146</v>
      </c>
    </row>
    <row r="22" spans="1:10" ht="15.75" x14ac:dyDescent="0.25">
      <c r="A22" s="566"/>
      <c r="B22" s="565"/>
      <c r="C22" s="82" t="str">
        <f>IF('CONSOLIDACION DEL MAPA'!P22="","",'CONSOLIDACION DEL MAPA'!P22)</f>
        <v/>
      </c>
      <c r="D22" s="82" t="str">
        <f>IF('CONSOLIDACION DEL MAPA'!Q22="","",'CONSOLIDACION DEL MAPA'!Q22)</f>
        <v/>
      </c>
      <c r="E22" s="82" t="str">
        <f>IF('CONSOLIDACION DEL MAPA'!R22="","",'CONSOLIDACION DEL MAPA'!R22)</f>
        <v/>
      </c>
      <c r="F22" s="101"/>
      <c r="G22" s="101"/>
      <c r="H22" s="163"/>
      <c r="I22" s="163"/>
      <c r="J22" s="100">
        <f t="shared" si="0"/>
        <v>0</v>
      </c>
    </row>
    <row r="23" spans="1:10" ht="15.75" x14ac:dyDescent="0.25">
      <c r="A23" s="566"/>
      <c r="B23" s="565"/>
      <c r="C23" s="82" t="str">
        <f>IF('CONSOLIDACION DEL MAPA'!P23="","",'CONSOLIDACION DEL MAPA'!P23)</f>
        <v/>
      </c>
      <c r="D23" s="82" t="str">
        <f>IF('CONSOLIDACION DEL MAPA'!Q23="","",'CONSOLIDACION DEL MAPA'!Q23)</f>
        <v/>
      </c>
      <c r="E23" s="82" t="str">
        <f>IF('CONSOLIDACION DEL MAPA'!R23="","",'CONSOLIDACION DEL MAPA'!R23)</f>
        <v/>
      </c>
      <c r="F23" s="101"/>
      <c r="G23" s="101"/>
      <c r="H23" s="163"/>
      <c r="I23" s="163"/>
      <c r="J23" s="100">
        <f t="shared" si="0"/>
        <v>0</v>
      </c>
    </row>
    <row r="24" spans="1:10" ht="38.25" x14ac:dyDescent="0.25">
      <c r="A24" s="566" t="str">
        <f>'CONSOLIDACION DEL MAPA'!A24</f>
        <v>6G</v>
      </c>
      <c r="B24" s="565" t="str">
        <f>'CONSOLIDACION DEL MAPA'!B24</f>
        <v>Acreditación. Negación de la acreditación o de la renovación de registro calificado</v>
      </c>
      <c r="C24" s="82" t="str">
        <f>IF('CONSOLIDACION DEL MAPA'!P24="","",'CONSOLIDACION DEL MAPA'!P24)</f>
        <v>Asumir</v>
      </c>
      <c r="D24" s="82" t="str">
        <f>IF('CONSOLIDACION DEL MAPA'!Q24="","",'CONSOLIDACION DEL MAPA'!Q24)</f>
        <v xml:space="preserve">Continuar con el seguimiento al cumplimiento de los controles existentes </v>
      </c>
      <c r="E24" s="82" t="str">
        <f>IF('CONSOLIDACION DEL MAPA'!R24="","",'CONSOLIDACION DEL MAPA'!R24)</f>
        <v>No Aplica</v>
      </c>
      <c r="F24" s="101"/>
      <c r="G24" s="101"/>
      <c r="H24" s="163"/>
      <c r="I24" s="163"/>
      <c r="J24" s="100">
        <f t="shared" si="0"/>
        <v>0</v>
      </c>
    </row>
    <row r="25" spans="1:10" ht="15.75" x14ac:dyDescent="0.25">
      <c r="A25" s="566"/>
      <c r="B25" s="565"/>
      <c r="C25" s="82" t="str">
        <f>IF('CONSOLIDACION DEL MAPA'!P25="","",'CONSOLIDACION DEL MAPA'!P25)</f>
        <v/>
      </c>
      <c r="D25" s="82" t="str">
        <f>IF('CONSOLIDACION DEL MAPA'!Q25="","",'CONSOLIDACION DEL MAPA'!Q25)</f>
        <v/>
      </c>
      <c r="E25" s="82" t="str">
        <f>IF('CONSOLIDACION DEL MAPA'!R25="","",'CONSOLIDACION DEL MAPA'!R25)</f>
        <v/>
      </c>
      <c r="F25" s="101"/>
      <c r="G25" s="101"/>
      <c r="H25" s="163"/>
      <c r="I25" s="163"/>
      <c r="J25" s="100">
        <f t="shared" si="0"/>
        <v>0</v>
      </c>
    </row>
    <row r="26" spans="1:10" ht="15.75" x14ac:dyDescent="0.25">
      <c r="A26" s="566"/>
      <c r="B26" s="565"/>
      <c r="C26" s="82" t="str">
        <f>IF('CONSOLIDACION DEL MAPA'!P26="","",'CONSOLIDACION DEL MAPA'!P26)</f>
        <v/>
      </c>
      <c r="D26" s="82" t="str">
        <f>IF('CONSOLIDACION DEL MAPA'!Q26="","",'CONSOLIDACION DEL MAPA'!Q26)</f>
        <v/>
      </c>
      <c r="E26" s="82" t="str">
        <f>IF('CONSOLIDACION DEL MAPA'!R26="","",'CONSOLIDACION DEL MAPA'!R26)</f>
        <v/>
      </c>
      <c r="F26" s="101"/>
      <c r="G26" s="101"/>
      <c r="H26" s="163"/>
      <c r="I26" s="163"/>
      <c r="J26" s="100">
        <f t="shared" si="0"/>
        <v>0</v>
      </c>
    </row>
    <row r="27" spans="1:10" ht="38.25" x14ac:dyDescent="0.25">
      <c r="A27" s="566" t="str">
        <f>'CONSOLIDACION DEL MAPA'!A27</f>
        <v>7G</v>
      </c>
      <c r="B27" s="565" t="str">
        <f>'CONSOLIDACION DEL MAPA'!B27</f>
        <v>Acreditación. Incumplimiento en algunas actividades establecidas en el plan de trabajo</v>
      </c>
      <c r="C27" s="82" t="str">
        <f>IF('CONSOLIDACION DEL MAPA'!P27="","",'CONSOLIDACION DEL MAPA'!P27)</f>
        <v>Asumir</v>
      </c>
      <c r="D27" s="82" t="str">
        <f>IF('CONSOLIDACION DEL MAPA'!Q27="","",'CONSOLIDACION DEL MAPA'!Q27)</f>
        <v xml:space="preserve">Continuar con el seguimiento al cumplimiento de los controles existentes </v>
      </c>
      <c r="E27" s="82" t="str">
        <f>IF('CONSOLIDACION DEL MAPA'!R27="","",'CONSOLIDACION DEL MAPA'!R27)</f>
        <v>No Aplica</v>
      </c>
      <c r="F27" s="101"/>
      <c r="G27" s="101"/>
      <c r="H27" s="163"/>
      <c r="I27" s="163"/>
      <c r="J27" s="100">
        <f t="shared" si="0"/>
        <v>0</v>
      </c>
    </row>
    <row r="28" spans="1:10" ht="15.75" x14ac:dyDescent="0.25">
      <c r="A28" s="566"/>
      <c r="B28" s="565"/>
      <c r="C28" s="82" t="str">
        <f>IF('CONSOLIDACION DEL MAPA'!P28="","",'CONSOLIDACION DEL MAPA'!P28)</f>
        <v/>
      </c>
      <c r="D28" s="82" t="str">
        <f>IF('CONSOLIDACION DEL MAPA'!Q28="","",'CONSOLIDACION DEL MAPA'!Q28)</f>
        <v/>
      </c>
      <c r="E28" s="82" t="str">
        <f>IF('CONSOLIDACION DEL MAPA'!R28="","",'CONSOLIDACION DEL MAPA'!R28)</f>
        <v/>
      </c>
      <c r="F28" s="101"/>
      <c r="G28" s="101"/>
      <c r="H28" s="163"/>
      <c r="I28" s="163"/>
      <c r="J28" s="100">
        <f t="shared" si="0"/>
        <v>0</v>
      </c>
    </row>
    <row r="29" spans="1:10" ht="15.75" x14ac:dyDescent="0.25">
      <c r="A29" s="566"/>
      <c r="B29" s="565"/>
      <c r="C29" s="82" t="str">
        <f>IF('CONSOLIDACION DEL MAPA'!P29="","",'CONSOLIDACION DEL MAPA'!P29)</f>
        <v/>
      </c>
      <c r="D29" s="82" t="str">
        <f>IF('CONSOLIDACION DEL MAPA'!Q29="","",'CONSOLIDACION DEL MAPA'!Q29)</f>
        <v/>
      </c>
      <c r="E29" s="82" t="str">
        <f>IF('CONSOLIDACION DEL MAPA'!R29="","",'CONSOLIDACION DEL MAPA'!R29)</f>
        <v/>
      </c>
      <c r="F29" s="101"/>
      <c r="G29" s="101"/>
      <c r="H29" s="163"/>
      <c r="I29" s="163"/>
      <c r="J29" s="100">
        <f t="shared" si="0"/>
        <v>0</v>
      </c>
    </row>
    <row r="30" spans="1:10" ht="38.25" x14ac:dyDescent="0.25">
      <c r="A30" s="566" t="str">
        <f>'CONSOLIDACION DEL MAPA'!A30</f>
        <v>8G</v>
      </c>
      <c r="B30" s="565" t="str">
        <f>'CONSOLIDACION DEL MAPA'!B30</f>
        <v>Acreditación. Retraso en el otorgamiento o renovacion del registro calificado</v>
      </c>
      <c r="C30" s="82" t="str">
        <f>IF('CONSOLIDACION DEL MAPA'!P30="","",'CONSOLIDACION DEL MAPA'!P30)</f>
        <v>Asumir</v>
      </c>
      <c r="D30" s="82" t="str">
        <f>IF('CONSOLIDACION DEL MAPA'!Q30="","",'CONSOLIDACION DEL MAPA'!Q30)</f>
        <v xml:space="preserve">Continuar con el seguimiento al cumplimiento de los controles existentes </v>
      </c>
      <c r="E30" s="82" t="str">
        <f>IF('CONSOLIDACION DEL MAPA'!R30="","",'CONSOLIDACION DEL MAPA'!R30)</f>
        <v>No Aplica</v>
      </c>
      <c r="F30" s="101"/>
      <c r="G30" s="101"/>
      <c r="H30" s="163"/>
      <c r="I30" s="163"/>
      <c r="J30" s="100">
        <f t="shared" si="0"/>
        <v>0</v>
      </c>
    </row>
    <row r="31" spans="1:10" ht="15.75" x14ac:dyDescent="0.25">
      <c r="A31" s="566"/>
      <c r="B31" s="565"/>
      <c r="C31" s="82" t="str">
        <f>IF('CONSOLIDACION DEL MAPA'!P31="","",'CONSOLIDACION DEL MAPA'!P31)</f>
        <v/>
      </c>
      <c r="D31" s="82" t="str">
        <f>IF('CONSOLIDACION DEL MAPA'!Q31="","",'CONSOLIDACION DEL MAPA'!Q31)</f>
        <v/>
      </c>
      <c r="E31" s="82" t="str">
        <f>IF('CONSOLIDACION DEL MAPA'!R31="","",'CONSOLIDACION DEL MAPA'!R31)</f>
        <v/>
      </c>
      <c r="F31" s="101"/>
      <c r="G31" s="101"/>
      <c r="H31" s="163"/>
      <c r="I31" s="163"/>
      <c r="J31" s="100">
        <f t="shared" si="0"/>
        <v>0</v>
      </c>
    </row>
    <row r="32" spans="1:10" ht="15.75" x14ac:dyDescent="0.25">
      <c r="A32" s="566"/>
      <c r="B32" s="565"/>
      <c r="C32" s="82" t="str">
        <f>IF('CONSOLIDACION DEL MAPA'!P32="","",'CONSOLIDACION DEL MAPA'!P32)</f>
        <v/>
      </c>
      <c r="D32" s="82" t="str">
        <f>IF('CONSOLIDACION DEL MAPA'!Q32="","",'CONSOLIDACION DEL MAPA'!Q32)</f>
        <v/>
      </c>
      <c r="E32" s="82" t="str">
        <f>IF('CONSOLIDACION DEL MAPA'!R32="","",'CONSOLIDACION DEL MAPA'!R32)</f>
        <v/>
      </c>
      <c r="F32" s="101"/>
      <c r="G32" s="101"/>
      <c r="H32" s="163"/>
      <c r="I32" s="163"/>
      <c r="J32" s="100">
        <f t="shared" si="0"/>
        <v>0</v>
      </c>
    </row>
    <row r="33" spans="1:10" ht="51" x14ac:dyDescent="0.25">
      <c r="A33" s="566" t="str">
        <f>'CONSOLIDACION DEL MAPA'!A33</f>
        <v>9G</v>
      </c>
      <c r="B33" s="565" t="str">
        <f>'CONSOLIDACION DEL MAPA'!B33</f>
        <v>Gestión de la Calidad. La alta dirección no asegura la disponibilidad de los recursos para el mantenimiento y mejora del sistema.</v>
      </c>
      <c r="C33" s="82" t="str">
        <f>IF('CONSOLIDACION DEL MAPA'!P33="","",'CONSOLIDACION DEL MAPA'!P33)</f>
        <v>Reducir</v>
      </c>
      <c r="D33" s="82" t="str">
        <f>IF('CONSOLIDACION DEL MAPA'!Q33="","",'CONSOLIDACION DEL MAPA'!Q33)</f>
        <v>Realizar la revisión por la dirección y divulgar los resultados del informe de revisión por la alta dirección</v>
      </c>
      <c r="E33" s="82" t="str">
        <f>IF('CONSOLIDACION DEL MAPA'!R33="","",'CONSOLIDACION DEL MAPA'!R33)</f>
        <v>En Ejecución</v>
      </c>
      <c r="F33" s="101" t="s">
        <v>840</v>
      </c>
      <c r="G33" s="101">
        <v>1</v>
      </c>
      <c r="H33" s="163">
        <v>42383</v>
      </c>
      <c r="I33" s="163">
        <v>42459</v>
      </c>
      <c r="J33" s="100">
        <f t="shared" si="0"/>
        <v>10.857142857142858</v>
      </c>
    </row>
    <row r="34" spans="1:10" ht="15.75" x14ac:dyDescent="0.25">
      <c r="A34" s="566"/>
      <c r="B34" s="565"/>
      <c r="C34" s="82" t="str">
        <f>IF('CONSOLIDACION DEL MAPA'!P34="","",'CONSOLIDACION DEL MAPA'!P34)</f>
        <v/>
      </c>
      <c r="D34" s="82" t="str">
        <f>IF('CONSOLIDACION DEL MAPA'!Q34="","",'CONSOLIDACION DEL MAPA'!Q34)</f>
        <v/>
      </c>
      <c r="E34" s="82" t="str">
        <f>IF('CONSOLIDACION DEL MAPA'!R34="","",'CONSOLIDACION DEL MAPA'!R34)</f>
        <v/>
      </c>
      <c r="F34" s="101"/>
      <c r="G34" s="101"/>
      <c r="H34" s="163"/>
      <c r="I34" s="163"/>
      <c r="J34" s="100">
        <f t="shared" si="0"/>
        <v>0</v>
      </c>
    </row>
    <row r="35" spans="1:10" ht="15.75" x14ac:dyDescent="0.25">
      <c r="A35" s="566"/>
      <c r="B35" s="565"/>
      <c r="C35" s="82" t="str">
        <f>IF('CONSOLIDACION DEL MAPA'!P35="","",'CONSOLIDACION DEL MAPA'!P35)</f>
        <v/>
      </c>
      <c r="D35" s="82" t="str">
        <f>IF('CONSOLIDACION DEL MAPA'!Q35="","",'CONSOLIDACION DEL MAPA'!Q35)</f>
        <v/>
      </c>
      <c r="E35" s="82" t="str">
        <f>IF('CONSOLIDACION DEL MAPA'!R35="","",'CONSOLIDACION DEL MAPA'!R35)</f>
        <v/>
      </c>
      <c r="F35" s="101"/>
      <c r="G35" s="101"/>
      <c r="H35" s="163"/>
      <c r="I35" s="163"/>
      <c r="J35" s="100">
        <f t="shared" si="0"/>
        <v>0</v>
      </c>
    </row>
    <row r="36" spans="1:10" ht="38.25" x14ac:dyDescent="0.25">
      <c r="A36" s="566" t="str">
        <f>'CONSOLIDACION DEL MAPA'!A36</f>
        <v>10G</v>
      </c>
      <c r="B36" s="565" t="str">
        <f>'CONSOLIDACION DEL MAPA'!B36</f>
        <v>Comunicaciones. Inoportuna e ineficaz divulgación de los productos comunicativos y publicitarios ante los usuarios internos y externos.</v>
      </c>
      <c r="C36" s="82" t="str">
        <f>IF('CONSOLIDACION DEL MAPA'!P36="","",'CONSOLIDACION DEL MAPA'!P36)</f>
        <v>Reducir</v>
      </c>
      <c r="D36" s="82" t="str">
        <f>IF('CONSOLIDACION DEL MAPA'!Q36="","",'CONSOLIDACION DEL MAPA'!Q36)</f>
        <v>Fomentar el autocontrol en los tiempos de entrega al equipo de comunicaciones</v>
      </c>
      <c r="E36" s="82" t="str">
        <f>IF('CONSOLIDACION DEL MAPA'!R36="","",'CONSOLIDACION DEL MAPA'!R36)</f>
        <v>En Ejecución</v>
      </c>
      <c r="F36" s="101" t="s">
        <v>841</v>
      </c>
      <c r="G36" s="101">
        <v>4</v>
      </c>
      <c r="H36" s="163">
        <v>42384</v>
      </c>
      <c r="I36" s="163">
        <v>42734</v>
      </c>
      <c r="J36" s="100">
        <f t="shared" si="0"/>
        <v>50</v>
      </c>
    </row>
    <row r="37" spans="1:10" ht="38.25" x14ac:dyDescent="0.25">
      <c r="A37" s="566"/>
      <c r="B37" s="565"/>
      <c r="C37" s="82" t="str">
        <f>IF('CONSOLIDACION DEL MAPA'!P37="","",'CONSOLIDACION DEL MAPA'!P37)</f>
        <v>Reducir</v>
      </c>
      <c r="D37" s="82" t="str">
        <f>IF('CONSOLIDACION DEL MAPA'!Q37="","",'CONSOLIDACION DEL MAPA'!Q37)</f>
        <v>Recordar la periocidad y la entrega  oportuna de cada producto comunicativo</v>
      </c>
      <c r="E37" s="82" t="str">
        <f>IF('CONSOLIDACION DEL MAPA'!R37="","",'CONSOLIDACION DEL MAPA'!R37)</f>
        <v>En Ejecución</v>
      </c>
      <c r="F37" s="101" t="s">
        <v>841</v>
      </c>
      <c r="G37" s="101">
        <v>4</v>
      </c>
      <c r="H37" s="163">
        <v>42384</v>
      </c>
      <c r="I37" s="163">
        <v>42734</v>
      </c>
      <c r="J37" s="100">
        <f t="shared" si="0"/>
        <v>50</v>
      </c>
    </row>
    <row r="38" spans="1:10" ht="15.75" x14ac:dyDescent="0.25">
      <c r="A38" s="566"/>
      <c r="B38" s="565"/>
      <c r="C38" s="82" t="str">
        <f>IF('CONSOLIDACION DEL MAPA'!P38="","",'CONSOLIDACION DEL MAPA'!P38)</f>
        <v/>
      </c>
      <c r="D38" s="82" t="str">
        <f>IF('CONSOLIDACION DEL MAPA'!Q38="","",'CONSOLIDACION DEL MAPA'!Q38)</f>
        <v/>
      </c>
      <c r="E38" s="82" t="str">
        <f>IF('CONSOLIDACION DEL MAPA'!R38="","",'CONSOLIDACION DEL MAPA'!R38)</f>
        <v/>
      </c>
      <c r="F38" s="101"/>
      <c r="G38" s="101"/>
      <c r="H38" s="163"/>
      <c r="I38" s="163"/>
      <c r="J38" s="100">
        <f t="shared" si="0"/>
        <v>0</v>
      </c>
    </row>
    <row r="39" spans="1:10" ht="31.5" x14ac:dyDescent="0.25">
      <c r="A39" s="566" t="str">
        <f>'CONSOLIDACION DEL MAPA'!A39</f>
        <v>11G</v>
      </c>
      <c r="B39" s="565" t="str">
        <f>'CONSOLIDACION DEL MAPA'!B39</f>
        <v>Gestión Academica. Pérdida de Registro Calificado de los Programas Académicos.</v>
      </c>
      <c r="C39" s="82" t="str">
        <f>IF('CONSOLIDACION DEL MAPA'!P39="","",'CONSOLIDACION DEL MAPA'!P39)</f>
        <v>Reducir</v>
      </c>
      <c r="D39" s="82" t="str">
        <f>IF('CONSOLIDACION DEL MAPA'!Q39="","",'CONSOLIDACION DEL MAPA'!Q39)</f>
        <v xml:space="preserve">1. Mejorar las estrategias de seguimiento del proceso. </v>
      </c>
      <c r="E39" s="82" t="str">
        <f>IF('CONSOLIDACION DEL MAPA'!R39="","",'CONSOLIDACION DEL MAPA'!R39)</f>
        <v>Sin Implementar</v>
      </c>
      <c r="F39" s="101" t="s">
        <v>842</v>
      </c>
      <c r="G39" s="101">
        <v>1</v>
      </c>
      <c r="H39" s="163">
        <v>42576</v>
      </c>
      <c r="I39" s="163">
        <v>42714</v>
      </c>
      <c r="J39" s="100">
        <f t="shared" ref="J39:J92" si="1">(I39-H39)/7</f>
        <v>19.714285714285715</v>
      </c>
    </row>
    <row r="40" spans="1:10" ht="31.5" x14ac:dyDescent="0.25">
      <c r="A40" s="566"/>
      <c r="B40" s="565"/>
      <c r="C40" s="82" t="str">
        <f>IF('CONSOLIDACION DEL MAPA'!P40="","",'CONSOLIDACION DEL MAPA'!P40)</f>
        <v>Evitar</v>
      </c>
      <c r="D40" s="82" t="str">
        <f>IF('CONSOLIDACION DEL MAPA'!Q40="","",'CONSOLIDACION DEL MAPA'!Q40)</f>
        <v>2. Automatizar tareas relacionadas con el proceso.</v>
      </c>
      <c r="E40" s="82" t="str">
        <f>IF('CONSOLIDACION DEL MAPA'!R40="","",'CONSOLIDACION DEL MAPA'!R40)</f>
        <v>Sin Implementar</v>
      </c>
      <c r="F40" s="101" t="s">
        <v>843</v>
      </c>
      <c r="G40" s="101">
        <v>1</v>
      </c>
      <c r="H40" s="163">
        <v>42576</v>
      </c>
      <c r="I40" s="163">
        <v>42714</v>
      </c>
      <c r="J40" s="100">
        <f t="shared" si="1"/>
        <v>19.714285714285715</v>
      </c>
    </row>
    <row r="41" spans="1:10" ht="15.75" x14ac:dyDescent="0.25">
      <c r="A41" s="566"/>
      <c r="B41" s="565"/>
      <c r="C41" s="82" t="str">
        <f>IF('CONSOLIDACION DEL MAPA'!P41="","",'CONSOLIDACION DEL MAPA'!P41)</f>
        <v/>
      </c>
      <c r="D41" s="82" t="str">
        <f>IF('CONSOLIDACION DEL MAPA'!Q41="","",'CONSOLIDACION DEL MAPA'!Q41)</f>
        <v/>
      </c>
      <c r="E41" s="82" t="str">
        <f>IF('CONSOLIDACION DEL MAPA'!R41="","",'CONSOLIDACION DEL MAPA'!R41)</f>
        <v/>
      </c>
      <c r="F41" s="101"/>
      <c r="G41" s="101"/>
      <c r="H41" s="163"/>
      <c r="I41" s="163"/>
      <c r="J41" s="100">
        <f t="shared" si="1"/>
        <v>0</v>
      </c>
    </row>
    <row r="42" spans="1:10" ht="51" x14ac:dyDescent="0.25">
      <c r="A42" s="566" t="str">
        <f>'CONSOLIDACION DEL MAPA'!A42</f>
        <v>12G</v>
      </c>
      <c r="B42" s="565" t="str">
        <f>'CONSOLIDACION DEL MAPA'!B42</f>
        <v>Gestión Academica. Formulación inadecuada de políticas.</v>
      </c>
      <c r="C42" s="82" t="str">
        <f>IF('CONSOLIDACION DEL MAPA'!P42="","",'CONSOLIDACION DEL MAPA'!P42)</f>
        <v>Evitar</v>
      </c>
      <c r="D42" s="82" t="str">
        <f>IF('CONSOLIDACION DEL MAPA'!Q42="","",'CONSOLIDACION DEL MAPA'!Q42)</f>
        <v>1. Desarrollar capacitaciones continuas y a todo el personal que ingrese, sobre la formulación de políticas</v>
      </c>
      <c r="E42" s="82" t="str">
        <f>IF('CONSOLIDACION DEL MAPA'!R42="","",'CONSOLIDACION DEL MAPA'!R42)</f>
        <v>Sin Implementar</v>
      </c>
      <c r="F42" s="101" t="s">
        <v>844</v>
      </c>
      <c r="G42" s="101">
        <v>5</v>
      </c>
      <c r="H42" s="163">
        <v>42506</v>
      </c>
      <c r="I42" s="163">
        <v>42714</v>
      </c>
      <c r="J42" s="100">
        <f t="shared" si="1"/>
        <v>29.714285714285715</v>
      </c>
    </row>
    <row r="43" spans="1:10" ht="15.75" x14ac:dyDescent="0.25">
      <c r="A43" s="566"/>
      <c r="B43" s="565"/>
      <c r="C43" s="82" t="str">
        <f>IF('CONSOLIDACION DEL MAPA'!P43="","",'CONSOLIDACION DEL MAPA'!P43)</f>
        <v/>
      </c>
      <c r="D43" s="82" t="str">
        <f>IF('CONSOLIDACION DEL MAPA'!Q43="","",'CONSOLIDACION DEL MAPA'!Q43)</f>
        <v/>
      </c>
      <c r="E43" s="82" t="str">
        <f>IF('CONSOLIDACION DEL MAPA'!R43="","",'CONSOLIDACION DEL MAPA'!R43)</f>
        <v/>
      </c>
      <c r="F43" s="101"/>
      <c r="G43" s="101"/>
      <c r="H43" s="163"/>
      <c r="I43" s="163"/>
      <c r="J43" s="100">
        <f t="shared" si="1"/>
        <v>0</v>
      </c>
    </row>
    <row r="44" spans="1:10" ht="15.75" x14ac:dyDescent="0.25">
      <c r="A44" s="566"/>
      <c r="B44" s="565"/>
      <c r="C44" s="82" t="str">
        <f>IF('CONSOLIDACION DEL MAPA'!P44="","",'CONSOLIDACION DEL MAPA'!P44)</f>
        <v/>
      </c>
      <c r="D44" s="82" t="str">
        <f>IF('CONSOLIDACION DEL MAPA'!Q44="","",'CONSOLIDACION DEL MAPA'!Q44)</f>
        <v/>
      </c>
      <c r="E44" s="82" t="str">
        <f>IF('CONSOLIDACION DEL MAPA'!R44="","",'CONSOLIDACION DEL MAPA'!R44)</f>
        <v/>
      </c>
      <c r="F44" s="101"/>
      <c r="G44" s="101"/>
      <c r="H44" s="163"/>
      <c r="I44" s="163"/>
      <c r="J44" s="100">
        <f t="shared" si="1"/>
        <v>0</v>
      </c>
    </row>
    <row r="45" spans="1:10" ht="51" x14ac:dyDescent="0.25">
      <c r="A45" s="566" t="str">
        <f>'CONSOLIDACION DEL MAPA'!A45</f>
        <v>13G</v>
      </c>
      <c r="B45" s="565" t="str">
        <f>'CONSOLIDACION DEL MAPA'!B45</f>
        <v>Gestión Academica. Aplicación inadecuada de la normatividad en el desarrollo de los diferentes procesos academicos de los programas.</v>
      </c>
      <c r="C45" s="82" t="str">
        <f>IF('CONSOLIDACION DEL MAPA'!P45="","",'CONSOLIDACION DEL MAPA'!P45)</f>
        <v>Reducir</v>
      </c>
      <c r="D45" s="82" t="str">
        <f>IF('CONSOLIDACION DEL MAPA'!Q45="","",'CONSOLIDACION DEL MAPA'!Q45)</f>
        <v>1. Desarrollar capacitaciones continuas y a todo el personal que ingrese, sobre la normativas internas y externas</v>
      </c>
      <c r="E45" s="82" t="str">
        <f>IF('CONSOLIDACION DEL MAPA'!R45="","",'CONSOLIDACION DEL MAPA'!R45)</f>
        <v>En Ejecución</v>
      </c>
      <c r="F45" s="101" t="s">
        <v>844</v>
      </c>
      <c r="G45" s="101">
        <v>5</v>
      </c>
      <c r="H45" s="163">
        <v>42506</v>
      </c>
      <c r="I45" s="163">
        <v>42714</v>
      </c>
      <c r="J45" s="100">
        <f t="shared" si="1"/>
        <v>29.714285714285715</v>
      </c>
    </row>
    <row r="46" spans="1:10" ht="15.75" x14ac:dyDescent="0.25">
      <c r="A46" s="566"/>
      <c r="B46" s="565"/>
      <c r="C46" s="82" t="str">
        <f>IF('CONSOLIDACION DEL MAPA'!P46="","",'CONSOLIDACION DEL MAPA'!P46)</f>
        <v/>
      </c>
      <c r="D46" s="82" t="str">
        <f>IF('CONSOLIDACION DEL MAPA'!Q46="","",'CONSOLIDACION DEL MAPA'!Q46)</f>
        <v/>
      </c>
      <c r="E46" s="82" t="str">
        <f>IF('CONSOLIDACION DEL MAPA'!R46="","",'CONSOLIDACION DEL MAPA'!R46)</f>
        <v/>
      </c>
      <c r="F46" s="101"/>
      <c r="G46" s="101"/>
      <c r="H46" s="163"/>
      <c r="I46" s="163"/>
      <c r="J46" s="100">
        <f t="shared" si="1"/>
        <v>0</v>
      </c>
    </row>
    <row r="47" spans="1:10" ht="15.75" x14ac:dyDescent="0.25">
      <c r="A47" s="566"/>
      <c r="B47" s="565"/>
      <c r="C47" s="82" t="str">
        <f>IF('CONSOLIDACION DEL MAPA'!P47="","",'CONSOLIDACION DEL MAPA'!P47)</f>
        <v/>
      </c>
      <c r="D47" s="82" t="str">
        <f>IF('CONSOLIDACION DEL MAPA'!Q47="","",'CONSOLIDACION DEL MAPA'!Q47)</f>
        <v/>
      </c>
      <c r="E47" s="82" t="str">
        <f>IF('CONSOLIDACION DEL MAPA'!R47="","",'CONSOLIDACION DEL MAPA'!R47)</f>
        <v/>
      </c>
      <c r="F47" s="101"/>
      <c r="G47" s="101"/>
      <c r="H47" s="163"/>
      <c r="I47" s="163"/>
      <c r="J47" s="100">
        <f t="shared" si="1"/>
        <v>0</v>
      </c>
    </row>
    <row r="48" spans="1:10" ht="51" x14ac:dyDescent="0.25">
      <c r="A48" s="566" t="str">
        <f>'CONSOLIDACION DEL MAPA'!A48</f>
        <v>14G</v>
      </c>
      <c r="B48" s="565" t="str">
        <f>'CONSOLIDACION DEL MAPA'!B48</f>
        <v>Gestión Academica. Deterioro en la calidad de los programas académicos por necesidades de recursos no cubiertas.</v>
      </c>
      <c r="C48" s="82" t="str">
        <f>IF('CONSOLIDACION DEL MAPA'!P48="","",'CONSOLIDACION DEL MAPA'!P48)</f>
        <v>Reducir</v>
      </c>
      <c r="D48" s="82" t="str">
        <f>IF('CONSOLIDACION DEL MAPA'!Q48="","",'CONSOLIDACION DEL MAPA'!Q48)</f>
        <v>Implementar herramientas automatizadas para el seguimiento a los planes de mejoramiento de los programas academicos</v>
      </c>
      <c r="E48" s="82" t="str">
        <f>IF('CONSOLIDACION DEL MAPA'!R48="","",'CONSOLIDACION DEL MAPA'!R48)</f>
        <v>Sin Implementar</v>
      </c>
      <c r="F48" s="101" t="s">
        <v>843</v>
      </c>
      <c r="G48" s="101">
        <v>1</v>
      </c>
      <c r="H48" s="163">
        <v>42576</v>
      </c>
      <c r="I48" s="163">
        <v>42941</v>
      </c>
      <c r="J48" s="100">
        <f t="shared" si="1"/>
        <v>52.142857142857146</v>
      </c>
    </row>
    <row r="49" spans="1:10" ht="15.75" x14ac:dyDescent="0.25">
      <c r="A49" s="566"/>
      <c r="B49" s="565"/>
      <c r="C49" s="82" t="str">
        <f>IF('CONSOLIDACION DEL MAPA'!P49="","",'CONSOLIDACION DEL MAPA'!P49)</f>
        <v/>
      </c>
      <c r="D49" s="82" t="str">
        <f>IF('CONSOLIDACION DEL MAPA'!Q49="","",'CONSOLIDACION DEL MAPA'!Q49)</f>
        <v/>
      </c>
      <c r="E49" s="82" t="str">
        <f>IF('CONSOLIDACION DEL MAPA'!R49="","",'CONSOLIDACION DEL MAPA'!R49)</f>
        <v/>
      </c>
      <c r="F49" s="101"/>
      <c r="G49" s="101"/>
      <c r="H49" s="163"/>
      <c r="I49" s="163"/>
      <c r="J49" s="100">
        <f t="shared" si="1"/>
        <v>0</v>
      </c>
    </row>
    <row r="50" spans="1:10" ht="15.75" x14ac:dyDescent="0.25">
      <c r="A50" s="566"/>
      <c r="B50" s="565"/>
      <c r="C50" s="82" t="str">
        <f>IF('CONSOLIDACION DEL MAPA'!P50="","",'CONSOLIDACION DEL MAPA'!P50)</f>
        <v/>
      </c>
      <c r="D50" s="82" t="str">
        <f>IF('CONSOLIDACION DEL MAPA'!Q50="","",'CONSOLIDACION DEL MAPA'!Q50)</f>
        <v/>
      </c>
      <c r="E50" s="82" t="str">
        <f>IF('CONSOLIDACION DEL MAPA'!R50="","",'CONSOLIDACION DEL MAPA'!R50)</f>
        <v/>
      </c>
      <c r="F50" s="101"/>
      <c r="G50" s="101"/>
      <c r="H50" s="163"/>
      <c r="I50" s="163"/>
      <c r="J50" s="100">
        <f t="shared" si="1"/>
        <v>0</v>
      </c>
    </row>
    <row r="51" spans="1:10" ht="63" x14ac:dyDescent="0.25">
      <c r="A51" s="566" t="str">
        <f>'CONSOLIDACION DEL MAPA'!A51</f>
        <v>15G</v>
      </c>
      <c r="B51" s="565" t="str">
        <f>'CONSOLIDACION DEL MAPA'!B51</f>
        <v xml:space="preserve">Gestión de Investigación. No fomentar la actividad investigativa en la Universidad.  </v>
      </c>
      <c r="C51" s="82" t="str">
        <f>IF('CONSOLIDACION DEL MAPA'!P51="","",'CONSOLIDACION DEL MAPA'!P51)</f>
        <v>Reducir</v>
      </c>
      <c r="D51" s="82" t="str">
        <f>IF('CONSOLIDACION DEL MAPA'!Q51="","",'CONSOLIDACION DEL MAPA'!Q51)</f>
        <v>Monitorear las necesidades de los grupos de investigación</v>
      </c>
      <c r="E51" s="82" t="str">
        <f>IF('CONSOLIDACION DEL MAPA'!R51="","",'CONSOLIDACION DEL MAPA'!R51)</f>
        <v>En Ejecución</v>
      </c>
      <c r="F51" s="101" t="s">
        <v>845</v>
      </c>
      <c r="G51" s="101">
        <v>35</v>
      </c>
      <c r="H51" s="163">
        <v>42388</v>
      </c>
      <c r="I51" s="163">
        <v>42723</v>
      </c>
      <c r="J51" s="100">
        <f t="shared" si="1"/>
        <v>47.857142857142854</v>
      </c>
    </row>
    <row r="52" spans="1:10" ht="47.25" x14ac:dyDescent="0.25">
      <c r="A52" s="566"/>
      <c r="B52" s="565"/>
      <c r="C52" s="82" t="str">
        <f>IF('CONSOLIDACION DEL MAPA'!P52="","",'CONSOLIDACION DEL MAPA'!P52)</f>
        <v>Reducir</v>
      </c>
      <c r="D52" s="82" t="str">
        <f>IF('CONSOLIDACION DEL MAPA'!Q52="","",'CONSOLIDACION DEL MAPA'!Q52)</f>
        <v>Realizar seguimiento a la ejecución de las actividades programadas para investigación</v>
      </c>
      <c r="E52" s="82" t="str">
        <f>IF('CONSOLIDACION DEL MAPA'!R52="","",'CONSOLIDACION DEL MAPA'!R52)</f>
        <v>En Ejecución</v>
      </c>
      <c r="F52" s="101" t="s">
        <v>846</v>
      </c>
      <c r="G52" s="101">
        <v>2</v>
      </c>
      <c r="H52" s="163">
        <v>42388</v>
      </c>
      <c r="I52" s="163">
        <v>42723</v>
      </c>
      <c r="J52" s="100">
        <f t="shared" si="1"/>
        <v>47.857142857142854</v>
      </c>
    </row>
    <row r="53" spans="1:10" ht="47.25" x14ac:dyDescent="0.25">
      <c r="A53" s="566"/>
      <c r="B53" s="565"/>
      <c r="C53" s="82" t="str">
        <f>IF('CONSOLIDACION DEL MAPA'!P53="","",'CONSOLIDACION DEL MAPA'!P53)</f>
        <v>Reducir</v>
      </c>
      <c r="D53" s="82" t="str">
        <f>IF('CONSOLIDACION DEL MAPA'!Q53="","",'CONSOLIDACION DEL MAPA'!Q53)</f>
        <v>Mejorar el sistema de información SIVI</v>
      </c>
      <c r="E53" s="82" t="str">
        <f>IF('CONSOLIDACION DEL MAPA'!R53="","",'CONSOLIDACION DEL MAPA'!R53)</f>
        <v>En Ejecución</v>
      </c>
      <c r="F53" s="101" t="s">
        <v>847</v>
      </c>
      <c r="G53" s="101">
        <v>1</v>
      </c>
      <c r="H53" s="163">
        <v>42388</v>
      </c>
      <c r="I53" s="163">
        <v>42723</v>
      </c>
      <c r="J53" s="100">
        <f t="shared" si="1"/>
        <v>47.857142857142854</v>
      </c>
    </row>
    <row r="54" spans="1:10" ht="47.25" x14ac:dyDescent="0.25">
      <c r="A54" s="566" t="str">
        <f>'CONSOLIDACION DEL MAPA'!A54</f>
        <v>16G</v>
      </c>
      <c r="B54" s="565" t="str">
        <f>'CONSOLIDACION DEL MAPA'!B54</f>
        <v>Gestión de Investigación. Deficiente cumplimiento del plan de acción de la Vicerrectoría de Investigación</v>
      </c>
      <c r="C54" s="82" t="str">
        <f>IF('CONSOLIDACION DEL MAPA'!P54="","",'CONSOLIDACION DEL MAPA'!P54)</f>
        <v>Reducir</v>
      </c>
      <c r="D54" s="82" t="str">
        <f>IF('CONSOLIDACION DEL MAPA'!Q54="","",'CONSOLIDACION DEL MAPA'!Q54)</f>
        <v>Realizar Seguimiento al plan de acción</v>
      </c>
      <c r="E54" s="82" t="str">
        <f>IF('CONSOLIDACION DEL MAPA'!R54="","",'CONSOLIDACION DEL MAPA'!R54)</f>
        <v>En Ejecución</v>
      </c>
      <c r="F54" s="101" t="s">
        <v>846</v>
      </c>
      <c r="G54" s="101">
        <v>2</v>
      </c>
      <c r="H54" s="163">
        <v>42388</v>
      </c>
      <c r="I54" s="163">
        <v>42723</v>
      </c>
      <c r="J54" s="100">
        <f t="shared" si="1"/>
        <v>47.857142857142854</v>
      </c>
    </row>
    <row r="55" spans="1:10" ht="47.25" x14ac:dyDescent="0.25">
      <c r="A55" s="566"/>
      <c r="B55" s="565"/>
      <c r="C55" s="82" t="str">
        <f>IF('CONSOLIDACION DEL MAPA'!P55="","",'CONSOLIDACION DEL MAPA'!P55)</f>
        <v>Reducir</v>
      </c>
      <c r="D55" s="82" t="str">
        <f>IF('CONSOLIDACION DEL MAPA'!Q55="","",'CONSOLIDACION DEL MAPA'!Q55)</f>
        <v>hacer seguimiento a las tareas y compromisos adquiridos</v>
      </c>
      <c r="E55" s="82" t="str">
        <f>IF('CONSOLIDACION DEL MAPA'!R55="","",'CONSOLIDACION DEL MAPA'!R55)</f>
        <v>En Ejecución</v>
      </c>
      <c r="F55" s="101" t="s">
        <v>846</v>
      </c>
      <c r="G55" s="101">
        <v>2</v>
      </c>
      <c r="H55" s="163">
        <v>42388</v>
      </c>
      <c r="I55" s="163">
        <v>42723</v>
      </c>
      <c r="J55" s="100">
        <f t="shared" si="1"/>
        <v>47.857142857142854</v>
      </c>
    </row>
    <row r="56" spans="1:10" ht="25.5" x14ac:dyDescent="0.25">
      <c r="A56" s="566"/>
      <c r="B56" s="565"/>
      <c r="C56" s="82" t="str">
        <f>IF('CONSOLIDACION DEL MAPA'!P56="","",'CONSOLIDACION DEL MAPA'!P56)</f>
        <v>Reducir</v>
      </c>
      <c r="D56" s="82" t="str">
        <f>IF('CONSOLIDACION DEL MAPA'!Q56="","",'CONSOLIDACION DEL MAPA'!Q56)</f>
        <v>Realizar seguimiento a la publicaciones de boletines</v>
      </c>
      <c r="E56" s="82" t="str">
        <f>IF('CONSOLIDACION DEL MAPA'!R56="","",'CONSOLIDACION DEL MAPA'!R56)</f>
        <v>En Ejecución</v>
      </c>
      <c r="F56" s="101" t="s">
        <v>848</v>
      </c>
      <c r="G56" s="101">
        <v>4</v>
      </c>
      <c r="H56" s="163">
        <v>42388</v>
      </c>
      <c r="I56" s="163">
        <v>42723</v>
      </c>
      <c r="J56" s="100">
        <f t="shared" si="1"/>
        <v>47.857142857142854</v>
      </c>
    </row>
    <row r="57" spans="1:10" ht="15.75" x14ac:dyDescent="0.25">
      <c r="A57" s="566" t="str">
        <f>'CONSOLIDACION DEL MAPA'!A57</f>
        <v>17G</v>
      </c>
      <c r="B57" s="565" t="str">
        <f>'CONSOLIDACION DEL MAPA'!B57</f>
        <v>Gestión de Extensión y Proyección Social. Incumplimiento en los compromisos establecidos en la formalización de los proyectos.</v>
      </c>
      <c r="C57" s="82" t="str">
        <f>IF('CONSOLIDACION DEL MAPA'!P57="","",'CONSOLIDACION DEL MAPA'!P57)</f>
        <v>Reducir</v>
      </c>
      <c r="D57" s="82" t="str">
        <f>IF('CONSOLIDACION DEL MAPA'!Q57="","",'CONSOLIDACION DEL MAPA'!Q57)</f>
        <v>Auto evaluación de los procesos.</v>
      </c>
      <c r="E57" s="82" t="str">
        <f>IF('CONSOLIDACION DEL MAPA'!R57="","",'CONSOLIDACION DEL MAPA'!R57)</f>
        <v>Sin Implementar</v>
      </c>
      <c r="F57" s="101" t="s">
        <v>849</v>
      </c>
      <c r="G57" s="101">
        <v>1</v>
      </c>
      <c r="H57" s="163">
        <v>42398</v>
      </c>
      <c r="I57" s="163">
        <v>42704</v>
      </c>
      <c r="J57" s="100">
        <f t="shared" si="1"/>
        <v>43.714285714285715</v>
      </c>
    </row>
    <row r="58" spans="1:10" ht="15.75" x14ac:dyDescent="0.25">
      <c r="A58" s="566"/>
      <c r="B58" s="565"/>
      <c r="C58" s="82" t="str">
        <f>IF('CONSOLIDACION DEL MAPA'!P58="","",'CONSOLIDACION DEL MAPA'!P58)</f>
        <v/>
      </c>
      <c r="D58" s="82" t="str">
        <f>IF('CONSOLIDACION DEL MAPA'!Q58="","",'CONSOLIDACION DEL MAPA'!Q58)</f>
        <v/>
      </c>
      <c r="E58" s="82" t="str">
        <f>IF('CONSOLIDACION DEL MAPA'!R58="","",'CONSOLIDACION DEL MAPA'!R58)</f>
        <v/>
      </c>
      <c r="F58" s="101"/>
      <c r="G58" s="101"/>
      <c r="H58" s="163"/>
      <c r="I58" s="163"/>
      <c r="J58" s="100">
        <f t="shared" si="1"/>
        <v>0</v>
      </c>
    </row>
    <row r="59" spans="1:10" ht="15.75" x14ac:dyDescent="0.25">
      <c r="A59" s="566"/>
      <c r="B59" s="565"/>
      <c r="C59" s="82" t="str">
        <f>IF('CONSOLIDACION DEL MAPA'!P59="","",'CONSOLIDACION DEL MAPA'!P59)</f>
        <v/>
      </c>
      <c r="D59" s="82" t="str">
        <f>IF('CONSOLIDACION DEL MAPA'!Q59="","",'CONSOLIDACION DEL MAPA'!Q59)</f>
        <v/>
      </c>
      <c r="E59" s="82" t="str">
        <f>IF('CONSOLIDACION DEL MAPA'!R59="","",'CONSOLIDACION DEL MAPA'!R59)</f>
        <v/>
      </c>
      <c r="F59" s="101"/>
      <c r="G59" s="101"/>
      <c r="H59" s="163"/>
      <c r="I59" s="163"/>
      <c r="J59" s="100">
        <f t="shared" si="1"/>
        <v>0</v>
      </c>
    </row>
    <row r="60" spans="1:10" ht="25.5" x14ac:dyDescent="0.25">
      <c r="A60" s="566" t="str">
        <f>'CONSOLIDACION DEL MAPA'!A60</f>
        <v>18G</v>
      </c>
      <c r="B60" s="565" t="str">
        <f>'CONSOLIDACION DEL MAPA'!B60</f>
        <v>Gestión de Extensión y Proyección Social. Limitada interacción e integración con las comunidades nacionales e internacionales en el fortalecimiento de la presencia de la Universidad en la vida social y cultural del país.</v>
      </c>
      <c r="C60" s="82" t="str">
        <f>IF('CONSOLIDACION DEL MAPA'!P60="","",'CONSOLIDACION DEL MAPA'!P60)</f>
        <v>Asumir</v>
      </c>
      <c r="D60" s="82" t="str">
        <f>IF('CONSOLIDACION DEL MAPA'!Q60="","",'CONSOLIDACION DEL MAPA'!Q60)</f>
        <v>Seguir ejecutando y monitoreando los controles existentes.</v>
      </c>
      <c r="E60" s="82" t="str">
        <f>IF('CONSOLIDACION DEL MAPA'!R60="","",'CONSOLIDACION DEL MAPA'!R60)</f>
        <v>No Aplica</v>
      </c>
      <c r="F60" s="101"/>
      <c r="G60" s="101"/>
      <c r="H60" s="163"/>
      <c r="I60" s="163"/>
      <c r="J60" s="100">
        <f t="shared" si="1"/>
        <v>0</v>
      </c>
    </row>
    <row r="61" spans="1:10" ht="15.75" x14ac:dyDescent="0.25">
      <c r="A61" s="566"/>
      <c r="B61" s="565"/>
      <c r="C61" s="82" t="str">
        <f>IF('CONSOLIDACION DEL MAPA'!P61="","",'CONSOLIDACION DEL MAPA'!P61)</f>
        <v/>
      </c>
      <c r="D61" s="82" t="str">
        <f>IF('CONSOLIDACION DEL MAPA'!Q61="","",'CONSOLIDACION DEL MAPA'!Q61)</f>
        <v/>
      </c>
      <c r="E61" s="82" t="str">
        <f>IF('CONSOLIDACION DEL MAPA'!R61="","",'CONSOLIDACION DEL MAPA'!R61)</f>
        <v/>
      </c>
      <c r="F61" s="101"/>
      <c r="G61" s="101"/>
      <c r="H61" s="163"/>
      <c r="I61" s="163"/>
      <c r="J61" s="100">
        <f t="shared" si="1"/>
        <v>0</v>
      </c>
    </row>
    <row r="62" spans="1:10" ht="15.75" x14ac:dyDescent="0.25">
      <c r="A62" s="566"/>
      <c r="B62" s="565"/>
      <c r="C62" s="82" t="str">
        <f>IF('CONSOLIDACION DEL MAPA'!P62="","",'CONSOLIDACION DEL MAPA'!P62)</f>
        <v/>
      </c>
      <c r="D62" s="82" t="str">
        <f>IF('CONSOLIDACION DEL MAPA'!Q62="","",'CONSOLIDACION DEL MAPA'!Q62)</f>
        <v/>
      </c>
      <c r="E62" s="82" t="str">
        <f>IF('CONSOLIDACION DEL MAPA'!R62="","",'CONSOLIDACION DEL MAPA'!R62)</f>
        <v/>
      </c>
      <c r="F62" s="101"/>
      <c r="G62" s="101"/>
      <c r="H62" s="163"/>
      <c r="I62" s="163"/>
      <c r="J62" s="100">
        <f t="shared" si="1"/>
        <v>0</v>
      </c>
    </row>
    <row r="63" spans="1:10" ht="25.5" x14ac:dyDescent="0.25">
      <c r="A63" s="566" t="str">
        <f>'CONSOLIDACION DEL MAPA'!A63</f>
        <v>19G</v>
      </c>
      <c r="B63" s="565" t="str">
        <f>'CONSOLIDACION DEL MAPA'!B63</f>
        <v>Gestión de Extensión y Proyección Social. Interrupción en las actividades e incumplimiento de los proyectos de extensión y proyección social, en las zonas de influencia.</v>
      </c>
      <c r="C63" s="82" t="str">
        <f>IF('CONSOLIDACION DEL MAPA'!P63="","",'CONSOLIDACION DEL MAPA'!P63)</f>
        <v>Asumir</v>
      </c>
      <c r="D63" s="82" t="str">
        <f>IF('CONSOLIDACION DEL MAPA'!Q63="","",'CONSOLIDACION DEL MAPA'!Q63)</f>
        <v>Seguir ejecutando y monitoreando los controles existentes.</v>
      </c>
      <c r="E63" s="82" t="str">
        <f>IF('CONSOLIDACION DEL MAPA'!R63="","",'CONSOLIDACION DEL MAPA'!R63)</f>
        <v>No Aplica</v>
      </c>
      <c r="F63" s="101"/>
      <c r="G63" s="101"/>
      <c r="H63" s="163"/>
      <c r="I63" s="163"/>
      <c r="J63" s="100">
        <f t="shared" si="1"/>
        <v>0</v>
      </c>
    </row>
    <row r="64" spans="1:10" ht="15.75" x14ac:dyDescent="0.25">
      <c r="A64" s="566"/>
      <c r="B64" s="565"/>
      <c r="C64" s="82" t="str">
        <f>IF('CONSOLIDACION DEL MAPA'!P64="","",'CONSOLIDACION DEL MAPA'!P64)</f>
        <v/>
      </c>
      <c r="D64" s="82" t="str">
        <f>IF('CONSOLIDACION DEL MAPA'!Q64="","",'CONSOLIDACION DEL MAPA'!Q64)</f>
        <v/>
      </c>
      <c r="E64" s="82" t="str">
        <f>IF('CONSOLIDACION DEL MAPA'!R64="","",'CONSOLIDACION DEL MAPA'!R64)</f>
        <v/>
      </c>
      <c r="F64" s="101"/>
      <c r="G64" s="101"/>
      <c r="H64" s="163"/>
      <c r="I64" s="163"/>
      <c r="J64" s="100">
        <f t="shared" si="1"/>
        <v>0</v>
      </c>
    </row>
    <row r="65" spans="1:10" ht="15.75" x14ac:dyDescent="0.25">
      <c r="A65" s="566"/>
      <c r="B65" s="565"/>
      <c r="C65" s="82" t="str">
        <f>IF('CONSOLIDACION DEL MAPA'!P65="","",'CONSOLIDACION DEL MAPA'!P65)</f>
        <v/>
      </c>
      <c r="D65" s="82" t="str">
        <f>IF('CONSOLIDACION DEL MAPA'!Q65="","",'CONSOLIDACION DEL MAPA'!Q65)</f>
        <v/>
      </c>
      <c r="E65" s="82" t="str">
        <f>IF('CONSOLIDACION DEL MAPA'!R65="","",'CONSOLIDACION DEL MAPA'!R65)</f>
        <v/>
      </c>
      <c r="F65" s="101"/>
      <c r="G65" s="101"/>
      <c r="H65" s="163"/>
      <c r="I65" s="163"/>
      <c r="J65" s="100">
        <f t="shared" si="1"/>
        <v>0</v>
      </c>
    </row>
    <row r="66" spans="1:10" ht="25.5" x14ac:dyDescent="0.25">
      <c r="A66" s="566" t="str">
        <f>'CONSOLIDACION DEL MAPA'!A66</f>
        <v>20G</v>
      </c>
      <c r="B66" s="565" t="str">
        <f>'CONSOLIDACION DEL MAPA'!B66</f>
        <v>Gestión de Contratación. Celebración de contratos sin el cumplimiento de los requisitos internos y externos de carácter contractual</v>
      </c>
      <c r="C66" s="82" t="str">
        <f>IF('CONSOLIDACION DEL MAPA'!P66="","",'CONSOLIDACION DEL MAPA'!P66)</f>
        <v>Asumir</v>
      </c>
      <c r="D66" s="82" t="str">
        <f>IF('CONSOLIDACION DEL MAPA'!Q66="","",'CONSOLIDACION DEL MAPA'!Q66)</f>
        <v>Seguir ejecutando y monitoreando los controles existentes</v>
      </c>
      <c r="E66" s="82" t="str">
        <f>IF('CONSOLIDACION DEL MAPA'!R66="","",'CONSOLIDACION DEL MAPA'!R66)</f>
        <v>No Aplica</v>
      </c>
      <c r="F66" s="101"/>
      <c r="G66" s="101"/>
      <c r="H66" s="163"/>
      <c r="I66" s="163"/>
      <c r="J66" s="100">
        <f t="shared" si="1"/>
        <v>0</v>
      </c>
    </row>
    <row r="67" spans="1:10" ht="15.75" x14ac:dyDescent="0.25">
      <c r="A67" s="566"/>
      <c r="B67" s="565"/>
      <c r="C67" s="82" t="str">
        <f>IF('CONSOLIDACION DEL MAPA'!P67="","",'CONSOLIDACION DEL MAPA'!P67)</f>
        <v/>
      </c>
      <c r="D67" s="82" t="str">
        <f>IF('CONSOLIDACION DEL MAPA'!Q67="","",'CONSOLIDACION DEL MAPA'!Q67)</f>
        <v/>
      </c>
      <c r="E67" s="82" t="str">
        <f>IF('CONSOLIDACION DEL MAPA'!R67="","",'CONSOLIDACION DEL MAPA'!R67)</f>
        <v/>
      </c>
      <c r="F67" s="101"/>
      <c r="G67" s="101"/>
      <c r="H67" s="163"/>
      <c r="I67" s="163"/>
      <c r="J67" s="100">
        <f t="shared" si="1"/>
        <v>0</v>
      </c>
    </row>
    <row r="68" spans="1:10" ht="15.75" x14ac:dyDescent="0.25">
      <c r="A68" s="566"/>
      <c r="B68" s="565"/>
      <c r="C68" s="82" t="str">
        <f>IF('CONSOLIDACION DEL MAPA'!P68="","",'CONSOLIDACION DEL MAPA'!P68)</f>
        <v/>
      </c>
      <c r="D68" s="82" t="str">
        <f>IF('CONSOLIDACION DEL MAPA'!Q68="","",'CONSOLIDACION DEL MAPA'!Q68)</f>
        <v/>
      </c>
      <c r="E68" s="82" t="str">
        <f>IF('CONSOLIDACION DEL MAPA'!R68="","",'CONSOLIDACION DEL MAPA'!R68)</f>
        <v/>
      </c>
      <c r="F68" s="101"/>
      <c r="G68" s="101"/>
      <c r="H68" s="163"/>
      <c r="I68" s="163"/>
      <c r="J68" s="100">
        <f t="shared" si="1"/>
        <v>0</v>
      </c>
    </row>
    <row r="69" spans="1:10" ht="25.5" x14ac:dyDescent="0.25">
      <c r="A69" s="566" t="str">
        <f>'CONSOLIDACION DEL MAPA'!A69</f>
        <v>21G</v>
      </c>
      <c r="B69" s="565" t="str">
        <f>'CONSOLIDACION DEL MAPA'!B69</f>
        <v>Gestión de Contratación. Documentación incompleta en la carpeta contractual</v>
      </c>
      <c r="C69" s="82" t="str">
        <f>IF('CONSOLIDACION DEL MAPA'!P69="","",'CONSOLIDACION DEL MAPA'!P69)</f>
        <v>Asumir</v>
      </c>
      <c r="D69" s="82" t="str">
        <f>IF('CONSOLIDACION DEL MAPA'!Q69="","",'CONSOLIDACION DEL MAPA'!Q69)</f>
        <v>Seguir ejecutando y monitoreando los controles existentes</v>
      </c>
      <c r="E69" s="82" t="str">
        <f>IF('CONSOLIDACION DEL MAPA'!R69="","",'CONSOLIDACION DEL MAPA'!R69)</f>
        <v>No Aplica</v>
      </c>
      <c r="F69" s="101"/>
      <c r="G69" s="101"/>
      <c r="H69" s="163"/>
      <c r="I69" s="163"/>
      <c r="J69" s="100">
        <f t="shared" si="1"/>
        <v>0</v>
      </c>
    </row>
    <row r="70" spans="1:10" ht="15.75" x14ac:dyDescent="0.25">
      <c r="A70" s="566"/>
      <c r="B70" s="565"/>
      <c r="C70" s="82" t="str">
        <f>IF('CONSOLIDACION DEL MAPA'!P70="","",'CONSOLIDACION DEL MAPA'!P70)</f>
        <v/>
      </c>
      <c r="D70" s="82" t="str">
        <f>IF('CONSOLIDACION DEL MAPA'!Q70="","",'CONSOLIDACION DEL MAPA'!Q70)</f>
        <v/>
      </c>
      <c r="E70" s="82" t="str">
        <f>IF('CONSOLIDACION DEL MAPA'!R70="","",'CONSOLIDACION DEL MAPA'!R70)</f>
        <v/>
      </c>
      <c r="F70" s="101"/>
      <c r="G70" s="101"/>
      <c r="H70" s="163"/>
      <c r="I70" s="163"/>
      <c r="J70" s="100">
        <f t="shared" si="1"/>
        <v>0</v>
      </c>
    </row>
    <row r="71" spans="1:10" ht="15.75" x14ac:dyDescent="0.25">
      <c r="A71" s="566"/>
      <c r="B71" s="565"/>
      <c r="C71" s="82" t="str">
        <f>IF('CONSOLIDACION DEL MAPA'!P71="","",'CONSOLIDACION DEL MAPA'!P71)</f>
        <v/>
      </c>
      <c r="D71" s="82" t="str">
        <f>IF('CONSOLIDACION DEL MAPA'!Q71="","",'CONSOLIDACION DEL MAPA'!Q71)</f>
        <v/>
      </c>
      <c r="E71" s="82" t="str">
        <f>IF('CONSOLIDACION DEL MAPA'!R71="","",'CONSOLIDACION DEL MAPA'!R71)</f>
        <v/>
      </c>
      <c r="F71" s="101"/>
      <c r="G71" s="101"/>
      <c r="H71" s="163"/>
      <c r="I71" s="163"/>
      <c r="J71" s="100">
        <f t="shared" si="1"/>
        <v>0</v>
      </c>
    </row>
    <row r="72" spans="1:10" ht="25.5" x14ac:dyDescent="0.25">
      <c r="A72" s="566" t="str">
        <f>'CONSOLIDACION DEL MAPA'!A72</f>
        <v>22G</v>
      </c>
      <c r="B72" s="565" t="str">
        <f>'CONSOLIDACION DEL MAPA'!B72</f>
        <v>Gestión Administrativa. Inseguridad en el campus</v>
      </c>
      <c r="C72" s="82" t="str">
        <f>IF('CONSOLIDACION DEL MAPA'!P72="","",'CONSOLIDACION DEL MAPA'!P72)</f>
        <v>Reducir</v>
      </c>
      <c r="D72" s="82" t="str">
        <f>IF('CONSOLIDACION DEL MAPA'!Q72="","",'CONSOLIDACION DEL MAPA'!Q72)</f>
        <v>Documento analisis de estado de la seguridad y falencias existentes.</v>
      </c>
      <c r="E72" s="82" t="str">
        <f>IF('CONSOLIDACION DEL MAPA'!R72="","",'CONSOLIDACION DEL MAPA'!R72)</f>
        <v>Sin Implementar</v>
      </c>
      <c r="F72" s="101" t="s">
        <v>850</v>
      </c>
      <c r="G72" s="101">
        <v>1</v>
      </c>
      <c r="H72" s="163">
        <v>42371</v>
      </c>
      <c r="I72" s="163">
        <v>42735</v>
      </c>
      <c r="J72" s="100">
        <f t="shared" si="1"/>
        <v>52</v>
      </c>
    </row>
    <row r="73" spans="1:10" ht="51" x14ac:dyDescent="0.25">
      <c r="A73" s="566"/>
      <c r="B73" s="565"/>
      <c r="C73" s="82" t="str">
        <f>IF('CONSOLIDACION DEL MAPA'!P73="","",'CONSOLIDACION DEL MAPA'!P73)</f>
        <v>Reducir</v>
      </c>
      <c r="D73" s="82" t="str">
        <f>IF('CONSOLIDACION DEL MAPA'!Q73="","",'CONSOLIDACION DEL MAPA'!Q73)</f>
        <v>Gestionar compra de PDA, construccion de la sala de monitoreo y contratacion de responsable de monitoreo.</v>
      </c>
      <c r="E73" s="82" t="str">
        <f>IF('CONSOLIDACION DEL MAPA'!R73="","",'CONSOLIDACION DEL MAPA'!R73)</f>
        <v>Sin Implementar</v>
      </c>
      <c r="F73" s="101" t="s">
        <v>851</v>
      </c>
      <c r="G73" s="101">
        <v>3</v>
      </c>
      <c r="H73" s="163">
        <v>42371</v>
      </c>
      <c r="I73" s="163">
        <v>42735</v>
      </c>
      <c r="J73" s="100">
        <f t="shared" si="1"/>
        <v>52</v>
      </c>
    </row>
    <row r="74" spans="1:10" ht="15.75" x14ac:dyDescent="0.25">
      <c r="A74" s="566"/>
      <c r="B74" s="565"/>
      <c r="C74" s="82" t="str">
        <f>IF('CONSOLIDACION DEL MAPA'!P74="","",'CONSOLIDACION DEL MAPA'!P74)</f>
        <v/>
      </c>
      <c r="D74" s="82" t="str">
        <f>IF('CONSOLIDACION DEL MAPA'!Q74="","",'CONSOLIDACION DEL MAPA'!Q74)</f>
        <v/>
      </c>
      <c r="E74" s="82" t="str">
        <f>IF('CONSOLIDACION DEL MAPA'!R74="","",'CONSOLIDACION DEL MAPA'!R74)</f>
        <v/>
      </c>
      <c r="F74" s="101"/>
      <c r="G74" s="101"/>
      <c r="H74" s="163"/>
      <c r="I74" s="163"/>
      <c r="J74" s="100">
        <f t="shared" si="1"/>
        <v>0</v>
      </c>
    </row>
    <row r="75" spans="1:10" ht="15.75" x14ac:dyDescent="0.25">
      <c r="A75" s="566" t="str">
        <f>'CONSOLIDACION DEL MAPA'!A75</f>
        <v>23G</v>
      </c>
      <c r="B75" s="565" t="str">
        <f>'CONSOLIDACION DEL MAPA'!B75</f>
        <v>Gestión Administrativa. Inadecuado gestión de los residuos</v>
      </c>
      <c r="C75" s="82" t="str">
        <f>IF('CONSOLIDACION DEL MAPA'!P75="","",'CONSOLIDACION DEL MAPA'!P75)</f>
        <v>Reducir</v>
      </c>
      <c r="D75" s="82" t="str">
        <f>IF('CONSOLIDACION DEL MAPA'!Q75="","",'CONSOLIDACION DEL MAPA'!Q75)</f>
        <v>Seguimiento de PGIR</v>
      </c>
      <c r="E75" s="82" t="str">
        <f>IF('CONSOLIDACION DEL MAPA'!R75="","",'CONSOLIDACION DEL MAPA'!R75)</f>
        <v>En Ejecución</v>
      </c>
      <c r="F75" s="101" t="s">
        <v>852</v>
      </c>
      <c r="G75" s="101">
        <v>1</v>
      </c>
      <c r="H75" s="163">
        <v>42371</v>
      </c>
      <c r="I75" s="163">
        <v>42735</v>
      </c>
      <c r="J75" s="100">
        <f t="shared" si="1"/>
        <v>52</v>
      </c>
    </row>
    <row r="76" spans="1:10" ht="15.75" x14ac:dyDescent="0.25">
      <c r="A76" s="566"/>
      <c r="B76" s="565"/>
      <c r="C76" s="82" t="str">
        <f>IF('CONSOLIDACION DEL MAPA'!P76="","",'CONSOLIDACION DEL MAPA'!P76)</f>
        <v/>
      </c>
      <c r="D76" s="82" t="str">
        <f>IF('CONSOLIDACION DEL MAPA'!Q76="","",'CONSOLIDACION DEL MAPA'!Q76)</f>
        <v/>
      </c>
      <c r="E76" s="82" t="str">
        <f>IF('CONSOLIDACION DEL MAPA'!R76="","",'CONSOLIDACION DEL MAPA'!R76)</f>
        <v/>
      </c>
      <c r="F76" s="101"/>
      <c r="G76" s="101"/>
      <c r="H76" s="163"/>
      <c r="I76" s="163"/>
      <c r="J76" s="100">
        <f t="shared" si="1"/>
        <v>0</v>
      </c>
    </row>
    <row r="77" spans="1:10" ht="15.75" x14ac:dyDescent="0.25">
      <c r="A77" s="566"/>
      <c r="B77" s="565"/>
      <c r="C77" s="82" t="str">
        <f>IF('CONSOLIDACION DEL MAPA'!P77="","",'CONSOLIDACION DEL MAPA'!P77)</f>
        <v/>
      </c>
      <c r="D77" s="82" t="str">
        <f>IF('CONSOLIDACION DEL MAPA'!Q77="","",'CONSOLIDACION DEL MAPA'!Q77)</f>
        <v/>
      </c>
      <c r="E77" s="82" t="str">
        <f>IF('CONSOLIDACION DEL MAPA'!R77="","",'CONSOLIDACION DEL MAPA'!R77)</f>
        <v/>
      </c>
      <c r="F77" s="101"/>
      <c r="G77" s="101"/>
      <c r="H77" s="163"/>
      <c r="I77" s="163"/>
      <c r="J77" s="100">
        <f t="shared" si="1"/>
        <v>0</v>
      </c>
    </row>
    <row r="78" spans="1:10" ht="63" x14ac:dyDescent="0.25">
      <c r="A78" s="566" t="str">
        <f>'CONSOLIDACION DEL MAPA'!A78</f>
        <v>24G</v>
      </c>
      <c r="B78" s="565" t="str">
        <f>'CONSOLIDACION DEL MAPA'!B78</f>
        <v>Gestión del Talento Humano. Deficiente desempeño laboral de los funcionarios de la Universidad.</v>
      </c>
      <c r="C78" s="82" t="str">
        <f>IF('CONSOLIDACION DEL MAPA'!P78="","",'CONSOLIDACION DEL MAPA'!P78)</f>
        <v>Reducir</v>
      </c>
      <c r="D78" s="82" t="str">
        <f>IF('CONSOLIDACION DEL MAPA'!Q78="","",'CONSOLIDACION DEL MAPA'!Q78)</f>
        <v>Adquirir y aplicar herramientas para evaluar las competencias laborales de los servidores públicos.</v>
      </c>
      <c r="E78" s="82" t="str">
        <f>IF('CONSOLIDACION DEL MAPA'!R78="","",'CONSOLIDACION DEL MAPA'!R78)</f>
        <v>Sin Implementar</v>
      </c>
      <c r="F78" s="101" t="s">
        <v>853</v>
      </c>
      <c r="G78" s="101">
        <v>2</v>
      </c>
      <c r="H78" s="163">
        <v>42401</v>
      </c>
      <c r="I78" s="163">
        <v>42735</v>
      </c>
      <c r="J78" s="100">
        <f t="shared" si="1"/>
        <v>47.714285714285715</v>
      </c>
    </row>
    <row r="79" spans="1:10" ht="51" x14ac:dyDescent="0.25">
      <c r="A79" s="566"/>
      <c r="B79" s="565"/>
      <c r="C79" s="82" t="str">
        <f>IF('CONSOLIDACION DEL MAPA'!P79="","",'CONSOLIDACION DEL MAPA'!P79)</f>
        <v>Reducir</v>
      </c>
      <c r="D79" s="82" t="str">
        <f>IF('CONSOLIDACION DEL MAPA'!Q79="","",'CONSOLIDACION DEL MAPA'!Q79)</f>
        <v>Elaboración y ejecución de un programa detallado de Inducción y/o 
Reinduccion.</v>
      </c>
      <c r="E79" s="82" t="str">
        <f>IF('CONSOLIDACION DEL MAPA'!R79="","",'CONSOLIDACION DEL MAPA'!R79)</f>
        <v>En Ejecución</v>
      </c>
      <c r="F79" s="101" t="s">
        <v>854</v>
      </c>
      <c r="G79" s="101">
        <v>1</v>
      </c>
      <c r="H79" s="163">
        <v>42401</v>
      </c>
      <c r="I79" s="163">
        <v>42735</v>
      </c>
      <c r="J79" s="100">
        <f t="shared" si="1"/>
        <v>47.714285714285715</v>
      </c>
    </row>
    <row r="80" spans="1:10" ht="15.75" x14ac:dyDescent="0.25">
      <c r="A80" s="566"/>
      <c r="B80" s="565"/>
      <c r="C80" s="82" t="str">
        <f>IF('CONSOLIDACION DEL MAPA'!P80="","",'CONSOLIDACION DEL MAPA'!P80)</f>
        <v/>
      </c>
      <c r="D80" s="82" t="str">
        <f>IF('CONSOLIDACION DEL MAPA'!Q80="","",'CONSOLIDACION DEL MAPA'!Q80)</f>
        <v/>
      </c>
      <c r="E80" s="82" t="str">
        <f>IF('CONSOLIDACION DEL MAPA'!R80="","",'CONSOLIDACION DEL MAPA'!R80)</f>
        <v/>
      </c>
      <c r="F80" s="101"/>
      <c r="G80" s="101"/>
      <c r="H80" s="163"/>
      <c r="I80" s="163"/>
      <c r="J80" s="100">
        <f t="shared" si="1"/>
        <v>0</v>
      </c>
    </row>
    <row r="81" spans="1:10" ht="47.25" x14ac:dyDescent="0.25">
      <c r="A81" s="566" t="str">
        <f>'CONSOLIDACION DEL MAPA'!A81</f>
        <v>25G</v>
      </c>
      <c r="B81" s="565" t="str">
        <f>'CONSOLIDACION DEL MAPA'!B81</f>
        <v>Gestión del Talento Humano. Falta de plan de incentivos y/o estímulos.</v>
      </c>
      <c r="C81" s="82" t="str">
        <f>IF('CONSOLIDACION DEL MAPA'!P81="","",'CONSOLIDACION DEL MAPA'!P81)</f>
        <v>Reducir</v>
      </c>
      <c r="D81" s="82" t="str">
        <f>IF('CONSOLIDACION DEL MAPA'!Q81="","",'CONSOLIDACION DEL MAPA'!Q81)</f>
        <v>Elaborar y presentar propuesta del programas de incentivos y bienestar laboral</v>
      </c>
      <c r="E81" s="82" t="str">
        <f>IF('CONSOLIDACION DEL MAPA'!R81="","",'CONSOLIDACION DEL MAPA'!R81)</f>
        <v>En Ejecución</v>
      </c>
      <c r="F81" s="101" t="s">
        <v>855</v>
      </c>
      <c r="G81" s="101">
        <v>1</v>
      </c>
      <c r="H81" s="163">
        <v>42401</v>
      </c>
      <c r="I81" s="163">
        <v>42612</v>
      </c>
      <c r="J81" s="100">
        <f t="shared" si="1"/>
        <v>30.142857142857142</v>
      </c>
    </row>
    <row r="82" spans="1:10" ht="15.75" x14ac:dyDescent="0.25">
      <c r="A82" s="566"/>
      <c r="B82" s="565"/>
      <c r="C82" s="82" t="str">
        <f>IF('CONSOLIDACION DEL MAPA'!P82="","",'CONSOLIDACION DEL MAPA'!P82)</f>
        <v/>
      </c>
      <c r="D82" s="82" t="str">
        <f>IF('CONSOLIDACION DEL MAPA'!Q82="","",'CONSOLIDACION DEL MAPA'!Q82)</f>
        <v/>
      </c>
      <c r="E82" s="82" t="str">
        <f>IF('CONSOLIDACION DEL MAPA'!R82="","",'CONSOLIDACION DEL MAPA'!R82)</f>
        <v/>
      </c>
      <c r="F82" s="101"/>
      <c r="G82" s="101"/>
      <c r="H82" s="163"/>
      <c r="I82" s="163"/>
      <c r="J82" s="100">
        <f t="shared" si="1"/>
        <v>0</v>
      </c>
    </row>
    <row r="83" spans="1:10" ht="15.75" x14ac:dyDescent="0.25">
      <c r="A83" s="566"/>
      <c r="B83" s="565"/>
      <c r="C83" s="82" t="str">
        <f>IF('CONSOLIDACION DEL MAPA'!P83="","",'CONSOLIDACION DEL MAPA'!P83)</f>
        <v/>
      </c>
      <c r="D83" s="82" t="str">
        <f>IF('CONSOLIDACION DEL MAPA'!Q83="","",'CONSOLIDACION DEL MAPA'!Q83)</f>
        <v/>
      </c>
      <c r="E83" s="82" t="str">
        <f>IF('CONSOLIDACION DEL MAPA'!R83="","",'CONSOLIDACION DEL MAPA'!R83)</f>
        <v/>
      </c>
      <c r="F83" s="101"/>
      <c r="G83" s="101"/>
      <c r="H83" s="163"/>
      <c r="I83" s="163"/>
      <c r="J83" s="100">
        <f t="shared" si="1"/>
        <v>0</v>
      </c>
    </row>
    <row r="84" spans="1:10" ht="47.25" x14ac:dyDescent="0.25">
      <c r="A84" s="566" t="str">
        <f>'CONSOLIDACION DEL MAPA'!A84</f>
        <v>26G</v>
      </c>
      <c r="B84" s="565" t="str">
        <f>'CONSOLIDACION DEL MAPA'!B84</f>
        <v>Gestión del Talento Humano. Demoras en la afilicación de catedráticos y ocasionales al Sistema de Seguridad Social Integral, y de los contratistas y estudiantes de Práctica a la Administradora de Riesgos Laborales.</v>
      </c>
      <c r="C84" s="82" t="str">
        <f>IF('CONSOLIDACION DEL MAPA'!P84="","",'CONSOLIDACION DEL MAPA'!P84)</f>
        <v>Reducir</v>
      </c>
      <c r="D84" s="82" t="str">
        <f>IF('CONSOLIDACION DEL MAPA'!Q84="","",'CONSOLIDACION DEL MAPA'!Q84)</f>
        <v>Elaboración y aprobación del procedimiento de Seguridad Social</v>
      </c>
      <c r="E84" s="82" t="str">
        <f>IF('CONSOLIDACION DEL MAPA'!R84="","",'CONSOLIDACION DEL MAPA'!R84)</f>
        <v>Sin Implementar</v>
      </c>
      <c r="F84" s="101" t="s">
        <v>856</v>
      </c>
      <c r="G84" s="101">
        <v>1</v>
      </c>
      <c r="H84" s="163">
        <v>42430</v>
      </c>
      <c r="I84" s="163">
        <v>42735</v>
      </c>
      <c r="J84" s="100">
        <f t="shared" si="1"/>
        <v>43.571428571428569</v>
      </c>
    </row>
    <row r="85" spans="1:10" ht="15.75" x14ac:dyDescent="0.25">
      <c r="A85" s="566"/>
      <c r="B85" s="565"/>
      <c r="C85" s="82" t="str">
        <f>IF('CONSOLIDACION DEL MAPA'!P85="","",'CONSOLIDACION DEL MAPA'!P85)</f>
        <v/>
      </c>
      <c r="D85" s="82" t="str">
        <f>IF('CONSOLIDACION DEL MAPA'!Q85="","",'CONSOLIDACION DEL MAPA'!Q85)</f>
        <v/>
      </c>
      <c r="E85" s="82" t="str">
        <f>IF('CONSOLIDACION DEL MAPA'!R85="","",'CONSOLIDACION DEL MAPA'!R85)</f>
        <v/>
      </c>
      <c r="F85" s="101"/>
      <c r="G85" s="101"/>
      <c r="H85" s="163"/>
      <c r="I85" s="163"/>
      <c r="J85" s="100">
        <f t="shared" si="1"/>
        <v>0</v>
      </c>
    </row>
    <row r="86" spans="1:10" ht="15.75" x14ac:dyDescent="0.25">
      <c r="A86" s="566"/>
      <c r="B86" s="565"/>
      <c r="C86" s="82" t="str">
        <f>IF('CONSOLIDACION DEL MAPA'!P86="","",'CONSOLIDACION DEL MAPA'!P86)</f>
        <v/>
      </c>
      <c r="D86" s="82" t="str">
        <f>IF('CONSOLIDACION DEL MAPA'!Q86="","",'CONSOLIDACION DEL MAPA'!Q86)</f>
        <v/>
      </c>
      <c r="E86" s="82" t="str">
        <f>IF('CONSOLIDACION DEL MAPA'!R86="","",'CONSOLIDACION DEL MAPA'!R86)</f>
        <v/>
      </c>
      <c r="F86" s="101"/>
      <c r="G86" s="101"/>
      <c r="H86" s="163"/>
      <c r="I86" s="163"/>
      <c r="J86" s="100">
        <f t="shared" si="1"/>
        <v>0</v>
      </c>
    </row>
    <row r="87" spans="1:10" ht="25.5" x14ac:dyDescent="0.25">
      <c r="A87" s="566" t="str">
        <f>'CONSOLIDACION DEL MAPA'!A87</f>
        <v>27G</v>
      </c>
      <c r="B87" s="565" t="str">
        <f>'CONSOLIDACION DEL MAPA'!B87</f>
        <v>Evaluación Independiente. Deficiente evaluación y verificacion de la existencia, nivel de desarrollo y grado de efectividad del Sistema de Control Interno</v>
      </c>
      <c r="C87" s="82" t="str">
        <f>IF('CONSOLIDACION DEL MAPA'!P87="","",'CONSOLIDACION DEL MAPA'!P87)</f>
        <v>Asumir</v>
      </c>
      <c r="D87" s="82" t="str">
        <f>IF('CONSOLIDACION DEL MAPA'!Q87="","",'CONSOLIDACION DEL MAPA'!Q87)</f>
        <v>Seguir ejecutando y monitoreando los controles existentes</v>
      </c>
      <c r="E87" s="82" t="str">
        <f>IF('CONSOLIDACION DEL MAPA'!R87="","",'CONSOLIDACION DEL MAPA'!R87)</f>
        <v>No Aplica</v>
      </c>
      <c r="F87" s="101"/>
      <c r="G87" s="101"/>
      <c r="H87" s="163"/>
      <c r="I87" s="163"/>
      <c r="J87" s="100">
        <f t="shared" si="1"/>
        <v>0</v>
      </c>
    </row>
    <row r="88" spans="1:10" ht="15.75" x14ac:dyDescent="0.25">
      <c r="A88" s="566"/>
      <c r="B88" s="565"/>
      <c r="C88" s="82" t="str">
        <f>IF('CONSOLIDACION DEL MAPA'!P88="","",'CONSOLIDACION DEL MAPA'!P88)</f>
        <v/>
      </c>
      <c r="D88" s="82" t="str">
        <f>IF('CONSOLIDACION DEL MAPA'!Q88="","",'CONSOLIDACION DEL MAPA'!Q88)</f>
        <v/>
      </c>
      <c r="E88" s="82" t="str">
        <f>IF('CONSOLIDACION DEL MAPA'!R88="","",'CONSOLIDACION DEL MAPA'!R88)</f>
        <v/>
      </c>
      <c r="F88" s="101"/>
      <c r="G88" s="101"/>
      <c r="H88" s="163"/>
      <c r="I88" s="163"/>
      <c r="J88" s="100">
        <f t="shared" si="1"/>
        <v>0</v>
      </c>
    </row>
    <row r="89" spans="1:10" ht="15.75" x14ac:dyDescent="0.25">
      <c r="A89" s="566"/>
      <c r="B89" s="565"/>
      <c r="C89" s="82" t="str">
        <f>IF('CONSOLIDACION DEL MAPA'!P89="","",'CONSOLIDACION DEL MAPA'!P89)</f>
        <v/>
      </c>
      <c r="D89" s="82" t="str">
        <f>IF('CONSOLIDACION DEL MAPA'!Q89="","",'CONSOLIDACION DEL MAPA'!Q89)</f>
        <v/>
      </c>
      <c r="E89" s="82" t="str">
        <f>IF('CONSOLIDACION DEL MAPA'!R89="","",'CONSOLIDACION DEL MAPA'!R89)</f>
        <v/>
      </c>
      <c r="F89" s="101"/>
      <c r="G89" s="101"/>
      <c r="H89" s="163"/>
      <c r="I89" s="163"/>
      <c r="J89" s="100">
        <f t="shared" si="1"/>
        <v>0</v>
      </c>
    </row>
    <row r="90" spans="1:10" ht="25.5" x14ac:dyDescent="0.25">
      <c r="A90" s="566" t="str">
        <f>'CONSOLIDACION DEL MAPA'!A90</f>
        <v>28G</v>
      </c>
      <c r="B90" s="565" t="str">
        <f>'CONSOLIDACION DEL MAPA'!B90</f>
        <v>Evaluación Independiente. Deficiente evaluación del nivel de avance de las acciones pactadas en los planes de mejoramiento</v>
      </c>
      <c r="C90" s="82" t="str">
        <f>IF('CONSOLIDACION DEL MAPA'!P90="","",'CONSOLIDACION DEL MAPA'!P90)</f>
        <v>Asumir</v>
      </c>
      <c r="D90" s="82" t="str">
        <f>IF('CONSOLIDACION DEL MAPA'!Q90="","",'CONSOLIDACION DEL MAPA'!Q90)</f>
        <v>Seguir ejecutando y monitoreando los controles existentes</v>
      </c>
      <c r="E90" s="82" t="str">
        <f>IF('CONSOLIDACION DEL MAPA'!R90="","",'CONSOLIDACION DEL MAPA'!R90)</f>
        <v>No Aplica</v>
      </c>
      <c r="F90" s="101"/>
      <c r="G90" s="101"/>
      <c r="H90" s="163"/>
      <c r="I90" s="163"/>
      <c r="J90" s="100">
        <f t="shared" si="1"/>
        <v>0</v>
      </c>
    </row>
    <row r="91" spans="1:10" ht="15.75" x14ac:dyDescent="0.25">
      <c r="A91" s="566"/>
      <c r="B91" s="565"/>
      <c r="C91" s="82" t="str">
        <f>IF('CONSOLIDACION DEL MAPA'!P91="","",'CONSOLIDACION DEL MAPA'!P91)</f>
        <v/>
      </c>
      <c r="D91" s="82" t="str">
        <f>IF('CONSOLIDACION DEL MAPA'!Q91="","",'CONSOLIDACION DEL MAPA'!Q91)</f>
        <v/>
      </c>
      <c r="E91" s="82" t="str">
        <f>IF('CONSOLIDACION DEL MAPA'!R91="","",'CONSOLIDACION DEL MAPA'!R91)</f>
        <v/>
      </c>
      <c r="F91" s="101"/>
      <c r="G91" s="101"/>
      <c r="H91" s="163"/>
      <c r="I91" s="163"/>
      <c r="J91" s="100">
        <f t="shared" si="1"/>
        <v>0</v>
      </c>
    </row>
    <row r="92" spans="1:10" ht="16.5" thickBot="1" x14ac:dyDescent="0.3">
      <c r="A92" s="566"/>
      <c r="B92" s="565"/>
      <c r="C92" s="82" t="str">
        <f>IF('CONSOLIDACION DEL MAPA'!P92="","",'CONSOLIDACION DEL MAPA'!P92)</f>
        <v/>
      </c>
      <c r="D92" s="82" t="str">
        <f>IF('CONSOLIDACION DEL MAPA'!Q92="","",'CONSOLIDACION DEL MAPA'!Q92)</f>
        <v/>
      </c>
      <c r="E92" s="82" t="str">
        <f>IF('CONSOLIDACION DEL MAPA'!R92="","",'CONSOLIDACION DEL MAPA'!R92)</f>
        <v/>
      </c>
      <c r="F92" s="101"/>
      <c r="G92" s="101"/>
      <c r="H92" s="163"/>
      <c r="I92" s="163"/>
      <c r="J92" s="100">
        <f t="shared" si="1"/>
        <v>0</v>
      </c>
    </row>
    <row r="93" spans="1:10" ht="16.5" customHeight="1" thickTop="1" thickBot="1" x14ac:dyDescent="0.25">
      <c r="A93" s="460" t="str">
        <f>IDENTIFICACIÓN!A37</f>
        <v>RIESGOS DE CORRUPCIÓN</v>
      </c>
      <c r="B93" s="461"/>
      <c r="C93" s="461"/>
      <c r="D93" s="461"/>
      <c r="E93" s="461"/>
      <c r="F93" s="461"/>
      <c r="G93" s="461"/>
      <c r="H93" s="461"/>
      <c r="I93" s="462"/>
      <c r="J93" s="253"/>
    </row>
    <row r="94" spans="1:10" ht="51.75" thickTop="1" x14ac:dyDescent="0.25">
      <c r="A94" s="562" t="str">
        <f>'CONSOLIDACION DEL MAPA'!A94</f>
        <v>1C</v>
      </c>
      <c r="B94" s="565" t="str">
        <f>'CONSOLIDACION DEL MAPA'!B94</f>
        <v>Relaciones Interinstitucionales. Tráfico de Influencias</v>
      </c>
      <c r="C94" s="82" t="str">
        <f>IF('CONSOLIDACION DEL MAPA'!P94="","",'CONSOLIDACION DEL MAPA'!P94)</f>
        <v>Evitar</v>
      </c>
      <c r="D94" s="82" t="str">
        <f>IF('CONSOLIDACION DEL MAPA'!Q94="","",'CONSOLIDACION DEL MAPA'!Q94)</f>
        <v xml:space="preserve">Asistencia a capacitaciones (transparencia, buen gobierno, etc) organizadas por Rectoría, Talento Humano y/o contratación. </v>
      </c>
      <c r="E94" s="82" t="str">
        <f>IF('CONSOLIDACION DEL MAPA'!R94="","",'CONSOLIDACION DEL MAPA'!R94)</f>
        <v>En Ejecución</v>
      </c>
      <c r="F94" s="101" t="s">
        <v>857</v>
      </c>
      <c r="G94" s="101">
        <v>1</v>
      </c>
      <c r="H94" s="163">
        <v>42370</v>
      </c>
      <c r="I94" s="163">
        <v>42490</v>
      </c>
      <c r="J94" s="100">
        <f t="shared" ref="J94:J108" si="2">(I94-H94)/7</f>
        <v>17.142857142857142</v>
      </c>
    </row>
    <row r="95" spans="1:10" ht="15.75" x14ac:dyDescent="0.25">
      <c r="A95" s="563"/>
      <c r="B95" s="565"/>
      <c r="C95" s="82" t="str">
        <f>IF('CONSOLIDACION DEL MAPA'!P95="","",'CONSOLIDACION DEL MAPA'!P95)</f>
        <v/>
      </c>
      <c r="D95" s="82" t="str">
        <f>IF('CONSOLIDACION DEL MAPA'!Q95="","",'CONSOLIDACION DEL MAPA'!Q95)</f>
        <v/>
      </c>
      <c r="E95" s="82" t="str">
        <f>IF('CONSOLIDACION DEL MAPA'!R95="","",'CONSOLIDACION DEL MAPA'!R95)</f>
        <v/>
      </c>
      <c r="F95" s="101"/>
      <c r="G95" s="101"/>
      <c r="H95" s="163"/>
      <c r="I95" s="163"/>
      <c r="J95" s="100">
        <f t="shared" si="2"/>
        <v>0</v>
      </c>
    </row>
    <row r="96" spans="1:10" ht="16.5" thickBot="1" x14ac:dyDescent="0.3">
      <c r="A96" s="564"/>
      <c r="B96" s="565"/>
      <c r="C96" s="82" t="str">
        <f>IF('CONSOLIDACION DEL MAPA'!P96="","",'CONSOLIDACION DEL MAPA'!P96)</f>
        <v/>
      </c>
      <c r="D96" s="82" t="str">
        <f>IF('CONSOLIDACION DEL MAPA'!Q96="","",'CONSOLIDACION DEL MAPA'!Q96)</f>
        <v/>
      </c>
      <c r="E96" s="82" t="str">
        <f>IF('CONSOLIDACION DEL MAPA'!R96="","",'CONSOLIDACION DEL MAPA'!R96)</f>
        <v/>
      </c>
      <c r="F96" s="101"/>
      <c r="G96" s="101"/>
      <c r="H96" s="163"/>
      <c r="I96" s="163"/>
      <c r="J96" s="100">
        <f t="shared" si="2"/>
        <v>0</v>
      </c>
    </row>
    <row r="97" spans="1:10" ht="26.25" thickTop="1" x14ac:dyDescent="0.25">
      <c r="A97" s="562" t="str">
        <f>'CONSOLIDACION DEL MAPA'!A97</f>
        <v>2C</v>
      </c>
      <c r="B97" s="565" t="str">
        <f>'CONSOLIDACION DEL MAPA'!B97</f>
        <v>Dirección y Planeación. Ausencia o debilidad de procesos y procedimientos para la gestión administrativa y misional</v>
      </c>
      <c r="C97" s="82" t="str">
        <f>IF('CONSOLIDACION DEL MAPA'!P97="","",'CONSOLIDACION DEL MAPA'!P97)</f>
        <v>No Establecer</v>
      </c>
      <c r="D97" s="82" t="str">
        <f>IF('CONSOLIDACION DEL MAPA'!Q97="","",'CONSOLIDACION DEL MAPA'!Q97)</f>
        <v>Seguir ejecutando y monitoreando los controles existentes</v>
      </c>
      <c r="E97" s="82" t="str">
        <f>IF('CONSOLIDACION DEL MAPA'!R97="","",'CONSOLIDACION DEL MAPA'!R97)</f>
        <v>No Aplica</v>
      </c>
      <c r="F97" s="101"/>
      <c r="G97" s="101"/>
      <c r="H97" s="163"/>
      <c r="I97" s="163"/>
      <c r="J97" s="100">
        <f t="shared" si="2"/>
        <v>0</v>
      </c>
    </row>
    <row r="98" spans="1:10" ht="15.75" x14ac:dyDescent="0.25">
      <c r="A98" s="563"/>
      <c r="B98" s="565"/>
      <c r="C98" s="82" t="str">
        <f>IF('CONSOLIDACION DEL MAPA'!P98="","",'CONSOLIDACION DEL MAPA'!P98)</f>
        <v/>
      </c>
      <c r="D98" s="82" t="str">
        <f>IF('CONSOLIDACION DEL MAPA'!Q98="","",'CONSOLIDACION DEL MAPA'!Q98)</f>
        <v/>
      </c>
      <c r="E98" s="82" t="str">
        <f>IF('CONSOLIDACION DEL MAPA'!R98="","",'CONSOLIDACION DEL MAPA'!R98)</f>
        <v/>
      </c>
      <c r="F98" s="101"/>
      <c r="G98" s="101"/>
      <c r="H98" s="163"/>
      <c r="I98" s="163"/>
      <c r="J98" s="100">
        <f t="shared" si="2"/>
        <v>0</v>
      </c>
    </row>
    <row r="99" spans="1:10" ht="16.5" thickBot="1" x14ac:dyDescent="0.3">
      <c r="A99" s="564"/>
      <c r="B99" s="565"/>
      <c r="C99" s="82" t="str">
        <f>IF('CONSOLIDACION DEL MAPA'!P99="","",'CONSOLIDACION DEL MAPA'!P99)</f>
        <v/>
      </c>
      <c r="D99" s="82" t="str">
        <f>IF('CONSOLIDACION DEL MAPA'!Q99="","",'CONSOLIDACION DEL MAPA'!Q99)</f>
        <v/>
      </c>
      <c r="E99" s="82" t="str">
        <f>IF('CONSOLIDACION DEL MAPA'!R99="","",'CONSOLIDACION DEL MAPA'!R99)</f>
        <v/>
      </c>
      <c r="F99" s="101"/>
      <c r="G99" s="101"/>
      <c r="H99" s="163"/>
      <c r="I99" s="163"/>
      <c r="J99" s="100">
        <f t="shared" si="2"/>
        <v>0</v>
      </c>
    </row>
    <row r="100" spans="1:10" ht="26.25" thickTop="1" x14ac:dyDescent="0.25">
      <c r="A100" s="562" t="str">
        <f>'CONSOLIDACION DEL MAPA'!A100</f>
        <v>3C</v>
      </c>
      <c r="B100" s="565" t="str">
        <f>'CONSOLIDACION DEL MAPA'!B100</f>
        <v>Dirección y Planeación. Prevaricato</v>
      </c>
      <c r="C100" s="82" t="str">
        <f>IF('CONSOLIDACION DEL MAPA'!P100="","",'CONSOLIDACION DEL MAPA'!P100)</f>
        <v>No Establecer</v>
      </c>
      <c r="D100" s="82" t="str">
        <f>IF('CONSOLIDACION DEL MAPA'!Q100="","",'CONSOLIDACION DEL MAPA'!Q100)</f>
        <v>Seguir ejecutando y monitoreando los controles existentes</v>
      </c>
      <c r="E100" s="82" t="str">
        <f>IF('CONSOLIDACION DEL MAPA'!R100="","",'CONSOLIDACION DEL MAPA'!R100)</f>
        <v>No Aplica</v>
      </c>
      <c r="F100" s="101"/>
      <c r="G100" s="101"/>
      <c r="H100" s="163"/>
      <c r="I100" s="163"/>
      <c r="J100" s="100">
        <f t="shared" si="2"/>
        <v>0</v>
      </c>
    </row>
    <row r="101" spans="1:10" ht="15.75" x14ac:dyDescent="0.25">
      <c r="A101" s="563"/>
      <c r="B101" s="565"/>
      <c r="C101" s="82" t="str">
        <f>IF('CONSOLIDACION DEL MAPA'!P101="","",'CONSOLIDACION DEL MAPA'!P101)</f>
        <v/>
      </c>
      <c r="D101" s="82" t="str">
        <f>IF('CONSOLIDACION DEL MAPA'!Q101="","",'CONSOLIDACION DEL MAPA'!Q101)</f>
        <v/>
      </c>
      <c r="E101" s="82" t="str">
        <f>IF('CONSOLIDACION DEL MAPA'!R101="","",'CONSOLIDACION DEL MAPA'!R101)</f>
        <v/>
      </c>
      <c r="F101" s="101"/>
      <c r="G101" s="101"/>
      <c r="H101" s="163"/>
      <c r="I101" s="163"/>
      <c r="J101" s="100">
        <f t="shared" si="2"/>
        <v>0</v>
      </c>
    </row>
    <row r="102" spans="1:10" ht="16.5" thickBot="1" x14ac:dyDescent="0.3">
      <c r="A102" s="564"/>
      <c r="B102" s="565"/>
      <c r="C102" s="82" t="str">
        <f>IF('CONSOLIDACION DEL MAPA'!P102="","",'CONSOLIDACION DEL MAPA'!P102)</f>
        <v/>
      </c>
      <c r="D102" s="82" t="str">
        <f>IF('CONSOLIDACION DEL MAPA'!Q102="","",'CONSOLIDACION DEL MAPA'!Q102)</f>
        <v/>
      </c>
      <c r="E102" s="82" t="str">
        <f>IF('CONSOLIDACION DEL MAPA'!R102="","",'CONSOLIDACION DEL MAPA'!R102)</f>
        <v/>
      </c>
      <c r="F102" s="101"/>
      <c r="G102" s="101"/>
      <c r="H102" s="163"/>
      <c r="I102" s="163"/>
      <c r="J102" s="100">
        <f t="shared" si="2"/>
        <v>0</v>
      </c>
    </row>
    <row r="103" spans="1:10" ht="26.25" thickTop="1" x14ac:dyDescent="0.25">
      <c r="A103" s="562" t="str">
        <f>'CONSOLIDACION DEL MAPA'!A103</f>
        <v>4C</v>
      </c>
      <c r="B103" s="565" t="str">
        <f>'CONSOLIDACION DEL MAPA'!B103</f>
        <v>Dirección y Planeación. Malversación de Recursos</v>
      </c>
      <c r="C103" s="82" t="str">
        <f>IF('CONSOLIDACION DEL MAPA'!P103="","",'CONSOLIDACION DEL MAPA'!P103)</f>
        <v>No Establecer</v>
      </c>
      <c r="D103" s="82" t="str">
        <f>IF('CONSOLIDACION DEL MAPA'!Q103="","",'CONSOLIDACION DEL MAPA'!Q103)</f>
        <v>Seguir ejecutando y monitoreando los controles existentes</v>
      </c>
      <c r="E103" s="82" t="str">
        <f>IF('CONSOLIDACION DEL MAPA'!R103="","",'CONSOLIDACION DEL MAPA'!R103)</f>
        <v>No Aplica</v>
      </c>
      <c r="F103" s="101"/>
      <c r="G103" s="101"/>
      <c r="H103" s="163"/>
      <c r="I103" s="163"/>
      <c r="J103" s="100">
        <f t="shared" si="2"/>
        <v>0</v>
      </c>
    </row>
    <row r="104" spans="1:10" ht="15.75" x14ac:dyDescent="0.25">
      <c r="A104" s="563"/>
      <c r="B104" s="565"/>
      <c r="C104" s="82" t="str">
        <f>IF('CONSOLIDACION DEL MAPA'!P104="","",'CONSOLIDACION DEL MAPA'!P104)</f>
        <v/>
      </c>
      <c r="D104" s="82" t="str">
        <f>IF('CONSOLIDACION DEL MAPA'!Q104="","",'CONSOLIDACION DEL MAPA'!Q104)</f>
        <v/>
      </c>
      <c r="E104" s="82" t="str">
        <f>IF('CONSOLIDACION DEL MAPA'!R104="","",'CONSOLIDACION DEL MAPA'!R104)</f>
        <v/>
      </c>
      <c r="F104" s="101"/>
      <c r="G104" s="101"/>
      <c r="H104" s="163"/>
      <c r="I104" s="163"/>
      <c r="J104" s="100">
        <f t="shared" si="2"/>
        <v>0</v>
      </c>
    </row>
    <row r="105" spans="1:10" ht="16.5" thickBot="1" x14ac:dyDescent="0.3">
      <c r="A105" s="564"/>
      <c r="B105" s="565"/>
      <c r="C105" s="82" t="str">
        <f>IF('CONSOLIDACION DEL MAPA'!P105="","",'CONSOLIDACION DEL MAPA'!P105)</f>
        <v/>
      </c>
      <c r="D105" s="82" t="str">
        <f>IF('CONSOLIDACION DEL MAPA'!Q105="","",'CONSOLIDACION DEL MAPA'!Q105)</f>
        <v/>
      </c>
      <c r="E105" s="82" t="str">
        <f>IF('CONSOLIDACION DEL MAPA'!R105="","",'CONSOLIDACION DEL MAPA'!R105)</f>
        <v/>
      </c>
      <c r="F105" s="101"/>
      <c r="G105" s="101"/>
      <c r="H105" s="163"/>
      <c r="I105" s="163"/>
      <c r="J105" s="100">
        <f t="shared" si="2"/>
        <v>0</v>
      </c>
    </row>
    <row r="106" spans="1:10" ht="26.25" thickTop="1" x14ac:dyDescent="0.25">
      <c r="A106" s="562" t="str">
        <f>'CONSOLIDACION DEL MAPA'!A106</f>
        <v>5C</v>
      </c>
      <c r="B106" s="565" t="str">
        <f>'CONSOLIDACION DEL MAPA'!B106</f>
        <v>Acreditación. Deficiencias en el manejo documental y de archivo</v>
      </c>
      <c r="C106" s="82" t="str">
        <f>IF('CONSOLIDACION DEL MAPA'!P106="","",'CONSOLIDACION DEL MAPA'!P106)</f>
        <v>Reducir</v>
      </c>
      <c r="D106" s="82" t="str">
        <f>IF('CONSOLIDACION DEL MAPA'!Q106="","",'CONSOLIDACION DEL MAPA'!Q106)</f>
        <v>Cumplimiento de metas acordes con el plan de trabajo.</v>
      </c>
      <c r="E106" s="82" t="str">
        <f>IF('CONSOLIDACION DEL MAPA'!R106="","",'CONSOLIDACION DEL MAPA'!R106)</f>
        <v>Sin Implementar</v>
      </c>
      <c r="F106" s="101" t="s">
        <v>117</v>
      </c>
      <c r="G106" s="101">
        <v>1</v>
      </c>
      <c r="H106" s="163">
        <v>42383</v>
      </c>
      <c r="I106" s="163">
        <v>42720</v>
      </c>
      <c r="J106" s="100">
        <f t="shared" si="2"/>
        <v>48.142857142857146</v>
      </c>
    </row>
    <row r="107" spans="1:10" ht="15.75" x14ac:dyDescent="0.25">
      <c r="A107" s="563"/>
      <c r="B107" s="565"/>
      <c r="C107" s="82" t="str">
        <f>IF('CONSOLIDACION DEL MAPA'!P107="","",'CONSOLIDACION DEL MAPA'!P107)</f>
        <v/>
      </c>
      <c r="D107" s="82" t="str">
        <f>IF('CONSOLIDACION DEL MAPA'!Q107="","",'CONSOLIDACION DEL MAPA'!Q107)</f>
        <v/>
      </c>
      <c r="E107" s="82" t="str">
        <f>IF('CONSOLIDACION DEL MAPA'!R107="","",'CONSOLIDACION DEL MAPA'!R107)</f>
        <v/>
      </c>
      <c r="F107" s="101"/>
      <c r="G107" s="101"/>
      <c r="H107" s="163"/>
      <c r="I107" s="163"/>
      <c r="J107" s="100">
        <f t="shared" si="2"/>
        <v>0</v>
      </c>
    </row>
    <row r="108" spans="1:10" ht="16.5" thickBot="1" x14ac:dyDescent="0.3">
      <c r="A108" s="564"/>
      <c r="B108" s="565"/>
      <c r="C108" s="82" t="str">
        <f>IF('CONSOLIDACION DEL MAPA'!P108="","",'CONSOLIDACION DEL MAPA'!P108)</f>
        <v/>
      </c>
      <c r="D108" s="82" t="str">
        <f>IF('CONSOLIDACION DEL MAPA'!Q108="","",'CONSOLIDACION DEL MAPA'!Q108)</f>
        <v/>
      </c>
      <c r="E108" s="82" t="str">
        <f>IF('CONSOLIDACION DEL MAPA'!R108="","",'CONSOLIDACION DEL MAPA'!R108)</f>
        <v/>
      </c>
      <c r="F108" s="101"/>
      <c r="G108" s="101"/>
      <c r="H108" s="163"/>
      <c r="I108" s="163"/>
      <c r="J108" s="100">
        <f t="shared" si="2"/>
        <v>0</v>
      </c>
    </row>
    <row r="109" spans="1:10" ht="26.25" thickTop="1" x14ac:dyDescent="0.25">
      <c r="A109" s="562" t="str">
        <f>'CONSOLIDACION DEL MAPA'!A109</f>
        <v>6C</v>
      </c>
      <c r="B109" s="565" t="str">
        <f>'CONSOLIDACION DEL MAPA'!B109</f>
        <v>Acreditación. Concentración de información de determinadas actividades o procesos en una persona</v>
      </c>
      <c r="C109" s="82" t="str">
        <f>IF('CONSOLIDACION DEL MAPA'!P109="","",'CONSOLIDACION DEL MAPA'!P109)</f>
        <v>Reducir</v>
      </c>
      <c r="D109" s="82" t="str">
        <f>IF('CONSOLIDACION DEL MAPA'!Q109="","",'CONSOLIDACION DEL MAPA'!Q109)</f>
        <v>Cumplimiento de metas acordes con el plan de trabajo.</v>
      </c>
      <c r="E109" s="82" t="str">
        <f>IF('CONSOLIDACION DEL MAPA'!R109="","",'CONSOLIDACION DEL MAPA'!R109)</f>
        <v>Sin Implementar</v>
      </c>
      <c r="F109" s="101" t="s">
        <v>117</v>
      </c>
      <c r="G109" s="101">
        <v>1</v>
      </c>
      <c r="H109" s="163">
        <v>42383</v>
      </c>
      <c r="I109" s="163">
        <v>42720</v>
      </c>
      <c r="J109" s="100">
        <f t="shared" ref="J109:J129" si="3">(I109-H109)/7</f>
        <v>48.142857142857146</v>
      </c>
    </row>
    <row r="110" spans="1:10" ht="15.75" x14ac:dyDescent="0.25">
      <c r="A110" s="563"/>
      <c r="B110" s="565"/>
      <c r="C110" s="82" t="str">
        <f>IF('CONSOLIDACION DEL MAPA'!P110="","",'CONSOLIDACION DEL MAPA'!P110)</f>
        <v/>
      </c>
      <c r="D110" s="82" t="str">
        <f>IF('CONSOLIDACION DEL MAPA'!Q110="","",'CONSOLIDACION DEL MAPA'!Q110)</f>
        <v/>
      </c>
      <c r="E110" s="82" t="str">
        <f>IF('CONSOLIDACION DEL MAPA'!R110="","",'CONSOLIDACION DEL MAPA'!R110)</f>
        <v/>
      </c>
      <c r="F110" s="101"/>
      <c r="G110" s="101"/>
      <c r="H110" s="163"/>
      <c r="I110" s="163"/>
      <c r="J110" s="100">
        <f t="shared" si="3"/>
        <v>0</v>
      </c>
    </row>
    <row r="111" spans="1:10" ht="16.5" thickBot="1" x14ac:dyDescent="0.3">
      <c r="A111" s="564"/>
      <c r="B111" s="565"/>
      <c r="C111" s="82" t="str">
        <f>IF('CONSOLIDACION DEL MAPA'!P111="","",'CONSOLIDACION DEL MAPA'!P111)</f>
        <v/>
      </c>
      <c r="D111" s="82" t="str">
        <f>IF('CONSOLIDACION DEL MAPA'!Q111="","",'CONSOLIDACION DEL MAPA'!Q111)</f>
        <v/>
      </c>
      <c r="E111" s="82" t="str">
        <f>IF('CONSOLIDACION DEL MAPA'!R111="","",'CONSOLIDACION DEL MAPA'!R111)</f>
        <v/>
      </c>
      <c r="F111" s="101"/>
      <c r="G111" s="101"/>
      <c r="H111" s="163"/>
      <c r="I111" s="163"/>
      <c r="J111" s="100">
        <f t="shared" si="3"/>
        <v>0</v>
      </c>
    </row>
    <row r="112" spans="1:10" ht="26.25" thickTop="1" x14ac:dyDescent="0.25">
      <c r="A112" s="562" t="str">
        <f>'CONSOLIDACION DEL MAPA'!A112</f>
        <v>7C</v>
      </c>
      <c r="B112" s="565" t="str">
        <f>'CONSOLIDACION DEL MAPA'!B112</f>
        <v>Gestión de la Calidad. Concentración de información de determinadas actividades o procesos en una persona</v>
      </c>
      <c r="C112" s="82" t="str">
        <f>IF('CONSOLIDACION DEL MAPA'!P112="","",'CONSOLIDACION DEL MAPA'!P112)</f>
        <v>No Establecer</v>
      </c>
      <c r="D112" s="82" t="str">
        <f>IF('CONSOLIDACION DEL MAPA'!Q112="","",'CONSOLIDACION DEL MAPA'!Q112)</f>
        <v>Seguir ejecutando y monitoreando los controles existentes</v>
      </c>
      <c r="E112" s="82" t="str">
        <f>IF('CONSOLIDACION DEL MAPA'!R112="","",'CONSOLIDACION DEL MAPA'!R112)</f>
        <v>No Aplica</v>
      </c>
      <c r="F112" s="101"/>
      <c r="G112" s="101"/>
      <c r="H112" s="163"/>
      <c r="I112" s="163"/>
      <c r="J112" s="100">
        <f t="shared" si="3"/>
        <v>0</v>
      </c>
    </row>
    <row r="113" spans="1:10" ht="15.75" x14ac:dyDescent="0.25">
      <c r="A113" s="563"/>
      <c r="B113" s="565"/>
      <c r="C113" s="82" t="str">
        <f>IF('CONSOLIDACION DEL MAPA'!P113="","",'CONSOLIDACION DEL MAPA'!P113)</f>
        <v/>
      </c>
      <c r="D113" s="82" t="str">
        <f>IF('CONSOLIDACION DEL MAPA'!Q113="","",'CONSOLIDACION DEL MAPA'!Q113)</f>
        <v/>
      </c>
      <c r="E113" s="82" t="str">
        <f>IF('CONSOLIDACION DEL MAPA'!R113="","",'CONSOLIDACION DEL MAPA'!R113)</f>
        <v/>
      </c>
      <c r="F113" s="101"/>
      <c r="G113" s="101"/>
      <c r="H113" s="163"/>
      <c r="I113" s="163"/>
      <c r="J113" s="100">
        <f t="shared" si="3"/>
        <v>0</v>
      </c>
    </row>
    <row r="114" spans="1:10" ht="16.5" thickBot="1" x14ac:dyDescent="0.3">
      <c r="A114" s="564"/>
      <c r="B114" s="565"/>
      <c r="C114" s="82" t="str">
        <f>IF('CONSOLIDACION DEL MAPA'!P114="","",'CONSOLIDACION DEL MAPA'!P114)</f>
        <v/>
      </c>
      <c r="D114" s="82" t="str">
        <f>IF('CONSOLIDACION DEL MAPA'!Q114="","",'CONSOLIDACION DEL MAPA'!Q114)</f>
        <v/>
      </c>
      <c r="E114" s="82" t="str">
        <f>IF('CONSOLIDACION DEL MAPA'!R114="","",'CONSOLIDACION DEL MAPA'!R114)</f>
        <v/>
      </c>
      <c r="F114" s="101"/>
      <c r="G114" s="101"/>
      <c r="H114" s="163"/>
      <c r="I114" s="163"/>
      <c r="J114" s="100">
        <f t="shared" si="3"/>
        <v>0</v>
      </c>
    </row>
    <row r="115" spans="1:10" ht="26.25" thickTop="1" x14ac:dyDescent="0.25">
      <c r="A115" s="562" t="str">
        <f>'CONSOLIDACION DEL MAPA'!A115</f>
        <v>8C</v>
      </c>
      <c r="B115" s="565" t="str">
        <f>'CONSOLIDACION DEL MAPA'!B115</f>
        <v>Gestión de la Calidad. Deficiencias en el  manejo documental y de archivo</v>
      </c>
      <c r="C115" s="82" t="str">
        <f>IF('CONSOLIDACION DEL MAPA'!P115="","",'CONSOLIDACION DEL MAPA'!P115)</f>
        <v>No Establecer</v>
      </c>
      <c r="D115" s="82" t="str">
        <f>IF('CONSOLIDACION DEL MAPA'!Q115="","",'CONSOLIDACION DEL MAPA'!Q115)</f>
        <v>Seguir ejecutando y monitoreando los controles existentes</v>
      </c>
      <c r="E115" s="82" t="str">
        <f>IF('CONSOLIDACION DEL MAPA'!R115="","",'CONSOLIDACION DEL MAPA'!R115)</f>
        <v>No Aplica</v>
      </c>
      <c r="F115" s="101"/>
      <c r="G115" s="101"/>
      <c r="H115" s="163"/>
      <c r="I115" s="163"/>
      <c r="J115" s="100">
        <f t="shared" si="3"/>
        <v>0</v>
      </c>
    </row>
    <row r="116" spans="1:10" ht="15.75" x14ac:dyDescent="0.25">
      <c r="A116" s="563"/>
      <c r="B116" s="565"/>
      <c r="C116" s="82" t="str">
        <f>IF('CONSOLIDACION DEL MAPA'!P116="","",'CONSOLIDACION DEL MAPA'!P116)</f>
        <v/>
      </c>
      <c r="D116" s="82" t="str">
        <f>IF('CONSOLIDACION DEL MAPA'!Q116="","",'CONSOLIDACION DEL MAPA'!Q116)</f>
        <v/>
      </c>
      <c r="E116" s="82" t="str">
        <f>IF('CONSOLIDACION DEL MAPA'!R116="","",'CONSOLIDACION DEL MAPA'!R116)</f>
        <v/>
      </c>
      <c r="F116" s="101"/>
      <c r="G116" s="101"/>
      <c r="H116" s="163"/>
      <c r="I116" s="163"/>
      <c r="J116" s="100">
        <f t="shared" si="3"/>
        <v>0</v>
      </c>
    </row>
    <row r="117" spans="1:10" ht="16.5" thickBot="1" x14ac:dyDescent="0.3">
      <c r="A117" s="564"/>
      <c r="B117" s="565"/>
      <c r="C117" s="82" t="str">
        <f>IF('CONSOLIDACION DEL MAPA'!P117="","",'CONSOLIDACION DEL MAPA'!P117)</f>
        <v/>
      </c>
      <c r="D117" s="82" t="str">
        <f>IF('CONSOLIDACION DEL MAPA'!Q117="","",'CONSOLIDACION DEL MAPA'!Q117)</f>
        <v/>
      </c>
      <c r="E117" s="82" t="str">
        <f>IF('CONSOLIDACION DEL MAPA'!R117="","",'CONSOLIDACION DEL MAPA'!R117)</f>
        <v/>
      </c>
      <c r="F117" s="101"/>
      <c r="G117" s="101"/>
      <c r="H117" s="163"/>
      <c r="I117" s="163"/>
      <c r="J117" s="100">
        <f t="shared" si="3"/>
        <v>0</v>
      </c>
    </row>
    <row r="118" spans="1:10" ht="26.25" thickTop="1" x14ac:dyDescent="0.25">
      <c r="A118" s="562" t="str">
        <f>'CONSOLIDACION DEL MAPA'!A118</f>
        <v>9C</v>
      </c>
      <c r="B118" s="565" t="str">
        <f>'CONSOLIDACION DEL MAPA'!B118</f>
        <v>Comunicaciones Concentración de información de determinadas actividades o procesos en una persona</v>
      </c>
      <c r="C118" s="82" t="str">
        <f>IF('CONSOLIDACION DEL MAPA'!P118="","",'CONSOLIDACION DEL MAPA'!P118)</f>
        <v>No Establecer</v>
      </c>
      <c r="D118" s="82" t="str">
        <f>IF('CONSOLIDACION DEL MAPA'!Q118="","",'CONSOLIDACION DEL MAPA'!Q118)</f>
        <v>Seguir ejecutando y monitoreando los controles existentes</v>
      </c>
      <c r="E118" s="82" t="str">
        <f>IF('CONSOLIDACION DEL MAPA'!R118="","",'CONSOLIDACION DEL MAPA'!R118)</f>
        <v>No Aplica</v>
      </c>
      <c r="F118" s="101"/>
      <c r="G118" s="101"/>
      <c r="H118" s="163"/>
      <c r="I118" s="163"/>
      <c r="J118" s="100">
        <f t="shared" si="3"/>
        <v>0</v>
      </c>
    </row>
    <row r="119" spans="1:10" ht="15.75" x14ac:dyDescent="0.25">
      <c r="A119" s="563"/>
      <c r="B119" s="565"/>
      <c r="C119" s="82" t="str">
        <f>IF('CONSOLIDACION DEL MAPA'!P119="","",'CONSOLIDACION DEL MAPA'!P119)</f>
        <v/>
      </c>
      <c r="D119" s="82" t="str">
        <f>IF('CONSOLIDACION DEL MAPA'!Q119="","",'CONSOLIDACION DEL MAPA'!Q119)</f>
        <v/>
      </c>
      <c r="E119" s="82" t="str">
        <f>IF('CONSOLIDACION DEL MAPA'!R119="","",'CONSOLIDACION DEL MAPA'!R119)</f>
        <v/>
      </c>
      <c r="F119" s="101"/>
      <c r="G119" s="101"/>
      <c r="H119" s="163"/>
      <c r="I119" s="163"/>
      <c r="J119" s="100">
        <f t="shared" si="3"/>
        <v>0</v>
      </c>
    </row>
    <row r="120" spans="1:10" ht="16.5" thickBot="1" x14ac:dyDescent="0.3">
      <c r="A120" s="564"/>
      <c r="B120" s="565"/>
      <c r="C120" s="82" t="str">
        <f>IF('CONSOLIDACION DEL MAPA'!P120="","",'CONSOLIDACION DEL MAPA'!P120)</f>
        <v/>
      </c>
      <c r="D120" s="82" t="str">
        <f>IF('CONSOLIDACION DEL MAPA'!Q120="","",'CONSOLIDACION DEL MAPA'!Q120)</f>
        <v/>
      </c>
      <c r="E120" s="82" t="str">
        <f>IF('CONSOLIDACION DEL MAPA'!R120="","",'CONSOLIDACION DEL MAPA'!R120)</f>
        <v/>
      </c>
      <c r="F120" s="101"/>
      <c r="G120" s="101"/>
      <c r="H120" s="163"/>
      <c r="I120" s="163"/>
      <c r="J120" s="100">
        <f t="shared" si="3"/>
        <v>0</v>
      </c>
    </row>
    <row r="121" spans="1:10" ht="39" thickTop="1" x14ac:dyDescent="0.25">
      <c r="A121" s="562" t="str">
        <f>'CONSOLIDACION DEL MAPA'!A121</f>
        <v>10C</v>
      </c>
      <c r="B121" s="565" t="str">
        <f>'CONSOLIDACION DEL MAPA'!B121</f>
        <v xml:space="preserve">Gestión Academica. Ausencia de canales de comunicación
</v>
      </c>
      <c r="C121" s="82" t="str">
        <f>IF('CONSOLIDACION DEL MAPA'!P121="","",'CONSOLIDACION DEL MAPA'!P121)</f>
        <v>Reducir</v>
      </c>
      <c r="D121" s="82" t="str">
        <f>IF('CONSOLIDACION DEL MAPA'!Q121="","",'CONSOLIDACION DEL MAPA'!Q121)</f>
        <v>Mejorar la selección del personal para que su permanencia sea mayor en el desarrollo de su cargo.</v>
      </c>
      <c r="E121" s="82" t="str">
        <f>IF('CONSOLIDACION DEL MAPA'!R121="","",'CONSOLIDACION DEL MAPA'!R121)</f>
        <v>Sin Implementar</v>
      </c>
      <c r="F121" s="101" t="s">
        <v>858</v>
      </c>
      <c r="G121" s="101">
        <v>1</v>
      </c>
      <c r="H121" s="163">
        <v>42576</v>
      </c>
      <c r="I121" s="163">
        <v>42941</v>
      </c>
      <c r="J121" s="100">
        <f t="shared" si="3"/>
        <v>52.142857142857146</v>
      </c>
    </row>
    <row r="122" spans="1:10" ht="15.75" x14ac:dyDescent="0.25">
      <c r="A122" s="563"/>
      <c r="B122" s="565"/>
      <c r="C122" s="82" t="str">
        <f>IF('CONSOLIDACION DEL MAPA'!P122="","",'CONSOLIDACION DEL MAPA'!P122)</f>
        <v/>
      </c>
      <c r="D122" s="82" t="str">
        <f>IF('CONSOLIDACION DEL MAPA'!Q122="","",'CONSOLIDACION DEL MAPA'!Q122)</f>
        <v/>
      </c>
      <c r="E122" s="82" t="str">
        <f>IF('CONSOLIDACION DEL MAPA'!R122="","",'CONSOLIDACION DEL MAPA'!R122)</f>
        <v/>
      </c>
      <c r="F122" s="101"/>
      <c r="G122" s="101"/>
      <c r="H122" s="163"/>
      <c r="I122" s="163"/>
      <c r="J122" s="100">
        <f t="shared" si="3"/>
        <v>0</v>
      </c>
    </row>
    <row r="123" spans="1:10" ht="16.5" thickBot="1" x14ac:dyDescent="0.3">
      <c r="A123" s="564"/>
      <c r="B123" s="565"/>
      <c r="C123" s="82" t="str">
        <f>IF('CONSOLIDACION DEL MAPA'!P123="","",'CONSOLIDACION DEL MAPA'!P123)</f>
        <v/>
      </c>
      <c r="D123" s="82" t="str">
        <f>IF('CONSOLIDACION DEL MAPA'!Q123="","",'CONSOLIDACION DEL MAPA'!Q123)</f>
        <v/>
      </c>
      <c r="E123" s="82" t="str">
        <f>IF('CONSOLIDACION DEL MAPA'!R123="","",'CONSOLIDACION DEL MAPA'!R123)</f>
        <v/>
      </c>
      <c r="F123" s="101"/>
      <c r="G123" s="101"/>
      <c r="H123" s="163"/>
      <c r="I123" s="163"/>
      <c r="J123" s="100">
        <f t="shared" si="3"/>
        <v>0</v>
      </c>
    </row>
    <row r="124" spans="1:10" ht="32.25" thickTop="1" x14ac:dyDescent="0.25">
      <c r="A124" s="562" t="str">
        <f>'CONSOLIDACION DEL MAPA'!A124</f>
        <v>11C</v>
      </c>
      <c r="B124" s="565" t="str">
        <f>'CONSOLIDACION DEL MAPA'!B124</f>
        <v>Gestión Academica. Concentración de información de determinadas actividades o procesos en una persona</v>
      </c>
      <c r="C124" s="82" t="str">
        <f>IF('CONSOLIDACION DEL MAPA'!P124="","",'CONSOLIDACION DEL MAPA'!P124)</f>
        <v>Reducir</v>
      </c>
      <c r="D124" s="82" t="str">
        <f>IF('CONSOLIDACION DEL MAPA'!Q124="","",'CONSOLIDACION DEL MAPA'!Q124)</f>
        <v>Desarrollar talleres de trabajo en equipo y gestión del conocimiento</v>
      </c>
      <c r="E124" s="82" t="str">
        <f>IF('CONSOLIDACION DEL MAPA'!R124="","",'CONSOLIDACION DEL MAPA'!R124)</f>
        <v>Sin Implementar</v>
      </c>
      <c r="F124" s="101" t="s">
        <v>859</v>
      </c>
      <c r="G124" s="101">
        <v>3</v>
      </c>
      <c r="H124" s="163">
        <v>42576</v>
      </c>
      <c r="I124" s="163">
        <v>42941</v>
      </c>
      <c r="J124" s="100">
        <f t="shared" si="3"/>
        <v>52.142857142857146</v>
      </c>
    </row>
    <row r="125" spans="1:10" ht="15.75" x14ac:dyDescent="0.25">
      <c r="A125" s="563"/>
      <c r="B125" s="565"/>
      <c r="C125" s="82" t="str">
        <f>IF('CONSOLIDACION DEL MAPA'!P125="","",'CONSOLIDACION DEL MAPA'!P125)</f>
        <v/>
      </c>
      <c r="D125" s="82" t="str">
        <f>IF('CONSOLIDACION DEL MAPA'!Q125="","",'CONSOLIDACION DEL MAPA'!Q125)</f>
        <v/>
      </c>
      <c r="E125" s="82" t="str">
        <f>IF('CONSOLIDACION DEL MAPA'!R125="","",'CONSOLIDACION DEL MAPA'!R125)</f>
        <v/>
      </c>
      <c r="F125" s="101"/>
      <c r="G125" s="101"/>
      <c r="H125" s="163"/>
      <c r="I125" s="163"/>
      <c r="J125" s="100">
        <f t="shared" si="3"/>
        <v>0</v>
      </c>
    </row>
    <row r="126" spans="1:10" ht="16.5" thickBot="1" x14ac:dyDescent="0.3">
      <c r="A126" s="564"/>
      <c r="B126" s="565"/>
      <c r="C126" s="82" t="str">
        <f>IF('CONSOLIDACION DEL MAPA'!P126="","",'CONSOLIDACION DEL MAPA'!P126)</f>
        <v/>
      </c>
      <c r="D126" s="82" t="str">
        <f>IF('CONSOLIDACION DEL MAPA'!Q126="","",'CONSOLIDACION DEL MAPA'!Q126)</f>
        <v/>
      </c>
      <c r="E126" s="82" t="str">
        <f>IF('CONSOLIDACION DEL MAPA'!R126="","",'CONSOLIDACION DEL MAPA'!R126)</f>
        <v/>
      </c>
      <c r="F126" s="101"/>
      <c r="G126" s="101"/>
      <c r="H126" s="163"/>
      <c r="I126" s="163"/>
      <c r="J126" s="100">
        <f t="shared" si="3"/>
        <v>0</v>
      </c>
    </row>
    <row r="127" spans="1:10" ht="32.25" thickTop="1" x14ac:dyDescent="0.25">
      <c r="A127" s="562" t="str">
        <f>'CONSOLIDACION DEL MAPA'!A127</f>
        <v>12C</v>
      </c>
      <c r="B127" s="565" t="str">
        <f>'CONSOLIDACION DEL MAPA'!B127</f>
        <v>Gestión Academica. Deficiencias en el manejo documental y de archivo</v>
      </c>
      <c r="C127" s="82" t="str">
        <f>IF('CONSOLIDACION DEL MAPA'!P127="","",'CONSOLIDACION DEL MAPA'!P127)</f>
        <v>Reducir</v>
      </c>
      <c r="D127" s="82" t="str">
        <f>IF('CONSOLIDACION DEL MAPA'!Q127="","",'CONSOLIDACION DEL MAPA'!Q127)</f>
        <v>Desarrollar talleres gestión documental</v>
      </c>
      <c r="E127" s="82" t="str">
        <f>IF('CONSOLIDACION DEL MAPA'!R127="","",'CONSOLIDACION DEL MAPA'!R127)</f>
        <v>Sin Implementar</v>
      </c>
      <c r="F127" s="101" t="s">
        <v>859</v>
      </c>
      <c r="G127" s="101">
        <v>2</v>
      </c>
      <c r="H127" s="163">
        <v>42576</v>
      </c>
      <c r="I127" s="163">
        <v>42941</v>
      </c>
      <c r="J127" s="100">
        <f t="shared" si="3"/>
        <v>52.142857142857146</v>
      </c>
    </row>
    <row r="128" spans="1:10" ht="15.75" x14ac:dyDescent="0.25">
      <c r="A128" s="563"/>
      <c r="B128" s="565"/>
      <c r="C128" s="82" t="str">
        <f>IF('CONSOLIDACION DEL MAPA'!P128="","",'CONSOLIDACION DEL MAPA'!P128)</f>
        <v/>
      </c>
      <c r="D128" s="82" t="str">
        <f>IF('CONSOLIDACION DEL MAPA'!Q128="","",'CONSOLIDACION DEL MAPA'!Q128)</f>
        <v/>
      </c>
      <c r="E128" s="82" t="str">
        <f>IF('CONSOLIDACION DEL MAPA'!R128="","",'CONSOLIDACION DEL MAPA'!R128)</f>
        <v/>
      </c>
      <c r="F128" s="101"/>
      <c r="G128" s="101"/>
      <c r="H128" s="163"/>
      <c r="I128" s="163"/>
      <c r="J128" s="100">
        <f t="shared" si="3"/>
        <v>0</v>
      </c>
    </row>
    <row r="129" spans="1:10" ht="16.5" thickBot="1" x14ac:dyDescent="0.3">
      <c r="A129" s="564"/>
      <c r="B129" s="565"/>
      <c r="C129" s="82" t="str">
        <f>IF('CONSOLIDACION DEL MAPA'!P129="","",'CONSOLIDACION DEL MAPA'!P129)</f>
        <v/>
      </c>
      <c r="D129" s="82" t="str">
        <f>IF('CONSOLIDACION DEL MAPA'!Q129="","",'CONSOLIDACION DEL MAPA'!Q129)</f>
        <v/>
      </c>
      <c r="E129" s="82" t="str">
        <f>IF('CONSOLIDACION DEL MAPA'!R129="","",'CONSOLIDACION DEL MAPA'!R129)</f>
        <v/>
      </c>
      <c r="F129" s="101"/>
      <c r="G129" s="101"/>
      <c r="H129" s="163"/>
      <c r="I129" s="163"/>
      <c r="J129" s="100">
        <f t="shared" si="3"/>
        <v>0</v>
      </c>
    </row>
    <row r="130" spans="1:10" ht="39" thickTop="1" x14ac:dyDescent="0.25">
      <c r="A130" s="562" t="str">
        <f>'CONSOLIDACION DEL MAPA'!A130</f>
        <v>13C</v>
      </c>
      <c r="B130" s="565" t="str">
        <f>'CONSOLIDACION DEL MAPA'!B130</f>
        <v>Gestión de Investigación. Vulnerabilidad en el manejo de la información de la actividad investigativa</v>
      </c>
      <c r="C130" s="82" t="str">
        <f>IF('CONSOLIDACION DEL MAPA'!P130="","",'CONSOLIDACION DEL MAPA'!P130)</f>
        <v>Reducir</v>
      </c>
      <c r="D130" s="82" t="str">
        <f>IF('CONSOLIDACION DEL MAPA'!Q130="","",'CONSOLIDACION DEL MAPA'!Q130)</f>
        <v>Desarrollo e Implementación del Sistema de Información de la Vicerrectoría de investigación</v>
      </c>
      <c r="E130" s="82" t="str">
        <f>IF('CONSOLIDACION DEL MAPA'!R130="","",'CONSOLIDACION DEL MAPA'!R130)</f>
        <v>En Ejecución</v>
      </c>
      <c r="F130" s="101" t="s">
        <v>860</v>
      </c>
      <c r="G130" s="101">
        <v>1</v>
      </c>
      <c r="H130" s="163">
        <v>42388</v>
      </c>
      <c r="I130" s="163">
        <v>42723</v>
      </c>
      <c r="J130" s="100">
        <f t="shared" ref="J130:J165" si="4">(I130-H130)/7</f>
        <v>47.857142857142854</v>
      </c>
    </row>
    <row r="131" spans="1:10" ht="15.75" x14ac:dyDescent="0.25">
      <c r="A131" s="563"/>
      <c r="B131" s="565"/>
      <c r="C131" s="82" t="str">
        <f>IF('CONSOLIDACION DEL MAPA'!P131="","",'CONSOLIDACION DEL MAPA'!P131)</f>
        <v/>
      </c>
      <c r="D131" s="82" t="str">
        <f>IF('CONSOLIDACION DEL MAPA'!Q131="","",'CONSOLIDACION DEL MAPA'!Q131)</f>
        <v/>
      </c>
      <c r="E131" s="82" t="str">
        <f>IF('CONSOLIDACION DEL MAPA'!R131="","",'CONSOLIDACION DEL MAPA'!R131)</f>
        <v/>
      </c>
      <c r="F131" s="101"/>
      <c r="G131" s="101"/>
      <c r="H131" s="163"/>
      <c r="I131" s="163"/>
      <c r="J131" s="100">
        <f t="shared" si="4"/>
        <v>0</v>
      </c>
    </row>
    <row r="132" spans="1:10" ht="16.5" thickBot="1" x14ac:dyDescent="0.3">
      <c r="A132" s="564"/>
      <c r="B132" s="565"/>
      <c r="C132" s="82" t="str">
        <f>IF('CONSOLIDACION DEL MAPA'!P132="","",'CONSOLIDACION DEL MAPA'!P132)</f>
        <v/>
      </c>
      <c r="D132" s="82" t="str">
        <f>IF('CONSOLIDACION DEL MAPA'!Q132="","",'CONSOLIDACION DEL MAPA'!Q132)</f>
        <v/>
      </c>
      <c r="E132" s="82" t="str">
        <f>IF('CONSOLIDACION DEL MAPA'!R132="","",'CONSOLIDACION DEL MAPA'!R132)</f>
        <v/>
      </c>
      <c r="F132" s="101"/>
      <c r="G132" s="101"/>
      <c r="H132" s="163"/>
      <c r="I132" s="163"/>
      <c r="J132" s="100">
        <f t="shared" si="4"/>
        <v>0</v>
      </c>
    </row>
    <row r="133" spans="1:10" ht="32.25" thickTop="1" x14ac:dyDescent="0.25">
      <c r="A133" s="562" t="str">
        <f>'CONSOLIDACION DEL MAPA'!A133</f>
        <v>14C</v>
      </c>
      <c r="B133" s="565" t="str">
        <f>'CONSOLIDACION DEL MAPA'!B133</f>
        <v>Gestión de Investigación. Violación de la propiedad Intelectual.</v>
      </c>
      <c r="C133" s="82" t="str">
        <f>IF('CONSOLIDACION DEL MAPA'!P133="","",'CONSOLIDACION DEL MAPA'!P133)</f>
        <v>Reducir</v>
      </c>
      <c r="D133" s="82" t="str">
        <f>IF('CONSOLIDACION DEL MAPA'!Q133="","",'CONSOLIDACION DEL MAPA'!Q133)</f>
        <v>Programa de capacitación en Propiedad Intelectual</v>
      </c>
      <c r="E133" s="82" t="str">
        <f>IF('CONSOLIDACION DEL MAPA'!R133="","",'CONSOLIDACION DEL MAPA'!R133)</f>
        <v>En Ejecución</v>
      </c>
      <c r="F133" s="101" t="s">
        <v>861</v>
      </c>
      <c r="G133" s="101">
        <v>4</v>
      </c>
      <c r="H133" s="163">
        <v>42388</v>
      </c>
      <c r="I133" s="163">
        <v>42723</v>
      </c>
      <c r="J133" s="100">
        <f t="shared" si="4"/>
        <v>47.857142857142854</v>
      </c>
    </row>
    <row r="134" spans="1:10" ht="31.5" x14ac:dyDescent="0.25">
      <c r="A134" s="563"/>
      <c r="B134" s="565"/>
      <c r="C134" s="82" t="str">
        <f>IF('CONSOLIDACION DEL MAPA'!P134="","",'CONSOLIDACION DEL MAPA'!P134)</f>
        <v>Reducir</v>
      </c>
      <c r="D134" s="82" t="str">
        <f>IF('CONSOLIDACION DEL MAPA'!Q134="","",'CONSOLIDACION DEL MAPA'!Q134)</f>
        <v>Aprobación del Reglamento de PI</v>
      </c>
      <c r="E134" s="82" t="str">
        <f>IF('CONSOLIDACION DEL MAPA'!R134="","",'CONSOLIDACION DEL MAPA'!R134)</f>
        <v>Sin Implementar</v>
      </c>
      <c r="F134" s="101" t="s">
        <v>862</v>
      </c>
      <c r="G134" s="101">
        <v>1</v>
      </c>
      <c r="H134" s="163">
        <v>42388</v>
      </c>
      <c r="I134" s="163">
        <v>42723</v>
      </c>
      <c r="J134" s="100">
        <f t="shared" si="4"/>
        <v>47.857142857142854</v>
      </c>
    </row>
    <row r="135" spans="1:10" ht="16.5" thickBot="1" x14ac:dyDescent="0.3">
      <c r="A135" s="564"/>
      <c r="B135" s="565"/>
      <c r="C135" s="82" t="str">
        <f>IF('CONSOLIDACION DEL MAPA'!P135="","",'CONSOLIDACION DEL MAPA'!P135)</f>
        <v/>
      </c>
      <c r="D135" s="82" t="str">
        <f>IF('CONSOLIDACION DEL MAPA'!Q135="","",'CONSOLIDACION DEL MAPA'!Q135)</f>
        <v/>
      </c>
      <c r="E135" s="82" t="str">
        <f>IF('CONSOLIDACION DEL MAPA'!R135="","",'CONSOLIDACION DEL MAPA'!R135)</f>
        <v/>
      </c>
      <c r="F135" s="101"/>
      <c r="G135" s="101"/>
      <c r="H135" s="163"/>
      <c r="I135" s="163"/>
      <c r="J135" s="100">
        <f t="shared" si="4"/>
        <v>0</v>
      </c>
    </row>
    <row r="136" spans="1:10" ht="26.25" thickTop="1" x14ac:dyDescent="0.25">
      <c r="A136" s="562" t="str">
        <f>'CONSOLIDACION DEL MAPA'!A136</f>
        <v>15C</v>
      </c>
      <c r="B136" s="565" t="str">
        <f>'CONSOLIDACION DEL MAPA'!B136</f>
        <v>Gestión de Extensión y Proyección Social. Desviación o uso indebido de recursos, que impidan la ejecución de los proyectos y actividades misionales de la vicerrectoria de extensión y proyección social</v>
      </c>
      <c r="C136" s="82" t="str">
        <f>IF('CONSOLIDACION DEL MAPA'!P136="","",'CONSOLIDACION DEL MAPA'!P136)</f>
        <v>Reducir</v>
      </c>
      <c r="D136" s="82" t="str">
        <f>IF('CONSOLIDACION DEL MAPA'!Q136="","",'CONSOLIDACION DEL MAPA'!Q136)</f>
        <v>Implementación de sistema de información</v>
      </c>
      <c r="E136" s="82" t="str">
        <f>IF('CONSOLIDACION DEL MAPA'!R136="","",'CONSOLIDACION DEL MAPA'!R136)</f>
        <v>Sin Implementar</v>
      </c>
      <c r="F136" s="101" t="s">
        <v>849</v>
      </c>
      <c r="G136" s="101">
        <v>1</v>
      </c>
      <c r="H136" s="163">
        <v>42430</v>
      </c>
      <c r="I136" s="163">
        <v>42531</v>
      </c>
      <c r="J136" s="100">
        <f t="shared" si="4"/>
        <v>14.428571428571429</v>
      </c>
    </row>
    <row r="137" spans="1:10" ht="15.75" x14ac:dyDescent="0.25">
      <c r="A137" s="563"/>
      <c r="B137" s="565"/>
      <c r="C137" s="82" t="str">
        <f>IF('CONSOLIDACION DEL MAPA'!P137="","",'CONSOLIDACION DEL MAPA'!P137)</f>
        <v/>
      </c>
      <c r="D137" s="82" t="str">
        <f>IF('CONSOLIDACION DEL MAPA'!Q137="","",'CONSOLIDACION DEL MAPA'!Q137)</f>
        <v/>
      </c>
      <c r="E137" s="82" t="str">
        <f>IF('CONSOLIDACION DEL MAPA'!R137="","",'CONSOLIDACION DEL MAPA'!R137)</f>
        <v/>
      </c>
      <c r="F137" s="101"/>
      <c r="G137" s="101"/>
      <c r="H137" s="163"/>
      <c r="I137" s="163"/>
      <c r="J137" s="100">
        <f t="shared" si="4"/>
        <v>0</v>
      </c>
    </row>
    <row r="138" spans="1:10" ht="16.5" thickBot="1" x14ac:dyDescent="0.3">
      <c r="A138" s="564"/>
      <c r="B138" s="565"/>
      <c r="C138" s="82" t="str">
        <f>IF('CONSOLIDACION DEL MAPA'!P138="","",'CONSOLIDACION DEL MAPA'!P138)</f>
        <v/>
      </c>
      <c r="D138" s="82" t="str">
        <f>IF('CONSOLIDACION DEL MAPA'!Q138="","",'CONSOLIDACION DEL MAPA'!Q138)</f>
        <v/>
      </c>
      <c r="E138" s="82" t="str">
        <f>IF('CONSOLIDACION DEL MAPA'!R138="","",'CONSOLIDACION DEL MAPA'!R138)</f>
        <v/>
      </c>
      <c r="F138" s="101"/>
      <c r="G138" s="101"/>
      <c r="H138" s="163"/>
      <c r="I138" s="163"/>
      <c r="J138" s="100">
        <f t="shared" si="4"/>
        <v>0</v>
      </c>
    </row>
    <row r="139" spans="1:10" ht="39" thickTop="1" x14ac:dyDescent="0.25">
      <c r="A139" s="562" t="str">
        <f>'CONSOLIDACION DEL MAPA'!A139</f>
        <v>16C</v>
      </c>
      <c r="B139" s="565" t="str">
        <f>'CONSOLIDACION DEL MAPA'!B139</f>
        <v xml:space="preserve">Gestión de Extensión y Proyección Social. Concentración de la información en una persona. </v>
      </c>
      <c r="C139" s="82" t="str">
        <f>IF('CONSOLIDACION DEL MAPA'!P139="","",'CONSOLIDACION DEL MAPA'!P139)</f>
        <v>Evitar</v>
      </c>
      <c r="D139" s="82" t="str">
        <f>IF('CONSOLIDACION DEL MAPA'!Q139="","",'CONSOLIDACION DEL MAPA'!Q139)</f>
        <v>Socialización de los resultados de las actividades realizadas y por realizar.</v>
      </c>
      <c r="E139" s="82" t="str">
        <f>IF('CONSOLIDACION DEL MAPA'!R139="","",'CONSOLIDACION DEL MAPA'!R139)</f>
        <v>Sin Implementar</v>
      </c>
      <c r="F139" s="101" t="s">
        <v>863</v>
      </c>
      <c r="G139" s="101">
        <v>1</v>
      </c>
      <c r="H139" s="163">
        <v>42398</v>
      </c>
      <c r="I139" s="163">
        <v>42704</v>
      </c>
      <c r="J139" s="100">
        <f t="shared" si="4"/>
        <v>43.714285714285715</v>
      </c>
    </row>
    <row r="140" spans="1:10" ht="15.75" x14ac:dyDescent="0.25">
      <c r="A140" s="563"/>
      <c r="B140" s="565"/>
      <c r="C140" s="82" t="str">
        <f>IF('CONSOLIDACION DEL MAPA'!P140="","",'CONSOLIDACION DEL MAPA'!P140)</f>
        <v/>
      </c>
      <c r="D140" s="82" t="str">
        <f>IF('CONSOLIDACION DEL MAPA'!Q140="","",'CONSOLIDACION DEL MAPA'!Q140)</f>
        <v/>
      </c>
      <c r="E140" s="82" t="str">
        <f>IF('CONSOLIDACION DEL MAPA'!R140="","",'CONSOLIDACION DEL MAPA'!R140)</f>
        <v/>
      </c>
      <c r="F140" s="101"/>
      <c r="G140" s="101"/>
      <c r="H140" s="163"/>
      <c r="I140" s="163"/>
      <c r="J140" s="100">
        <f t="shared" si="4"/>
        <v>0</v>
      </c>
    </row>
    <row r="141" spans="1:10" ht="16.5" thickBot="1" x14ac:dyDescent="0.3">
      <c r="A141" s="564"/>
      <c r="B141" s="565"/>
      <c r="C141" s="82" t="str">
        <f>IF('CONSOLIDACION DEL MAPA'!P141="","",'CONSOLIDACION DEL MAPA'!P141)</f>
        <v/>
      </c>
      <c r="D141" s="82" t="str">
        <f>IF('CONSOLIDACION DEL MAPA'!Q141="","",'CONSOLIDACION DEL MAPA'!Q141)</f>
        <v/>
      </c>
      <c r="E141" s="82" t="str">
        <f>IF('CONSOLIDACION DEL MAPA'!R141="","",'CONSOLIDACION DEL MAPA'!R141)</f>
        <v/>
      </c>
      <c r="F141" s="101"/>
      <c r="G141" s="101"/>
      <c r="H141" s="163"/>
      <c r="I141" s="163"/>
      <c r="J141" s="100">
        <f t="shared" si="4"/>
        <v>0</v>
      </c>
    </row>
    <row r="142" spans="1:10" ht="48" thickTop="1" x14ac:dyDescent="0.25">
      <c r="A142" s="562" t="str">
        <f>'CONSOLIDACION DEL MAPA'!A142</f>
        <v>17C</v>
      </c>
      <c r="B142" s="565" t="str">
        <f>'CONSOLIDACION DEL MAPA'!B142</f>
        <v xml:space="preserve">Gestión de Extensión y Proyección Social. Inadecuada ejecución de los recursos asignados </v>
      </c>
      <c r="C142" s="82" t="str">
        <f>IF('CONSOLIDACION DEL MAPA'!P142="","",'CONSOLIDACION DEL MAPA'!P142)</f>
        <v>Evitar</v>
      </c>
      <c r="D142" s="82" t="str">
        <f>IF('CONSOLIDACION DEL MAPA'!Q142="","",'CONSOLIDACION DEL MAPA'!Q142)</f>
        <v>Divulgación de los resultados de los proyectos</v>
      </c>
      <c r="E142" s="82" t="str">
        <f>IF('CONSOLIDACION DEL MAPA'!R142="","",'CONSOLIDACION DEL MAPA'!R142)</f>
        <v>En Ejecución</v>
      </c>
      <c r="F142" s="101" t="s">
        <v>864</v>
      </c>
      <c r="G142" s="101">
        <v>1</v>
      </c>
      <c r="H142" s="163">
        <v>42398</v>
      </c>
      <c r="I142" s="163">
        <v>42704</v>
      </c>
      <c r="J142" s="100">
        <f t="shared" si="4"/>
        <v>43.714285714285715</v>
      </c>
    </row>
    <row r="143" spans="1:10" ht="15.75" x14ac:dyDescent="0.25">
      <c r="A143" s="563"/>
      <c r="B143" s="565"/>
      <c r="C143" s="82" t="str">
        <f>IF('CONSOLIDACION DEL MAPA'!P143="","",'CONSOLIDACION DEL MAPA'!P143)</f>
        <v/>
      </c>
      <c r="D143" s="82" t="str">
        <f>IF('CONSOLIDACION DEL MAPA'!Q143="","",'CONSOLIDACION DEL MAPA'!Q143)</f>
        <v/>
      </c>
      <c r="E143" s="82" t="str">
        <f>IF('CONSOLIDACION DEL MAPA'!R143="","",'CONSOLIDACION DEL MAPA'!R143)</f>
        <v/>
      </c>
      <c r="F143" s="101"/>
      <c r="G143" s="101"/>
      <c r="H143" s="163"/>
      <c r="I143" s="163"/>
      <c r="J143" s="100">
        <f t="shared" si="4"/>
        <v>0</v>
      </c>
    </row>
    <row r="144" spans="1:10" ht="16.5" thickBot="1" x14ac:dyDescent="0.3">
      <c r="A144" s="564"/>
      <c r="B144" s="565"/>
      <c r="C144" s="82" t="str">
        <f>IF('CONSOLIDACION DEL MAPA'!P144="","",'CONSOLIDACION DEL MAPA'!P144)</f>
        <v/>
      </c>
      <c r="D144" s="82" t="str">
        <f>IF('CONSOLIDACION DEL MAPA'!Q144="","",'CONSOLIDACION DEL MAPA'!Q144)</f>
        <v/>
      </c>
      <c r="E144" s="82" t="str">
        <f>IF('CONSOLIDACION DEL MAPA'!R144="","",'CONSOLIDACION DEL MAPA'!R144)</f>
        <v/>
      </c>
      <c r="F144" s="101"/>
      <c r="G144" s="101"/>
      <c r="H144" s="163"/>
      <c r="I144" s="163"/>
      <c r="J144" s="100">
        <f t="shared" si="4"/>
        <v>0</v>
      </c>
    </row>
    <row r="145" spans="1:10" ht="26.25" thickTop="1" x14ac:dyDescent="0.25">
      <c r="A145" s="562" t="str">
        <f>'CONSOLIDACION DEL MAPA'!A145</f>
        <v>18C</v>
      </c>
      <c r="B145" s="565" t="str">
        <f>'CONSOLIDACION DEL MAPA'!B145</f>
        <v>Gestión de Extensión y Proyección Social. Extralimitación de funciones.</v>
      </c>
      <c r="C145" s="82" t="str">
        <f>IF('CONSOLIDACION DEL MAPA'!P145="","",'CONSOLIDACION DEL MAPA'!P145)</f>
        <v>Evitar</v>
      </c>
      <c r="D145" s="82" t="str">
        <f>IF('CONSOLIDACION DEL MAPA'!Q145="","",'CONSOLIDACION DEL MAPA'!Q145)</f>
        <v>Establecer mecanismos eficientes de control.</v>
      </c>
      <c r="E145" s="82" t="str">
        <f>IF('CONSOLIDACION DEL MAPA'!R145="","",'CONSOLIDACION DEL MAPA'!R145)</f>
        <v>En Ejecución</v>
      </c>
      <c r="F145" s="101" t="s">
        <v>849</v>
      </c>
      <c r="G145" s="101">
        <v>1</v>
      </c>
      <c r="H145" s="163">
        <v>42398</v>
      </c>
      <c r="I145" s="163">
        <v>42704</v>
      </c>
      <c r="J145" s="100">
        <f t="shared" si="4"/>
        <v>43.714285714285715</v>
      </c>
    </row>
    <row r="146" spans="1:10" ht="15.75" x14ac:dyDescent="0.25">
      <c r="A146" s="563"/>
      <c r="B146" s="565"/>
      <c r="C146" s="82" t="str">
        <f>IF('CONSOLIDACION DEL MAPA'!P146="","",'CONSOLIDACION DEL MAPA'!P146)</f>
        <v/>
      </c>
      <c r="D146" s="82" t="str">
        <f>IF('CONSOLIDACION DEL MAPA'!Q146="","",'CONSOLIDACION DEL MAPA'!Q146)</f>
        <v/>
      </c>
      <c r="E146" s="82" t="str">
        <f>IF('CONSOLIDACION DEL MAPA'!R146="","",'CONSOLIDACION DEL MAPA'!R146)</f>
        <v/>
      </c>
      <c r="F146" s="101"/>
      <c r="G146" s="101"/>
      <c r="H146" s="163"/>
      <c r="I146" s="163"/>
      <c r="J146" s="100">
        <f t="shared" si="4"/>
        <v>0</v>
      </c>
    </row>
    <row r="147" spans="1:10" ht="16.5" thickBot="1" x14ac:dyDescent="0.3">
      <c r="A147" s="564"/>
      <c r="B147" s="565"/>
      <c r="C147" s="82" t="str">
        <f>IF('CONSOLIDACION DEL MAPA'!P147="","",'CONSOLIDACION DEL MAPA'!P147)</f>
        <v/>
      </c>
      <c r="D147" s="82" t="str">
        <f>IF('CONSOLIDACION DEL MAPA'!Q147="","",'CONSOLIDACION DEL MAPA'!Q147)</f>
        <v/>
      </c>
      <c r="E147" s="82" t="str">
        <f>IF('CONSOLIDACION DEL MAPA'!R147="","",'CONSOLIDACION DEL MAPA'!R147)</f>
        <v/>
      </c>
      <c r="F147" s="101"/>
      <c r="G147" s="101"/>
      <c r="H147" s="163"/>
      <c r="I147" s="163"/>
      <c r="J147" s="100">
        <f t="shared" si="4"/>
        <v>0</v>
      </c>
    </row>
    <row r="148" spans="1:10" ht="26.25" thickTop="1" x14ac:dyDescent="0.25">
      <c r="A148" s="562" t="str">
        <f>'CONSOLIDACION DEL MAPA'!A148</f>
        <v>19C</v>
      </c>
      <c r="B148" s="565" t="str">
        <f>'CONSOLIDACION DEL MAPA'!B148</f>
        <v>Gestión de Extensión y Proyección Social. Omisión de la ley para beneficio propio.</v>
      </c>
      <c r="C148" s="82" t="str">
        <f>IF('CONSOLIDACION DEL MAPA'!P148="","",'CONSOLIDACION DEL MAPA'!P148)</f>
        <v>Evitar</v>
      </c>
      <c r="D148" s="82" t="str">
        <f>IF('CONSOLIDACION DEL MAPA'!Q148="","",'CONSOLIDACION DEL MAPA'!Q148)</f>
        <v>Solicitud de asesoría legal suficiente.</v>
      </c>
      <c r="E148" s="82" t="str">
        <f>IF('CONSOLIDACION DEL MAPA'!R148="","",'CONSOLIDACION DEL MAPA'!R148)</f>
        <v>En Ejecución</v>
      </c>
      <c r="F148" s="101" t="s">
        <v>863</v>
      </c>
      <c r="G148" s="101">
        <v>1</v>
      </c>
      <c r="H148" s="163">
        <v>42398</v>
      </c>
      <c r="I148" s="163">
        <v>42704</v>
      </c>
      <c r="J148" s="100">
        <f t="shared" si="4"/>
        <v>43.714285714285715</v>
      </c>
    </row>
    <row r="149" spans="1:10" ht="15.75" x14ac:dyDescent="0.25">
      <c r="A149" s="563"/>
      <c r="B149" s="565"/>
      <c r="C149" s="82" t="str">
        <f>IF('CONSOLIDACION DEL MAPA'!P149="","",'CONSOLIDACION DEL MAPA'!P149)</f>
        <v/>
      </c>
      <c r="D149" s="82" t="str">
        <f>IF('CONSOLIDACION DEL MAPA'!Q149="","",'CONSOLIDACION DEL MAPA'!Q149)</f>
        <v/>
      </c>
      <c r="E149" s="82" t="str">
        <f>IF('CONSOLIDACION DEL MAPA'!R149="","",'CONSOLIDACION DEL MAPA'!R149)</f>
        <v/>
      </c>
      <c r="F149" s="101"/>
      <c r="G149" s="101"/>
      <c r="H149" s="163"/>
      <c r="I149" s="163"/>
      <c r="J149" s="100">
        <f t="shared" si="4"/>
        <v>0</v>
      </c>
    </row>
    <row r="150" spans="1:10" ht="16.5" thickBot="1" x14ac:dyDescent="0.3">
      <c r="A150" s="564"/>
      <c r="B150" s="565"/>
      <c r="C150" s="82" t="str">
        <f>IF('CONSOLIDACION DEL MAPA'!P150="","",'CONSOLIDACION DEL MAPA'!P150)</f>
        <v/>
      </c>
      <c r="D150" s="82" t="str">
        <f>IF('CONSOLIDACION DEL MAPA'!Q150="","",'CONSOLIDACION DEL MAPA'!Q150)</f>
        <v/>
      </c>
      <c r="E150" s="82" t="str">
        <f>IF('CONSOLIDACION DEL MAPA'!R150="","",'CONSOLIDACION DEL MAPA'!R150)</f>
        <v/>
      </c>
      <c r="F150" s="101"/>
      <c r="G150" s="101"/>
      <c r="H150" s="163"/>
      <c r="I150" s="163"/>
      <c r="J150" s="100">
        <f t="shared" si="4"/>
        <v>0</v>
      </c>
    </row>
    <row r="151" spans="1:10" ht="26.25" thickTop="1" x14ac:dyDescent="0.25">
      <c r="A151" s="562" t="str">
        <f>'CONSOLIDACION DEL MAPA'!A151</f>
        <v>20C</v>
      </c>
      <c r="B151" s="565" t="str">
        <f>'CONSOLIDACION DEL MAPA'!B151</f>
        <v>Gestión de Contratación. Pliegos de condiciones hechos a la medida de una firma en particular.</v>
      </c>
      <c r="C151" s="82" t="str">
        <f>IF('CONSOLIDACION DEL MAPA'!P151="","",'CONSOLIDACION DEL MAPA'!P151)</f>
        <v>No Establecer</v>
      </c>
      <c r="D151" s="82" t="str">
        <f>IF('CONSOLIDACION DEL MAPA'!Q151="","",'CONSOLIDACION DEL MAPA'!Q151)</f>
        <v>Seguir ejecutando y monitoreando los controles existentes</v>
      </c>
      <c r="E151" s="82" t="str">
        <f>IF('CONSOLIDACION DEL MAPA'!R151="","",'CONSOLIDACION DEL MAPA'!R151)</f>
        <v>No Aplica</v>
      </c>
      <c r="F151" s="101"/>
      <c r="G151" s="101"/>
      <c r="H151" s="163"/>
      <c r="I151" s="163"/>
      <c r="J151" s="100">
        <f t="shared" si="4"/>
        <v>0</v>
      </c>
    </row>
    <row r="152" spans="1:10" ht="15.75" x14ac:dyDescent="0.25">
      <c r="A152" s="563"/>
      <c r="B152" s="565"/>
      <c r="C152" s="82" t="str">
        <f>IF('CONSOLIDACION DEL MAPA'!P152="","",'CONSOLIDACION DEL MAPA'!P152)</f>
        <v/>
      </c>
      <c r="D152" s="82" t="str">
        <f>IF('CONSOLIDACION DEL MAPA'!Q152="","",'CONSOLIDACION DEL MAPA'!Q152)</f>
        <v/>
      </c>
      <c r="E152" s="82" t="str">
        <f>IF('CONSOLIDACION DEL MAPA'!R152="","",'CONSOLIDACION DEL MAPA'!R152)</f>
        <v/>
      </c>
      <c r="F152" s="101"/>
      <c r="G152" s="101"/>
      <c r="H152" s="163"/>
      <c r="I152" s="163"/>
      <c r="J152" s="100">
        <f t="shared" si="4"/>
        <v>0</v>
      </c>
    </row>
    <row r="153" spans="1:10" ht="16.5" thickBot="1" x14ac:dyDescent="0.3">
      <c r="A153" s="564"/>
      <c r="B153" s="565"/>
      <c r="C153" s="82" t="str">
        <f>IF('CONSOLIDACION DEL MAPA'!P153="","",'CONSOLIDACION DEL MAPA'!P153)</f>
        <v/>
      </c>
      <c r="D153" s="82" t="str">
        <f>IF('CONSOLIDACION DEL MAPA'!Q153="","",'CONSOLIDACION DEL MAPA'!Q153)</f>
        <v/>
      </c>
      <c r="E153" s="82" t="str">
        <f>IF('CONSOLIDACION DEL MAPA'!R153="","",'CONSOLIDACION DEL MAPA'!R153)</f>
        <v/>
      </c>
      <c r="F153" s="101"/>
      <c r="G153" s="101"/>
      <c r="H153" s="163"/>
      <c r="I153" s="163"/>
      <c r="J153" s="100">
        <f t="shared" si="4"/>
        <v>0</v>
      </c>
    </row>
    <row r="154" spans="1:10" ht="39" thickTop="1" x14ac:dyDescent="0.25">
      <c r="A154" s="562" t="str">
        <f>'CONSOLIDACION DEL MAPA'!A154</f>
        <v>21C</v>
      </c>
      <c r="B154" s="565" t="str">
        <f>'CONSOLIDACION DEL MAPA'!B154</f>
        <v xml:space="preserve">Gestión Financiera. Pago de obligaciones sin el lleno de requisitos. </v>
      </c>
      <c r="C154" s="82" t="str">
        <f>IF('CONSOLIDACION DEL MAPA'!P154="","",'CONSOLIDACION DEL MAPA'!P154)</f>
        <v>Reducir</v>
      </c>
      <c r="D154" s="82" t="str">
        <f>IF('CONSOLIDACION DEL MAPA'!Q154="","",'CONSOLIDACION DEL MAPA'!Q154)</f>
        <v>Verificación de los requisitos legales, contables, tributarios y administrativos</v>
      </c>
      <c r="E154" s="82" t="str">
        <f>IF('CONSOLIDACION DEL MAPA'!R154="","",'CONSOLIDACION DEL MAPA'!R154)</f>
        <v>En Ejecución</v>
      </c>
      <c r="F154" s="101" t="s">
        <v>865</v>
      </c>
      <c r="G154" s="101">
        <v>1</v>
      </c>
      <c r="H154" s="163">
        <v>42373</v>
      </c>
      <c r="I154" s="163">
        <v>42735</v>
      </c>
      <c r="J154" s="100">
        <f t="shared" si="4"/>
        <v>51.714285714285715</v>
      </c>
    </row>
    <row r="155" spans="1:10" ht="15.75" x14ac:dyDescent="0.25">
      <c r="A155" s="563"/>
      <c r="B155" s="565"/>
      <c r="C155" s="82" t="str">
        <f>IF('CONSOLIDACION DEL MAPA'!P155="","",'CONSOLIDACION DEL MAPA'!P155)</f>
        <v/>
      </c>
      <c r="D155" s="82" t="str">
        <f>IF('CONSOLIDACION DEL MAPA'!Q155="","",'CONSOLIDACION DEL MAPA'!Q155)</f>
        <v/>
      </c>
      <c r="E155" s="82" t="str">
        <f>IF('CONSOLIDACION DEL MAPA'!R155="","",'CONSOLIDACION DEL MAPA'!R155)</f>
        <v/>
      </c>
      <c r="F155" s="101"/>
      <c r="G155" s="101"/>
      <c r="H155" s="163"/>
      <c r="I155" s="163"/>
      <c r="J155" s="100">
        <f t="shared" si="4"/>
        <v>0</v>
      </c>
    </row>
    <row r="156" spans="1:10" ht="16.5" thickBot="1" x14ac:dyDescent="0.3">
      <c r="A156" s="564"/>
      <c r="B156" s="565"/>
      <c r="C156" s="82" t="str">
        <f>IF('CONSOLIDACION DEL MAPA'!P156="","",'CONSOLIDACION DEL MAPA'!P156)</f>
        <v/>
      </c>
      <c r="D156" s="82" t="str">
        <f>IF('CONSOLIDACION DEL MAPA'!Q156="","",'CONSOLIDACION DEL MAPA'!Q156)</f>
        <v/>
      </c>
      <c r="E156" s="82" t="str">
        <f>IF('CONSOLIDACION DEL MAPA'!R156="","",'CONSOLIDACION DEL MAPA'!R156)</f>
        <v/>
      </c>
      <c r="F156" s="101"/>
      <c r="G156" s="101"/>
      <c r="H156" s="163"/>
      <c r="I156" s="163"/>
      <c r="J156" s="100">
        <f t="shared" si="4"/>
        <v>0</v>
      </c>
    </row>
    <row r="157" spans="1:10" ht="32.25" thickTop="1" x14ac:dyDescent="0.25">
      <c r="A157" s="562" t="str">
        <f>'CONSOLIDACION DEL MAPA'!A157</f>
        <v>22C</v>
      </c>
      <c r="B157" s="565" t="str">
        <f>'CONSOLIDACION DEL MAPA'!B157</f>
        <v>Gestión Financiera. Perdida de titulos valores</v>
      </c>
      <c r="C157" s="82" t="str">
        <f>IF('CONSOLIDACION DEL MAPA'!P157="","",'CONSOLIDACION DEL MAPA'!P157)</f>
        <v>Evitar</v>
      </c>
      <c r="D157" s="82" t="str">
        <f>IF('CONSOLIDACION DEL MAPA'!Q157="","",'CONSOLIDACION DEL MAPA'!Q157)</f>
        <v>Verificar los títulos valores custodiados.</v>
      </c>
      <c r="E157" s="82" t="str">
        <f>IF('CONSOLIDACION DEL MAPA'!R157="","",'CONSOLIDACION DEL MAPA'!R157)</f>
        <v>En Ejecución</v>
      </c>
      <c r="F157" s="101" t="s">
        <v>866</v>
      </c>
      <c r="G157" s="101">
        <v>4</v>
      </c>
      <c r="H157" s="163">
        <v>42373</v>
      </c>
      <c r="I157" s="163">
        <v>42735</v>
      </c>
      <c r="J157" s="100">
        <f t="shared" si="4"/>
        <v>51.714285714285715</v>
      </c>
    </row>
    <row r="158" spans="1:10" ht="15.75" x14ac:dyDescent="0.25">
      <c r="A158" s="563"/>
      <c r="B158" s="565"/>
      <c r="C158" s="82" t="str">
        <f>IF('CONSOLIDACION DEL MAPA'!P158="","",'CONSOLIDACION DEL MAPA'!P158)</f>
        <v/>
      </c>
      <c r="D158" s="82" t="str">
        <f>IF('CONSOLIDACION DEL MAPA'!Q158="","",'CONSOLIDACION DEL MAPA'!Q158)</f>
        <v/>
      </c>
      <c r="E158" s="82" t="str">
        <f>IF('CONSOLIDACION DEL MAPA'!R158="","",'CONSOLIDACION DEL MAPA'!R158)</f>
        <v/>
      </c>
      <c r="F158" s="101"/>
      <c r="G158" s="101"/>
      <c r="H158" s="163"/>
      <c r="I158" s="163"/>
      <c r="J158" s="100">
        <f t="shared" si="4"/>
        <v>0</v>
      </c>
    </row>
    <row r="159" spans="1:10" ht="16.5" thickBot="1" x14ac:dyDescent="0.3">
      <c r="A159" s="564"/>
      <c r="B159" s="565"/>
      <c r="C159" s="82" t="str">
        <f>IF('CONSOLIDACION DEL MAPA'!P159="","",'CONSOLIDACION DEL MAPA'!P159)</f>
        <v/>
      </c>
      <c r="D159" s="82" t="str">
        <f>IF('CONSOLIDACION DEL MAPA'!Q159="","",'CONSOLIDACION DEL MAPA'!Q159)</f>
        <v/>
      </c>
      <c r="E159" s="82" t="str">
        <f>IF('CONSOLIDACION DEL MAPA'!R159="","",'CONSOLIDACION DEL MAPA'!R159)</f>
        <v/>
      </c>
      <c r="F159" s="101"/>
      <c r="G159" s="101"/>
      <c r="H159" s="163"/>
      <c r="I159" s="163"/>
      <c r="J159" s="100">
        <f t="shared" si="4"/>
        <v>0</v>
      </c>
    </row>
    <row r="160" spans="1:10" ht="39" thickTop="1" x14ac:dyDescent="0.25">
      <c r="A160" s="562" t="str">
        <f>'CONSOLIDACION DEL MAPA'!A160</f>
        <v>23C</v>
      </c>
      <c r="B160" s="565" t="str">
        <f>'CONSOLIDACION DEL MAPA'!B160</f>
        <v>Gestión Financiera. Omisión en la aplicación  de la normatividad vigente en los procesos de la Gestión Financiera</v>
      </c>
      <c r="C160" s="82" t="str">
        <f>IF('CONSOLIDACION DEL MAPA'!P160="","",'CONSOLIDACION DEL MAPA'!P160)</f>
        <v>Reducir</v>
      </c>
      <c r="D160" s="82" t="str">
        <f>IF('CONSOLIDACION DEL MAPA'!Q160="","",'CONSOLIDACION DEL MAPA'!Q160)</f>
        <v>Realizar reuniones con equipo financiero para unificación de criterios</v>
      </c>
      <c r="E160" s="82" t="str">
        <f>IF('CONSOLIDACION DEL MAPA'!R160="","",'CONSOLIDACION DEL MAPA'!R160)</f>
        <v>En Ejecución</v>
      </c>
      <c r="F160" s="101" t="s">
        <v>867</v>
      </c>
      <c r="G160" s="101">
        <v>4</v>
      </c>
      <c r="H160" s="163">
        <v>42373</v>
      </c>
      <c r="I160" s="163">
        <v>42735</v>
      </c>
      <c r="J160" s="100">
        <f t="shared" si="4"/>
        <v>51.714285714285715</v>
      </c>
    </row>
    <row r="161" spans="1:10" ht="15.75" x14ac:dyDescent="0.25">
      <c r="A161" s="563"/>
      <c r="B161" s="565"/>
      <c r="C161" s="82" t="str">
        <f>IF('CONSOLIDACION DEL MAPA'!P161="","",'CONSOLIDACION DEL MAPA'!P161)</f>
        <v/>
      </c>
      <c r="D161" s="82" t="str">
        <f>IF('CONSOLIDACION DEL MAPA'!Q161="","",'CONSOLIDACION DEL MAPA'!Q161)</f>
        <v/>
      </c>
      <c r="E161" s="82" t="str">
        <f>IF('CONSOLIDACION DEL MAPA'!R161="","",'CONSOLIDACION DEL MAPA'!R161)</f>
        <v/>
      </c>
      <c r="F161" s="101"/>
      <c r="G161" s="101"/>
      <c r="H161" s="163"/>
      <c r="I161" s="163"/>
      <c r="J161" s="100">
        <f t="shared" si="4"/>
        <v>0</v>
      </c>
    </row>
    <row r="162" spans="1:10" ht="16.5" thickBot="1" x14ac:dyDescent="0.3">
      <c r="A162" s="564"/>
      <c r="B162" s="565"/>
      <c r="C162" s="82" t="str">
        <f>IF('CONSOLIDACION DEL MAPA'!P162="","",'CONSOLIDACION DEL MAPA'!P162)</f>
        <v/>
      </c>
      <c r="D162" s="82" t="str">
        <f>IF('CONSOLIDACION DEL MAPA'!Q162="","",'CONSOLIDACION DEL MAPA'!Q162)</f>
        <v/>
      </c>
      <c r="E162" s="82" t="str">
        <f>IF('CONSOLIDACION DEL MAPA'!R162="","",'CONSOLIDACION DEL MAPA'!R162)</f>
        <v/>
      </c>
      <c r="F162" s="101"/>
      <c r="G162" s="101"/>
      <c r="H162" s="163"/>
      <c r="I162" s="163"/>
      <c r="J162" s="100">
        <f t="shared" si="4"/>
        <v>0</v>
      </c>
    </row>
    <row r="163" spans="1:10" ht="26.25" thickTop="1" x14ac:dyDescent="0.25">
      <c r="A163" s="562" t="str">
        <f>'CONSOLIDACION DEL MAPA'!A163</f>
        <v>24C</v>
      </c>
      <c r="B163" s="565" t="str">
        <f>'CONSOLIDACION DEL MAPA'!B163</f>
        <v xml:space="preserve">Apoyo Tecnológico TIC. Vulnerabilidad de la Información </v>
      </c>
      <c r="C163" s="82" t="str">
        <f>IF('CONSOLIDACION DEL MAPA'!P163="","",'CONSOLIDACION DEL MAPA'!P163)</f>
        <v>Reducir</v>
      </c>
      <c r="D163" s="82" t="str">
        <f>IF('CONSOLIDACION DEL MAPA'!Q163="","",'CONSOLIDACION DEL MAPA'!Q163)</f>
        <v>Contratar la seguridad gestionada a través de firewall perimetral</v>
      </c>
      <c r="E163" s="82" t="str">
        <f>IF('CONSOLIDACION DEL MAPA'!R163="","",'CONSOLIDACION DEL MAPA'!R163)</f>
        <v>En Ejecución</v>
      </c>
      <c r="F163" s="101" t="s">
        <v>868</v>
      </c>
      <c r="G163" s="101">
        <v>1</v>
      </c>
      <c r="H163" s="163">
        <v>42495</v>
      </c>
      <c r="I163" s="163">
        <v>42735</v>
      </c>
      <c r="J163" s="100">
        <f t="shared" si="4"/>
        <v>34.285714285714285</v>
      </c>
    </row>
    <row r="164" spans="1:10" ht="25.5" x14ac:dyDescent="0.25">
      <c r="A164" s="563"/>
      <c r="B164" s="565"/>
      <c r="C164" s="82" t="str">
        <f>IF('CONSOLIDACION DEL MAPA'!P164="","",'CONSOLIDACION DEL MAPA'!P164)</f>
        <v>Reducir</v>
      </c>
      <c r="D164" s="82" t="str">
        <f>IF('CONSOLIDACION DEL MAPA'!Q164="","",'CONSOLIDACION DEL MAPA'!Q164)</f>
        <v>Documentar los controles existentes</v>
      </c>
      <c r="E164" s="82" t="str">
        <f>IF('CONSOLIDACION DEL MAPA'!R164="","",'CONSOLIDACION DEL MAPA'!R164)</f>
        <v>Sin Implementar</v>
      </c>
      <c r="F164" s="101" t="s">
        <v>869</v>
      </c>
      <c r="G164" s="101">
        <v>2</v>
      </c>
      <c r="H164" s="163">
        <v>42495</v>
      </c>
      <c r="I164" s="163">
        <v>42735</v>
      </c>
      <c r="J164" s="100">
        <f t="shared" si="4"/>
        <v>34.285714285714285</v>
      </c>
    </row>
    <row r="165" spans="1:10" ht="26.25" thickBot="1" x14ac:dyDescent="0.3">
      <c r="A165" s="564"/>
      <c r="B165" s="565"/>
      <c r="C165" s="82" t="str">
        <f>IF('CONSOLIDACION DEL MAPA'!P165="","",'CONSOLIDACION DEL MAPA'!P165)</f>
        <v>Reducir</v>
      </c>
      <c r="D165" s="82" t="str">
        <f>IF('CONSOLIDACION DEL MAPA'!Q165="","",'CONSOLIDACION DEL MAPA'!Q165)</f>
        <v>Realización de un Plan de Manejo y uso de la Información Institucional</v>
      </c>
      <c r="E165" s="82" t="str">
        <f>IF('CONSOLIDACION DEL MAPA'!R165="","",'CONSOLIDACION DEL MAPA'!R165)</f>
        <v>Sin Implementar</v>
      </c>
      <c r="F165" s="101" t="s">
        <v>870</v>
      </c>
      <c r="G165" s="101">
        <v>1</v>
      </c>
      <c r="H165" s="163">
        <v>42495</v>
      </c>
      <c r="I165" s="163">
        <v>42735</v>
      </c>
      <c r="J165" s="100">
        <f t="shared" si="4"/>
        <v>34.285714285714285</v>
      </c>
    </row>
    <row r="166" spans="1:10" ht="26.25" thickTop="1" x14ac:dyDescent="0.25">
      <c r="A166" s="562" t="str">
        <f>'CONSOLIDACION DEL MAPA'!A166</f>
        <v>25C</v>
      </c>
      <c r="B166" s="565" t="str">
        <f>'CONSOLIDACION DEL MAPA'!B166</f>
        <v xml:space="preserve">Gestión Documental. Entregar un título o certificado sin los requisitos para ello </v>
      </c>
      <c r="C166" s="82" t="str">
        <f>IF('CONSOLIDACION DEL MAPA'!P166="","",'CONSOLIDACION DEL MAPA'!P166)</f>
        <v>No Establecer</v>
      </c>
      <c r="D166" s="82" t="str">
        <f>IF('CONSOLIDACION DEL MAPA'!Q166="","",'CONSOLIDACION DEL MAPA'!Q166)</f>
        <v xml:space="preserve">Seguir ejecutando y monitoreando los controles existentes </v>
      </c>
      <c r="E166" s="82" t="str">
        <f>IF('CONSOLIDACION DEL MAPA'!R166="","",'CONSOLIDACION DEL MAPA'!R166)</f>
        <v>No Aplica</v>
      </c>
      <c r="F166" s="101"/>
      <c r="G166" s="101"/>
      <c r="H166" s="163"/>
      <c r="I166" s="163"/>
      <c r="J166" s="100">
        <f t="shared" ref="J166:J183" si="5">(I166-H166)/7</f>
        <v>0</v>
      </c>
    </row>
    <row r="167" spans="1:10" ht="15.75" x14ac:dyDescent="0.25">
      <c r="A167" s="563"/>
      <c r="B167" s="565"/>
      <c r="C167" s="82" t="str">
        <f>IF('CONSOLIDACION DEL MAPA'!P167="","",'CONSOLIDACION DEL MAPA'!P167)</f>
        <v/>
      </c>
      <c r="D167" s="82" t="str">
        <f>IF('CONSOLIDACION DEL MAPA'!Q167="","",'CONSOLIDACION DEL MAPA'!Q167)</f>
        <v/>
      </c>
      <c r="E167" s="82" t="str">
        <f>IF('CONSOLIDACION DEL MAPA'!R167="","",'CONSOLIDACION DEL MAPA'!R167)</f>
        <v/>
      </c>
      <c r="F167" s="101"/>
      <c r="G167" s="101"/>
      <c r="H167" s="163"/>
      <c r="I167" s="163"/>
      <c r="J167" s="100">
        <f t="shared" si="5"/>
        <v>0</v>
      </c>
    </row>
    <row r="168" spans="1:10" ht="16.5" thickBot="1" x14ac:dyDescent="0.3">
      <c r="A168" s="564"/>
      <c r="B168" s="565"/>
      <c r="C168" s="82" t="str">
        <f>IF('CONSOLIDACION DEL MAPA'!P168="","",'CONSOLIDACION DEL MAPA'!P168)</f>
        <v/>
      </c>
      <c r="D168" s="82" t="str">
        <f>IF('CONSOLIDACION DEL MAPA'!Q168="","",'CONSOLIDACION DEL MAPA'!Q168)</f>
        <v/>
      </c>
      <c r="E168" s="82" t="str">
        <f>IF('CONSOLIDACION DEL MAPA'!R168="","",'CONSOLIDACION DEL MAPA'!R168)</f>
        <v/>
      </c>
      <c r="F168" s="101"/>
      <c r="G168" s="101"/>
      <c r="H168" s="163"/>
      <c r="I168" s="163"/>
      <c r="J168" s="100">
        <f t="shared" si="5"/>
        <v>0</v>
      </c>
    </row>
    <row r="169" spans="1:10" ht="26.25" thickTop="1" x14ac:dyDescent="0.25">
      <c r="A169" s="562" t="str">
        <f>'CONSOLIDACION DEL MAPA'!A169</f>
        <v>26C</v>
      </c>
      <c r="B169" s="565" t="str">
        <f>'CONSOLIDACION DEL MAPA'!B169</f>
        <v>Gestión Documental. Expedición de un certificado de título falso</v>
      </c>
      <c r="C169" s="82" t="str">
        <f>IF('CONSOLIDACION DEL MAPA'!P169="","",'CONSOLIDACION DEL MAPA'!P169)</f>
        <v>No Establecer</v>
      </c>
      <c r="D169" s="82" t="str">
        <f>IF('CONSOLIDACION DEL MAPA'!Q169="","",'CONSOLIDACION DEL MAPA'!Q169)</f>
        <v xml:space="preserve">Seguir ejecutando y monitoreando los controles existentes </v>
      </c>
      <c r="E169" s="82" t="str">
        <f>IF('CONSOLIDACION DEL MAPA'!R169="","",'CONSOLIDACION DEL MAPA'!R169)</f>
        <v>No Aplica</v>
      </c>
      <c r="F169" s="101"/>
      <c r="G169" s="101"/>
      <c r="H169" s="163"/>
      <c r="I169" s="163"/>
      <c r="J169" s="100">
        <f t="shared" si="5"/>
        <v>0</v>
      </c>
    </row>
    <row r="170" spans="1:10" ht="15.75" x14ac:dyDescent="0.25">
      <c r="A170" s="563"/>
      <c r="B170" s="565"/>
      <c r="C170" s="82" t="str">
        <f>IF('CONSOLIDACION DEL MAPA'!P170="","",'CONSOLIDACION DEL MAPA'!P170)</f>
        <v/>
      </c>
      <c r="D170" s="82" t="str">
        <f>IF('CONSOLIDACION DEL MAPA'!Q170="","",'CONSOLIDACION DEL MAPA'!Q170)</f>
        <v/>
      </c>
      <c r="E170" s="82" t="str">
        <f>IF('CONSOLIDACION DEL MAPA'!R170="","",'CONSOLIDACION DEL MAPA'!R170)</f>
        <v/>
      </c>
      <c r="F170" s="101"/>
      <c r="G170" s="101"/>
      <c r="H170" s="163"/>
      <c r="I170" s="163"/>
      <c r="J170" s="100">
        <f t="shared" si="5"/>
        <v>0</v>
      </c>
    </row>
    <row r="171" spans="1:10" ht="16.5" thickBot="1" x14ac:dyDescent="0.3">
      <c r="A171" s="564"/>
      <c r="B171" s="565"/>
      <c r="C171" s="82" t="str">
        <f>IF('CONSOLIDACION DEL MAPA'!P171="","",'CONSOLIDACION DEL MAPA'!P171)</f>
        <v/>
      </c>
      <c r="D171" s="82" t="str">
        <f>IF('CONSOLIDACION DEL MAPA'!Q171="","",'CONSOLIDACION DEL MAPA'!Q171)</f>
        <v/>
      </c>
      <c r="E171" s="82" t="str">
        <f>IF('CONSOLIDACION DEL MAPA'!R171="","",'CONSOLIDACION DEL MAPA'!R171)</f>
        <v/>
      </c>
      <c r="F171" s="101"/>
      <c r="G171" s="101"/>
      <c r="H171" s="163"/>
      <c r="I171" s="163"/>
      <c r="J171" s="100">
        <f t="shared" si="5"/>
        <v>0</v>
      </c>
    </row>
    <row r="172" spans="1:10" ht="39" thickTop="1" x14ac:dyDescent="0.25">
      <c r="A172" s="562" t="str">
        <f>'CONSOLIDACION DEL MAPA'!A172</f>
        <v>27C</v>
      </c>
      <c r="B172" s="565" t="str">
        <f>'CONSOLIDACION DEL MAPA'!B172</f>
        <v>Gestión del Talento Humano. Concentración de información de determinadas actividades o procesos en una persona.</v>
      </c>
      <c r="C172" s="82" t="str">
        <f>IF('CONSOLIDACION DEL MAPA'!P172="","",'CONSOLIDACION DEL MAPA'!P172)</f>
        <v>Reducir</v>
      </c>
      <c r="D172" s="82" t="str">
        <f>IF('CONSOLIDACION DEL MAPA'!Q172="","",'CONSOLIDACION DEL MAPA'!Q172)</f>
        <v>Revisión y actualización de los procedimientos de la Gestión del Talento Humano</v>
      </c>
      <c r="E172" s="82" t="str">
        <f>IF('CONSOLIDACION DEL MAPA'!R172="","",'CONSOLIDACION DEL MAPA'!R172)</f>
        <v>En Ejecución</v>
      </c>
      <c r="F172" s="101" t="s">
        <v>871</v>
      </c>
      <c r="G172" s="101">
        <v>1</v>
      </c>
      <c r="H172" s="163">
        <v>42430</v>
      </c>
      <c r="I172" s="163">
        <v>42735</v>
      </c>
      <c r="J172" s="100">
        <f t="shared" si="5"/>
        <v>43.571428571428569</v>
      </c>
    </row>
    <row r="173" spans="1:10" ht="15.75" x14ac:dyDescent="0.25">
      <c r="A173" s="563"/>
      <c r="B173" s="565"/>
      <c r="C173" s="82" t="str">
        <f>IF('CONSOLIDACION DEL MAPA'!P173="","",'CONSOLIDACION DEL MAPA'!P173)</f>
        <v/>
      </c>
      <c r="D173" s="82" t="str">
        <f>IF('CONSOLIDACION DEL MAPA'!Q173="","",'CONSOLIDACION DEL MAPA'!Q173)</f>
        <v/>
      </c>
      <c r="E173" s="82" t="str">
        <f>IF('CONSOLIDACION DEL MAPA'!R173="","",'CONSOLIDACION DEL MAPA'!R173)</f>
        <v/>
      </c>
      <c r="F173" s="101"/>
      <c r="G173" s="101"/>
      <c r="H173" s="163"/>
      <c r="I173" s="163"/>
      <c r="J173" s="100">
        <f t="shared" si="5"/>
        <v>0</v>
      </c>
    </row>
    <row r="174" spans="1:10" ht="16.5" thickBot="1" x14ac:dyDescent="0.3">
      <c r="A174" s="564"/>
      <c r="B174" s="565"/>
      <c r="C174" s="82" t="str">
        <f>IF('CONSOLIDACION DEL MAPA'!P174="","",'CONSOLIDACION DEL MAPA'!P174)</f>
        <v/>
      </c>
      <c r="D174" s="82" t="str">
        <f>IF('CONSOLIDACION DEL MAPA'!Q174="","",'CONSOLIDACION DEL MAPA'!Q174)</f>
        <v/>
      </c>
      <c r="E174" s="82" t="str">
        <f>IF('CONSOLIDACION DEL MAPA'!R174="","",'CONSOLIDACION DEL MAPA'!R174)</f>
        <v/>
      </c>
      <c r="F174" s="101"/>
      <c r="G174" s="101"/>
      <c r="H174" s="163"/>
      <c r="I174" s="163"/>
      <c r="J174" s="100">
        <f t="shared" si="5"/>
        <v>0</v>
      </c>
    </row>
    <row r="175" spans="1:10" ht="39" thickTop="1" x14ac:dyDescent="0.25">
      <c r="A175" s="562" t="str">
        <f>'CONSOLIDACION DEL MAPA'!A175</f>
        <v>28C</v>
      </c>
      <c r="B175" s="565" t="str">
        <f>'CONSOLIDACION DEL MAPA'!B175</f>
        <v>Gestión del Talento Humano. Decisiones no ajustadas a la normatividad legal.</v>
      </c>
      <c r="C175" s="82" t="str">
        <f>IF('CONSOLIDACION DEL MAPA'!P175="","",'CONSOLIDACION DEL MAPA'!P175)</f>
        <v>Reducir</v>
      </c>
      <c r="D175" s="82" t="str">
        <f>IF('CONSOLIDACION DEL MAPA'!Q175="","",'CONSOLIDACION DEL MAPA'!Q175)</f>
        <v>Revisión y actualización el Normograma y los procedimientos de la Gestión del Talento Humano</v>
      </c>
      <c r="E175" s="82" t="str">
        <f>IF('CONSOLIDACION DEL MAPA'!R175="","",'CONSOLIDACION DEL MAPA'!R175)</f>
        <v>En Ejecución</v>
      </c>
      <c r="F175" s="101" t="s">
        <v>872</v>
      </c>
      <c r="G175" s="101">
        <v>1</v>
      </c>
      <c r="H175" s="163">
        <v>42430</v>
      </c>
      <c r="I175" s="163">
        <v>42735</v>
      </c>
      <c r="J175" s="100">
        <f t="shared" si="5"/>
        <v>43.571428571428569</v>
      </c>
    </row>
    <row r="176" spans="1:10" ht="15.75" x14ac:dyDescent="0.25">
      <c r="A176" s="563"/>
      <c r="B176" s="565"/>
      <c r="C176" s="82" t="str">
        <f>IF('CONSOLIDACION DEL MAPA'!P176="","",'CONSOLIDACION DEL MAPA'!P176)</f>
        <v/>
      </c>
      <c r="D176" s="82" t="str">
        <f>IF('CONSOLIDACION DEL MAPA'!Q176="","",'CONSOLIDACION DEL MAPA'!Q176)</f>
        <v/>
      </c>
      <c r="E176" s="82" t="str">
        <f>IF('CONSOLIDACION DEL MAPA'!R176="","",'CONSOLIDACION DEL MAPA'!R176)</f>
        <v/>
      </c>
      <c r="F176" s="101"/>
      <c r="G176" s="101"/>
      <c r="H176" s="163"/>
      <c r="I176" s="163"/>
      <c r="J176" s="100">
        <f t="shared" si="5"/>
        <v>0</v>
      </c>
    </row>
    <row r="177" spans="1:10" ht="16.5" thickBot="1" x14ac:dyDescent="0.3">
      <c r="A177" s="564"/>
      <c r="B177" s="565"/>
      <c r="C177" s="82" t="str">
        <f>IF('CONSOLIDACION DEL MAPA'!P177="","",'CONSOLIDACION DEL MAPA'!P177)</f>
        <v/>
      </c>
      <c r="D177" s="82" t="str">
        <f>IF('CONSOLIDACION DEL MAPA'!Q177="","",'CONSOLIDACION DEL MAPA'!Q177)</f>
        <v/>
      </c>
      <c r="E177" s="82" t="str">
        <f>IF('CONSOLIDACION DEL MAPA'!R177="","",'CONSOLIDACION DEL MAPA'!R177)</f>
        <v/>
      </c>
      <c r="F177" s="101"/>
      <c r="G177" s="101"/>
      <c r="H177" s="163"/>
      <c r="I177" s="163"/>
      <c r="J177" s="100">
        <f t="shared" si="5"/>
        <v>0</v>
      </c>
    </row>
    <row r="178" spans="1:10" ht="26.25" thickTop="1" x14ac:dyDescent="0.25">
      <c r="A178" s="562" t="str">
        <f>'CONSOLIDACION DEL MAPA'!A178</f>
        <v>29C</v>
      </c>
      <c r="B178" s="565" t="str">
        <f>'CONSOLIDACION DEL MAPA'!B178</f>
        <v>Gestión de Admisiones y Registro. Manipulación de resultados del examen  de admisión.</v>
      </c>
      <c r="C178" s="82" t="str">
        <f>IF('CONSOLIDACION DEL MAPA'!P178="","",'CONSOLIDACION DEL MAPA'!P178)</f>
        <v>No Establecer</v>
      </c>
      <c r="D178" s="82" t="str">
        <f>IF('CONSOLIDACION DEL MAPA'!Q178="","",'CONSOLIDACION DEL MAPA'!Q178)</f>
        <v>Seguir ejecutando y monitoreando los controles existentes.</v>
      </c>
      <c r="E178" s="82" t="str">
        <f>IF('CONSOLIDACION DEL MAPA'!R178="","",'CONSOLIDACION DEL MAPA'!R178)</f>
        <v>No Aplica</v>
      </c>
      <c r="F178" s="101"/>
      <c r="G178" s="101"/>
      <c r="H178" s="163"/>
      <c r="I178" s="163"/>
      <c r="J178" s="100">
        <f t="shared" si="5"/>
        <v>0</v>
      </c>
    </row>
    <row r="179" spans="1:10" ht="15.75" x14ac:dyDescent="0.25">
      <c r="A179" s="563"/>
      <c r="B179" s="565"/>
      <c r="C179" s="82" t="str">
        <f>IF('CONSOLIDACION DEL MAPA'!P179="","",'CONSOLIDACION DEL MAPA'!P179)</f>
        <v/>
      </c>
      <c r="D179" s="82" t="str">
        <f>IF('CONSOLIDACION DEL MAPA'!Q179="","",'CONSOLIDACION DEL MAPA'!Q179)</f>
        <v/>
      </c>
      <c r="E179" s="82" t="str">
        <f>IF('CONSOLIDACION DEL MAPA'!R179="","",'CONSOLIDACION DEL MAPA'!R179)</f>
        <v/>
      </c>
      <c r="F179" s="101"/>
      <c r="G179" s="101"/>
      <c r="H179" s="163"/>
      <c r="I179" s="163"/>
      <c r="J179" s="100">
        <f t="shared" si="5"/>
        <v>0</v>
      </c>
    </row>
    <row r="180" spans="1:10" ht="16.5" thickBot="1" x14ac:dyDescent="0.3">
      <c r="A180" s="564"/>
      <c r="B180" s="565"/>
      <c r="C180" s="82" t="str">
        <f>IF('CONSOLIDACION DEL MAPA'!P180="","",'CONSOLIDACION DEL MAPA'!P180)</f>
        <v/>
      </c>
      <c r="D180" s="82" t="str">
        <f>IF('CONSOLIDACION DEL MAPA'!Q180="","",'CONSOLIDACION DEL MAPA'!Q180)</f>
        <v/>
      </c>
      <c r="E180" s="82" t="str">
        <f>IF('CONSOLIDACION DEL MAPA'!R180="","",'CONSOLIDACION DEL MAPA'!R180)</f>
        <v/>
      </c>
      <c r="F180" s="101"/>
      <c r="G180" s="101"/>
      <c r="H180" s="163"/>
      <c r="I180" s="163"/>
      <c r="J180" s="100">
        <f t="shared" si="5"/>
        <v>0</v>
      </c>
    </row>
    <row r="181" spans="1:10" ht="26.25" thickTop="1" x14ac:dyDescent="0.25">
      <c r="A181" s="562" t="str">
        <f>'CONSOLIDACION DEL MAPA'!A181</f>
        <v>30C</v>
      </c>
      <c r="B181" s="565" t="str">
        <f>'CONSOLIDACION DEL MAPA'!B181</f>
        <v>Gestión de Admisiones y Registro. Alteración de notas de estudiantes.</v>
      </c>
      <c r="C181" s="82" t="str">
        <f>IF('CONSOLIDACION DEL MAPA'!P181="","",'CONSOLIDACION DEL MAPA'!P181)</f>
        <v>No Establecer</v>
      </c>
      <c r="D181" s="82" t="str">
        <f>IF('CONSOLIDACION DEL MAPA'!Q181="","",'CONSOLIDACION DEL MAPA'!Q181)</f>
        <v>Seguir ejecutando y monitoreando los controles existentes.</v>
      </c>
      <c r="E181" s="82" t="str">
        <f>IF('CONSOLIDACION DEL MAPA'!R181="","",'CONSOLIDACION DEL MAPA'!R181)</f>
        <v>No Aplica</v>
      </c>
      <c r="F181" s="101"/>
      <c r="G181" s="101"/>
      <c r="H181" s="163"/>
      <c r="I181" s="163"/>
      <c r="J181" s="100">
        <f t="shared" si="5"/>
        <v>0</v>
      </c>
    </row>
    <row r="182" spans="1:10" ht="15.75" x14ac:dyDescent="0.25">
      <c r="A182" s="563"/>
      <c r="B182" s="565"/>
      <c r="C182" s="82" t="str">
        <f>IF('CONSOLIDACION DEL MAPA'!P182="","",'CONSOLIDACION DEL MAPA'!P182)</f>
        <v/>
      </c>
      <c r="D182" s="82" t="str">
        <f>IF('CONSOLIDACION DEL MAPA'!Q182="","",'CONSOLIDACION DEL MAPA'!Q182)</f>
        <v/>
      </c>
      <c r="E182" s="82" t="str">
        <f>IF('CONSOLIDACION DEL MAPA'!R182="","",'CONSOLIDACION DEL MAPA'!R182)</f>
        <v/>
      </c>
      <c r="F182" s="101"/>
      <c r="G182" s="101"/>
      <c r="H182" s="163"/>
      <c r="I182" s="163"/>
      <c r="J182" s="100">
        <f t="shared" si="5"/>
        <v>0</v>
      </c>
    </row>
    <row r="183" spans="1:10" ht="16.5" thickBot="1" x14ac:dyDescent="0.3">
      <c r="A183" s="564"/>
      <c r="B183" s="565"/>
      <c r="C183" s="82" t="str">
        <f>IF('CONSOLIDACION DEL MAPA'!P183="","",'CONSOLIDACION DEL MAPA'!P183)</f>
        <v/>
      </c>
      <c r="D183" s="82" t="str">
        <f>IF('CONSOLIDACION DEL MAPA'!Q183="","",'CONSOLIDACION DEL MAPA'!Q183)</f>
        <v/>
      </c>
      <c r="E183" s="82" t="str">
        <f>IF('CONSOLIDACION DEL MAPA'!R183="","",'CONSOLIDACION DEL MAPA'!R183)</f>
        <v/>
      </c>
      <c r="F183" s="101"/>
      <c r="G183" s="101"/>
      <c r="H183" s="163"/>
      <c r="I183" s="163"/>
      <c r="J183" s="100">
        <f t="shared" si="5"/>
        <v>0</v>
      </c>
    </row>
    <row r="184" spans="1:10" ht="39" thickTop="1" x14ac:dyDescent="0.25">
      <c r="A184" s="562" t="str">
        <f>'CONSOLIDACION DEL MAPA'!A184</f>
        <v>31C</v>
      </c>
      <c r="B184" s="565" t="str">
        <f>'CONSOLIDACION DEL MAPA'!B184</f>
        <v>Gestión y Rendición de Cuentas. Rendición de cuentas a la ciudadanía inadecuada, incompleta e inoportuna</v>
      </c>
      <c r="C184" s="82" t="str">
        <f>IF('CONSOLIDACION DEL MAPA'!P184="","",'CONSOLIDACION DEL MAPA'!P184)</f>
        <v>Reducir</v>
      </c>
      <c r="D184" s="82" t="str">
        <f>IF('CONSOLIDACION DEL MAPA'!Q184="","",'CONSOLIDACION DEL MAPA'!Q184)</f>
        <v>Capacitación del personal en temas relacionados con la rendición de cuentas</v>
      </c>
      <c r="E184" s="82" t="str">
        <f>IF('CONSOLIDACION DEL MAPA'!R184="","",'CONSOLIDACION DEL MAPA'!R184)</f>
        <v>Sin Implementar</v>
      </c>
      <c r="F184" s="101" t="s">
        <v>873</v>
      </c>
      <c r="G184" s="101">
        <v>1</v>
      </c>
      <c r="H184" s="163">
        <v>42552</v>
      </c>
      <c r="I184" s="163">
        <v>42734</v>
      </c>
      <c r="J184" s="100">
        <f t="shared" ref="J184:J195" si="6">(I184-H184)/7</f>
        <v>26</v>
      </c>
    </row>
    <row r="185" spans="1:10" ht="47.25" x14ac:dyDescent="0.25">
      <c r="A185" s="563"/>
      <c r="B185" s="565"/>
      <c r="C185" s="82" t="str">
        <f>IF('CONSOLIDACION DEL MAPA'!P185="","",'CONSOLIDACION DEL MAPA'!P185)</f>
        <v>Reducir</v>
      </c>
      <c r="D185" s="82" t="str">
        <f>IF('CONSOLIDACION DEL MAPA'!Q185="","",'CONSOLIDACION DEL MAPA'!Q185)</f>
        <v>Planeación, ejecución y evaluación de audiencias públicas de rendición de cuentas</v>
      </c>
      <c r="E185" s="82" t="str">
        <f>IF('CONSOLIDACION DEL MAPA'!R185="","",'CONSOLIDACION DEL MAPA'!R185)</f>
        <v>En Ejecución</v>
      </c>
      <c r="F185" s="101" t="s">
        <v>874</v>
      </c>
      <c r="G185" s="101">
        <v>7</v>
      </c>
      <c r="H185" s="163">
        <v>42461</v>
      </c>
      <c r="I185" s="163">
        <v>42674</v>
      </c>
      <c r="J185" s="100">
        <f t="shared" si="6"/>
        <v>30.428571428571427</v>
      </c>
    </row>
    <row r="186" spans="1:10" ht="16.5" thickBot="1" x14ac:dyDescent="0.3">
      <c r="A186" s="564"/>
      <c r="B186" s="565"/>
      <c r="C186" s="82" t="str">
        <f>IF('CONSOLIDACION DEL MAPA'!P186="","",'CONSOLIDACION DEL MAPA'!P186)</f>
        <v/>
      </c>
      <c r="D186" s="82" t="str">
        <f>IF('CONSOLIDACION DEL MAPA'!Q186="","",'CONSOLIDACION DEL MAPA'!Q186)</f>
        <v/>
      </c>
      <c r="E186" s="82" t="str">
        <f>IF('CONSOLIDACION DEL MAPA'!R186="","",'CONSOLIDACION DEL MAPA'!R186)</f>
        <v/>
      </c>
      <c r="F186" s="101"/>
      <c r="G186" s="101"/>
      <c r="H186" s="163"/>
      <c r="I186" s="163"/>
      <c r="J186" s="100">
        <f t="shared" si="6"/>
        <v>0</v>
      </c>
    </row>
    <row r="187" spans="1:10" ht="26.25" thickTop="1" x14ac:dyDescent="0.25">
      <c r="A187" s="562" t="str">
        <f>'CONSOLIDACION DEL MAPA'!A187</f>
        <v>32C</v>
      </c>
      <c r="B187" s="565" t="str">
        <f>'CONSOLIDACION DEL MAPA'!B187</f>
        <v>Gestión y Rendición de Cuentas. Alteración de la información</v>
      </c>
      <c r="C187" s="82" t="str">
        <f>IF('CONSOLIDACION DEL MAPA'!P187="","",'CONSOLIDACION DEL MAPA'!P187)</f>
        <v>Evitar</v>
      </c>
      <c r="D187" s="82" t="str">
        <f>IF('CONSOLIDACION DEL MAPA'!Q187="","",'CONSOLIDACION DEL MAPA'!Q187)</f>
        <v>Implementación de auditorías internas de información</v>
      </c>
      <c r="E187" s="82" t="str">
        <f>IF('CONSOLIDACION DEL MAPA'!R187="","",'CONSOLIDACION DEL MAPA'!R187)</f>
        <v>Sin Implementar</v>
      </c>
      <c r="F187" s="101" t="s">
        <v>875</v>
      </c>
      <c r="G187" s="101">
        <v>1</v>
      </c>
      <c r="H187" s="163">
        <v>42569</v>
      </c>
      <c r="I187" s="163">
        <v>42613</v>
      </c>
      <c r="J187" s="100">
        <f t="shared" si="6"/>
        <v>6.2857142857142856</v>
      </c>
    </row>
    <row r="188" spans="1:10" ht="47.25" x14ac:dyDescent="0.25">
      <c r="A188" s="563"/>
      <c r="B188" s="565"/>
      <c r="C188" s="82" t="str">
        <f>IF('CONSOLIDACION DEL MAPA'!P188="","",'CONSOLIDACION DEL MAPA'!P188)</f>
        <v>Reducir</v>
      </c>
      <c r="D188" s="82" t="str">
        <f>IF('CONSOLIDACION DEL MAPA'!Q188="","",'CONSOLIDACION DEL MAPA'!Q188)</f>
        <v>Diseño e implementación de un sistema de información para la gestión de Indicadores</v>
      </c>
      <c r="E188" s="82" t="str">
        <f>IF('CONSOLIDACION DEL MAPA'!R188="","",'CONSOLIDACION DEL MAPA'!R188)</f>
        <v>Sin Implementar</v>
      </c>
      <c r="F188" s="101" t="s">
        <v>876</v>
      </c>
      <c r="G188" s="101">
        <v>1</v>
      </c>
      <c r="H188" s="163">
        <v>42583</v>
      </c>
      <c r="I188" s="163">
        <v>43313</v>
      </c>
      <c r="J188" s="100">
        <f t="shared" si="6"/>
        <v>104.28571428571429</v>
      </c>
    </row>
    <row r="189" spans="1:10" ht="51.75" thickBot="1" x14ac:dyDescent="0.3">
      <c r="A189" s="564"/>
      <c r="B189" s="565"/>
      <c r="C189" s="82" t="str">
        <f>IF('CONSOLIDACION DEL MAPA'!P189="","",'CONSOLIDACION DEL MAPA'!P189)</f>
        <v>Reducir</v>
      </c>
      <c r="D189" s="82" t="str">
        <f>IF('CONSOLIDACION DEL MAPA'!Q189="","",'CONSOLIDACION DEL MAPA'!Q189)</f>
        <v>Estrategia para masificar el uso y conocimiento del sitio Web de Transparencia y Acceso a Ia Información Pública</v>
      </c>
      <c r="E189" s="82" t="str">
        <f>IF('CONSOLIDACION DEL MAPA'!R189="","",'CONSOLIDACION DEL MAPA'!R189)</f>
        <v>Sin Implementar</v>
      </c>
      <c r="F189" s="101" t="s">
        <v>877</v>
      </c>
      <c r="G189" s="101">
        <v>1</v>
      </c>
      <c r="H189" s="163">
        <v>42552</v>
      </c>
      <c r="I189" s="163">
        <v>42734</v>
      </c>
      <c r="J189" s="100">
        <f t="shared" si="6"/>
        <v>26</v>
      </c>
    </row>
    <row r="190" spans="1:10" ht="26.25" thickTop="1" x14ac:dyDescent="0.25">
      <c r="A190" s="562" t="str">
        <f>'CONSOLIDACION DEL MAPA'!A190</f>
        <v>33C</v>
      </c>
      <c r="B190" s="565" t="str">
        <f>'CONSOLIDACION DEL MAPA'!B190</f>
        <v>Evaluación Independiente. Falta de Objetividad e Independencia en el proceso auditor, de evaluación y seguimiento</v>
      </c>
      <c r="C190" s="82" t="str">
        <f>IF('CONSOLIDACION DEL MAPA'!P190="","",'CONSOLIDACION DEL MAPA'!P190)</f>
        <v>No Establecer</v>
      </c>
      <c r="D190" s="82" t="str">
        <f>IF('CONSOLIDACION DEL MAPA'!Q190="","",'CONSOLIDACION DEL MAPA'!Q190)</f>
        <v>Seguir ejecutando y monitoreando los controles existentes</v>
      </c>
      <c r="E190" s="82" t="str">
        <f>IF('CONSOLIDACION DEL MAPA'!R190="","",'CONSOLIDACION DEL MAPA'!R190)</f>
        <v>No Aplica</v>
      </c>
      <c r="F190" s="101"/>
      <c r="G190" s="101"/>
      <c r="H190" s="163"/>
      <c r="I190" s="163"/>
      <c r="J190" s="100">
        <f t="shared" si="6"/>
        <v>0</v>
      </c>
    </row>
    <row r="191" spans="1:10" ht="15.75" x14ac:dyDescent="0.25">
      <c r="A191" s="563"/>
      <c r="B191" s="565"/>
      <c r="C191" s="82" t="str">
        <f>IF('CONSOLIDACION DEL MAPA'!P191="","",'CONSOLIDACION DEL MAPA'!P191)</f>
        <v/>
      </c>
      <c r="D191" s="82" t="str">
        <f>IF('CONSOLIDACION DEL MAPA'!Q191="","",'CONSOLIDACION DEL MAPA'!Q191)</f>
        <v/>
      </c>
      <c r="E191" s="82" t="str">
        <f>IF('CONSOLIDACION DEL MAPA'!R191="","",'CONSOLIDACION DEL MAPA'!R191)</f>
        <v/>
      </c>
      <c r="F191" s="101"/>
      <c r="G191" s="101"/>
      <c r="H191" s="163"/>
      <c r="I191" s="163"/>
      <c r="J191" s="100">
        <f t="shared" si="6"/>
        <v>0</v>
      </c>
    </row>
    <row r="192" spans="1:10" ht="16.5" thickBot="1" x14ac:dyDescent="0.3">
      <c r="A192" s="564"/>
      <c r="B192" s="565"/>
      <c r="C192" s="82" t="str">
        <f>IF('CONSOLIDACION DEL MAPA'!P192="","",'CONSOLIDACION DEL MAPA'!P192)</f>
        <v/>
      </c>
      <c r="D192" s="82" t="str">
        <f>IF('CONSOLIDACION DEL MAPA'!Q192="","",'CONSOLIDACION DEL MAPA'!Q192)</f>
        <v/>
      </c>
      <c r="E192" s="82" t="str">
        <f>IF('CONSOLIDACION DEL MAPA'!R192="","",'CONSOLIDACION DEL MAPA'!R192)</f>
        <v/>
      </c>
      <c r="F192" s="101"/>
      <c r="G192" s="101"/>
      <c r="H192" s="163"/>
      <c r="I192" s="163"/>
      <c r="J192" s="100">
        <f t="shared" si="6"/>
        <v>0</v>
      </c>
    </row>
    <row r="193" spans="1:10" ht="26.25" thickTop="1" x14ac:dyDescent="0.25">
      <c r="A193" s="562" t="str">
        <f>'CONSOLIDACION DEL MAPA'!A193</f>
        <v>34C</v>
      </c>
      <c r="B193" s="565" t="str">
        <f>'CONSOLIDACION DEL MAPA'!B193</f>
        <v>Evaluación Independiente. No reportar posibles actos de corrupción e irregularidades</v>
      </c>
      <c r="C193" s="82" t="str">
        <f>IF('CONSOLIDACION DEL MAPA'!P193="","",'CONSOLIDACION DEL MAPA'!P193)</f>
        <v>No Establecer</v>
      </c>
      <c r="D193" s="82" t="str">
        <f>IF('CONSOLIDACION DEL MAPA'!Q193="","",'CONSOLIDACION DEL MAPA'!Q193)</f>
        <v>Seguir ejecutando y monitoreando los controles existentes</v>
      </c>
      <c r="E193" s="82" t="str">
        <f>IF('CONSOLIDACION DEL MAPA'!R193="","",'CONSOLIDACION DEL MAPA'!R193)</f>
        <v>No Aplica</v>
      </c>
      <c r="F193" s="101"/>
      <c r="G193" s="101"/>
      <c r="H193" s="163"/>
      <c r="I193" s="163"/>
      <c r="J193" s="100">
        <f t="shared" si="6"/>
        <v>0</v>
      </c>
    </row>
    <row r="194" spans="1:10" ht="15.75" x14ac:dyDescent="0.25">
      <c r="A194" s="563"/>
      <c r="B194" s="565"/>
      <c r="C194" s="82" t="str">
        <f>IF('CONSOLIDACION DEL MAPA'!P194="","",'CONSOLIDACION DEL MAPA'!P194)</f>
        <v/>
      </c>
      <c r="D194" s="82" t="str">
        <f>IF('CONSOLIDACION DEL MAPA'!Q194="","",'CONSOLIDACION DEL MAPA'!Q194)</f>
        <v/>
      </c>
      <c r="E194" s="82" t="str">
        <f>IF('CONSOLIDACION DEL MAPA'!R194="","",'CONSOLIDACION DEL MAPA'!R194)</f>
        <v/>
      </c>
      <c r="F194" s="101"/>
      <c r="G194" s="101"/>
      <c r="H194" s="163"/>
      <c r="I194" s="163"/>
      <c r="J194" s="100">
        <f t="shared" si="6"/>
        <v>0</v>
      </c>
    </row>
    <row r="195" spans="1:10" ht="16.5" thickBot="1" x14ac:dyDescent="0.3">
      <c r="A195" s="564"/>
      <c r="B195" s="565"/>
      <c r="C195" s="82" t="str">
        <f>IF('CONSOLIDACION DEL MAPA'!P195="","",'CONSOLIDACION DEL MAPA'!P195)</f>
        <v/>
      </c>
      <c r="D195" s="82" t="str">
        <f>IF('CONSOLIDACION DEL MAPA'!Q195="","",'CONSOLIDACION DEL MAPA'!Q195)</f>
        <v/>
      </c>
      <c r="E195" s="82" t="str">
        <f>IF('CONSOLIDACION DEL MAPA'!R195="","",'CONSOLIDACION DEL MAPA'!R195)</f>
        <v/>
      </c>
      <c r="F195" s="101"/>
      <c r="G195" s="101"/>
      <c r="H195" s="163"/>
      <c r="I195" s="163"/>
      <c r="J195" s="100">
        <f t="shared" si="6"/>
        <v>0</v>
      </c>
    </row>
    <row r="196" spans="1:10" ht="15.75" thickTop="1" x14ac:dyDescent="0.2"/>
  </sheetData>
  <sheetProtection algorithmName="SHA-512" hashValue="ntBPflP6Ar0xnAoG59EIuuIlVwkoNDFifKoFD2t7s5XKtTawPoiOO5ARr7MoskHeB2wtytJHYOUx2kCSxexoSQ==" saltValue="2/awoSQQiQxxTHQaK7pSZw==" spinCount="100000" sheet="1" objects="1" scenarios="1" formatCells="0" formatRows="0" insertRows="0" selectLockedCells="1"/>
  <mergeCells count="133">
    <mergeCell ref="A6:B6"/>
    <mergeCell ref="A7:B7"/>
    <mergeCell ref="C7:I7"/>
    <mergeCell ref="C6:F6"/>
    <mergeCell ref="G6:H6"/>
    <mergeCell ref="A1:B3"/>
    <mergeCell ref="A5:J5"/>
    <mergeCell ref="C1:H3"/>
    <mergeCell ref="A15:A17"/>
    <mergeCell ref="B15:B17"/>
    <mergeCell ref="A18:A20"/>
    <mergeCell ref="B18:B20"/>
    <mergeCell ref="A21:A23"/>
    <mergeCell ref="B21:B23"/>
    <mergeCell ref="A9:A11"/>
    <mergeCell ref="B9:B11"/>
    <mergeCell ref="A12:A14"/>
    <mergeCell ref="B12:B14"/>
    <mergeCell ref="A33:A35"/>
    <mergeCell ref="B33:B35"/>
    <mergeCell ref="A36:A38"/>
    <mergeCell ref="B36:B38"/>
    <mergeCell ref="A24:A26"/>
    <mergeCell ref="B24:B26"/>
    <mergeCell ref="A27:A29"/>
    <mergeCell ref="B27:B29"/>
    <mergeCell ref="A30:A32"/>
    <mergeCell ref="B30:B32"/>
    <mergeCell ref="A100:A102"/>
    <mergeCell ref="B100:B102"/>
    <mergeCell ref="A48:A50"/>
    <mergeCell ref="B48:B50"/>
    <mergeCell ref="A51:A53"/>
    <mergeCell ref="B51:B53"/>
    <mergeCell ref="A54:A56"/>
    <mergeCell ref="B54:B56"/>
    <mergeCell ref="A39:A41"/>
    <mergeCell ref="B39:B41"/>
    <mergeCell ref="A42:A44"/>
    <mergeCell ref="B42:B44"/>
    <mergeCell ref="A45:A47"/>
    <mergeCell ref="B45:B47"/>
    <mergeCell ref="A66:A68"/>
    <mergeCell ref="B66:B68"/>
    <mergeCell ref="A103:A105"/>
    <mergeCell ref="B103:B105"/>
    <mergeCell ref="A106:A108"/>
    <mergeCell ref="B106:B108"/>
    <mergeCell ref="A93:I93"/>
    <mergeCell ref="A94:A96"/>
    <mergeCell ref="B94:B96"/>
    <mergeCell ref="A97:A99"/>
    <mergeCell ref="B97:B99"/>
    <mergeCell ref="A69:A71"/>
    <mergeCell ref="B69:B71"/>
    <mergeCell ref="A72:A74"/>
    <mergeCell ref="B72:B74"/>
    <mergeCell ref="A57:A59"/>
    <mergeCell ref="B57:B59"/>
    <mergeCell ref="A60:A62"/>
    <mergeCell ref="B60:B62"/>
    <mergeCell ref="A63:A65"/>
    <mergeCell ref="B63:B65"/>
    <mergeCell ref="A84:A86"/>
    <mergeCell ref="B84:B86"/>
    <mergeCell ref="A87:A89"/>
    <mergeCell ref="B87:B89"/>
    <mergeCell ref="A90:A92"/>
    <mergeCell ref="B90:B92"/>
    <mergeCell ref="A75:A77"/>
    <mergeCell ref="B75:B77"/>
    <mergeCell ref="A78:A80"/>
    <mergeCell ref="B78:B80"/>
    <mergeCell ref="A81:A83"/>
    <mergeCell ref="B81:B83"/>
    <mergeCell ref="A115:A117"/>
    <mergeCell ref="B115:B117"/>
    <mergeCell ref="A118:A120"/>
    <mergeCell ref="B118:B120"/>
    <mergeCell ref="A121:A123"/>
    <mergeCell ref="B121:B123"/>
    <mergeCell ref="A109:A111"/>
    <mergeCell ref="B109:B111"/>
    <mergeCell ref="A112:A114"/>
    <mergeCell ref="B112:B114"/>
    <mergeCell ref="A133:A135"/>
    <mergeCell ref="B133:B135"/>
    <mergeCell ref="A136:A138"/>
    <mergeCell ref="B136:B138"/>
    <mergeCell ref="A139:A141"/>
    <mergeCell ref="B139:B141"/>
    <mergeCell ref="A124:A126"/>
    <mergeCell ref="B124:B126"/>
    <mergeCell ref="A127:A129"/>
    <mergeCell ref="B127:B129"/>
    <mergeCell ref="A130:A132"/>
    <mergeCell ref="B130:B132"/>
    <mergeCell ref="A151:A153"/>
    <mergeCell ref="B151:B153"/>
    <mergeCell ref="A154:A156"/>
    <mergeCell ref="B154:B156"/>
    <mergeCell ref="A157:A159"/>
    <mergeCell ref="B157:B159"/>
    <mergeCell ref="A142:A144"/>
    <mergeCell ref="B142:B144"/>
    <mergeCell ref="A145:A147"/>
    <mergeCell ref="B145:B147"/>
    <mergeCell ref="A148:A150"/>
    <mergeCell ref="B148:B150"/>
    <mergeCell ref="A169:A171"/>
    <mergeCell ref="B169:B171"/>
    <mergeCell ref="A172:A174"/>
    <mergeCell ref="B172:B174"/>
    <mergeCell ref="A175:A177"/>
    <mergeCell ref="B175:B177"/>
    <mergeCell ref="A160:A162"/>
    <mergeCell ref="B160:B162"/>
    <mergeCell ref="A163:A165"/>
    <mergeCell ref="B163:B165"/>
    <mergeCell ref="A166:A168"/>
    <mergeCell ref="B166:B168"/>
    <mergeCell ref="A187:A189"/>
    <mergeCell ref="B187:B189"/>
    <mergeCell ref="A190:A192"/>
    <mergeCell ref="B190:B192"/>
    <mergeCell ref="A193:A195"/>
    <mergeCell ref="B193:B195"/>
    <mergeCell ref="A178:A180"/>
    <mergeCell ref="B178:B180"/>
    <mergeCell ref="A181:A183"/>
    <mergeCell ref="B181:B183"/>
    <mergeCell ref="A184:A186"/>
    <mergeCell ref="B184:B186"/>
  </mergeCells>
  <dataValidations count="4">
    <dataValidation type="date" operator="greaterThanOrEqual" allowBlank="1" showInputMessage="1" showErrorMessage="1" errorTitle="Fecha de Terminación" error="La Fecha de Terminación debe ser_x000a_Igual o Posterior a la Fecha de Inicio" sqref="I9:I92 I94:I195">
      <formula1>H9</formula1>
    </dataValidation>
    <dataValidation type="textLength" operator="lessThanOrEqual" allowBlank="1" showInputMessage="1" showErrorMessage="1" errorTitle="Cronograma de la Accion" error="No se permite establecer cronograma debido_x000a_a que no definio acción o indico que asume el riesgo" sqref="G9:G92 G94:G195">
      <formula1>IF(OR($E9="Sin Implementar",$E9="En Ejecución"),5,0)</formula1>
    </dataValidation>
    <dataValidation type="textLength" operator="lessThanOrEqual" allowBlank="1" showInputMessage="1" showErrorMessage="1" errorTitle="Cronograma de la Accion" error="- No se permite establecer cronograma debido_x000a_a que no definio acción o indico que asume el riesgo_x000a_- O texto introducido mayor a 100 caracteres" sqref="F9:F92 F94:F195">
      <formula1>IF(OR($E9="Sin Implementar",$E9="En Ejecución"),100,0)</formula1>
    </dataValidation>
    <dataValidation type="custom" operator="equal" allowBlank="1" showInputMessage="1" showErrorMessage="1" errorTitle="Estado de la Accion" error="Si Accion=SIN IMPLEMENTAR, entonces Fecha de Inicio debe ser_x000a_igual o posterior a Fecha de Actualizacion del Mapa._x000a_Si Accion= EN EJECUCIÓN, entonces Fecha de Inicio debe ser _x000a_anterior o igual a Fecha de Actualizacion del Mapa." sqref="H9:H92 H94:H195">
      <formula1>IF($E9="Sin Implementar",$H9&gt;=$I$6,IF($E9="En Ejecución",$H9&lt;=$I$6,""))</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rgb="FFFFC000"/>
  </sheetPr>
  <dimension ref="A1:AY206"/>
  <sheetViews>
    <sheetView tabSelected="1" zoomScale="90" zoomScaleNormal="90" workbookViewId="0">
      <pane xSplit="9" ySplit="8" topLeftCell="AD9" activePane="bottomRight" state="frozen"/>
      <selection activeCell="A9" sqref="A9:E11"/>
      <selection pane="topRight" activeCell="A9" sqref="A9:E11"/>
      <selection pane="bottomLeft" activeCell="A9" sqref="A9:E11"/>
      <selection pane="bottomRight" activeCell="AF10" sqref="AF10"/>
    </sheetView>
  </sheetViews>
  <sheetFormatPr baseColWidth="10" defaultRowHeight="15" x14ac:dyDescent="0.2"/>
  <cols>
    <col min="1" max="1" width="2.88671875" customWidth="1"/>
    <col min="2" max="2" width="13.44140625" customWidth="1"/>
    <col min="3" max="3" width="8.5546875" customWidth="1"/>
    <col min="4" max="4" width="15.44140625" customWidth="1"/>
    <col min="5" max="5" width="9.77734375" customWidth="1"/>
    <col min="6" max="6" width="7.109375" customWidth="1"/>
    <col min="7" max="8" width="9" customWidth="1"/>
    <col min="9" max="9" width="8.33203125" hidden="1" customWidth="1"/>
    <col min="10" max="10" width="3.44140625" style="159" customWidth="1"/>
    <col min="11" max="11" width="7.33203125" style="104" customWidth="1"/>
    <col min="12" max="12" width="21" customWidth="1"/>
    <col min="13" max="13" width="7.33203125" style="104" customWidth="1"/>
    <col min="14" max="14" width="7.44140625" style="108" customWidth="1"/>
    <col min="15" max="15" width="4.88671875" style="340" customWidth="1"/>
    <col min="16" max="16" width="23.88671875" customWidth="1"/>
    <col min="17" max="17" width="6" style="110" hidden="1" customWidth="1"/>
    <col min="18" max="19" width="6.44140625" style="110" hidden="1" customWidth="1"/>
    <col min="20" max="20" width="3.44140625" style="110" customWidth="1"/>
    <col min="21" max="21" width="7.77734375" customWidth="1"/>
    <col min="22" max="22" width="21" customWidth="1"/>
    <col min="23" max="23" width="7.44140625" style="96" customWidth="1"/>
    <col min="24" max="24" width="7.44140625" style="108" customWidth="1"/>
    <col min="25" max="25" width="4.88671875" style="340" customWidth="1"/>
    <col min="26" max="26" width="23.77734375" customWidth="1"/>
    <col min="27" max="27" width="6" hidden="1" customWidth="1"/>
    <col min="28" max="29" width="6.44140625" hidden="1" customWidth="1"/>
    <col min="30" max="30" width="3.44140625" style="110" customWidth="1"/>
    <col min="31" max="31" width="7.88671875" customWidth="1"/>
    <col min="32" max="32" width="21" customWidth="1"/>
    <col min="33" max="33" width="7.109375" style="96" customWidth="1"/>
    <col min="34" max="34" width="7.44140625" style="108" customWidth="1"/>
    <col min="35" max="35" width="4.88671875" style="340" customWidth="1"/>
    <col min="36" max="36" width="23.77734375" customWidth="1"/>
    <col min="37" max="37" width="6" hidden="1" customWidth="1"/>
    <col min="38" max="39" width="6.44140625" hidden="1" customWidth="1"/>
    <col min="40" max="43" width="11.5546875" hidden="1" customWidth="1"/>
    <col min="44" max="48" width="11.5546875" style="139" hidden="1" customWidth="1"/>
    <col min="49" max="49" width="11.5546875" style="136"/>
    <col min="50" max="51" width="11.5546875" hidden="1" customWidth="1"/>
  </cols>
  <sheetData>
    <row r="1" spans="1:50" ht="24" customHeight="1" x14ac:dyDescent="0.2">
      <c r="A1" s="433" t="s">
        <v>145</v>
      </c>
      <c r="B1" s="433"/>
      <c r="C1" s="434" t="s">
        <v>152</v>
      </c>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510" t="s">
        <v>71</v>
      </c>
      <c r="AG1" s="510"/>
      <c r="AH1" s="510"/>
      <c r="AI1" s="510"/>
      <c r="AJ1" s="510"/>
      <c r="AK1" s="510"/>
      <c r="AL1" s="510"/>
      <c r="AM1" s="510"/>
      <c r="AN1" s="510"/>
      <c r="AO1" s="510"/>
      <c r="AP1" s="510"/>
      <c r="AQ1" s="510"/>
      <c r="AR1" s="510"/>
      <c r="AS1" s="510"/>
      <c r="AT1" s="510"/>
      <c r="AU1" s="510"/>
      <c r="AV1" s="510"/>
      <c r="AW1" s="510"/>
    </row>
    <row r="2" spans="1:50" ht="24" customHeight="1" x14ac:dyDescent="0.2">
      <c r="A2" s="433"/>
      <c r="B2" s="433"/>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510" t="s">
        <v>107</v>
      </c>
      <c r="AG2" s="510"/>
      <c r="AH2" s="510"/>
      <c r="AI2" s="510"/>
      <c r="AJ2" s="510"/>
      <c r="AK2" s="510"/>
      <c r="AL2" s="510"/>
      <c r="AM2" s="510"/>
      <c r="AN2" s="510"/>
      <c r="AO2" s="510"/>
      <c r="AP2" s="510"/>
      <c r="AQ2" s="510"/>
      <c r="AR2" s="510"/>
      <c r="AS2" s="510"/>
      <c r="AT2" s="510"/>
      <c r="AU2" s="510"/>
      <c r="AV2" s="510"/>
      <c r="AW2" s="510"/>
    </row>
    <row r="3" spans="1:50" ht="15" customHeight="1" x14ac:dyDescent="0.2">
      <c r="A3" s="433"/>
      <c r="B3" s="433"/>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510" t="s">
        <v>408</v>
      </c>
      <c r="AG3" s="510"/>
      <c r="AH3" s="510"/>
      <c r="AI3" s="510"/>
      <c r="AJ3" s="510"/>
      <c r="AK3" s="510"/>
      <c r="AL3" s="510"/>
      <c r="AM3" s="510"/>
      <c r="AN3" s="510"/>
      <c r="AO3" s="510"/>
      <c r="AP3" s="510"/>
      <c r="AQ3" s="510"/>
      <c r="AR3" s="510"/>
      <c r="AS3" s="510"/>
      <c r="AT3" s="510"/>
      <c r="AU3" s="510"/>
      <c r="AV3" s="510"/>
      <c r="AW3" s="510"/>
    </row>
    <row r="4" spans="1:50" ht="3.75" customHeight="1" x14ac:dyDescent="0.2">
      <c r="A4" s="33"/>
      <c r="B4" s="34"/>
      <c r="C4" s="49"/>
      <c r="D4" s="49"/>
      <c r="E4" s="3"/>
      <c r="F4" s="3"/>
    </row>
    <row r="5" spans="1:50" ht="15.75" customHeight="1" x14ac:dyDescent="0.2">
      <c r="A5" s="570" t="s">
        <v>146</v>
      </c>
      <c r="B5" s="571"/>
      <c r="C5" s="571"/>
      <c r="D5" s="571"/>
      <c r="E5" s="571"/>
      <c r="F5" s="571"/>
      <c r="G5" s="571"/>
      <c r="H5" s="571"/>
      <c r="I5" s="231"/>
      <c r="J5" s="592" t="s">
        <v>146</v>
      </c>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row>
    <row r="6" spans="1:50" ht="15.75" customHeight="1" x14ac:dyDescent="0.25">
      <c r="A6" s="559" t="str">
        <f>'CONTEXTO ESTRATEGICO'!A7</f>
        <v>INSTITUCIONAL</v>
      </c>
      <c r="B6" s="559"/>
      <c r="C6" s="606" t="str">
        <f>'CONTEXTO ESTRATEGICO'!B7</f>
        <v>Mapa de Riesgo Institucional</v>
      </c>
      <c r="D6" s="607"/>
      <c r="E6" s="603" t="str">
        <f>'CONTEXTO ESTRATEGICO'!A6</f>
        <v>Fecha de Actualización (AAAA/MM/DD)</v>
      </c>
      <c r="F6" s="604"/>
      <c r="G6" s="605"/>
      <c r="H6" s="103">
        <f>'CONTEXTO ESTRATEGICO'!B6</f>
        <v>42443</v>
      </c>
      <c r="I6" s="158"/>
      <c r="J6" s="599" t="str">
        <f ca="1">Datos!$W$2</f>
        <v/>
      </c>
      <c r="K6" s="600"/>
      <c r="L6" s="596" t="s">
        <v>202</v>
      </c>
      <c r="M6" s="596"/>
      <c r="N6" s="596"/>
      <c r="O6" s="341"/>
      <c r="P6" s="214">
        <v>42490</v>
      </c>
      <c r="Q6" s="111"/>
      <c r="R6" s="112"/>
      <c r="S6" s="113"/>
      <c r="T6" s="599" t="str">
        <f ca="1">Datos!$X$2</f>
        <v/>
      </c>
      <c r="U6" s="600"/>
      <c r="V6" s="596" t="s">
        <v>170</v>
      </c>
      <c r="W6" s="596"/>
      <c r="X6" s="596"/>
      <c r="Y6" s="341"/>
      <c r="Z6" s="214">
        <v>42613</v>
      </c>
      <c r="AA6" s="87"/>
      <c r="AB6" s="88"/>
      <c r="AC6" s="93"/>
      <c r="AD6" s="599" t="str">
        <f ca="1">Datos!$Y$2</f>
        <v/>
      </c>
      <c r="AE6" s="600"/>
      <c r="AF6" s="596" t="s">
        <v>171</v>
      </c>
      <c r="AG6" s="596"/>
      <c r="AH6" s="596"/>
      <c r="AI6" s="341"/>
      <c r="AJ6" s="214">
        <v>42735</v>
      </c>
      <c r="AK6" s="87"/>
      <c r="AL6" s="88"/>
      <c r="AM6" s="93"/>
      <c r="AT6" s="150">
        <f>IF(SUM(AS7,AR7)=0,"",IF(AS7&gt;=AR7,2,1))</f>
        <v>2</v>
      </c>
      <c r="AU6" s="150">
        <f>IF(SUM(AU7,AT7)=0,"",IF(AU7&gt;=AT7,3,AT6))</f>
        <v>3</v>
      </c>
      <c r="AV6" s="148" t="s">
        <v>199</v>
      </c>
      <c r="AW6" s="594" t="s">
        <v>190</v>
      </c>
    </row>
    <row r="7" spans="1:50" ht="15.75" x14ac:dyDescent="0.25">
      <c r="A7" s="559" t="str">
        <f>'CONTEXTO ESTRATEGICO'!A8</f>
        <v>MISION</v>
      </c>
      <c r="B7" s="559"/>
      <c r="C7" s="606"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607"/>
      <c r="E7" s="607"/>
      <c r="F7" s="607"/>
      <c r="G7" s="607"/>
      <c r="H7" s="607"/>
      <c r="I7" s="610"/>
      <c r="J7" s="611" t="s">
        <v>154</v>
      </c>
      <c r="K7" s="612"/>
      <c r="L7" s="613"/>
      <c r="M7" s="597" t="s">
        <v>158</v>
      </c>
      <c r="N7" s="598"/>
      <c r="O7" s="598"/>
      <c r="P7" s="598"/>
      <c r="Q7" s="114"/>
      <c r="R7" s="114"/>
      <c r="S7" s="114"/>
      <c r="T7" s="611" t="s">
        <v>154</v>
      </c>
      <c r="U7" s="612"/>
      <c r="V7" s="613"/>
      <c r="W7" s="597" t="s">
        <v>158</v>
      </c>
      <c r="X7" s="598"/>
      <c r="Y7" s="598"/>
      <c r="Z7" s="598"/>
      <c r="AA7" s="89"/>
      <c r="AB7" s="90"/>
      <c r="AC7" s="90"/>
      <c r="AD7" s="601" t="s">
        <v>154</v>
      </c>
      <c r="AE7" s="601"/>
      <c r="AF7" s="602"/>
      <c r="AG7" s="595" t="s">
        <v>158</v>
      </c>
      <c r="AH7" s="595"/>
      <c r="AI7" s="595"/>
      <c r="AJ7" s="595"/>
      <c r="AK7" s="89"/>
      <c r="AL7" s="90"/>
      <c r="AM7" s="90"/>
      <c r="AR7" s="147">
        <f>IF(P6="Indique Fecha Seguimiento",0,P6)</f>
        <v>42490</v>
      </c>
      <c r="AS7" s="147">
        <f>IF(Z6="Indique Fecha Seguimiento",0,Z6)</f>
        <v>42613</v>
      </c>
      <c r="AT7" s="147">
        <f>IF(AS7&gt;=AR7,AS7,AR7)</f>
        <v>42613</v>
      </c>
      <c r="AU7" s="147">
        <f>IF(AJ6="Indique Fecha Seguimiento",0,AJ6)</f>
        <v>42735</v>
      </c>
      <c r="AV7" s="147">
        <f>IF(AU7&gt;=AT7,AU7,AT7)</f>
        <v>42735</v>
      </c>
      <c r="AW7" s="594"/>
      <c r="AX7">
        <f>IF(SUM(AR7,AS7,AU7)=0,"Sin Seguimientos",AV7)</f>
        <v>42735</v>
      </c>
    </row>
    <row r="8" spans="1:50" ht="37.5" customHeight="1" x14ac:dyDescent="0.2">
      <c r="A8" s="95" t="s">
        <v>26</v>
      </c>
      <c r="B8" s="11" t="s">
        <v>1</v>
      </c>
      <c r="C8" s="80" t="s">
        <v>18</v>
      </c>
      <c r="D8" s="80" t="s">
        <v>153</v>
      </c>
      <c r="E8" s="75" t="s">
        <v>159</v>
      </c>
      <c r="F8" s="75" t="s">
        <v>183</v>
      </c>
      <c r="G8" s="75" t="s">
        <v>166</v>
      </c>
      <c r="H8" s="76" t="s">
        <v>167</v>
      </c>
      <c r="I8" s="83" t="s">
        <v>162</v>
      </c>
      <c r="J8" s="161" t="s">
        <v>204</v>
      </c>
      <c r="K8" s="105" t="s">
        <v>181</v>
      </c>
      <c r="L8" s="77" t="s">
        <v>157</v>
      </c>
      <c r="M8" s="107" t="s">
        <v>180</v>
      </c>
      <c r="N8" s="109" t="s">
        <v>182</v>
      </c>
      <c r="O8" s="339" t="s">
        <v>387</v>
      </c>
      <c r="P8" s="79" t="s">
        <v>160</v>
      </c>
      <c r="Q8" s="115" t="s">
        <v>163</v>
      </c>
      <c r="R8" s="115" t="s">
        <v>164</v>
      </c>
      <c r="S8" s="115" t="s">
        <v>172</v>
      </c>
      <c r="T8" s="161" t="s">
        <v>204</v>
      </c>
      <c r="U8" s="105" t="s">
        <v>181</v>
      </c>
      <c r="V8" s="77" t="s">
        <v>157</v>
      </c>
      <c r="W8" s="86" t="s">
        <v>180</v>
      </c>
      <c r="X8" s="109" t="s">
        <v>182</v>
      </c>
      <c r="Y8" s="339" t="s">
        <v>387</v>
      </c>
      <c r="Z8" s="79" t="s">
        <v>160</v>
      </c>
      <c r="AA8" s="85" t="s">
        <v>163</v>
      </c>
      <c r="AB8" s="85" t="s">
        <v>164</v>
      </c>
      <c r="AC8" s="85" t="s">
        <v>172</v>
      </c>
      <c r="AD8" s="161" t="s">
        <v>204</v>
      </c>
      <c r="AE8" s="105" t="s">
        <v>181</v>
      </c>
      <c r="AF8" s="77" t="s">
        <v>157</v>
      </c>
      <c r="AG8" s="86" t="s">
        <v>180</v>
      </c>
      <c r="AH8" s="109" t="s">
        <v>182</v>
      </c>
      <c r="AI8" s="339" t="s">
        <v>387</v>
      </c>
      <c r="AJ8" s="79" t="s">
        <v>160</v>
      </c>
      <c r="AK8" s="85" t="s">
        <v>163</v>
      </c>
      <c r="AL8" s="85" t="s">
        <v>164</v>
      </c>
      <c r="AM8" s="85" t="s">
        <v>172</v>
      </c>
      <c r="AN8" s="135" t="s">
        <v>189</v>
      </c>
      <c r="AO8" s="135" t="s">
        <v>186</v>
      </c>
      <c r="AP8" s="134" t="s">
        <v>187</v>
      </c>
      <c r="AQ8" s="138" t="s">
        <v>188</v>
      </c>
      <c r="AR8" s="140" t="s">
        <v>191</v>
      </c>
      <c r="AS8" s="140" t="s">
        <v>192</v>
      </c>
      <c r="AT8" s="140" t="s">
        <v>194</v>
      </c>
      <c r="AU8" s="140" t="s">
        <v>193</v>
      </c>
      <c r="AV8" s="140" t="s">
        <v>198</v>
      </c>
      <c r="AW8" s="594"/>
    </row>
    <row r="9" spans="1:50" ht="51" x14ac:dyDescent="0.25">
      <c r="A9" s="583" t="str">
        <f>CRONOGRAMA!A9</f>
        <v>1G</v>
      </c>
      <c r="B9" s="578" t="str">
        <f>CRONOGRAMA!B9</f>
        <v>Relaciones Interinstitucionales. Concentrar labores múltiples en poco personal</v>
      </c>
      <c r="C9" s="82" t="str">
        <f>IF('CONSOLIDACION DEL MAPA'!P9="","",'CONSOLIDACION DEL MAPA'!P9)</f>
        <v>Compartir</v>
      </c>
      <c r="D9" s="82" t="str">
        <f>CRONOGRAMA!D9</f>
        <v>Trabajo conjunto con Rectoría para contratación de personal</v>
      </c>
      <c r="E9" s="132" t="str">
        <f>IF(CRONOGRAMA!F9="", "",CRONOGRAMA!F9)</f>
        <v>Comunicación Interna/correo Electronico</v>
      </c>
      <c r="F9" s="132">
        <f>IF(CRONOGRAMA!G9="", "",CRONOGRAMA!G9)</f>
        <v>1</v>
      </c>
      <c r="G9" s="128">
        <f>IF(CRONOGRAMA!H9="", "",CRONOGRAMA!H9)</f>
        <v>42491</v>
      </c>
      <c r="H9" s="128">
        <f>IF(CRONOGRAMA!I9="", "",CRONOGRAMA!I9)</f>
        <v>42735</v>
      </c>
      <c r="I9" s="84">
        <f>IF(G9="",0,IF(H9="",0,(H9-G9)/7))</f>
        <v>34.857142857142854</v>
      </c>
      <c r="J9" s="160" t="str">
        <f>IF($P$6="Indique Fecha Seguimiento","",IF(CRONOGRAMA!$E9="No Aplica","NA",IF($G9="","",IF(YEAR($G9)&lt;YEAR($P$6)," A ",IF(YEAR($G9)=YEAR($P$6),IF(MONTH($G9)&lt;=4," A ","NA"),IF(YEAR($G9)&gt;YEAR($P$6),"NA"))))))</f>
        <v>NA</v>
      </c>
      <c r="K9" s="400"/>
      <c r="L9" s="401"/>
      <c r="M9" s="400"/>
      <c r="N9" s="348" t="str">
        <f>IF(M9="","",IF($F9=0,0,M9/$F9))</f>
        <v/>
      </c>
      <c r="O9" s="349"/>
      <c r="P9" s="44"/>
      <c r="Q9" s="84" t="str">
        <f>IF(N9="","",($I9*N9))</f>
        <v/>
      </c>
      <c r="R9" s="84" t="str">
        <f>IF(O9="SI",Q9,IF($P$6&lt;=$H9,Q9,0))</f>
        <v/>
      </c>
      <c r="S9" s="84">
        <f>$I9</f>
        <v>34.857142857142854</v>
      </c>
      <c r="T9" s="160" t="str">
        <f>IF($Z$6="Indique Fecha Seguimiento","",IF(CRONOGRAMA!$E9="No Aplica","NA",IF($G9="","",IF(YEAR($G9)&lt;YEAR($Z$6)," A ",IF(YEAR($G9)=YEAR($Z$6),IF(MONTH($G9)&lt;=8," A ","NA"),IF(YEAR($G9)&gt;YEAR($Z$6),"NA"))))))</f>
        <v xml:space="preserve"> A </v>
      </c>
      <c r="U9" s="400">
        <v>0</v>
      </c>
      <c r="V9" s="402" t="s">
        <v>964</v>
      </c>
      <c r="W9" s="351">
        <v>0</v>
      </c>
      <c r="X9" s="348">
        <f>IF(W9="","",IF($F9=0,0,W9/$F9))</f>
        <v>0</v>
      </c>
      <c r="Y9" s="349" t="s">
        <v>353</v>
      </c>
      <c r="Z9" s="44" t="str">
        <f>V9</f>
        <v>No se ha realizado petición formal en lo que va del año 2016</v>
      </c>
      <c r="AA9" s="84">
        <f>IF(X9="","",($I9*X9))</f>
        <v>0</v>
      </c>
      <c r="AB9" s="84">
        <f>IF(N9=1,R9,IF(Y9="SI",AA9,IF($Z$6&lt;=$H9,AA9,0)))</f>
        <v>0</v>
      </c>
      <c r="AC9" s="84">
        <f>$I9</f>
        <v>34.857142857142854</v>
      </c>
      <c r="AD9" s="160" t="str">
        <f>IF($AJ$6="Indique Fecha Seguimiento","",IF(CRONOGRAMA!$E9="No Aplica","NA",IF($G9="","",IF(YEAR($G9)&lt;YEAR($AJ$6)," A ",IF(YEAR($G9)=YEAR($AJ$6),IF(MONTH($G9)&lt;=12," A ","NA"),IF(YEAR($G9)&gt;YEAR($AJ$6),"NA"))))))</f>
        <v xml:space="preserve"> A </v>
      </c>
      <c r="AE9" s="131">
        <v>1</v>
      </c>
      <c r="AF9" s="44" t="s">
        <v>982</v>
      </c>
      <c r="AG9" s="212">
        <v>1</v>
      </c>
      <c r="AH9" s="213">
        <f>IF(AG9="","",IF($F9=0,0,AG9/$F9))</f>
        <v>1</v>
      </c>
      <c r="AI9" s="345" t="s">
        <v>11</v>
      </c>
      <c r="AJ9" s="44"/>
      <c r="AK9" s="81">
        <f>IF(AH9="","",($I9*AH9))</f>
        <v>34.857142857142854</v>
      </c>
      <c r="AL9" s="84">
        <f>IF(X9=1,AB9,IF(AI9="SI",AK9,IF($AJ$6&lt;=$H9,AK9,0)))</f>
        <v>34.857142857142854</v>
      </c>
      <c r="AM9" s="84">
        <f>$I9</f>
        <v>34.857142857142854</v>
      </c>
      <c r="AN9" s="579">
        <f>SUM(I9:I11)</f>
        <v>34.857142857142854</v>
      </c>
      <c r="AO9" s="580" t="str">
        <f>IF(AND(Q9="",Q10="",Q11=""),"",SUM(Q9:Q11))</f>
        <v/>
      </c>
      <c r="AP9" s="581">
        <f>IF(AND(AA9="",AA10="",AA11=""),"",SUM(AA9:AA11))</f>
        <v>0</v>
      </c>
      <c r="AQ9" s="581">
        <f>IF(AND(AK9="",AK10="",AK11=""),"",SUM(AK9:AK11))</f>
        <v>34.857142857142854</v>
      </c>
      <c r="AR9" s="582" t="str">
        <f>IF(AO9="",IF($AU$6&lt;1,"",IF($AU$6&gt;=1,"NA")),IF(AO9=0,0,AO9/$AN9))</f>
        <v>NA</v>
      </c>
      <c r="AS9" s="582">
        <f>IF(AP9="",IF($AU$6&lt;2,"",IF($AU$6&gt;=2,"NA")),IF(AP9=0,0,AP9/$AN9))</f>
        <v>0</v>
      </c>
      <c r="AT9" s="582" t="str">
        <f>IF(AS9&gt;=AR9,AS9,AR9)</f>
        <v>NA</v>
      </c>
      <c r="AU9" s="572">
        <f>IF(AQ9="",IF($AU$6&lt;3,"",IF($AU$6&gt;=3,"NA")),IF(AQ9=0,0,AQ9/$AN9))</f>
        <v>1</v>
      </c>
      <c r="AV9" s="573">
        <f>IF($AU$6=1,AR9,IF($AU$6=2,AS9,IF($AU$6=3,AU9,"")))</f>
        <v>1</v>
      </c>
      <c r="AW9" s="574">
        <f>AV9</f>
        <v>1</v>
      </c>
      <c r="AX9">
        <f>IF($AU$6=1,P9,IF($AU$6=2,Z9,IF($AU$6=3,AJ9,"")))</f>
        <v>0</v>
      </c>
    </row>
    <row r="10" spans="1:50" ht="15.75" x14ac:dyDescent="0.25">
      <c r="A10" s="583"/>
      <c r="B10" s="578"/>
      <c r="C10" s="82" t="str">
        <f>IF('CONSOLIDACION DEL MAPA'!P10="","",'CONSOLIDACION DEL MAPA'!P10)</f>
        <v/>
      </c>
      <c r="D10" s="82" t="str">
        <f>CRONOGRAMA!D10</f>
        <v/>
      </c>
      <c r="E10" s="132" t="str">
        <f>IF(CRONOGRAMA!F10="", "",CRONOGRAMA!F10)</f>
        <v/>
      </c>
      <c r="F10" s="132" t="str">
        <f>IF(CRONOGRAMA!G10="", "",CRONOGRAMA!G10)</f>
        <v/>
      </c>
      <c r="G10" s="128" t="str">
        <f>IF(CRONOGRAMA!H10="", "",CRONOGRAMA!H10)</f>
        <v/>
      </c>
      <c r="H10" s="128" t="str">
        <f>IF(CRONOGRAMA!I10="", "",CRONOGRAMA!I10)</f>
        <v/>
      </c>
      <c r="I10" s="84">
        <f>IF(G10="",0,IF(H10="",0,(H10-G10)/7))</f>
        <v>0</v>
      </c>
      <c r="J10" s="160" t="str">
        <f>IF($P$6="Indique Fecha Seguimiento","",IF(CRONOGRAMA!$E10="No Aplica","NA",IF($G10="","",IF(YEAR($G10)&lt;YEAR($P$6)," A ",IF(YEAR($G10)=YEAR($P$6),IF(MONTH($G10)&lt;=4," A ","NA"),IF(YEAR($G10)&gt;YEAR($P$6),"NA"))))))</f>
        <v/>
      </c>
      <c r="K10" s="400"/>
      <c r="L10" s="401"/>
      <c r="M10" s="400"/>
      <c r="N10" s="348" t="str">
        <f t="shared" ref="N10:N38" si="0">IF(M10="","",IF($F10=0,0,M10/$F10))</f>
        <v/>
      </c>
      <c r="O10" s="349"/>
      <c r="P10" s="44"/>
      <c r="Q10" s="84" t="str">
        <f t="shared" ref="Q10:Q38" si="1">IF(N10="","",($I10*N10))</f>
        <v/>
      </c>
      <c r="R10" s="84" t="str">
        <f t="shared" ref="R10:R38" si="2">IF(O10="SI",Q10,IF($P$6&lt;=$H10,Q10,0))</f>
        <v/>
      </c>
      <c r="S10" s="84">
        <f t="shared" ref="S10:S73" si="3">$I10</f>
        <v>0</v>
      </c>
      <c r="T10" s="160" t="str">
        <f>IF($Z$6="Indique Fecha Seguimiento","",IF(CRONOGRAMA!$E10="No Aplica","NA",IF($G10="","",IF(YEAR($G10)&lt;YEAR($Z$6)," A ",IF(YEAR($G10)=YEAR($Z$6),IF(MONTH($G10)&lt;=8," A ","NA"),IF(YEAR($G10)&gt;YEAR($Z$6),"NA"))))))</f>
        <v/>
      </c>
      <c r="U10" s="351"/>
      <c r="V10" s="44"/>
      <c r="W10" s="351"/>
      <c r="X10" s="348" t="str">
        <f t="shared" ref="X10:X38" si="4">IF(W10="","",IF($F10=0,0,W10/$F10))</f>
        <v/>
      </c>
      <c r="Y10" s="349"/>
      <c r="Z10" s="44"/>
      <c r="AA10" s="84" t="str">
        <f t="shared" ref="AA10:AA38" si="5">IF(X10="","",($I10*X10))</f>
        <v/>
      </c>
      <c r="AB10" s="84" t="str">
        <f>IF(N10=1,R10,IF(Y10="SI",AA10,IF($Z$6&lt;=$H10,AA10,0)))</f>
        <v/>
      </c>
      <c r="AC10" s="84">
        <f t="shared" ref="AC10:AC73" si="6">$I10</f>
        <v>0</v>
      </c>
      <c r="AD10" s="160" t="str">
        <f>IF($AJ$6="Indique Fecha Seguimiento","",IF(CRONOGRAMA!$E10="No Aplica","NA",IF($G10="","",IF(YEAR($G10)&lt;YEAR($AJ$6)," A ",IF(YEAR($G10)=YEAR($AJ$6),IF(MONTH($G10)&lt;=12," A ","NA"),IF(YEAR($G10)&gt;YEAR($AJ$6),"NA"))))))</f>
        <v/>
      </c>
      <c r="AE10" s="350"/>
      <c r="AF10" s="44"/>
      <c r="AG10" s="351"/>
      <c r="AH10" s="348" t="str">
        <f t="shared" ref="AH10:AH38" si="7">IF(AG10="","",IF($F10=0,0,AG10/$F10))</f>
        <v/>
      </c>
      <c r="AI10" s="349"/>
      <c r="AJ10" s="44"/>
      <c r="AK10" s="81" t="str">
        <f t="shared" ref="AK10:AK38" si="8">IF(AH10="","",($I10*AH10))</f>
        <v/>
      </c>
      <c r="AL10" s="84" t="str">
        <f t="shared" ref="AL10:AL38" si="9">IF(X10=1,AB10,IF(AI10="SI",AK10,IF($AJ$6&lt;=$H10,AK10,0)))</f>
        <v/>
      </c>
      <c r="AM10" s="84">
        <f t="shared" ref="AM10:AM73" si="10">$I10</f>
        <v>0</v>
      </c>
      <c r="AN10" s="579"/>
      <c r="AO10" s="580"/>
      <c r="AP10" s="581"/>
      <c r="AQ10" s="581"/>
      <c r="AR10" s="582"/>
      <c r="AS10" s="582"/>
      <c r="AT10" s="582"/>
      <c r="AU10" s="572"/>
      <c r="AV10" s="573"/>
      <c r="AW10" s="574"/>
      <c r="AX10">
        <f t="shared" ref="AX10:AX38" si="11">IF($AU$6=1,P10,IF($AU$6=2,Z10,IF($AU$6=3,AJ10,"")))</f>
        <v>0</v>
      </c>
    </row>
    <row r="11" spans="1:50" ht="15.75" x14ac:dyDescent="0.25">
      <c r="A11" s="583"/>
      <c r="B11" s="578"/>
      <c r="C11" s="82" t="str">
        <f>IF('CONSOLIDACION DEL MAPA'!P11="","",'CONSOLIDACION DEL MAPA'!P11)</f>
        <v/>
      </c>
      <c r="D11" s="82" t="str">
        <f>CRONOGRAMA!D11</f>
        <v/>
      </c>
      <c r="E11" s="132" t="str">
        <f>IF(CRONOGRAMA!F11="", "",CRONOGRAMA!F11)</f>
        <v/>
      </c>
      <c r="F11" s="132" t="str">
        <f>IF(CRONOGRAMA!G11="", "",CRONOGRAMA!G11)</f>
        <v/>
      </c>
      <c r="G11" s="128" t="str">
        <f>IF(CRONOGRAMA!H11="", "",CRONOGRAMA!H11)</f>
        <v/>
      </c>
      <c r="H11" s="128" t="str">
        <f>IF(CRONOGRAMA!I11="", "",CRONOGRAMA!I11)</f>
        <v/>
      </c>
      <c r="I11" s="84">
        <f t="shared" ref="I11:I38" si="12">IF(G11="",0,IF(H11="",0,(H11-G11)/7))</f>
        <v>0</v>
      </c>
      <c r="J11" s="160" t="str">
        <f>IF($P$6="Indique Fecha Seguimiento","",IF(CRONOGRAMA!$E11="No Aplica","NA",IF($G11="","",IF(YEAR($G11)&lt;YEAR($P$6)," A ",IF(YEAR($G11)=YEAR($P$6),IF(MONTH($G11)&lt;=4," A ","NA"),IF(YEAR($G11)&gt;YEAR($P$6),"NA"))))))</f>
        <v/>
      </c>
      <c r="K11" s="400"/>
      <c r="L11" s="401"/>
      <c r="M11" s="400"/>
      <c r="N11" s="348" t="str">
        <f t="shared" si="0"/>
        <v/>
      </c>
      <c r="O11" s="349"/>
      <c r="P11" s="44"/>
      <c r="Q11" s="84" t="str">
        <f t="shared" si="1"/>
        <v/>
      </c>
      <c r="R11" s="84" t="str">
        <f t="shared" si="2"/>
        <v/>
      </c>
      <c r="S11" s="84">
        <f t="shared" si="3"/>
        <v>0</v>
      </c>
      <c r="T11" s="160" t="str">
        <f>IF($Z$6="Indique Fecha Seguimiento","",IF(CRONOGRAMA!$E11="No Aplica","NA",IF($G11="","",IF(YEAR($G11)&lt;YEAR($Z$6)," A ",IF(YEAR($G11)=YEAR($Z$6),IF(MONTH($G11)&lt;=8," A ","NA"),IF(YEAR($G11)&gt;YEAR($Z$6),"NA"))))))</f>
        <v/>
      </c>
      <c r="U11" s="351"/>
      <c r="V11" s="44"/>
      <c r="W11" s="351"/>
      <c r="X11" s="348" t="str">
        <f t="shared" si="4"/>
        <v/>
      </c>
      <c r="Y11" s="349"/>
      <c r="Z11" s="44"/>
      <c r="AA11" s="84" t="str">
        <f t="shared" si="5"/>
        <v/>
      </c>
      <c r="AB11" s="84" t="str">
        <f t="shared" ref="AB11:AB38" si="13">IF(N11=1,R11,IF(Y11="SI",AA11,IF($Z$6&lt;=$H11,AA11,0)))</f>
        <v/>
      </c>
      <c r="AC11" s="84">
        <f t="shared" si="6"/>
        <v>0</v>
      </c>
      <c r="AD11" s="160" t="str">
        <f>IF($AJ$6="Indique Fecha Seguimiento","",IF(CRONOGRAMA!$E11="No Aplica","NA",IF($G11="","",IF(YEAR($G11)&lt;YEAR($AJ$6)," A ",IF(YEAR($G11)=YEAR($AJ$6),IF(MONTH($G11)&lt;=12," A ","NA"),IF(YEAR($G11)&gt;YEAR($AJ$6),"NA"))))))</f>
        <v/>
      </c>
      <c r="AE11" s="350"/>
      <c r="AF11" s="44"/>
      <c r="AG11" s="351"/>
      <c r="AH11" s="348" t="str">
        <f t="shared" si="7"/>
        <v/>
      </c>
      <c r="AI11" s="349"/>
      <c r="AJ11" s="44"/>
      <c r="AK11" s="81" t="str">
        <f t="shared" si="8"/>
        <v/>
      </c>
      <c r="AL11" s="84" t="str">
        <f t="shared" si="9"/>
        <v/>
      </c>
      <c r="AM11" s="84">
        <f t="shared" si="10"/>
        <v>0</v>
      </c>
      <c r="AN11" s="579"/>
      <c r="AO11" s="580"/>
      <c r="AP11" s="581"/>
      <c r="AQ11" s="581"/>
      <c r="AR11" s="582"/>
      <c r="AS11" s="582"/>
      <c r="AT11" s="582"/>
      <c r="AU11" s="572"/>
      <c r="AV11" s="573"/>
      <c r="AW11" s="574"/>
      <c r="AX11">
        <f t="shared" si="11"/>
        <v>0</v>
      </c>
    </row>
    <row r="12" spans="1:50" ht="64.5" x14ac:dyDescent="0.25">
      <c r="A12" s="583" t="str">
        <f>CRONOGRAMA!A12</f>
        <v>2G</v>
      </c>
      <c r="B12" s="578" t="str">
        <f>CRONOGRAMA!B12</f>
        <v xml:space="preserve">Relaciones Interinstitucionales. Escaso registro y control de la movilidad internacional entrante y saliente. </v>
      </c>
      <c r="C12" s="82" t="str">
        <f>IF('CONSOLIDACION DEL MAPA'!P12="","",'CONSOLIDACION DEL MAPA'!P12)</f>
        <v>Evitar</v>
      </c>
      <c r="D12" s="82" t="str">
        <f>CRONOGRAMA!D12</f>
        <v>Actualizacion constante. Difusion de la Guia.</v>
      </c>
      <c r="E12" s="132" t="str">
        <f>IF(CRONOGRAMA!F12="", "",CRONOGRAMA!F12)</f>
        <v>Correos enviados</v>
      </c>
      <c r="F12" s="132">
        <f>IF(CRONOGRAMA!G12="", "",CRONOGRAMA!G12)</f>
        <v>1</v>
      </c>
      <c r="G12" s="128">
        <f>IF(CRONOGRAMA!H12="", "",CRONOGRAMA!H12)</f>
        <v>42401</v>
      </c>
      <c r="H12" s="128">
        <f>IF(CRONOGRAMA!I12="", "",CRONOGRAMA!I12)</f>
        <v>42405</v>
      </c>
      <c r="I12" s="84">
        <f t="shared" si="12"/>
        <v>0.5714285714285714</v>
      </c>
      <c r="J12" s="160" t="str">
        <f>IF($P$6="Indique Fecha Seguimiento","",IF(CRONOGRAMA!$E12="No Aplica","NA",IF($G12="","",IF(YEAR($G12)&lt;YEAR($P$6)," A ",IF(YEAR($G12)=YEAR($P$6),IF(MONTH($G12)&lt;=4," A ","NA"),IF(YEAR($G12)&gt;YEAR($P$6),"NA"))))))</f>
        <v xml:space="preserve"> A </v>
      </c>
      <c r="K12" s="400">
        <v>1</v>
      </c>
      <c r="L12" s="401" t="s">
        <v>878</v>
      </c>
      <c r="M12" s="400">
        <v>1</v>
      </c>
      <c r="N12" s="348">
        <f t="shared" si="0"/>
        <v>1</v>
      </c>
      <c r="O12" s="349" t="s">
        <v>11</v>
      </c>
      <c r="P12" s="44"/>
      <c r="Q12" s="84">
        <f t="shared" si="1"/>
        <v>0.5714285714285714</v>
      </c>
      <c r="R12" s="84">
        <f t="shared" si="2"/>
        <v>0.5714285714285714</v>
      </c>
      <c r="S12" s="84">
        <f t="shared" si="3"/>
        <v>0.5714285714285714</v>
      </c>
      <c r="T12" s="160" t="str">
        <f>IF($Z$6="Indique Fecha Seguimiento","",IF(CRONOGRAMA!$E12="No Aplica","NA",IF($G12="","",IF(YEAR($G12)&lt;YEAR($Z$6)," A ",IF(YEAR($G12)=YEAR($Z$6),IF(MONTH($G12)&lt;=8," A ","NA"),IF(YEAR($G12)&gt;YEAR($Z$6),"NA"))))))</f>
        <v xml:space="preserve"> A </v>
      </c>
      <c r="U12" s="351">
        <v>1</v>
      </c>
      <c r="V12" s="44" t="s">
        <v>939</v>
      </c>
      <c r="W12" s="351">
        <v>1</v>
      </c>
      <c r="X12" s="348">
        <f t="shared" si="4"/>
        <v>1</v>
      </c>
      <c r="Y12" s="349" t="s">
        <v>11</v>
      </c>
      <c r="Z12" s="44" t="s">
        <v>940</v>
      </c>
      <c r="AA12" s="84">
        <f t="shared" si="5"/>
        <v>0.5714285714285714</v>
      </c>
      <c r="AB12" s="84">
        <f t="shared" si="13"/>
        <v>0.5714285714285714</v>
      </c>
      <c r="AC12" s="84">
        <f t="shared" si="6"/>
        <v>0.5714285714285714</v>
      </c>
      <c r="AD12" s="160" t="str">
        <f>IF($AJ$6="Indique Fecha Seguimiento","",IF(CRONOGRAMA!$E12="No Aplica","NA",IF($G12="","",IF(YEAR($G12)&lt;YEAR($AJ$6)," A ",IF(YEAR($G12)=YEAR($AJ$6),IF(MONTH($G12)&lt;=12," A ","NA"),IF(YEAR($G12)&gt;YEAR($AJ$6),"NA"))))))</f>
        <v xml:space="preserve"> A </v>
      </c>
      <c r="AE12" s="351">
        <v>1</v>
      </c>
      <c r="AF12" s="44" t="s">
        <v>939</v>
      </c>
      <c r="AG12" s="351">
        <v>1</v>
      </c>
      <c r="AH12" s="348">
        <f t="shared" si="7"/>
        <v>1</v>
      </c>
      <c r="AI12" s="349" t="s">
        <v>11</v>
      </c>
      <c r="AJ12" s="44" t="str">
        <f>Z12</f>
        <v>Se cumplio con la actividad definida tal como se informo en primer seguimiento</v>
      </c>
      <c r="AK12" s="81">
        <f t="shared" si="8"/>
        <v>0.5714285714285714</v>
      </c>
      <c r="AL12" s="84">
        <f t="shared" si="9"/>
        <v>0.5714285714285714</v>
      </c>
      <c r="AM12" s="84">
        <f t="shared" si="10"/>
        <v>0.5714285714285714</v>
      </c>
      <c r="AN12" s="579">
        <f>SUM(I12:I14)</f>
        <v>1.7142857142857142</v>
      </c>
      <c r="AO12" s="580">
        <f t="shared" ref="AO12" si="14">IF(AND(Q12="",Q13="",Q14=""),"",SUM(Q12:Q14))</f>
        <v>1.7142857142857142</v>
      </c>
      <c r="AP12" s="581">
        <f t="shared" ref="AP12" si="15">IF(AND(AA12="",AA13="",AA14=""),"",SUM(AA12:AA14))</f>
        <v>1.7142857142857142</v>
      </c>
      <c r="AQ12" s="581">
        <f t="shared" ref="AQ12" si="16">IF(AND(AK12="",AK13="",AK14=""),"",SUM(AK12:AK14))</f>
        <v>1.7142857142857142</v>
      </c>
      <c r="AR12" s="582">
        <f>IF(AO12="",IF($AU$6&lt;1,"",IF($AU$6&gt;=1,"NA")),IF(AO12=0,0,AO12/$AN12))</f>
        <v>1</v>
      </c>
      <c r="AS12" s="582">
        <f t="shared" ref="AS12" si="17">IF(AP12="",IF($AU$6&lt;2,"",IF($AU$6&gt;=2,"NA")),IF(AP12=0,0,AP12/$AN12))</f>
        <v>1</v>
      </c>
      <c r="AT12" s="582">
        <f t="shared" ref="AT12" si="18">IF(AS12&gt;=AR12,AS12,AR12)</f>
        <v>1</v>
      </c>
      <c r="AU12" s="572">
        <f t="shared" ref="AU12" si="19">IF(AQ12="",IF($AU$6&lt;3,"",IF($AU$6&gt;=3,"NA")),IF(AQ12=0,0,AQ12/$AN12))</f>
        <v>1</v>
      </c>
      <c r="AV12" s="573">
        <f t="shared" ref="AV12" si="20">IF($AU$6=1,AR12,IF($AU$6=2,AS12,IF($AU$6=3,AU12,"")))</f>
        <v>1</v>
      </c>
      <c r="AW12" s="574">
        <f t="shared" ref="AW12" si="21">AV12</f>
        <v>1</v>
      </c>
      <c r="AX12" t="str">
        <f t="shared" si="11"/>
        <v>Se cumplio con la actividad definida tal como se informo en primer seguimiento</v>
      </c>
    </row>
    <row r="13" spans="1:50" ht="76.5" x14ac:dyDescent="0.25">
      <c r="A13" s="583"/>
      <c r="B13" s="578"/>
      <c r="C13" s="82" t="str">
        <f>IF('CONSOLIDACION DEL MAPA'!P13="","",'CONSOLIDACION DEL MAPA'!P13)</f>
        <v>Evitar</v>
      </c>
      <c r="D13" s="82" t="str">
        <f>CRONOGRAMA!D13</f>
        <v>Seguimiento periodico a los controles existentes en el procedimiento. Difusión del procedimiento.</v>
      </c>
      <c r="E13" s="132" t="str">
        <f>IF(CRONOGRAMA!F13="", "",CRONOGRAMA!F13)</f>
        <v>Correos enviados</v>
      </c>
      <c r="F13" s="132">
        <f>IF(CRONOGRAMA!G13="", "",CRONOGRAMA!G13)</f>
        <v>1</v>
      </c>
      <c r="G13" s="128">
        <f>IF(CRONOGRAMA!H13="", "",CRONOGRAMA!H13)</f>
        <v>42401</v>
      </c>
      <c r="H13" s="128">
        <f>IF(CRONOGRAMA!I13="", "",CRONOGRAMA!I13)</f>
        <v>42405</v>
      </c>
      <c r="I13" s="84">
        <f t="shared" si="12"/>
        <v>0.5714285714285714</v>
      </c>
      <c r="J13" s="160" t="str">
        <f>IF($P$6="Indique Fecha Seguimiento","",IF(CRONOGRAMA!$E13="No Aplica","NA",IF($G13="","",IF(YEAR($G13)&lt;YEAR($P$6)," A ",IF(YEAR($G13)=YEAR($P$6),IF(MONTH($G13)&lt;=4," A ","NA"),IF(YEAR($G13)&gt;YEAR($P$6),"NA"))))))</f>
        <v xml:space="preserve"> A </v>
      </c>
      <c r="K13" s="400">
        <v>1</v>
      </c>
      <c r="L13" s="401" t="s">
        <v>878</v>
      </c>
      <c r="M13" s="400">
        <v>1</v>
      </c>
      <c r="N13" s="348">
        <f t="shared" si="0"/>
        <v>1</v>
      </c>
      <c r="O13" s="349" t="s">
        <v>11</v>
      </c>
      <c r="P13" s="44"/>
      <c r="Q13" s="84">
        <f t="shared" si="1"/>
        <v>0.5714285714285714</v>
      </c>
      <c r="R13" s="84">
        <f t="shared" si="2"/>
        <v>0.5714285714285714</v>
      </c>
      <c r="S13" s="84">
        <f t="shared" si="3"/>
        <v>0.5714285714285714</v>
      </c>
      <c r="T13" s="160" t="str">
        <f>IF($Z$6="Indique Fecha Seguimiento","",IF(CRONOGRAMA!$E13="No Aplica","NA",IF($G13="","",IF(YEAR($G13)&lt;YEAR($Z$6)," A ",IF(YEAR($G13)=YEAR($Z$6),IF(MONTH($G13)&lt;=8," A ","NA"),IF(YEAR($G13)&gt;YEAR($Z$6),"NA"))))))</f>
        <v xml:space="preserve"> A </v>
      </c>
      <c r="U13" s="351">
        <v>1</v>
      </c>
      <c r="V13" s="44" t="s">
        <v>939</v>
      </c>
      <c r="W13" s="351">
        <v>1</v>
      </c>
      <c r="X13" s="348">
        <f t="shared" si="4"/>
        <v>1</v>
      </c>
      <c r="Y13" s="349" t="s">
        <v>11</v>
      </c>
      <c r="Z13" s="44" t="s">
        <v>940</v>
      </c>
      <c r="AA13" s="84">
        <f t="shared" si="5"/>
        <v>0.5714285714285714</v>
      </c>
      <c r="AB13" s="84">
        <f t="shared" si="13"/>
        <v>0.5714285714285714</v>
      </c>
      <c r="AC13" s="84">
        <f t="shared" si="6"/>
        <v>0.5714285714285714</v>
      </c>
      <c r="AD13" s="160" t="str">
        <f>IF($AJ$6="Indique Fecha Seguimiento","",IF(CRONOGRAMA!$E13="No Aplica","NA",IF($G13="","",IF(YEAR($G13)&lt;YEAR($AJ$6)," A ",IF(YEAR($G13)=YEAR($AJ$6),IF(MONTH($G13)&lt;=12," A ","NA"),IF(YEAR($G13)&gt;YEAR($AJ$6),"NA"))))))</f>
        <v xml:space="preserve"> A </v>
      </c>
      <c r="AE13" s="351">
        <v>1</v>
      </c>
      <c r="AF13" s="44" t="s">
        <v>939</v>
      </c>
      <c r="AG13" s="351">
        <v>1</v>
      </c>
      <c r="AH13" s="348">
        <f t="shared" si="7"/>
        <v>1</v>
      </c>
      <c r="AI13" s="349" t="s">
        <v>11</v>
      </c>
      <c r="AJ13" s="44" t="str">
        <f>Z13</f>
        <v>Se cumplio con la actividad definida tal como se informo en primer seguimiento</v>
      </c>
      <c r="AK13" s="81">
        <f t="shared" si="8"/>
        <v>0.5714285714285714</v>
      </c>
      <c r="AL13" s="84">
        <f t="shared" si="9"/>
        <v>0.5714285714285714</v>
      </c>
      <c r="AM13" s="84">
        <f t="shared" si="10"/>
        <v>0.5714285714285714</v>
      </c>
      <c r="AN13" s="579"/>
      <c r="AO13" s="580"/>
      <c r="AP13" s="581"/>
      <c r="AQ13" s="581"/>
      <c r="AR13" s="582"/>
      <c r="AS13" s="582"/>
      <c r="AT13" s="582"/>
      <c r="AU13" s="572"/>
      <c r="AV13" s="573"/>
      <c r="AW13" s="574"/>
      <c r="AX13" t="str">
        <f t="shared" si="11"/>
        <v>Se cumplio con la actividad definida tal como se informo en primer seguimiento</v>
      </c>
    </row>
    <row r="14" spans="1:50" ht="64.5" x14ac:dyDescent="0.25">
      <c r="A14" s="583"/>
      <c r="B14" s="578"/>
      <c r="C14" s="82" t="str">
        <f>IF('CONSOLIDACION DEL MAPA'!P14="","",'CONSOLIDACION DEL MAPA'!P14)</f>
        <v>Evitar</v>
      </c>
      <c r="D14" s="82" t="str">
        <f>CRONOGRAMA!D14</f>
        <v>Difusion adecuada de los formatos. Recopilacion de los soportes requeridos.</v>
      </c>
      <c r="E14" s="132" t="str">
        <f>IF(CRONOGRAMA!F14="", "",CRONOGRAMA!F14)</f>
        <v>Correos enviados</v>
      </c>
      <c r="F14" s="132">
        <f>IF(CRONOGRAMA!G14="", "",CRONOGRAMA!G14)</f>
        <v>1</v>
      </c>
      <c r="G14" s="128">
        <f>IF(CRONOGRAMA!H14="", "",CRONOGRAMA!H14)</f>
        <v>42401</v>
      </c>
      <c r="H14" s="128">
        <f>IF(CRONOGRAMA!I14="", "",CRONOGRAMA!I14)</f>
        <v>42405</v>
      </c>
      <c r="I14" s="84">
        <f t="shared" si="12"/>
        <v>0.5714285714285714</v>
      </c>
      <c r="J14" s="160" t="str">
        <f>IF($P$6="Indique Fecha Seguimiento","",IF(CRONOGRAMA!$E14="No Aplica","NA",IF($G14="","",IF(YEAR($G14)&lt;YEAR($P$6)," A ",IF(YEAR($G14)=YEAR($P$6),IF(MONTH($G14)&lt;=4," A ","NA"),IF(YEAR($G14)&gt;YEAR($P$6),"NA"))))))</f>
        <v xml:space="preserve"> A </v>
      </c>
      <c r="K14" s="400">
        <v>1</v>
      </c>
      <c r="L14" s="401" t="s">
        <v>878</v>
      </c>
      <c r="M14" s="400">
        <v>1</v>
      </c>
      <c r="N14" s="348">
        <f t="shared" si="0"/>
        <v>1</v>
      </c>
      <c r="O14" s="349" t="s">
        <v>11</v>
      </c>
      <c r="P14" s="44"/>
      <c r="Q14" s="84">
        <f t="shared" si="1"/>
        <v>0.5714285714285714</v>
      </c>
      <c r="R14" s="84">
        <f t="shared" si="2"/>
        <v>0.5714285714285714</v>
      </c>
      <c r="S14" s="84">
        <f t="shared" si="3"/>
        <v>0.5714285714285714</v>
      </c>
      <c r="T14" s="160" t="str">
        <f>IF($Z$6="Indique Fecha Seguimiento","",IF(CRONOGRAMA!$E14="No Aplica","NA",IF($G14="","",IF(YEAR($G14)&lt;YEAR($Z$6)," A ",IF(YEAR($G14)=YEAR($Z$6),IF(MONTH($G14)&lt;=8," A ","NA"),IF(YEAR($G14)&gt;YEAR($Z$6),"NA"))))))</f>
        <v xml:space="preserve"> A </v>
      </c>
      <c r="U14" s="351">
        <v>1</v>
      </c>
      <c r="V14" s="44" t="s">
        <v>939</v>
      </c>
      <c r="W14" s="351">
        <v>1</v>
      </c>
      <c r="X14" s="348">
        <f t="shared" si="4"/>
        <v>1</v>
      </c>
      <c r="Y14" s="349" t="s">
        <v>11</v>
      </c>
      <c r="Z14" s="44" t="s">
        <v>940</v>
      </c>
      <c r="AA14" s="84">
        <f t="shared" si="5"/>
        <v>0.5714285714285714</v>
      </c>
      <c r="AB14" s="84">
        <f t="shared" si="13"/>
        <v>0.5714285714285714</v>
      </c>
      <c r="AC14" s="84">
        <f t="shared" si="6"/>
        <v>0.5714285714285714</v>
      </c>
      <c r="AD14" s="160" t="str">
        <f>IF($AJ$6="Indique Fecha Seguimiento","",IF(CRONOGRAMA!$E14="No Aplica","NA",IF($G14="","",IF(YEAR($G14)&lt;YEAR($AJ$6)," A ",IF(YEAR($G14)=YEAR($AJ$6),IF(MONTH($G14)&lt;=12," A ","NA"),IF(YEAR($G14)&gt;YEAR($AJ$6),"NA"))))))</f>
        <v xml:space="preserve"> A </v>
      </c>
      <c r="AE14" s="351">
        <v>1</v>
      </c>
      <c r="AF14" s="44" t="s">
        <v>939</v>
      </c>
      <c r="AG14" s="351">
        <v>1</v>
      </c>
      <c r="AH14" s="348">
        <f t="shared" si="7"/>
        <v>1</v>
      </c>
      <c r="AI14" s="349" t="s">
        <v>11</v>
      </c>
      <c r="AJ14" s="44" t="str">
        <f>Z14</f>
        <v>Se cumplio con la actividad definida tal como se informo en primer seguimiento</v>
      </c>
      <c r="AK14" s="81">
        <f t="shared" si="8"/>
        <v>0.5714285714285714</v>
      </c>
      <c r="AL14" s="84">
        <f t="shared" si="9"/>
        <v>0.5714285714285714</v>
      </c>
      <c r="AM14" s="84">
        <f t="shared" si="10"/>
        <v>0.5714285714285714</v>
      </c>
      <c r="AN14" s="579"/>
      <c r="AO14" s="580"/>
      <c r="AP14" s="581"/>
      <c r="AQ14" s="581"/>
      <c r="AR14" s="582"/>
      <c r="AS14" s="582"/>
      <c r="AT14" s="582"/>
      <c r="AU14" s="572"/>
      <c r="AV14" s="573"/>
      <c r="AW14" s="574"/>
      <c r="AX14" t="str">
        <f t="shared" si="11"/>
        <v>Se cumplio con la actividad definida tal como se informo en primer seguimiento</v>
      </c>
    </row>
    <row r="15" spans="1:50" ht="77.25" x14ac:dyDescent="0.25">
      <c r="A15" s="583" t="str">
        <f>CRONOGRAMA!A15</f>
        <v>3G</v>
      </c>
      <c r="B15" s="578" t="str">
        <f>CRONOGRAMA!B15</f>
        <v>Relaciones Interinstitucionales. Gestionar la movilidad internacional sin requisitos legales</v>
      </c>
      <c r="C15" s="82" t="str">
        <f>IF('CONSOLIDACION DEL MAPA'!P15="","",'CONSOLIDACION DEL MAPA'!P15)</f>
        <v>Evitar</v>
      </c>
      <c r="D15" s="82" t="str">
        <f>CRONOGRAMA!D15</f>
        <v>Difusion adecuada de los formatos. Recopilacion de los soportes requeridos.</v>
      </c>
      <c r="E15" s="132" t="str">
        <f>IF(CRONOGRAMA!F15="", "",CRONOGRAMA!F15)</f>
        <v xml:space="preserve">Correo Electronico y asistencia personalizada </v>
      </c>
      <c r="F15" s="132">
        <f>IF(CRONOGRAMA!G15="", "",CRONOGRAMA!G15)</f>
        <v>1</v>
      </c>
      <c r="G15" s="128">
        <f>IF(CRONOGRAMA!H15="", "",CRONOGRAMA!H15)</f>
        <v>42370</v>
      </c>
      <c r="H15" s="128">
        <f>IF(CRONOGRAMA!I15="", "",CRONOGRAMA!I15)</f>
        <v>42490</v>
      </c>
      <c r="I15" s="84">
        <f t="shared" si="12"/>
        <v>17.142857142857142</v>
      </c>
      <c r="J15" s="160" t="str">
        <f>IF($P$6="Indique Fecha Seguimiento","",IF(CRONOGRAMA!$E15="No Aplica","NA",IF($G15="","",IF(YEAR($G15)&lt;YEAR($P$6)," A ",IF(YEAR($G15)=YEAR($P$6),IF(MONTH($G15)&lt;=4," A ","NA"),IF(YEAR($G15)&gt;YEAR($P$6),"NA"))))))</f>
        <v xml:space="preserve"> A </v>
      </c>
      <c r="K15" s="400">
        <v>1</v>
      </c>
      <c r="L15" s="401" t="s">
        <v>879</v>
      </c>
      <c r="M15" s="400">
        <v>1</v>
      </c>
      <c r="N15" s="348">
        <f t="shared" si="0"/>
        <v>1</v>
      </c>
      <c r="O15" s="349" t="s">
        <v>11</v>
      </c>
      <c r="P15" s="44" t="s">
        <v>911</v>
      </c>
      <c r="Q15" s="84">
        <f t="shared" si="1"/>
        <v>17.142857142857142</v>
      </c>
      <c r="R15" s="84">
        <f t="shared" si="2"/>
        <v>17.142857142857142</v>
      </c>
      <c r="S15" s="84">
        <f t="shared" si="3"/>
        <v>17.142857142857142</v>
      </c>
      <c r="T15" s="160" t="str">
        <f>IF($Z$6="Indique Fecha Seguimiento","",IF(CRONOGRAMA!$E15="No Aplica","NA",IF($G15="","",IF(YEAR($G15)&lt;YEAR($Z$6)," A ",IF(YEAR($G15)=YEAR($Z$6),IF(MONTH($G15)&lt;=8," A ","NA"),IF(YEAR($G15)&gt;YEAR($Z$6),"NA"))))))</f>
        <v xml:space="preserve"> A </v>
      </c>
      <c r="U15" s="351">
        <v>1</v>
      </c>
      <c r="V15" s="44" t="s">
        <v>939</v>
      </c>
      <c r="W15" s="351">
        <v>1</v>
      </c>
      <c r="X15" s="348">
        <f t="shared" si="4"/>
        <v>1</v>
      </c>
      <c r="Y15" s="349" t="s">
        <v>11</v>
      </c>
      <c r="Z15" s="44" t="s">
        <v>940</v>
      </c>
      <c r="AA15" s="84">
        <f t="shared" si="5"/>
        <v>17.142857142857142</v>
      </c>
      <c r="AB15" s="84">
        <f t="shared" si="13"/>
        <v>17.142857142857142</v>
      </c>
      <c r="AC15" s="84">
        <f t="shared" si="6"/>
        <v>17.142857142857142</v>
      </c>
      <c r="AD15" s="160" t="str">
        <f>IF($AJ$6="Indique Fecha Seguimiento","",IF(CRONOGRAMA!$E15="No Aplica","NA",IF($G15="","",IF(YEAR($G15)&lt;YEAR($AJ$6)," A ",IF(YEAR($G15)=YEAR($AJ$6),IF(MONTH($G15)&lt;=12," A ","NA"),IF(YEAR($G15)&gt;YEAR($AJ$6),"NA"))))))</f>
        <v xml:space="preserve"> A </v>
      </c>
      <c r="AE15" s="351">
        <v>1</v>
      </c>
      <c r="AF15" s="44" t="s">
        <v>939</v>
      </c>
      <c r="AG15" s="351">
        <v>1</v>
      </c>
      <c r="AH15" s="348">
        <f t="shared" si="7"/>
        <v>1</v>
      </c>
      <c r="AI15" s="349" t="s">
        <v>11</v>
      </c>
      <c r="AJ15" s="44" t="str">
        <f>Z15</f>
        <v>Se cumplio con la actividad definida tal como se informo en primer seguimiento</v>
      </c>
      <c r="AK15" s="81">
        <f t="shared" si="8"/>
        <v>17.142857142857142</v>
      </c>
      <c r="AL15" s="84">
        <f t="shared" si="9"/>
        <v>17.142857142857142</v>
      </c>
      <c r="AM15" s="84">
        <f t="shared" si="10"/>
        <v>17.142857142857142</v>
      </c>
      <c r="AN15" s="579">
        <f t="shared" ref="AN15" si="22">SUM(I15:I17)</f>
        <v>17.142857142857142</v>
      </c>
      <c r="AO15" s="580">
        <f t="shared" ref="AO15" si="23">IF(AND(Q15="",Q16="",Q17=""),"",SUM(Q15:Q17))</f>
        <v>17.142857142857142</v>
      </c>
      <c r="AP15" s="581">
        <f t="shared" ref="AP15" si="24">IF(AND(AA15="",AA16="",AA17=""),"",SUM(AA15:AA17))</f>
        <v>17.142857142857142</v>
      </c>
      <c r="AQ15" s="581">
        <f t="shared" ref="AQ15" si="25">IF(AND(AK15="",AK16="",AK17=""),"",SUM(AK15:AK17))</f>
        <v>17.142857142857142</v>
      </c>
      <c r="AR15" s="582">
        <f t="shared" ref="AR15" si="26">IF(AO15="",IF($AU$6&lt;1,"",IF($AU$6&gt;=1,"NA")),IF(AO15=0,0,AO15/$AN15))</f>
        <v>1</v>
      </c>
      <c r="AS15" s="582">
        <f t="shared" ref="AS15" si="27">IF(AP15="",IF($AU$6&lt;2,"",IF($AU$6&gt;=2,"NA")),IF(AP15=0,0,AP15/$AN15))</f>
        <v>1</v>
      </c>
      <c r="AT15" s="582">
        <f t="shared" ref="AT15" si="28">IF(AS15&gt;=AR15,AS15,AR15)</f>
        <v>1</v>
      </c>
      <c r="AU15" s="572">
        <f t="shared" ref="AU15" si="29">IF(AQ15="",IF($AU$6&lt;3,"",IF($AU$6&gt;=3,"NA")),IF(AQ15=0,0,AQ15/$AN15))</f>
        <v>1</v>
      </c>
      <c r="AV15" s="573">
        <f t="shared" ref="AV15" si="30">IF($AU$6=1,AR15,IF($AU$6=2,AS15,IF($AU$6=3,AU15,"")))</f>
        <v>1</v>
      </c>
      <c r="AW15" s="574">
        <f t="shared" ref="AW15" si="31">AV15</f>
        <v>1</v>
      </c>
      <c r="AX15" t="str">
        <f t="shared" si="11"/>
        <v>Se cumplio con la actividad definida tal como se informo en primer seguimiento</v>
      </c>
    </row>
    <row r="16" spans="1:50" ht="15.75" x14ac:dyDescent="0.25">
      <c r="A16" s="583"/>
      <c r="B16" s="578"/>
      <c r="C16" s="82" t="str">
        <f>IF('CONSOLIDACION DEL MAPA'!P16="","",'CONSOLIDACION DEL MAPA'!P16)</f>
        <v/>
      </c>
      <c r="D16" s="82" t="str">
        <f>CRONOGRAMA!D16</f>
        <v/>
      </c>
      <c r="E16" s="132" t="str">
        <f>IF(CRONOGRAMA!F16="", "",CRONOGRAMA!F16)</f>
        <v/>
      </c>
      <c r="F16" s="132" t="str">
        <f>IF(CRONOGRAMA!G16="", "",CRONOGRAMA!G16)</f>
        <v/>
      </c>
      <c r="G16" s="128" t="str">
        <f>IF(CRONOGRAMA!H16="", "",CRONOGRAMA!H16)</f>
        <v/>
      </c>
      <c r="H16" s="128" t="str">
        <f>IF(CRONOGRAMA!I16="", "",CRONOGRAMA!I16)</f>
        <v/>
      </c>
      <c r="I16" s="84">
        <f t="shared" si="12"/>
        <v>0</v>
      </c>
      <c r="J16" s="160" t="str">
        <f>IF($P$6="Indique Fecha Seguimiento","",IF(CRONOGRAMA!$E16="No Aplica","NA",IF($G16="","",IF(YEAR($G16)&lt;YEAR($P$6)," A ",IF(YEAR($G16)=YEAR($P$6),IF(MONTH($G16)&lt;=4," A ","NA"),IF(YEAR($G16)&gt;YEAR($P$6),"NA"))))))</f>
        <v/>
      </c>
      <c r="K16" s="400"/>
      <c r="L16" s="401"/>
      <c r="M16" s="400"/>
      <c r="N16" s="348" t="str">
        <f t="shared" si="0"/>
        <v/>
      </c>
      <c r="O16" s="349"/>
      <c r="P16" s="44"/>
      <c r="Q16" s="84" t="str">
        <f t="shared" si="1"/>
        <v/>
      </c>
      <c r="R16" s="84" t="str">
        <f t="shared" si="2"/>
        <v/>
      </c>
      <c r="S16" s="84">
        <f t="shared" si="3"/>
        <v>0</v>
      </c>
      <c r="T16" s="160" t="str">
        <f>IF($Z$6="Indique Fecha Seguimiento","",IF(CRONOGRAMA!$E16="No Aplica","NA",IF($G16="","",IF(YEAR($G16)&lt;YEAR($Z$6)," A ",IF(YEAR($G16)=YEAR($Z$6),IF(MONTH($G16)&lt;=8," A ","NA"),IF(YEAR($G16)&gt;YEAR($Z$6),"NA"))))))</f>
        <v/>
      </c>
      <c r="U16" s="351"/>
      <c r="V16" s="44"/>
      <c r="W16" s="351"/>
      <c r="X16" s="348" t="str">
        <f t="shared" si="4"/>
        <v/>
      </c>
      <c r="Y16" s="349"/>
      <c r="Z16" s="44"/>
      <c r="AA16" s="84" t="str">
        <f t="shared" si="5"/>
        <v/>
      </c>
      <c r="AB16" s="84" t="str">
        <f t="shared" si="13"/>
        <v/>
      </c>
      <c r="AC16" s="84">
        <f t="shared" si="6"/>
        <v>0</v>
      </c>
      <c r="AD16" s="160" t="str">
        <f>IF($AJ$6="Indique Fecha Seguimiento","",IF(CRONOGRAMA!$E16="No Aplica","NA",IF($G16="","",IF(YEAR($G16)&lt;YEAR($AJ$6)," A ",IF(YEAR($G16)=YEAR($AJ$6),IF(MONTH($G16)&lt;=12," A ","NA"),IF(YEAR($G16)&gt;YEAR($AJ$6),"NA"))))))</f>
        <v/>
      </c>
      <c r="AE16" s="350"/>
      <c r="AF16" s="44"/>
      <c r="AG16" s="351"/>
      <c r="AH16" s="348" t="str">
        <f t="shared" si="7"/>
        <v/>
      </c>
      <c r="AI16" s="349"/>
      <c r="AJ16" s="44"/>
      <c r="AK16" s="81" t="str">
        <f t="shared" si="8"/>
        <v/>
      </c>
      <c r="AL16" s="84" t="str">
        <f t="shared" si="9"/>
        <v/>
      </c>
      <c r="AM16" s="84">
        <f t="shared" si="10"/>
        <v>0</v>
      </c>
      <c r="AN16" s="579"/>
      <c r="AO16" s="580"/>
      <c r="AP16" s="581"/>
      <c r="AQ16" s="581"/>
      <c r="AR16" s="582"/>
      <c r="AS16" s="582"/>
      <c r="AT16" s="582"/>
      <c r="AU16" s="572"/>
      <c r="AV16" s="573"/>
      <c r="AW16" s="574"/>
      <c r="AX16">
        <f t="shared" si="11"/>
        <v>0</v>
      </c>
    </row>
    <row r="17" spans="1:50" ht="15.75" x14ac:dyDescent="0.25">
      <c r="A17" s="583"/>
      <c r="B17" s="578"/>
      <c r="C17" s="82" t="str">
        <f>IF('CONSOLIDACION DEL MAPA'!P17="","",'CONSOLIDACION DEL MAPA'!P17)</f>
        <v/>
      </c>
      <c r="D17" s="82" t="str">
        <f>CRONOGRAMA!D17</f>
        <v/>
      </c>
      <c r="E17" s="132" t="str">
        <f>IF(CRONOGRAMA!F17="", "",CRONOGRAMA!F17)</f>
        <v/>
      </c>
      <c r="F17" s="132" t="str">
        <f>IF(CRONOGRAMA!G17="", "",CRONOGRAMA!G17)</f>
        <v/>
      </c>
      <c r="G17" s="128" t="str">
        <f>IF(CRONOGRAMA!H17="", "",CRONOGRAMA!H17)</f>
        <v/>
      </c>
      <c r="H17" s="128" t="str">
        <f>IF(CRONOGRAMA!I17="", "",CRONOGRAMA!I17)</f>
        <v/>
      </c>
      <c r="I17" s="84">
        <f t="shared" si="12"/>
        <v>0</v>
      </c>
      <c r="J17" s="160" t="str">
        <f>IF($P$6="Indique Fecha Seguimiento","",IF(CRONOGRAMA!$E17="No Aplica","NA",IF($G17="","",IF(YEAR($G17)&lt;YEAR($P$6)," A ",IF(YEAR($G17)=YEAR($P$6),IF(MONTH($G17)&lt;=4," A ","NA"),IF(YEAR($G17)&gt;YEAR($P$6),"NA"))))))</f>
        <v/>
      </c>
      <c r="K17" s="400"/>
      <c r="L17" s="401"/>
      <c r="M17" s="400"/>
      <c r="N17" s="348" t="str">
        <f t="shared" si="0"/>
        <v/>
      </c>
      <c r="O17" s="349"/>
      <c r="P17" s="44"/>
      <c r="Q17" s="84" t="str">
        <f t="shared" si="1"/>
        <v/>
      </c>
      <c r="R17" s="84" t="str">
        <f t="shared" si="2"/>
        <v/>
      </c>
      <c r="S17" s="84">
        <f t="shared" si="3"/>
        <v>0</v>
      </c>
      <c r="T17" s="160" t="str">
        <f>IF($Z$6="Indique Fecha Seguimiento","",IF(CRONOGRAMA!$E17="No Aplica","NA",IF($G17="","",IF(YEAR($G17)&lt;YEAR($Z$6)," A ",IF(YEAR($G17)=YEAR($Z$6),IF(MONTH($G17)&lt;=8," A ","NA"),IF(YEAR($G17)&gt;YEAR($Z$6),"NA"))))))</f>
        <v/>
      </c>
      <c r="U17" s="351"/>
      <c r="V17" s="44"/>
      <c r="W17" s="351"/>
      <c r="X17" s="348" t="str">
        <f t="shared" si="4"/>
        <v/>
      </c>
      <c r="Y17" s="349"/>
      <c r="Z17" s="44"/>
      <c r="AA17" s="84" t="str">
        <f t="shared" si="5"/>
        <v/>
      </c>
      <c r="AB17" s="84" t="str">
        <f t="shared" si="13"/>
        <v/>
      </c>
      <c r="AC17" s="84">
        <f t="shared" si="6"/>
        <v>0</v>
      </c>
      <c r="AD17" s="160" t="str">
        <f>IF($AJ$6="Indique Fecha Seguimiento","",IF(CRONOGRAMA!$E17="No Aplica","NA",IF($G17="","",IF(YEAR($G17)&lt;YEAR($AJ$6)," A ",IF(YEAR($G17)=YEAR($AJ$6),IF(MONTH($G17)&lt;=12," A ","NA"),IF(YEAR($G17)&gt;YEAR($AJ$6),"NA"))))))</f>
        <v/>
      </c>
      <c r="AE17" s="350"/>
      <c r="AF17" s="44"/>
      <c r="AG17" s="351"/>
      <c r="AH17" s="348" t="str">
        <f t="shared" si="7"/>
        <v/>
      </c>
      <c r="AI17" s="349"/>
      <c r="AJ17" s="44"/>
      <c r="AK17" s="81" t="str">
        <f t="shared" si="8"/>
        <v/>
      </c>
      <c r="AL17" s="84" t="str">
        <f t="shared" si="9"/>
        <v/>
      </c>
      <c r="AM17" s="84">
        <f t="shared" si="10"/>
        <v>0</v>
      </c>
      <c r="AN17" s="579"/>
      <c r="AO17" s="580"/>
      <c r="AP17" s="581"/>
      <c r="AQ17" s="581"/>
      <c r="AR17" s="582"/>
      <c r="AS17" s="582"/>
      <c r="AT17" s="582"/>
      <c r="AU17" s="572"/>
      <c r="AV17" s="573"/>
      <c r="AW17" s="574"/>
      <c r="AX17">
        <f t="shared" si="11"/>
        <v>0</v>
      </c>
    </row>
    <row r="18" spans="1:50" ht="102.75" x14ac:dyDescent="0.25">
      <c r="A18" s="583" t="str">
        <f>CRONOGRAMA!A18</f>
        <v>4G</v>
      </c>
      <c r="B18" s="578" t="str">
        <f>CRONOGRAMA!B18</f>
        <v>Acreditación. Insuficiente Implementación de la Política Institucional de Autoevaluación, Acreditación y Aseguramiento de la calidad</v>
      </c>
      <c r="C18" s="82" t="str">
        <f>IF('CONSOLIDACION DEL MAPA'!P18="","",'CONSOLIDACION DEL MAPA'!P18)</f>
        <v>Reducir</v>
      </c>
      <c r="D18" s="82" t="str">
        <f>CRONOGRAMA!D18</f>
        <v>Cumplimiento de metas para  cualificación a la comunidad universitaria acordes con el plan de trabajo.</v>
      </c>
      <c r="E18" s="132" t="str">
        <f>IF(CRONOGRAMA!F18="", "",CRONOGRAMA!F18)</f>
        <v>Comunicaciones</v>
      </c>
      <c r="F18" s="132">
        <f>IF(CRONOGRAMA!G18="", "",CRONOGRAMA!G18)</f>
        <v>1</v>
      </c>
      <c r="G18" s="128">
        <f>IF(CRONOGRAMA!H18="", "",CRONOGRAMA!H18)</f>
        <v>42383</v>
      </c>
      <c r="H18" s="128">
        <f>IF(CRONOGRAMA!I18="", "",CRONOGRAMA!I18)</f>
        <v>42720</v>
      </c>
      <c r="I18" s="84">
        <f t="shared" si="12"/>
        <v>48.142857142857146</v>
      </c>
      <c r="J18" s="160" t="str">
        <f>IF($P$6="Indique Fecha Seguimiento","",IF(CRONOGRAMA!$E18="No Aplica","NA",IF($G18="","",IF(YEAR($G18)&lt;YEAR($P$6)," A ",IF(YEAR($G18)=YEAR($P$6),IF(MONTH($G18)&lt;=4," A ","NA"),IF(YEAR($G18)&gt;YEAR($P$6),"NA"))))))</f>
        <v xml:space="preserve"> A </v>
      </c>
      <c r="K18" s="400">
        <v>0</v>
      </c>
      <c r="L18" s="401" t="s">
        <v>880</v>
      </c>
      <c r="M18" s="400">
        <v>0</v>
      </c>
      <c r="N18" s="348">
        <f t="shared" si="0"/>
        <v>0</v>
      </c>
      <c r="O18" s="349" t="s">
        <v>353</v>
      </c>
      <c r="P18" s="44"/>
      <c r="Q18" s="84">
        <f t="shared" si="1"/>
        <v>0</v>
      </c>
      <c r="R18" s="84">
        <f t="shared" si="2"/>
        <v>0</v>
      </c>
      <c r="S18" s="84">
        <f t="shared" si="3"/>
        <v>48.142857142857146</v>
      </c>
      <c r="T18" s="160" t="str">
        <f>IF($Z$6="Indique Fecha Seguimiento","",IF(CRONOGRAMA!$E18="No Aplica","NA",IF($G18="","",IF(YEAR($G18)&lt;YEAR($Z$6)," A ",IF(YEAR($G18)=YEAR($Z$6),IF(MONTH($G18)&lt;=8," A ","NA"),IF(YEAR($G18)&gt;YEAR($Z$6),"NA"))))))</f>
        <v xml:space="preserve"> A </v>
      </c>
      <c r="U18" s="351">
        <v>0.5</v>
      </c>
      <c r="V18" s="401" t="s">
        <v>974</v>
      </c>
      <c r="W18" s="351">
        <v>0.5</v>
      </c>
      <c r="X18" s="348">
        <f t="shared" si="4"/>
        <v>0.5</v>
      </c>
      <c r="Y18" s="349" t="s">
        <v>353</v>
      </c>
      <c r="Z18" s="44" t="s">
        <v>975</v>
      </c>
      <c r="AA18" s="84">
        <f t="shared" si="5"/>
        <v>24.071428571428573</v>
      </c>
      <c r="AB18" s="84">
        <f t="shared" si="13"/>
        <v>24.071428571428573</v>
      </c>
      <c r="AC18" s="84">
        <f t="shared" si="6"/>
        <v>48.142857142857146</v>
      </c>
      <c r="AD18" s="160" t="str">
        <f>IF($AJ$6="Indique Fecha Seguimiento","",IF(CRONOGRAMA!$E18="No Aplica","NA",IF($G18="","",IF(YEAR($G18)&lt;YEAR($AJ$6)," A ",IF(YEAR($G18)=YEAR($AJ$6),IF(MONTH($G18)&lt;=12," A ","NA"),IF(YEAR($G18)&gt;YEAR($AJ$6),"NA"))))))</f>
        <v xml:space="preserve"> A </v>
      </c>
      <c r="AE18" s="131">
        <v>1</v>
      </c>
      <c r="AF18" s="401" t="s">
        <v>974</v>
      </c>
      <c r="AG18" s="351">
        <v>0.5</v>
      </c>
      <c r="AH18" s="348">
        <f t="shared" si="7"/>
        <v>0.5</v>
      </c>
      <c r="AI18" s="349" t="s">
        <v>10</v>
      </c>
      <c r="AJ18" s="44" t="str">
        <f>Z18</f>
        <v>Enviado por correo electronico la propuesta y se encuentra en revisión por el rector</v>
      </c>
      <c r="AK18" s="81">
        <f t="shared" si="8"/>
        <v>24.071428571428573</v>
      </c>
      <c r="AL18" s="84">
        <f t="shared" si="9"/>
        <v>0</v>
      </c>
      <c r="AM18" s="84">
        <f t="shared" si="10"/>
        <v>48.142857142857146</v>
      </c>
      <c r="AN18" s="579">
        <f t="shared" ref="AN18" si="32">SUM(I18:I20)</f>
        <v>48.142857142857146</v>
      </c>
      <c r="AO18" s="580">
        <f t="shared" ref="AO18" si="33">IF(AND(Q18="",Q19="",Q20=""),"",SUM(Q18:Q20))</f>
        <v>0</v>
      </c>
      <c r="AP18" s="581">
        <f t="shared" ref="AP18" si="34">IF(AND(AA18="",AA19="",AA20=""),"",SUM(AA18:AA20))</f>
        <v>24.071428571428573</v>
      </c>
      <c r="AQ18" s="581">
        <f t="shared" ref="AQ18" si="35">IF(AND(AK18="",AK19="",AK20=""),"",SUM(AK18:AK20))</f>
        <v>24.071428571428573</v>
      </c>
      <c r="AR18" s="582">
        <f t="shared" ref="AR18" si="36">IF(AO18="",IF($AU$6&lt;1,"",IF($AU$6&gt;=1,"NA")),IF(AO18=0,0,AO18/$AN18))</f>
        <v>0</v>
      </c>
      <c r="AS18" s="582">
        <f t="shared" ref="AS18" si="37">IF(AP18="",IF($AU$6&lt;2,"",IF($AU$6&gt;=2,"NA")),IF(AP18=0,0,AP18/$AN18))</f>
        <v>0.5</v>
      </c>
      <c r="AT18" s="582">
        <f t="shared" ref="AT18" si="38">IF(AS18&gt;=AR18,AS18,AR18)</f>
        <v>0.5</v>
      </c>
      <c r="AU18" s="572">
        <f t="shared" ref="AU18" si="39">IF(AQ18="",IF($AU$6&lt;3,"",IF($AU$6&gt;=3,"NA")),IF(AQ18=0,0,AQ18/$AN18))</f>
        <v>0.5</v>
      </c>
      <c r="AV18" s="573">
        <f t="shared" ref="AV18" si="40">IF($AU$6=1,AR18,IF($AU$6=2,AS18,IF($AU$6=3,AU18,"")))</f>
        <v>0.5</v>
      </c>
      <c r="AW18" s="574">
        <f t="shared" ref="AW18" si="41">AV18</f>
        <v>0.5</v>
      </c>
      <c r="AX18" t="str">
        <f t="shared" si="11"/>
        <v>Enviado por correo electronico la propuesta y se encuentra en revisión por el rector</v>
      </c>
    </row>
    <row r="19" spans="1:50" ht="15.75" x14ac:dyDescent="0.25">
      <c r="A19" s="583"/>
      <c r="B19" s="578"/>
      <c r="C19" s="82" t="str">
        <f>IF('CONSOLIDACION DEL MAPA'!P19="","",'CONSOLIDACION DEL MAPA'!P19)</f>
        <v/>
      </c>
      <c r="D19" s="82" t="str">
        <f>CRONOGRAMA!D19</f>
        <v/>
      </c>
      <c r="E19" s="132" t="str">
        <f>IF(CRONOGRAMA!F19="", "",CRONOGRAMA!F19)</f>
        <v/>
      </c>
      <c r="F19" s="132" t="str">
        <f>IF(CRONOGRAMA!G19="", "",CRONOGRAMA!G19)</f>
        <v/>
      </c>
      <c r="G19" s="128" t="str">
        <f>IF(CRONOGRAMA!H19="", "",CRONOGRAMA!H19)</f>
        <v/>
      </c>
      <c r="H19" s="128" t="str">
        <f>IF(CRONOGRAMA!I19="", "",CRONOGRAMA!I19)</f>
        <v/>
      </c>
      <c r="I19" s="84">
        <f t="shared" si="12"/>
        <v>0</v>
      </c>
      <c r="J19" s="160" t="str">
        <f>IF($P$6="Indique Fecha Seguimiento","",IF(CRONOGRAMA!$E19="No Aplica","NA",IF($G19="","",IF(YEAR($G19)&lt;YEAR($P$6)," A ",IF(YEAR($G19)=YEAR($P$6),IF(MONTH($G19)&lt;=4," A ","NA"),IF(YEAR($G19)&gt;YEAR($P$6),"NA"))))))</f>
        <v/>
      </c>
      <c r="K19" s="400"/>
      <c r="L19" s="401"/>
      <c r="M19" s="400"/>
      <c r="N19" s="348" t="str">
        <f t="shared" si="0"/>
        <v/>
      </c>
      <c r="O19" s="349"/>
      <c r="P19" s="44"/>
      <c r="Q19" s="84" t="str">
        <f t="shared" si="1"/>
        <v/>
      </c>
      <c r="R19" s="84" t="str">
        <f t="shared" si="2"/>
        <v/>
      </c>
      <c r="S19" s="84">
        <f t="shared" si="3"/>
        <v>0</v>
      </c>
      <c r="T19" s="160" t="str">
        <f>IF($Z$6="Indique Fecha Seguimiento","",IF(CRONOGRAMA!$E19="No Aplica","NA",IF($G19="","",IF(YEAR($G19)&lt;YEAR($Z$6)," A ",IF(YEAR($G19)=YEAR($Z$6),IF(MONTH($G19)&lt;=8," A ","NA"),IF(YEAR($G19)&gt;YEAR($Z$6),"NA"))))))</f>
        <v/>
      </c>
      <c r="U19" s="351"/>
      <c r="V19" s="44"/>
      <c r="W19" s="351"/>
      <c r="X19" s="348" t="str">
        <f t="shared" si="4"/>
        <v/>
      </c>
      <c r="Y19" s="349"/>
      <c r="Z19" s="44"/>
      <c r="AA19" s="84" t="str">
        <f t="shared" si="5"/>
        <v/>
      </c>
      <c r="AB19" s="84" t="str">
        <f t="shared" si="13"/>
        <v/>
      </c>
      <c r="AC19" s="84">
        <f t="shared" si="6"/>
        <v>0</v>
      </c>
      <c r="AD19" s="160" t="str">
        <f>IF($AJ$6="Indique Fecha Seguimiento","",IF(CRONOGRAMA!$E19="No Aplica","NA",IF($G19="","",IF(YEAR($G19)&lt;YEAR($AJ$6)," A ",IF(YEAR($G19)=YEAR($AJ$6),IF(MONTH($G19)&lt;=12," A ","NA"),IF(YEAR($G19)&gt;YEAR($AJ$6),"NA"))))))</f>
        <v/>
      </c>
      <c r="AE19" s="350"/>
      <c r="AF19" s="44"/>
      <c r="AG19" s="351"/>
      <c r="AH19" s="348" t="str">
        <f t="shared" si="7"/>
        <v/>
      </c>
      <c r="AI19" s="349"/>
      <c r="AJ19" s="44"/>
      <c r="AK19" s="81" t="str">
        <f t="shared" si="8"/>
        <v/>
      </c>
      <c r="AL19" s="84" t="str">
        <f t="shared" si="9"/>
        <v/>
      </c>
      <c r="AM19" s="84">
        <f t="shared" si="10"/>
        <v>0</v>
      </c>
      <c r="AN19" s="579"/>
      <c r="AO19" s="580"/>
      <c r="AP19" s="581"/>
      <c r="AQ19" s="581"/>
      <c r="AR19" s="582"/>
      <c r="AS19" s="582"/>
      <c r="AT19" s="582"/>
      <c r="AU19" s="572"/>
      <c r="AV19" s="573"/>
      <c r="AW19" s="574"/>
      <c r="AX19">
        <f t="shared" si="11"/>
        <v>0</v>
      </c>
    </row>
    <row r="20" spans="1:50" ht="15.75" x14ac:dyDescent="0.25">
      <c r="A20" s="583"/>
      <c r="B20" s="578"/>
      <c r="C20" s="82" t="str">
        <f>IF('CONSOLIDACION DEL MAPA'!P20="","",'CONSOLIDACION DEL MAPA'!P20)</f>
        <v/>
      </c>
      <c r="D20" s="82" t="str">
        <f>CRONOGRAMA!D20</f>
        <v/>
      </c>
      <c r="E20" s="132" t="str">
        <f>IF(CRONOGRAMA!F20="", "",CRONOGRAMA!F20)</f>
        <v/>
      </c>
      <c r="F20" s="132" t="str">
        <f>IF(CRONOGRAMA!G20="", "",CRONOGRAMA!G20)</f>
        <v/>
      </c>
      <c r="G20" s="128" t="str">
        <f>IF(CRONOGRAMA!H20="", "",CRONOGRAMA!H20)</f>
        <v/>
      </c>
      <c r="H20" s="128" t="str">
        <f>IF(CRONOGRAMA!I20="", "",CRONOGRAMA!I20)</f>
        <v/>
      </c>
      <c r="I20" s="84">
        <f t="shared" si="12"/>
        <v>0</v>
      </c>
      <c r="J20" s="160" t="str">
        <f>IF($P$6="Indique Fecha Seguimiento","",IF(CRONOGRAMA!$E20="No Aplica","NA",IF($G20="","",IF(YEAR($G20)&lt;YEAR($P$6)," A ",IF(YEAR($G20)=YEAR($P$6),IF(MONTH($G20)&lt;=4," A ","NA"),IF(YEAR($G20)&gt;YEAR($P$6),"NA"))))))</f>
        <v/>
      </c>
      <c r="K20" s="400"/>
      <c r="L20" s="401"/>
      <c r="M20" s="400"/>
      <c r="N20" s="348" t="str">
        <f t="shared" si="0"/>
        <v/>
      </c>
      <c r="O20" s="349"/>
      <c r="P20" s="44"/>
      <c r="Q20" s="84" t="str">
        <f t="shared" si="1"/>
        <v/>
      </c>
      <c r="R20" s="84" t="str">
        <f t="shared" si="2"/>
        <v/>
      </c>
      <c r="S20" s="84">
        <f t="shared" si="3"/>
        <v>0</v>
      </c>
      <c r="T20" s="160" t="str">
        <f>IF($Z$6="Indique Fecha Seguimiento","",IF(CRONOGRAMA!$E20="No Aplica","NA",IF($G20="","",IF(YEAR($G20)&lt;YEAR($Z$6)," A ",IF(YEAR($G20)=YEAR($Z$6),IF(MONTH($G20)&lt;=8," A ","NA"),IF(YEAR($G20)&gt;YEAR($Z$6),"NA"))))))</f>
        <v/>
      </c>
      <c r="U20" s="351"/>
      <c r="V20" s="44"/>
      <c r="W20" s="351"/>
      <c r="X20" s="348" t="str">
        <f t="shared" si="4"/>
        <v/>
      </c>
      <c r="Y20" s="349"/>
      <c r="Z20" s="44"/>
      <c r="AA20" s="84" t="str">
        <f t="shared" si="5"/>
        <v/>
      </c>
      <c r="AB20" s="84" t="str">
        <f t="shared" si="13"/>
        <v/>
      </c>
      <c r="AC20" s="84">
        <f t="shared" si="6"/>
        <v>0</v>
      </c>
      <c r="AD20" s="160" t="str">
        <f>IF($AJ$6="Indique Fecha Seguimiento","",IF(CRONOGRAMA!$E20="No Aplica","NA",IF($G20="","",IF(YEAR($G20)&lt;YEAR($AJ$6)," A ",IF(YEAR($G20)=YEAR($AJ$6),IF(MONTH($G20)&lt;=12," A ","NA"),IF(YEAR($G20)&gt;YEAR($AJ$6),"NA"))))))</f>
        <v/>
      </c>
      <c r="AE20" s="350"/>
      <c r="AF20" s="44"/>
      <c r="AG20" s="351"/>
      <c r="AH20" s="348" t="str">
        <f t="shared" si="7"/>
        <v/>
      </c>
      <c r="AI20" s="349"/>
      <c r="AJ20" s="44"/>
      <c r="AK20" s="81" t="str">
        <f t="shared" si="8"/>
        <v/>
      </c>
      <c r="AL20" s="84" t="str">
        <f t="shared" si="9"/>
        <v/>
      </c>
      <c r="AM20" s="84">
        <f t="shared" si="10"/>
        <v>0</v>
      </c>
      <c r="AN20" s="579"/>
      <c r="AO20" s="580"/>
      <c r="AP20" s="581"/>
      <c r="AQ20" s="581"/>
      <c r="AR20" s="582"/>
      <c r="AS20" s="582"/>
      <c r="AT20" s="582"/>
      <c r="AU20" s="572"/>
      <c r="AV20" s="573"/>
      <c r="AW20" s="574"/>
      <c r="AX20">
        <f t="shared" si="11"/>
        <v>0</v>
      </c>
    </row>
    <row r="21" spans="1:50" ht="236.25" x14ac:dyDescent="0.25">
      <c r="A21" s="583" t="str">
        <f>CRONOGRAMA!A21</f>
        <v>5G</v>
      </c>
      <c r="B21" s="578" t="str">
        <f>CRONOGRAMA!B21</f>
        <v xml:space="preserve">Acreditación. Deficiencia en la calidad técnica de los informes </v>
      </c>
      <c r="C21" s="82" t="str">
        <f>IF('CONSOLIDACION DEL MAPA'!P21="","",'CONSOLIDACION DEL MAPA'!P21)</f>
        <v>Reducir</v>
      </c>
      <c r="D21" s="82" t="str">
        <f>CRONOGRAMA!D21</f>
        <v>Cumplimiento de metas para  cualificación a la comunidad universitaria acordes con el plan de trabajo.</v>
      </c>
      <c r="E21" s="132" t="str">
        <f>IF(CRONOGRAMA!F21="", "",CRONOGRAMA!F21)</f>
        <v>Actas o listas de asistencia</v>
      </c>
      <c r="F21" s="132">
        <f>IF(CRONOGRAMA!G21="", "",CRONOGRAMA!G21)</f>
        <v>1</v>
      </c>
      <c r="G21" s="128">
        <f>IF(CRONOGRAMA!H21="", "",CRONOGRAMA!H21)</f>
        <v>42383</v>
      </c>
      <c r="H21" s="128">
        <f>IF(CRONOGRAMA!I21="", "",CRONOGRAMA!I21)</f>
        <v>42720</v>
      </c>
      <c r="I21" s="84">
        <f t="shared" si="12"/>
        <v>48.142857142857146</v>
      </c>
      <c r="J21" s="160" t="str">
        <f>IF($P$6="Indique Fecha Seguimiento","",IF(CRONOGRAMA!$E21="No Aplica","NA",IF($G21="","",IF(YEAR($G21)&lt;YEAR($P$6)," A ",IF(YEAR($G21)=YEAR($P$6),IF(MONTH($G21)&lt;=4," A ","NA"),IF(YEAR($G21)&gt;YEAR($P$6),"NA"))))))</f>
        <v xml:space="preserve"> A </v>
      </c>
      <c r="K21" s="400">
        <v>1</v>
      </c>
      <c r="L21" s="401" t="s">
        <v>881</v>
      </c>
      <c r="M21" s="400">
        <v>1</v>
      </c>
      <c r="N21" s="348">
        <f t="shared" si="0"/>
        <v>1</v>
      </c>
      <c r="O21" s="349" t="s">
        <v>11</v>
      </c>
      <c r="P21" s="44"/>
      <c r="Q21" s="84">
        <f t="shared" si="1"/>
        <v>48.142857142857146</v>
      </c>
      <c r="R21" s="84">
        <f t="shared" si="2"/>
        <v>48.142857142857146</v>
      </c>
      <c r="S21" s="84">
        <f t="shared" si="3"/>
        <v>48.142857142857146</v>
      </c>
      <c r="T21" s="160" t="str">
        <f>IF($Z$6="Indique Fecha Seguimiento","",IF(CRONOGRAMA!$E21="No Aplica","NA",IF($G21="","",IF(YEAR($G21)&lt;YEAR($Z$6)," A ",IF(YEAR($G21)=YEAR($Z$6),IF(MONTH($G21)&lt;=8," A ","NA"),IF(YEAR($G21)&gt;YEAR($Z$6),"NA"))))))</f>
        <v xml:space="preserve"> A </v>
      </c>
      <c r="U21" s="351">
        <v>1</v>
      </c>
      <c r="V21" s="44" t="s">
        <v>939</v>
      </c>
      <c r="W21" s="351">
        <v>1</v>
      </c>
      <c r="X21" s="348">
        <f t="shared" si="4"/>
        <v>1</v>
      </c>
      <c r="Y21" s="349" t="s">
        <v>11</v>
      </c>
      <c r="Z21" s="44" t="s">
        <v>940</v>
      </c>
      <c r="AA21" s="84">
        <f t="shared" si="5"/>
        <v>48.142857142857146</v>
      </c>
      <c r="AB21" s="84">
        <f t="shared" si="13"/>
        <v>48.142857142857146</v>
      </c>
      <c r="AC21" s="84">
        <f t="shared" si="6"/>
        <v>48.142857142857146</v>
      </c>
      <c r="AD21" s="160" t="str">
        <f>IF($AJ$6="Indique Fecha Seguimiento","",IF(CRONOGRAMA!$E21="No Aplica","NA",IF($G21="","",IF(YEAR($G21)&lt;YEAR($AJ$6)," A ",IF(YEAR($G21)=YEAR($AJ$6),IF(MONTH($G21)&lt;=12," A ","NA"),IF(YEAR($G21)&gt;YEAR($AJ$6),"NA"))))))</f>
        <v xml:space="preserve"> A </v>
      </c>
      <c r="AE21" s="350">
        <v>1</v>
      </c>
      <c r="AF21" s="44" t="s">
        <v>986</v>
      </c>
      <c r="AG21" s="351">
        <v>1</v>
      </c>
      <c r="AH21" s="348">
        <f t="shared" si="7"/>
        <v>1</v>
      </c>
      <c r="AI21" s="349" t="s">
        <v>11</v>
      </c>
      <c r="AJ21" s="44" t="str">
        <f>Z21</f>
        <v>Se cumplio con la actividad definida tal como se informo en primer seguimiento</v>
      </c>
      <c r="AK21" s="81">
        <f t="shared" si="8"/>
        <v>48.142857142857146</v>
      </c>
      <c r="AL21" s="84">
        <f t="shared" si="9"/>
        <v>48.142857142857146</v>
      </c>
      <c r="AM21" s="84">
        <f t="shared" si="10"/>
        <v>48.142857142857146</v>
      </c>
      <c r="AN21" s="579">
        <f t="shared" ref="AN21" si="42">SUM(I21:I23)</f>
        <v>48.142857142857146</v>
      </c>
      <c r="AO21" s="580">
        <f t="shared" ref="AO21" si="43">IF(AND(Q21="",Q22="",Q23=""),"",SUM(Q21:Q23))</f>
        <v>48.142857142857146</v>
      </c>
      <c r="AP21" s="581">
        <f t="shared" ref="AP21" si="44">IF(AND(AA21="",AA22="",AA23=""),"",SUM(AA21:AA23))</f>
        <v>48.142857142857146</v>
      </c>
      <c r="AQ21" s="581">
        <f t="shared" ref="AQ21" si="45">IF(AND(AK21="",AK22="",AK23=""),"",SUM(AK21:AK23))</f>
        <v>48.142857142857146</v>
      </c>
      <c r="AR21" s="582">
        <f t="shared" ref="AR21" si="46">IF(AO21="",IF($AU$6&lt;1,"",IF($AU$6&gt;=1,"NA")),IF(AO21=0,0,AO21/$AN21))</f>
        <v>1</v>
      </c>
      <c r="AS21" s="582">
        <f t="shared" ref="AS21" si="47">IF(AP21="",IF($AU$6&lt;2,"",IF($AU$6&gt;=2,"NA")),IF(AP21=0,0,AP21/$AN21))</f>
        <v>1</v>
      </c>
      <c r="AT21" s="582">
        <f t="shared" ref="AT21" si="48">IF(AS21&gt;=AR21,AS21,AR21)</f>
        <v>1</v>
      </c>
      <c r="AU21" s="572">
        <f t="shared" ref="AU21" si="49">IF(AQ21="",IF($AU$6&lt;3,"",IF($AU$6&gt;=3,"NA")),IF(AQ21=0,0,AQ21/$AN21))</f>
        <v>1</v>
      </c>
      <c r="AV21" s="573">
        <f t="shared" ref="AV21" si="50">IF($AU$6=1,AR21,IF($AU$6=2,AS21,IF($AU$6=3,AU21,"")))</f>
        <v>1</v>
      </c>
      <c r="AW21" s="574">
        <f t="shared" ref="AW21" si="51">AV21</f>
        <v>1</v>
      </c>
      <c r="AX21" t="str">
        <f t="shared" si="11"/>
        <v>Se cumplio con la actividad definida tal como se informo en primer seguimiento</v>
      </c>
    </row>
    <row r="22" spans="1:50" ht="15.75" x14ac:dyDescent="0.25">
      <c r="A22" s="583"/>
      <c r="B22" s="578"/>
      <c r="C22" s="82" t="str">
        <f>IF('CONSOLIDACION DEL MAPA'!P22="","",'CONSOLIDACION DEL MAPA'!P22)</f>
        <v/>
      </c>
      <c r="D22" s="82" t="str">
        <f>CRONOGRAMA!D22</f>
        <v/>
      </c>
      <c r="E22" s="132" t="str">
        <f>IF(CRONOGRAMA!F22="", "",CRONOGRAMA!F22)</f>
        <v/>
      </c>
      <c r="F22" s="132" t="str">
        <f>IF(CRONOGRAMA!G22="", "",CRONOGRAMA!G22)</f>
        <v/>
      </c>
      <c r="G22" s="128" t="str">
        <f>IF(CRONOGRAMA!H22="", "",CRONOGRAMA!H22)</f>
        <v/>
      </c>
      <c r="H22" s="128" t="str">
        <f>IF(CRONOGRAMA!I22="", "",CRONOGRAMA!I22)</f>
        <v/>
      </c>
      <c r="I22" s="84">
        <f t="shared" si="12"/>
        <v>0</v>
      </c>
      <c r="J22" s="160" t="str">
        <f>IF($P$6="Indique Fecha Seguimiento","",IF(CRONOGRAMA!$E22="No Aplica","NA",IF($G22="","",IF(YEAR($G22)&lt;YEAR($P$6)," A ",IF(YEAR($G22)=YEAR($P$6),IF(MONTH($G22)&lt;=4," A ","NA"),IF(YEAR($G22)&gt;YEAR($P$6),"NA"))))))</f>
        <v/>
      </c>
      <c r="K22" s="400"/>
      <c r="L22" s="401"/>
      <c r="M22" s="400"/>
      <c r="N22" s="348" t="str">
        <f t="shared" si="0"/>
        <v/>
      </c>
      <c r="O22" s="349"/>
      <c r="P22" s="44"/>
      <c r="Q22" s="84" t="str">
        <f t="shared" si="1"/>
        <v/>
      </c>
      <c r="R22" s="84" t="str">
        <f t="shared" si="2"/>
        <v/>
      </c>
      <c r="S22" s="84">
        <f t="shared" si="3"/>
        <v>0</v>
      </c>
      <c r="T22" s="160" t="str">
        <f>IF($Z$6="Indique Fecha Seguimiento","",IF(CRONOGRAMA!$E22="No Aplica","NA",IF($G22="","",IF(YEAR($G22)&lt;YEAR($Z$6)," A ",IF(YEAR($G22)=YEAR($Z$6),IF(MONTH($G22)&lt;=8," A ","NA"),IF(YEAR($G22)&gt;YEAR($Z$6),"NA"))))))</f>
        <v/>
      </c>
      <c r="U22" s="351"/>
      <c r="V22" s="44"/>
      <c r="W22" s="351"/>
      <c r="X22" s="348" t="str">
        <f t="shared" si="4"/>
        <v/>
      </c>
      <c r="Y22" s="349"/>
      <c r="Z22" s="44"/>
      <c r="AA22" s="84" t="str">
        <f t="shared" si="5"/>
        <v/>
      </c>
      <c r="AB22" s="84" t="str">
        <f t="shared" si="13"/>
        <v/>
      </c>
      <c r="AC22" s="84">
        <f t="shared" si="6"/>
        <v>0</v>
      </c>
      <c r="AD22" s="160" t="str">
        <f>IF($AJ$6="Indique Fecha Seguimiento","",IF(CRONOGRAMA!$E22="No Aplica","NA",IF($G22="","",IF(YEAR($G22)&lt;YEAR($AJ$6)," A ",IF(YEAR($G22)=YEAR($AJ$6),IF(MONTH($G22)&lt;=12," A ","NA"),IF(YEAR($G22)&gt;YEAR($AJ$6),"NA"))))))</f>
        <v/>
      </c>
      <c r="AE22" s="350"/>
      <c r="AF22" s="44"/>
      <c r="AG22" s="351"/>
      <c r="AH22" s="348" t="str">
        <f t="shared" si="7"/>
        <v/>
      </c>
      <c r="AI22" s="349"/>
      <c r="AJ22" s="44"/>
      <c r="AK22" s="81" t="str">
        <f t="shared" si="8"/>
        <v/>
      </c>
      <c r="AL22" s="84" t="str">
        <f t="shared" si="9"/>
        <v/>
      </c>
      <c r="AM22" s="84">
        <f t="shared" si="10"/>
        <v>0</v>
      </c>
      <c r="AN22" s="579"/>
      <c r="AO22" s="580"/>
      <c r="AP22" s="581"/>
      <c r="AQ22" s="581"/>
      <c r="AR22" s="582"/>
      <c r="AS22" s="582"/>
      <c r="AT22" s="582"/>
      <c r="AU22" s="572"/>
      <c r="AV22" s="573"/>
      <c r="AW22" s="574"/>
      <c r="AX22">
        <f t="shared" si="11"/>
        <v>0</v>
      </c>
    </row>
    <row r="23" spans="1:50" ht="15.75" x14ac:dyDescent="0.25">
      <c r="A23" s="583"/>
      <c r="B23" s="578"/>
      <c r="C23" s="82" t="str">
        <f>IF('CONSOLIDACION DEL MAPA'!P23="","",'CONSOLIDACION DEL MAPA'!P23)</f>
        <v/>
      </c>
      <c r="D23" s="82" t="str">
        <f>CRONOGRAMA!D23</f>
        <v/>
      </c>
      <c r="E23" s="132" t="str">
        <f>IF(CRONOGRAMA!F23="", "",CRONOGRAMA!F23)</f>
        <v/>
      </c>
      <c r="F23" s="132" t="str">
        <f>IF(CRONOGRAMA!G23="", "",CRONOGRAMA!G23)</f>
        <v/>
      </c>
      <c r="G23" s="128" t="str">
        <f>IF(CRONOGRAMA!H23="", "",CRONOGRAMA!H23)</f>
        <v/>
      </c>
      <c r="H23" s="128" t="str">
        <f>IF(CRONOGRAMA!I23="", "",CRONOGRAMA!I23)</f>
        <v/>
      </c>
      <c r="I23" s="84">
        <f t="shared" si="12"/>
        <v>0</v>
      </c>
      <c r="J23" s="160" t="str">
        <f>IF($P$6="Indique Fecha Seguimiento","",IF(CRONOGRAMA!$E23="No Aplica","NA",IF($G23="","",IF(YEAR($G23)&lt;YEAR($P$6)," A ",IF(YEAR($G23)=YEAR($P$6),IF(MONTH($G23)&lt;=4," A ","NA"),IF(YEAR($G23)&gt;YEAR($P$6),"NA"))))))</f>
        <v/>
      </c>
      <c r="K23" s="400"/>
      <c r="L23" s="401"/>
      <c r="M23" s="400"/>
      <c r="N23" s="348" t="str">
        <f t="shared" si="0"/>
        <v/>
      </c>
      <c r="O23" s="349"/>
      <c r="P23" s="44"/>
      <c r="Q23" s="84" t="str">
        <f t="shared" si="1"/>
        <v/>
      </c>
      <c r="R23" s="84" t="str">
        <f t="shared" si="2"/>
        <v/>
      </c>
      <c r="S23" s="84">
        <f t="shared" si="3"/>
        <v>0</v>
      </c>
      <c r="T23" s="160" t="str">
        <f>IF($Z$6="Indique Fecha Seguimiento","",IF(CRONOGRAMA!$E23="No Aplica","NA",IF($G23="","",IF(YEAR($G23)&lt;YEAR($Z$6)," A ",IF(YEAR($G23)=YEAR($Z$6),IF(MONTH($G23)&lt;=8," A ","NA"),IF(YEAR($G23)&gt;YEAR($Z$6),"NA"))))))</f>
        <v/>
      </c>
      <c r="U23" s="351"/>
      <c r="V23" s="44"/>
      <c r="W23" s="351"/>
      <c r="X23" s="348" t="str">
        <f t="shared" si="4"/>
        <v/>
      </c>
      <c r="Y23" s="349"/>
      <c r="Z23" s="44"/>
      <c r="AA23" s="84" t="str">
        <f t="shared" si="5"/>
        <v/>
      </c>
      <c r="AB23" s="84" t="str">
        <f t="shared" si="13"/>
        <v/>
      </c>
      <c r="AC23" s="84">
        <f t="shared" si="6"/>
        <v>0</v>
      </c>
      <c r="AD23" s="160" t="str">
        <f>IF($AJ$6="Indique Fecha Seguimiento","",IF(CRONOGRAMA!$E23="No Aplica","NA",IF($G23="","",IF(YEAR($G23)&lt;YEAR($AJ$6)," A ",IF(YEAR($G23)=YEAR($AJ$6),IF(MONTH($G23)&lt;=12," A ","NA"),IF(YEAR($G23)&gt;YEAR($AJ$6),"NA"))))))</f>
        <v/>
      </c>
      <c r="AE23" s="350"/>
      <c r="AF23" s="44"/>
      <c r="AG23" s="351"/>
      <c r="AH23" s="348" t="str">
        <f t="shared" si="7"/>
        <v/>
      </c>
      <c r="AI23" s="349"/>
      <c r="AJ23" s="44"/>
      <c r="AK23" s="81" t="str">
        <f t="shared" si="8"/>
        <v/>
      </c>
      <c r="AL23" s="84" t="str">
        <f t="shared" si="9"/>
        <v/>
      </c>
      <c r="AM23" s="84">
        <f t="shared" si="10"/>
        <v>0</v>
      </c>
      <c r="AN23" s="579"/>
      <c r="AO23" s="580"/>
      <c r="AP23" s="581"/>
      <c r="AQ23" s="581"/>
      <c r="AR23" s="582"/>
      <c r="AS23" s="582"/>
      <c r="AT23" s="582"/>
      <c r="AU23" s="572"/>
      <c r="AV23" s="573"/>
      <c r="AW23" s="574"/>
      <c r="AX23">
        <f t="shared" si="11"/>
        <v>0</v>
      </c>
    </row>
    <row r="24" spans="1:50" ht="51" x14ac:dyDescent="0.25">
      <c r="A24" s="583" t="str">
        <f>CRONOGRAMA!A24</f>
        <v>6G</v>
      </c>
      <c r="B24" s="578" t="str">
        <f>CRONOGRAMA!B24</f>
        <v>Acreditación. Negación de la acreditación o de la renovación de registro calificado</v>
      </c>
      <c r="C24" s="82" t="str">
        <f>IF('CONSOLIDACION DEL MAPA'!P24="","",'CONSOLIDACION DEL MAPA'!P24)</f>
        <v>Asumir</v>
      </c>
      <c r="D24" s="82" t="str">
        <f>CRONOGRAMA!D24</f>
        <v xml:space="preserve">Continuar con el seguimiento al cumplimiento de los controles existentes </v>
      </c>
      <c r="E24" s="132" t="str">
        <f>IF(CRONOGRAMA!F24="", "",CRONOGRAMA!F24)</f>
        <v/>
      </c>
      <c r="F24" s="132" t="str">
        <f>IF(CRONOGRAMA!G24="", "",CRONOGRAMA!G24)</f>
        <v/>
      </c>
      <c r="G24" s="128" t="str">
        <f>IF(CRONOGRAMA!H24="", "",CRONOGRAMA!H24)</f>
        <v/>
      </c>
      <c r="H24" s="128" t="str">
        <f>IF(CRONOGRAMA!I24="", "",CRONOGRAMA!I24)</f>
        <v/>
      </c>
      <c r="I24" s="84">
        <f t="shared" si="12"/>
        <v>0</v>
      </c>
      <c r="J24" s="160" t="str">
        <f>IF($P$6="Indique Fecha Seguimiento","",IF(CRONOGRAMA!$E24="No Aplica","NA",IF($G24="","",IF(YEAR($G24)&lt;YEAR($P$6)," A ",IF(YEAR($G24)=YEAR($P$6),IF(MONTH($G24)&lt;=4," A ","NA"),IF(YEAR($G24)&gt;YEAR($P$6),"NA"))))))</f>
        <v>NA</v>
      </c>
      <c r="K24" s="400"/>
      <c r="L24" s="401"/>
      <c r="M24" s="400"/>
      <c r="N24" s="348" t="str">
        <f t="shared" si="0"/>
        <v/>
      </c>
      <c r="O24" s="349"/>
      <c r="P24" s="44"/>
      <c r="Q24" s="84" t="str">
        <f t="shared" si="1"/>
        <v/>
      </c>
      <c r="R24" s="84" t="str">
        <f t="shared" si="2"/>
        <v/>
      </c>
      <c r="S24" s="84">
        <f t="shared" si="3"/>
        <v>0</v>
      </c>
      <c r="T24" s="160" t="str">
        <f>IF($Z$6="Indique Fecha Seguimiento","",IF(CRONOGRAMA!$E24="No Aplica","NA",IF($G24="","",IF(YEAR($G24)&lt;YEAR($Z$6)," A ",IF(YEAR($G24)=YEAR($Z$6),IF(MONTH($G24)&lt;=8," A ","NA"),IF(YEAR($G24)&gt;YEAR($Z$6),"NA"))))))</f>
        <v>NA</v>
      </c>
      <c r="U24" s="351"/>
      <c r="V24" s="44"/>
      <c r="W24" s="351"/>
      <c r="X24" s="348" t="str">
        <f t="shared" si="4"/>
        <v/>
      </c>
      <c r="Y24" s="349"/>
      <c r="Z24" s="44"/>
      <c r="AA24" s="84" t="str">
        <f t="shared" si="5"/>
        <v/>
      </c>
      <c r="AB24" s="84" t="str">
        <f t="shared" si="13"/>
        <v/>
      </c>
      <c r="AC24" s="84">
        <f t="shared" si="6"/>
        <v>0</v>
      </c>
      <c r="AD24" s="160" t="str">
        <f>IF($AJ$6="Indique Fecha Seguimiento","",IF(CRONOGRAMA!$E24="No Aplica","NA",IF($G24="","",IF(YEAR($G24)&lt;YEAR($AJ$6)," A ",IF(YEAR($G24)=YEAR($AJ$6),IF(MONTH($G24)&lt;=12," A ","NA"),IF(YEAR($G24)&gt;YEAR($AJ$6),"NA"))))))</f>
        <v>NA</v>
      </c>
      <c r="AE24" s="350"/>
      <c r="AF24" s="44"/>
      <c r="AG24" s="351"/>
      <c r="AH24" s="348" t="str">
        <f t="shared" si="7"/>
        <v/>
      </c>
      <c r="AI24" s="349"/>
      <c r="AJ24" s="44"/>
      <c r="AK24" s="81" t="str">
        <f t="shared" si="8"/>
        <v/>
      </c>
      <c r="AL24" s="84" t="str">
        <f t="shared" si="9"/>
        <v/>
      </c>
      <c r="AM24" s="84">
        <f t="shared" si="10"/>
        <v>0</v>
      </c>
      <c r="AN24" s="579">
        <f t="shared" ref="AN24" si="52">SUM(I24:I26)</f>
        <v>0</v>
      </c>
      <c r="AO24" s="580" t="str">
        <f t="shared" ref="AO24" si="53">IF(AND(Q24="",Q25="",Q26=""),"",SUM(Q24:Q26))</f>
        <v/>
      </c>
      <c r="AP24" s="581" t="str">
        <f t="shared" ref="AP24" si="54">IF(AND(AA24="",AA25="",AA26=""),"",SUM(AA24:AA26))</f>
        <v/>
      </c>
      <c r="AQ24" s="581" t="str">
        <f t="shared" ref="AQ24" si="55">IF(AND(AK24="",AK25="",AK26=""),"",SUM(AK24:AK26))</f>
        <v/>
      </c>
      <c r="AR24" s="582" t="str">
        <f t="shared" ref="AR24" si="56">IF(AO24="",IF($AU$6&lt;1,"",IF($AU$6&gt;=1,"NA")),IF(AO24=0,0,AO24/$AN24))</f>
        <v>NA</v>
      </c>
      <c r="AS24" s="582" t="str">
        <f t="shared" ref="AS24" si="57">IF(AP24="",IF($AU$6&lt;2,"",IF($AU$6&gt;=2,"NA")),IF(AP24=0,0,AP24/$AN24))</f>
        <v>NA</v>
      </c>
      <c r="AT24" s="582" t="str">
        <f t="shared" ref="AT24" si="58">IF(AS24&gt;=AR24,AS24,AR24)</f>
        <v>NA</v>
      </c>
      <c r="AU24" s="572" t="str">
        <f t="shared" ref="AU24" si="59">IF(AQ24="",IF($AU$6&lt;3,"",IF($AU$6&gt;=3,"NA")),IF(AQ24=0,0,AQ24/$AN24))</f>
        <v>NA</v>
      </c>
      <c r="AV24" s="573" t="str">
        <f t="shared" ref="AV24" si="60">IF($AU$6=1,AR24,IF($AU$6=2,AS24,IF($AU$6=3,AU24,"")))</f>
        <v>NA</v>
      </c>
      <c r="AW24" s="574" t="str">
        <f t="shared" ref="AW24" si="61">AV24</f>
        <v>NA</v>
      </c>
      <c r="AX24">
        <f t="shared" si="11"/>
        <v>0</v>
      </c>
    </row>
    <row r="25" spans="1:50" ht="15.75" x14ac:dyDescent="0.25">
      <c r="A25" s="583"/>
      <c r="B25" s="578"/>
      <c r="C25" s="82" t="str">
        <f>IF('CONSOLIDACION DEL MAPA'!P25="","",'CONSOLIDACION DEL MAPA'!P25)</f>
        <v/>
      </c>
      <c r="D25" s="82" t="str">
        <f>CRONOGRAMA!D25</f>
        <v/>
      </c>
      <c r="E25" s="132" t="str">
        <f>IF(CRONOGRAMA!F25="", "",CRONOGRAMA!F25)</f>
        <v/>
      </c>
      <c r="F25" s="132" t="str">
        <f>IF(CRONOGRAMA!G25="", "",CRONOGRAMA!G25)</f>
        <v/>
      </c>
      <c r="G25" s="128" t="str">
        <f>IF(CRONOGRAMA!H25="", "",CRONOGRAMA!H25)</f>
        <v/>
      </c>
      <c r="H25" s="128" t="str">
        <f>IF(CRONOGRAMA!I25="", "",CRONOGRAMA!I25)</f>
        <v/>
      </c>
      <c r="I25" s="84">
        <f t="shared" si="12"/>
        <v>0</v>
      </c>
      <c r="J25" s="160" t="str">
        <f>IF($P$6="Indique Fecha Seguimiento","",IF(CRONOGRAMA!$E25="No Aplica","NA",IF($G25="","",IF(YEAR($G25)&lt;YEAR($P$6)," A ",IF(YEAR($G25)=YEAR($P$6),IF(MONTH($G25)&lt;=4," A ","NA"),IF(YEAR($G25)&gt;YEAR($P$6),"NA"))))))</f>
        <v/>
      </c>
      <c r="K25" s="400"/>
      <c r="L25" s="401"/>
      <c r="M25" s="400"/>
      <c r="N25" s="348" t="str">
        <f t="shared" si="0"/>
        <v/>
      </c>
      <c r="O25" s="349"/>
      <c r="P25" s="44"/>
      <c r="Q25" s="84" t="str">
        <f t="shared" si="1"/>
        <v/>
      </c>
      <c r="R25" s="84" t="str">
        <f t="shared" si="2"/>
        <v/>
      </c>
      <c r="S25" s="84">
        <f t="shared" si="3"/>
        <v>0</v>
      </c>
      <c r="T25" s="160" t="str">
        <f>IF($Z$6="Indique Fecha Seguimiento","",IF(CRONOGRAMA!$E25="No Aplica","NA",IF($G25="","",IF(YEAR($G25)&lt;YEAR($Z$6)," A ",IF(YEAR($G25)=YEAR($Z$6),IF(MONTH($G25)&lt;=8," A ","NA"),IF(YEAR($G25)&gt;YEAR($Z$6),"NA"))))))</f>
        <v/>
      </c>
      <c r="U25" s="351"/>
      <c r="V25" s="44"/>
      <c r="W25" s="351"/>
      <c r="X25" s="348" t="str">
        <f t="shared" si="4"/>
        <v/>
      </c>
      <c r="Y25" s="349"/>
      <c r="Z25" s="44"/>
      <c r="AA25" s="84" t="str">
        <f t="shared" si="5"/>
        <v/>
      </c>
      <c r="AB25" s="84" t="str">
        <f t="shared" si="13"/>
        <v/>
      </c>
      <c r="AC25" s="84">
        <f t="shared" si="6"/>
        <v>0</v>
      </c>
      <c r="AD25" s="160" t="str">
        <f>IF($AJ$6="Indique Fecha Seguimiento","",IF(CRONOGRAMA!$E25="No Aplica","NA",IF($G25="","",IF(YEAR($G25)&lt;YEAR($AJ$6)," A ",IF(YEAR($G25)=YEAR($AJ$6),IF(MONTH($G25)&lt;=12," A ","NA"),IF(YEAR($G25)&gt;YEAR($AJ$6),"NA"))))))</f>
        <v/>
      </c>
      <c r="AE25" s="350"/>
      <c r="AF25" s="44"/>
      <c r="AG25" s="351"/>
      <c r="AH25" s="348" t="str">
        <f t="shared" si="7"/>
        <v/>
      </c>
      <c r="AI25" s="349"/>
      <c r="AJ25" s="44"/>
      <c r="AK25" s="81" t="str">
        <f t="shared" si="8"/>
        <v/>
      </c>
      <c r="AL25" s="84" t="str">
        <f t="shared" si="9"/>
        <v/>
      </c>
      <c r="AM25" s="84">
        <f t="shared" si="10"/>
        <v>0</v>
      </c>
      <c r="AN25" s="579"/>
      <c r="AO25" s="580"/>
      <c r="AP25" s="581"/>
      <c r="AQ25" s="581"/>
      <c r="AR25" s="582"/>
      <c r="AS25" s="582"/>
      <c r="AT25" s="582"/>
      <c r="AU25" s="572"/>
      <c r="AV25" s="573"/>
      <c r="AW25" s="574"/>
      <c r="AX25">
        <f t="shared" si="11"/>
        <v>0</v>
      </c>
    </row>
    <row r="26" spans="1:50" ht="15.75" x14ac:dyDescent="0.25">
      <c r="A26" s="583"/>
      <c r="B26" s="578"/>
      <c r="C26" s="82" t="str">
        <f>IF('CONSOLIDACION DEL MAPA'!P26="","",'CONSOLIDACION DEL MAPA'!P26)</f>
        <v/>
      </c>
      <c r="D26" s="82" t="str">
        <f>CRONOGRAMA!D26</f>
        <v/>
      </c>
      <c r="E26" s="132" t="str">
        <f>IF(CRONOGRAMA!F26="", "",CRONOGRAMA!F26)</f>
        <v/>
      </c>
      <c r="F26" s="132" t="str">
        <f>IF(CRONOGRAMA!G26="", "",CRONOGRAMA!G26)</f>
        <v/>
      </c>
      <c r="G26" s="128" t="str">
        <f>IF(CRONOGRAMA!H26="", "",CRONOGRAMA!H26)</f>
        <v/>
      </c>
      <c r="H26" s="128" t="str">
        <f>IF(CRONOGRAMA!I26="", "",CRONOGRAMA!I26)</f>
        <v/>
      </c>
      <c r="I26" s="84">
        <f t="shared" si="12"/>
        <v>0</v>
      </c>
      <c r="J26" s="160" t="str">
        <f>IF($P$6="Indique Fecha Seguimiento","",IF(CRONOGRAMA!$E26="No Aplica","NA",IF($G26="","",IF(YEAR($G26)&lt;YEAR($P$6)," A ",IF(YEAR($G26)=YEAR($P$6),IF(MONTH($G26)&lt;=4," A ","NA"),IF(YEAR($G26)&gt;YEAR($P$6),"NA"))))))</f>
        <v/>
      </c>
      <c r="K26" s="400"/>
      <c r="L26" s="401"/>
      <c r="M26" s="400"/>
      <c r="N26" s="348" t="str">
        <f t="shared" si="0"/>
        <v/>
      </c>
      <c r="O26" s="349"/>
      <c r="P26" s="44"/>
      <c r="Q26" s="84" t="str">
        <f t="shared" si="1"/>
        <v/>
      </c>
      <c r="R26" s="84" t="str">
        <f t="shared" si="2"/>
        <v/>
      </c>
      <c r="S26" s="84">
        <f t="shared" si="3"/>
        <v>0</v>
      </c>
      <c r="T26" s="160" t="str">
        <f>IF($Z$6="Indique Fecha Seguimiento","",IF(CRONOGRAMA!$E26="No Aplica","NA",IF($G26="","",IF(YEAR($G26)&lt;YEAR($Z$6)," A ",IF(YEAR($G26)=YEAR($Z$6),IF(MONTH($G26)&lt;=8," A ","NA"),IF(YEAR($G26)&gt;YEAR($Z$6),"NA"))))))</f>
        <v/>
      </c>
      <c r="U26" s="351"/>
      <c r="V26" s="44"/>
      <c r="W26" s="351"/>
      <c r="X26" s="348" t="str">
        <f t="shared" si="4"/>
        <v/>
      </c>
      <c r="Y26" s="349"/>
      <c r="Z26" s="44"/>
      <c r="AA26" s="84" t="str">
        <f t="shared" si="5"/>
        <v/>
      </c>
      <c r="AB26" s="84" t="str">
        <f t="shared" si="13"/>
        <v/>
      </c>
      <c r="AC26" s="84">
        <f t="shared" si="6"/>
        <v>0</v>
      </c>
      <c r="AD26" s="160" t="str">
        <f>IF($AJ$6="Indique Fecha Seguimiento","",IF(CRONOGRAMA!$E26="No Aplica","NA",IF($G26="","",IF(YEAR($G26)&lt;YEAR($AJ$6)," A ",IF(YEAR($G26)=YEAR($AJ$6),IF(MONTH($G26)&lt;=12," A ","NA"),IF(YEAR($G26)&gt;YEAR($AJ$6),"NA"))))))</f>
        <v/>
      </c>
      <c r="AE26" s="350"/>
      <c r="AF26" s="44"/>
      <c r="AG26" s="351"/>
      <c r="AH26" s="348" t="str">
        <f t="shared" si="7"/>
        <v/>
      </c>
      <c r="AI26" s="349"/>
      <c r="AJ26" s="44"/>
      <c r="AK26" s="81" t="str">
        <f t="shared" si="8"/>
        <v/>
      </c>
      <c r="AL26" s="84" t="str">
        <f t="shared" si="9"/>
        <v/>
      </c>
      <c r="AM26" s="84">
        <f t="shared" si="10"/>
        <v>0</v>
      </c>
      <c r="AN26" s="579"/>
      <c r="AO26" s="580"/>
      <c r="AP26" s="581"/>
      <c r="AQ26" s="581"/>
      <c r="AR26" s="582"/>
      <c r="AS26" s="582"/>
      <c r="AT26" s="582"/>
      <c r="AU26" s="572"/>
      <c r="AV26" s="573"/>
      <c r="AW26" s="574"/>
      <c r="AX26">
        <f t="shared" si="11"/>
        <v>0</v>
      </c>
    </row>
    <row r="27" spans="1:50" ht="51" x14ac:dyDescent="0.25">
      <c r="A27" s="583" t="str">
        <f>CRONOGRAMA!A27</f>
        <v>7G</v>
      </c>
      <c r="B27" s="578" t="str">
        <f>CRONOGRAMA!B27</f>
        <v>Acreditación. Incumplimiento en algunas actividades establecidas en el plan de trabajo</v>
      </c>
      <c r="C27" s="82" t="str">
        <f>IF('CONSOLIDACION DEL MAPA'!P27="","",'CONSOLIDACION DEL MAPA'!P27)</f>
        <v>Asumir</v>
      </c>
      <c r="D27" s="82" t="str">
        <f>CRONOGRAMA!D27</f>
        <v xml:space="preserve">Continuar con el seguimiento al cumplimiento de los controles existentes </v>
      </c>
      <c r="E27" s="132" t="str">
        <f>IF(CRONOGRAMA!F27="", "",CRONOGRAMA!F27)</f>
        <v/>
      </c>
      <c r="F27" s="132" t="str">
        <f>IF(CRONOGRAMA!G27="", "",CRONOGRAMA!G27)</f>
        <v/>
      </c>
      <c r="G27" s="128" t="str">
        <f>IF(CRONOGRAMA!H27="", "",CRONOGRAMA!H27)</f>
        <v/>
      </c>
      <c r="H27" s="128" t="str">
        <f>IF(CRONOGRAMA!I27="", "",CRONOGRAMA!I27)</f>
        <v/>
      </c>
      <c r="I27" s="84">
        <f t="shared" si="12"/>
        <v>0</v>
      </c>
      <c r="J27" s="160" t="str">
        <f>IF($P$6="Indique Fecha Seguimiento","",IF(CRONOGRAMA!$E27="No Aplica","NA",IF($G27="","",IF(YEAR($G27)&lt;YEAR($P$6)," A ",IF(YEAR($G27)=YEAR($P$6),IF(MONTH($G27)&lt;=4," A ","NA"),IF(YEAR($G27)&gt;YEAR($P$6),"NA"))))))</f>
        <v>NA</v>
      </c>
      <c r="K27" s="400"/>
      <c r="L27" s="401"/>
      <c r="M27" s="400"/>
      <c r="N27" s="348" t="str">
        <f t="shared" si="0"/>
        <v/>
      </c>
      <c r="O27" s="349"/>
      <c r="P27" s="44"/>
      <c r="Q27" s="84" t="str">
        <f t="shared" si="1"/>
        <v/>
      </c>
      <c r="R27" s="84" t="str">
        <f t="shared" si="2"/>
        <v/>
      </c>
      <c r="S27" s="84">
        <f t="shared" si="3"/>
        <v>0</v>
      </c>
      <c r="T27" s="160" t="str">
        <f>IF($Z$6="Indique Fecha Seguimiento","",IF(CRONOGRAMA!$E27="No Aplica","NA",IF($G27="","",IF(YEAR($G27)&lt;YEAR($Z$6)," A ",IF(YEAR($G27)=YEAR($Z$6),IF(MONTH($G27)&lt;=8," A ","NA"),IF(YEAR($G27)&gt;YEAR($Z$6),"NA"))))))</f>
        <v>NA</v>
      </c>
      <c r="U27" s="351"/>
      <c r="V27" s="44"/>
      <c r="W27" s="351"/>
      <c r="X27" s="348" t="str">
        <f t="shared" si="4"/>
        <v/>
      </c>
      <c r="Y27" s="349"/>
      <c r="Z27" s="44"/>
      <c r="AA27" s="84" t="str">
        <f t="shared" si="5"/>
        <v/>
      </c>
      <c r="AB27" s="84" t="str">
        <f t="shared" si="13"/>
        <v/>
      </c>
      <c r="AC27" s="84">
        <f t="shared" si="6"/>
        <v>0</v>
      </c>
      <c r="AD27" s="160" t="str">
        <f>IF($AJ$6="Indique Fecha Seguimiento","",IF(CRONOGRAMA!$E27="No Aplica","NA",IF($G27="","",IF(YEAR($G27)&lt;YEAR($AJ$6)," A ",IF(YEAR($G27)=YEAR($AJ$6),IF(MONTH($G27)&lt;=12," A ","NA"),IF(YEAR($G27)&gt;YEAR($AJ$6),"NA"))))))</f>
        <v>NA</v>
      </c>
      <c r="AE27" s="350"/>
      <c r="AF27" s="44"/>
      <c r="AG27" s="351"/>
      <c r="AH27" s="348" t="str">
        <f t="shared" si="7"/>
        <v/>
      </c>
      <c r="AI27" s="349"/>
      <c r="AJ27" s="44"/>
      <c r="AK27" s="81" t="str">
        <f t="shared" si="8"/>
        <v/>
      </c>
      <c r="AL27" s="84" t="str">
        <f t="shared" si="9"/>
        <v/>
      </c>
      <c r="AM27" s="84">
        <f t="shared" si="10"/>
        <v>0</v>
      </c>
      <c r="AN27" s="579">
        <f t="shared" ref="AN27" si="62">SUM(I27:I29)</f>
        <v>0</v>
      </c>
      <c r="AO27" s="580" t="str">
        <f t="shared" ref="AO27" si="63">IF(AND(Q27="",Q28="",Q29=""),"",SUM(Q27:Q29))</f>
        <v/>
      </c>
      <c r="AP27" s="581" t="str">
        <f t="shared" ref="AP27" si="64">IF(AND(AA27="",AA28="",AA29=""),"",SUM(AA27:AA29))</f>
        <v/>
      </c>
      <c r="AQ27" s="581" t="str">
        <f t="shared" ref="AQ27" si="65">IF(AND(AK27="",AK28="",AK29=""),"",SUM(AK27:AK29))</f>
        <v/>
      </c>
      <c r="AR27" s="582" t="str">
        <f t="shared" ref="AR27" si="66">IF(AO27="",IF($AU$6&lt;1,"",IF($AU$6&gt;=1,"NA")),IF(AO27=0,0,AO27/$AN27))</f>
        <v>NA</v>
      </c>
      <c r="AS27" s="582" t="str">
        <f t="shared" ref="AS27" si="67">IF(AP27="",IF($AU$6&lt;2,"",IF($AU$6&gt;=2,"NA")),IF(AP27=0,0,AP27/$AN27))</f>
        <v>NA</v>
      </c>
      <c r="AT27" s="582" t="str">
        <f t="shared" ref="AT27" si="68">IF(AS27&gt;=AR27,AS27,AR27)</f>
        <v>NA</v>
      </c>
      <c r="AU27" s="572" t="str">
        <f t="shared" ref="AU27" si="69">IF(AQ27="",IF($AU$6&lt;3,"",IF($AU$6&gt;=3,"NA")),IF(AQ27=0,0,AQ27/$AN27))</f>
        <v>NA</v>
      </c>
      <c r="AV27" s="573" t="str">
        <f t="shared" ref="AV27" si="70">IF($AU$6=1,AR27,IF($AU$6=2,AS27,IF($AU$6=3,AU27,"")))</f>
        <v>NA</v>
      </c>
      <c r="AW27" s="574" t="str">
        <f t="shared" ref="AW27" si="71">AV27</f>
        <v>NA</v>
      </c>
      <c r="AX27">
        <f t="shared" si="11"/>
        <v>0</v>
      </c>
    </row>
    <row r="28" spans="1:50" ht="15.75" x14ac:dyDescent="0.25">
      <c r="A28" s="583"/>
      <c r="B28" s="578"/>
      <c r="C28" s="82" t="str">
        <f>IF('CONSOLIDACION DEL MAPA'!P28="","",'CONSOLIDACION DEL MAPA'!P28)</f>
        <v/>
      </c>
      <c r="D28" s="82" t="str">
        <f>CRONOGRAMA!D28</f>
        <v/>
      </c>
      <c r="E28" s="132" t="str">
        <f>IF(CRONOGRAMA!F28="", "",CRONOGRAMA!F28)</f>
        <v/>
      </c>
      <c r="F28" s="132" t="str">
        <f>IF(CRONOGRAMA!G28="", "",CRONOGRAMA!G28)</f>
        <v/>
      </c>
      <c r="G28" s="128" t="str">
        <f>IF(CRONOGRAMA!H28="", "",CRONOGRAMA!H28)</f>
        <v/>
      </c>
      <c r="H28" s="128" t="str">
        <f>IF(CRONOGRAMA!I28="", "",CRONOGRAMA!I28)</f>
        <v/>
      </c>
      <c r="I28" s="84">
        <f t="shared" si="12"/>
        <v>0</v>
      </c>
      <c r="J28" s="160" t="str">
        <f>IF($P$6="Indique Fecha Seguimiento","",IF(CRONOGRAMA!$E28="No Aplica","NA",IF($G28="","",IF(YEAR($G28)&lt;YEAR($P$6)," A ",IF(YEAR($G28)=YEAR($P$6),IF(MONTH($G28)&lt;=4," A ","NA"),IF(YEAR($G28)&gt;YEAR($P$6),"NA"))))))</f>
        <v/>
      </c>
      <c r="K28" s="400"/>
      <c r="L28" s="401"/>
      <c r="M28" s="400"/>
      <c r="N28" s="348" t="str">
        <f t="shared" si="0"/>
        <v/>
      </c>
      <c r="O28" s="349"/>
      <c r="P28" s="44"/>
      <c r="Q28" s="84" t="str">
        <f t="shared" si="1"/>
        <v/>
      </c>
      <c r="R28" s="84" t="str">
        <f t="shared" si="2"/>
        <v/>
      </c>
      <c r="S28" s="84">
        <f t="shared" si="3"/>
        <v>0</v>
      </c>
      <c r="T28" s="160" t="str">
        <f>IF($Z$6="Indique Fecha Seguimiento","",IF(CRONOGRAMA!$E28="No Aplica","NA",IF($G28="","",IF(YEAR($G28)&lt;YEAR($Z$6)," A ",IF(YEAR($G28)=YEAR($Z$6),IF(MONTH($G28)&lt;=8," A ","NA"),IF(YEAR($G28)&gt;YEAR($Z$6),"NA"))))))</f>
        <v/>
      </c>
      <c r="U28" s="351"/>
      <c r="V28" s="44"/>
      <c r="W28" s="351"/>
      <c r="X28" s="348" t="str">
        <f t="shared" si="4"/>
        <v/>
      </c>
      <c r="Y28" s="349"/>
      <c r="Z28" s="44"/>
      <c r="AA28" s="84" t="str">
        <f t="shared" si="5"/>
        <v/>
      </c>
      <c r="AB28" s="84" t="str">
        <f t="shared" si="13"/>
        <v/>
      </c>
      <c r="AC28" s="84">
        <f t="shared" si="6"/>
        <v>0</v>
      </c>
      <c r="AD28" s="160" t="str">
        <f>IF($AJ$6="Indique Fecha Seguimiento","",IF(CRONOGRAMA!$E28="No Aplica","NA",IF($G28="","",IF(YEAR($G28)&lt;YEAR($AJ$6)," A ",IF(YEAR($G28)=YEAR($AJ$6),IF(MONTH($G28)&lt;=12," A ","NA"),IF(YEAR($G28)&gt;YEAR($AJ$6),"NA"))))))</f>
        <v/>
      </c>
      <c r="AE28" s="350"/>
      <c r="AF28" s="44"/>
      <c r="AG28" s="351"/>
      <c r="AH28" s="348" t="str">
        <f t="shared" si="7"/>
        <v/>
      </c>
      <c r="AI28" s="349"/>
      <c r="AJ28" s="44"/>
      <c r="AK28" s="81" t="str">
        <f t="shared" si="8"/>
        <v/>
      </c>
      <c r="AL28" s="84" t="str">
        <f t="shared" si="9"/>
        <v/>
      </c>
      <c r="AM28" s="84">
        <f t="shared" si="10"/>
        <v>0</v>
      </c>
      <c r="AN28" s="579"/>
      <c r="AO28" s="580"/>
      <c r="AP28" s="581"/>
      <c r="AQ28" s="581"/>
      <c r="AR28" s="582"/>
      <c r="AS28" s="582"/>
      <c r="AT28" s="582"/>
      <c r="AU28" s="572"/>
      <c r="AV28" s="573"/>
      <c r="AW28" s="574"/>
      <c r="AX28">
        <f t="shared" si="11"/>
        <v>0</v>
      </c>
    </row>
    <row r="29" spans="1:50" ht="15.75" x14ac:dyDescent="0.25">
      <c r="A29" s="583"/>
      <c r="B29" s="578"/>
      <c r="C29" s="82" t="str">
        <f>IF('CONSOLIDACION DEL MAPA'!P29="","",'CONSOLIDACION DEL MAPA'!P29)</f>
        <v/>
      </c>
      <c r="D29" s="82" t="str">
        <f>CRONOGRAMA!D29</f>
        <v/>
      </c>
      <c r="E29" s="132" t="str">
        <f>IF(CRONOGRAMA!F29="", "",CRONOGRAMA!F29)</f>
        <v/>
      </c>
      <c r="F29" s="132" t="str">
        <f>IF(CRONOGRAMA!G29="", "",CRONOGRAMA!G29)</f>
        <v/>
      </c>
      <c r="G29" s="128" t="str">
        <f>IF(CRONOGRAMA!H29="", "",CRONOGRAMA!H29)</f>
        <v/>
      </c>
      <c r="H29" s="128" t="str">
        <f>IF(CRONOGRAMA!I29="", "",CRONOGRAMA!I29)</f>
        <v/>
      </c>
      <c r="I29" s="84">
        <f t="shared" si="12"/>
        <v>0</v>
      </c>
      <c r="J29" s="160" t="str">
        <f>IF($P$6="Indique Fecha Seguimiento","",IF(CRONOGRAMA!$E29="No Aplica","NA",IF($G29="","",IF(YEAR($G29)&lt;YEAR($P$6)," A ",IF(YEAR($G29)=YEAR($P$6),IF(MONTH($G29)&lt;=4," A ","NA"),IF(YEAR($G29)&gt;YEAR($P$6),"NA"))))))</f>
        <v/>
      </c>
      <c r="K29" s="400"/>
      <c r="L29" s="401"/>
      <c r="M29" s="400"/>
      <c r="N29" s="348" t="str">
        <f t="shared" si="0"/>
        <v/>
      </c>
      <c r="O29" s="349"/>
      <c r="P29" s="44"/>
      <c r="Q29" s="84" t="str">
        <f t="shared" si="1"/>
        <v/>
      </c>
      <c r="R29" s="84" t="str">
        <f t="shared" si="2"/>
        <v/>
      </c>
      <c r="S29" s="84">
        <f t="shared" si="3"/>
        <v>0</v>
      </c>
      <c r="T29" s="160" t="str">
        <f>IF($Z$6="Indique Fecha Seguimiento","",IF(CRONOGRAMA!$E29="No Aplica","NA",IF($G29="","",IF(YEAR($G29)&lt;YEAR($Z$6)," A ",IF(YEAR($G29)=YEAR($Z$6),IF(MONTH($G29)&lt;=8," A ","NA"),IF(YEAR($G29)&gt;YEAR($Z$6),"NA"))))))</f>
        <v/>
      </c>
      <c r="U29" s="351"/>
      <c r="V29" s="44"/>
      <c r="W29" s="351"/>
      <c r="X29" s="348" t="str">
        <f t="shared" si="4"/>
        <v/>
      </c>
      <c r="Y29" s="349"/>
      <c r="Z29" s="44"/>
      <c r="AA29" s="84" t="str">
        <f t="shared" si="5"/>
        <v/>
      </c>
      <c r="AB29" s="84" t="str">
        <f t="shared" si="13"/>
        <v/>
      </c>
      <c r="AC29" s="84">
        <f t="shared" si="6"/>
        <v>0</v>
      </c>
      <c r="AD29" s="160" t="str">
        <f>IF($AJ$6="Indique Fecha Seguimiento","",IF(CRONOGRAMA!$E29="No Aplica","NA",IF($G29="","",IF(YEAR($G29)&lt;YEAR($AJ$6)," A ",IF(YEAR($G29)=YEAR($AJ$6),IF(MONTH($G29)&lt;=12," A ","NA"),IF(YEAR($G29)&gt;YEAR($AJ$6),"NA"))))))</f>
        <v/>
      </c>
      <c r="AE29" s="350"/>
      <c r="AF29" s="44"/>
      <c r="AG29" s="351"/>
      <c r="AH29" s="348" t="str">
        <f t="shared" si="7"/>
        <v/>
      </c>
      <c r="AI29" s="349"/>
      <c r="AJ29" s="44"/>
      <c r="AK29" s="81" t="str">
        <f t="shared" si="8"/>
        <v/>
      </c>
      <c r="AL29" s="84" t="str">
        <f t="shared" si="9"/>
        <v/>
      </c>
      <c r="AM29" s="84">
        <f t="shared" si="10"/>
        <v>0</v>
      </c>
      <c r="AN29" s="579"/>
      <c r="AO29" s="580"/>
      <c r="AP29" s="581"/>
      <c r="AQ29" s="581"/>
      <c r="AR29" s="582"/>
      <c r="AS29" s="582"/>
      <c r="AT29" s="582"/>
      <c r="AU29" s="572"/>
      <c r="AV29" s="573"/>
      <c r="AW29" s="574"/>
      <c r="AX29">
        <f t="shared" si="11"/>
        <v>0</v>
      </c>
    </row>
    <row r="30" spans="1:50" ht="51" x14ac:dyDescent="0.25">
      <c r="A30" s="583" t="str">
        <f>CRONOGRAMA!A30</f>
        <v>8G</v>
      </c>
      <c r="B30" s="578" t="str">
        <f>CRONOGRAMA!B30</f>
        <v>Acreditación. Retraso en el otorgamiento o renovacion del registro calificado</v>
      </c>
      <c r="C30" s="82" t="str">
        <f>IF('CONSOLIDACION DEL MAPA'!P30="","",'CONSOLIDACION DEL MAPA'!P30)</f>
        <v>Asumir</v>
      </c>
      <c r="D30" s="82" t="str">
        <f>CRONOGRAMA!D30</f>
        <v xml:space="preserve">Continuar con el seguimiento al cumplimiento de los controles existentes </v>
      </c>
      <c r="E30" s="132" t="str">
        <f>IF(CRONOGRAMA!F30="", "",CRONOGRAMA!F30)</f>
        <v/>
      </c>
      <c r="F30" s="132" t="str">
        <f>IF(CRONOGRAMA!G30="", "",CRONOGRAMA!G30)</f>
        <v/>
      </c>
      <c r="G30" s="128" t="str">
        <f>IF(CRONOGRAMA!H30="", "",CRONOGRAMA!H30)</f>
        <v/>
      </c>
      <c r="H30" s="128" t="str">
        <f>IF(CRONOGRAMA!I30="", "",CRONOGRAMA!I30)</f>
        <v/>
      </c>
      <c r="I30" s="84">
        <f t="shared" si="12"/>
        <v>0</v>
      </c>
      <c r="J30" s="160" t="str">
        <f>IF($P$6="Indique Fecha Seguimiento","",IF(CRONOGRAMA!$E30="No Aplica","NA",IF($G30="","",IF(YEAR($G30)&lt;YEAR($P$6)," A ",IF(YEAR($G30)=YEAR($P$6),IF(MONTH($G30)&lt;=4," A ","NA"),IF(YEAR($G30)&gt;YEAR($P$6),"NA"))))))</f>
        <v>NA</v>
      </c>
      <c r="K30" s="400"/>
      <c r="L30" s="401"/>
      <c r="M30" s="400"/>
      <c r="N30" s="348" t="str">
        <f t="shared" si="0"/>
        <v/>
      </c>
      <c r="O30" s="349"/>
      <c r="P30" s="44"/>
      <c r="Q30" s="84" t="str">
        <f t="shared" si="1"/>
        <v/>
      </c>
      <c r="R30" s="84" t="str">
        <f t="shared" si="2"/>
        <v/>
      </c>
      <c r="S30" s="84">
        <f t="shared" si="3"/>
        <v>0</v>
      </c>
      <c r="T30" s="160" t="str">
        <f>IF($Z$6="Indique Fecha Seguimiento","",IF(CRONOGRAMA!$E30="No Aplica","NA",IF($G30="","",IF(YEAR($G30)&lt;YEAR($Z$6)," A ",IF(YEAR($G30)=YEAR($Z$6),IF(MONTH($G30)&lt;=8," A ","NA"),IF(YEAR($G30)&gt;YEAR($Z$6),"NA"))))))</f>
        <v>NA</v>
      </c>
      <c r="U30" s="351"/>
      <c r="V30" s="44"/>
      <c r="W30" s="351"/>
      <c r="X30" s="348" t="str">
        <f t="shared" si="4"/>
        <v/>
      </c>
      <c r="Y30" s="349"/>
      <c r="Z30" s="44"/>
      <c r="AA30" s="84" t="str">
        <f t="shared" si="5"/>
        <v/>
      </c>
      <c r="AB30" s="84" t="str">
        <f t="shared" si="13"/>
        <v/>
      </c>
      <c r="AC30" s="84">
        <f t="shared" si="6"/>
        <v>0</v>
      </c>
      <c r="AD30" s="160" t="str">
        <f>IF($AJ$6="Indique Fecha Seguimiento","",IF(CRONOGRAMA!$E30="No Aplica","NA",IF($G30="","",IF(YEAR($G30)&lt;YEAR($AJ$6)," A ",IF(YEAR($G30)=YEAR($AJ$6),IF(MONTH($G30)&lt;=12," A ","NA"),IF(YEAR($G30)&gt;YEAR($AJ$6),"NA"))))))</f>
        <v>NA</v>
      </c>
      <c r="AE30" s="350"/>
      <c r="AF30" s="44"/>
      <c r="AG30" s="351"/>
      <c r="AH30" s="348" t="str">
        <f t="shared" si="7"/>
        <v/>
      </c>
      <c r="AI30" s="349"/>
      <c r="AJ30" s="44"/>
      <c r="AK30" s="81" t="str">
        <f t="shared" si="8"/>
        <v/>
      </c>
      <c r="AL30" s="84" t="str">
        <f t="shared" si="9"/>
        <v/>
      </c>
      <c r="AM30" s="84">
        <f t="shared" si="10"/>
        <v>0</v>
      </c>
      <c r="AN30" s="579">
        <f t="shared" ref="AN30" si="72">SUM(I30:I32)</f>
        <v>0</v>
      </c>
      <c r="AO30" s="580" t="str">
        <f t="shared" ref="AO30" si="73">IF(AND(Q30="",Q31="",Q32=""),"",SUM(Q30:Q32))</f>
        <v/>
      </c>
      <c r="AP30" s="581" t="str">
        <f t="shared" ref="AP30" si="74">IF(AND(AA30="",AA31="",AA32=""),"",SUM(AA30:AA32))</f>
        <v/>
      </c>
      <c r="AQ30" s="581" t="str">
        <f t="shared" ref="AQ30" si="75">IF(AND(AK30="",AK31="",AK32=""),"",SUM(AK30:AK32))</f>
        <v/>
      </c>
      <c r="AR30" s="582" t="str">
        <f t="shared" ref="AR30" si="76">IF(AO30="",IF($AU$6&lt;1,"",IF($AU$6&gt;=1,"NA")),IF(AO30=0,0,AO30/$AN30))</f>
        <v>NA</v>
      </c>
      <c r="AS30" s="582" t="str">
        <f t="shared" ref="AS30" si="77">IF(AP30="",IF($AU$6&lt;2,"",IF($AU$6&gt;=2,"NA")),IF(AP30=0,0,AP30/$AN30))</f>
        <v>NA</v>
      </c>
      <c r="AT30" s="582" t="str">
        <f t="shared" ref="AT30" si="78">IF(AS30&gt;=AR30,AS30,AR30)</f>
        <v>NA</v>
      </c>
      <c r="AU30" s="572" t="str">
        <f t="shared" ref="AU30" si="79">IF(AQ30="",IF($AU$6&lt;3,"",IF($AU$6&gt;=3,"NA")),IF(AQ30=0,0,AQ30/$AN30))</f>
        <v>NA</v>
      </c>
      <c r="AV30" s="573" t="str">
        <f t="shared" ref="AV30" si="80">IF($AU$6=1,AR30,IF($AU$6=2,AS30,IF($AU$6=3,AU30,"")))</f>
        <v>NA</v>
      </c>
      <c r="AW30" s="574" t="str">
        <f t="shared" ref="AW30" si="81">AV30</f>
        <v>NA</v>
      </c>
      <c r="AX30">
        <f t="shared" si="11"/>
        <v>0</v>
      </c>
    </row>
    <row r="31" spans="1:50" ht="15.75" x14ac:dyDescent="0.25">
      <c r="A31" s="583"/>
      <c r="B31" s="578"/>
      <c r="C31" s="82" t="str">
        <f>IF('CONSOLIDACION DEL MAPA'!P31="","",'CONSOLIDACION DEL MAPA'!P31)</f>
        <v/>
      </c>
      <c r="D31" s="82" t="str">
        <f>CRONOGRAMA!D31</f>
        <v/>
      </c>
      <c r="E31" s="132" t="str">
        <f>IF(CRONOGRAMA!F31="", "",CRONOGRAMA!F31)</f>
        <v/>
      </c>
      <c r="F31" s="132" t="str">
        <f>IF(CRONOGRAMA!G31="", "",CRONOGRAMA!G31)</f>
        <v/>
      </c>
      <c r="G31" s="128" t="str">
        <f>IF(CRONOGRAMA!H31="", "",CRONOGRAMA!H31)</f>
        <v/>
      </c>
      <c r="H31" s="128" t="str">
        <f>IF(CRONOGRAMA!I31="", "",CRONOGRAMA!I31)</f>
        <v/>
      </c>
      <c r="I31" s="84">
        <f t="shared" si="12"/>
        <v>0</v>
      </c>
      <c r="J31" s="160" t="str">
        <f>IF($P$6="Indique Fecha Seguimiento","",IF(CRONOGRAMA!$E31="No Aplica","NA",IF($G31="","",IF(YEAR($G31)&lt;YEAR($P$6)," A ",IF(YEAR($G31)=YEAR($P$6),IF(MONTH($G31)&lt;=4," A ","NA"),IF(YEAR($G31)&gt;YEAR($P$6),"NA"))))))</f>
        <v/>
      </c>
      <c r="K31" s="400"/>
      <c r="L31" s="401"/>
      <c r="M31" s="400"/>
      <c r="N31" s="348" t="str">
        <f t="shared" si="0"/>
        <v/>
      </c>
      <c r="O31" s="349"/>
      <c r="P31" s="44"/>
      <c r="Q31" s="84" t="str">
        <f t="shared" si="1"/>
        <v/>
      </c>
      <c r="R31" s="84" t="str">
        <f t="shared" si="2"/>
        <v/>
      </c>
      <c r="S31" s="84">
        <f t="shared" si="3"/>
        <v>0</v>
      </c>
      <c r="T31" s="160" t="str">
        <f>IF($Z$6="Indique Fecha Seguimiento","",IF(CRONOGRAMA!$E31="No Aplica","NA",IF($G31="","",IF(YEAR($G31)&lt;YEAR($Z$6)," A ",IF(YEAR($G31)=YEAR($Z$6),IF(MONTH($G31)&lt;=8," A ","NA"),IF(YEAR($G31)&gt;YEAR($Z$6),"NA"))))))</f>
        <v/>
      </c>
      <c r="U31" s="351"/>
      <c r="V31" s="44"/>
      <c r="W31" s="351"/>
      <c r="X31" s="348" t="str">
        <f t="shared" si="4"/>
        <v/>
      </c>
      <c r="Y31" s="349"/>
      <c r="Z31" s="44"/>
      <c r="AA31" s="84" t="str">
        <f t="shared" si="5"/>
        <v/>
      </c>
      <c r="AB31" s="84" t="str">
        <f t="shared" si="13"/>
        <v/>
      </c>
      <c r="AC31" s="84">
        <f t="shared" si="6"/>
        <v>0</v>
      </c>
      <c r="AD31" s="160" t="str">
        <f>IF($AJ$6="Indique Fecha Seguimiento","",IF(CRONOGRAMA!$E31="No Aplica","NA",IF($G31="","",IF(YEAR($G31)&lt;YEAR($AJ$6)," A ",IF(YEAR($G31)=YEAR($AJ$6),IF(MONTH($G31)&lt;=12," A ","NA"),IF(YEAR($G31)&gt;YEAR($AJ$6),"NA"))))))</f>
        <v/>
      </c>
      <c r="AE31" s="350"/>
      <c r="AF31" s="44"/>
      <c r="AG31" s="351"/>
      <c r="AH31" s="348" t="str">
        <f t="shared" si="7"/>
        <v/>
      </c>
      <c r="AI31" s="349"/>
      <c r="AJ31" s="44"/>
      <c r="AK31" s="81" t="str">
        <f t="shared" si="8"/>
        <v/>
      </c>
      <c r="AL31" s="84" t="str">
        <f t="shared" si="9"/>
        <v/>
      </c>
      <c r="AM31" s="84">
        <f t="shared" si="10"/>
        <v>0</v>
      </c>
      <c r="AN31" s="579"/>
      <c r="AO31" s="580"/>
      <c r="AP31" s="581"/>
      <c r="AQ31" s="581"/>
      <c r="AR31" s="582"/>
      <c r="AS31" s="582"/>
      <c r="AT31" s="582"/>
      <c r="AU31" s="572"/>
      <c r="AV31" s="573"/>
      <c r="AW31" s="574"/>
      <c r="AX31">
        <f t="shared" si="11"/>
        <v>0</v>
      </c>
    </row>
    <row r="32" spans="1:50" ht="15.75" x14ac:dyDescent="0.25">
      <c r="A32" s="583"/>
      <c r="B32" s="578"/>
      <c r="C32" s="82" t="str">
        <f>IF('CONSOLIDACION DEL MAPA'!P32="","",'CONSOLIDACION DEL MAPA'!P32)</f>
        <v/>
      </c>
      <c r="D32" s="82" t="str">
        <f>CRONOGRAMA!D32</f>
        <v/>
      </c>
      <c r="E32" s="132" t="str">
        <f>IF(CRONOGRAMA!F32="", "",CRONOGRAMA!F32)</f>
        <v/>
      </c>
      <c r="F32" s="132" t="str">
        <f>IF(CRONOGRAMA!G32="", "",CRONOGRAMA!G32)</f>
        <v/>
      </c>
      <c r="G32" s="128" t="str">
        <f>IF(CRONOGRAMA!H32="", "",CRONOGRAMA!H32)</f>
        <v/>
      </c>
      <c r="H32" s="128" t="str">
        <f>IF(CRONOGRAMA!I32="", "",CRONOGRAMA!I32)</f>
        <v/>
      </c>
      <c r="I32" s="84">
        <f t="shared" si="12"/>
        <v>0</v>
      </c>
      <c r="J32" s="160" t="str">
        <f>IF($P$6="Indique Fecha Seguimiento","",IF(CRONOGRAMA!$E32="No Aplica","NA",IF($G32="","",IF(YEAR($G32)&lt;YEAR($P$6)," A ",IF(YEAR($G32)=YEAR($P$6),IF(MONTH($G32)&lt;=4," A ","NA"),IF(YEAR($G32)&gt;YEAR($P$6),"NA"))))))</f>
        <v/>
      </c>
      <c r="K32" s="400"/>
      <c r="L32" s="401"/>
      <c r="M32" s="400"/>
      <c r="N32" s="348" t="str">
        <f t="shared" si="0"/>
        <v/>
      </c>
      <c r="O32" s="349"/>
      <c r="P32" s="44"/>
      <c r="Q32" s="84" t="str">
        <f t="shared" si="1"/>
        <v/>
      </c>
      <c r="R32" s="84" t="str">
        <f t="shared" si="2"/>
        <v/>
      </c>
      <c r="S32" s="84">
        <f t="shared" si="3"/>
        <v>0</v>
      </c>
      <c r="T32" s="160" t="str">
        <f>IF($Z$6="Indique Fecha Seguimiento","",IF(CRONOGRAMA!$E32="No Aplica","NA",IF($G32="","",IF(YEAR($G32)&lt;YEAR($Z$6)," A ",IF(YEAR($G32)=YEAR($Z$6),IF(MONTH($G32)&lt;=8," A ","NA"),IF(YEAR($G32)&gt;YEAR($Z$6),"NA"))))))</f>
        <v/>
      </c>
      <c r="U32" s="351"/>
      <c r="V32" s="44"/>
      <c r="W32" s="351"/>
      <c r="X32" s="348" t="str">
        <f t="shared" si="4"/>
        <v/>
      </c>
      <c r="Y32" s="349"/>
      <c r="Z32" s="44"/>
      <c r="AA32" s="84" t="str">
        <f t="shared" si="5"/>
        <v/>
      </c>
      <c r="AB32" s="84" t="str">
        <f t="shared" si="13"/>
        <v/>
      </c>
      <c r="AC32" s="84">
        <f t="shared" si="6"/>
        <v>0</v>
      </c>
      <c r="AD32" s="160" t="str">
        <f>IF($AJ$6="Indique Fecha Seguimiento","",IF(CRONOGRAMA!$E32="No Aplica","NA",IF($G32="","",IF(YEAR($G32)&lt;YEAR($AJ$6)," A ",IF(YEAR($G32)=YEAR($AJ$6),IF(MONTH($G32)&lt;=12," A ","NA"),IF(YEAR($G32)&gt;YEAR($AJ$6),"NA"))))))</f>
        <v/>
      </c>
      <c r="AE32" s="350"/>
      <c r="AF32" s="44"/>
      <c r="AG32" s="351"/>
      <c r="AH32" s="348" t="str">
        <f t="shared" si="7"/>
        <v/>
      </c>
      <c r="AI32" s="349"/>
      <c r="AJ32" s="44"/>
      <c r="AK32" s="81" t="str">
        <f t="shared" si="8"/>
        <v/>
      </c>
      <c r="AL32" s="84" t="str">
        <f t="shared" si="9"/>
        <v/>
      </c>
      <c r="AM32" s="84">
        <f t="shared" si="10"/>
        <v>0</v>
      </c>
      <c r="AN32" s="579"/>
      <c r="AO32" s="580"/>
      <c r="AP32" s="581"/>
      <c r="AQ32" s="581"/>
      <c r="AR32" s="582"/>
      <c r="AS32" s="582"/>
      <c r="AT32" s="582"/>
      <c r="AU32" s="572"/>
      <c r="AV32" s="573"/>
      <c r="AW32" s="574"/>
      <c r="AX32">
        <f t="shared" si="11"/>
        <v>0</v>
      </c>
    </row>
    <row r="33" spans="1:50" ht="64.5" x14ac:dyDescent="0.25">
      <c r="A33" s="583" t="str">
        <f>CRONOGRAMA!A33</f>
        <v>9G</v>
      </c>
      <c r="B33" s="578" t="str">
        <f>CRONOGRAMA!B33</f>
        <v>Gestión de la Calidad. La alta dirección no asegura la disponibilidad de los recursos para el mantenimiento y mejora del sistema.</v>
      </c>
      <c r="C33" s="82" t="str">
        <f>IF('CONSOLIDACION DEL MAPA'!P33="","",'CONSOLIDACION DEL MAPA'!P33)</f>
        <v>Reducir</v>
      </c>
      <c r="D33" s="82" t="str">
        <f>CRONOGRAMA!D33</f>
        <v>Realizar la revisión por la dirección y divulgar los resultados del informe de revisión por la alta dirección</v>
      </c>
      <c r="E33" s="132" t="str">
        <f>IF(CRONOGRAMA!F33="", "",CRONOGRAMA!F33)</f>
        <v>Registro de asistencia revisión por la Dirección</v>
      </c>
      <c r="F33" s="132">
        <f>IF(CRONOGRAMA!G33="", "",CRONOGRAMA!G33)</f>
        <v>1</v>
      </c>
      <c r="G33" s="128">
        <f>IF(CRONOGRAMA!H33="", "",CRONOGRAMA!H33)</f>
        <v>42383</v>
      </c>
      <c r="H33" s="128">
        <f>IF(CRONOGRAMA!I33="", "",CRONOGRAMA!I33)</f>
        <v>42459</v>
      </c>
      <c r="I33" s="84">
        <f t="shared" si="12"/>
        <v>10.857142857142858</v>
      </c>
      <c r="J33" s="160" t="str">
        <f>IF($P$6="Indique Fecha Seguimiento","",IF(CRONOGRAMA!$E33="No Aplica","NA",IF($G33="","",IF(YEAR($G33)&lt;YEAR($P$6)," A ",IF(YEAR($G33)=YEAR($P$6),IF(MONTH($G33)&lt;=4," A ","NA"),IF(YEAR($G33)&gt;YEAR($P$6),"NA"))))))</f>
        <v xml:space="preserve"> A </v>
      </c>
      <c r="K33" s="400">
        <v>1</v>
      </c>
      <c r="L33" s="401" t="s">
        <v>882</v>
      </c>
      <c r="M33" s="400">
        <v>1</v>
      </c>
      <c r="N33" s="348">
        <f t="shared" si="0"/>
        <v>1</v>
      </c>
      <c r="O33" s="349" t="s">
        <v>11</v>
      </c>
      <c r="P33" s="44"/>
      <c r="Q33" s="84">
        <f t="shared" si="1"/>
        <v>10.857142857142858</v>
      </c>
      <c r="R33" s="84">
        <f t="shared" si="2"/>
        <v>10.857142857142858</v>
      </c>
      <c r="S33" s="84">
        <f t="shared" si="3"/>
        <v>10.857142857142858</v>
      </c>
      <c r="T33" s="160" t="str">
        <f>IF($Z$6="Indique Fecha Seguimiento","",IF(CRONOGRAMA!$E33="No Aplica","NA",IF($G33="","",IF(YEAR($G33)&lt;YEAR($Z$6)," A ",IF(YEAR($G33)=YEAR($Z$6),IF(MONTH($G33)&lt;=8," A ","NA"),IF(YEAR($G33)&gt;YEAR($Z$6),"NA"))))))</f>
        <v xml:space="preserve"> A </v>
      </c>
      <c r="U33" s="351">
        <v>1</v>
      </c>
      <c r="V33" s="44" t="s">
        <v>939</v>
      </c>
      <c r="W33" s="351">
        <v>1</v>
      </c>
      <c r="X33" s="348">
        <f t="shared" si="4"/>
        <v>1</v>
      </c>
      <c r="Y33" s="349" t="s">
        <v>11</v>
      </c>
      <c r="Z33" s="44" t="s">
        <v>940</v>
      </c>
      <c r="AA33" s="84">
        <f t="shared" si="5"/>
        <v>10.857142857142858</v>
      </c>
      <c r="AB33" s="84">
        <f t="shared" si="13"/>
        <v>10.857142857142858</v>
      </c>
      <c r="AC33" s="84">
        <f t="shared" si="6"/>
        <v>10.857142857142858</v>
      </c>
      <c r="AD33" s="160" t="str">
        <f>IF($AJ$6="Indique Fecha Seguimiento","",IF(CRONOGRAMA!$E33="No Aplica","NA",IF($G33="","",IF(YEAR($G33)&lt;YEAR($AJ$6)," A ",IF(YEAR($G33)=YEAR($AJ$6),IF(MONTH($G33)&lt;=12," A ","NA"),IF(YEAR($G33)&gt;YEAR($AJ$6),"NA"))))))</f>
        <v xml:space="preserve"> A </v>
      </c>
      <c r="AE33" s="351">
        <v>1</v>
      </c>
      <c r="AF33" s="44" t="s">
        <v>939</v>
      </c>
      <c r="AG33" s="351">
        <v>1</v>
      </c>
      <c r="AH33" s="348">
        <f t="shared" si="7"/>
        <v>1</v>
      </c>
      <c r="AI33" s="349" t="s">
        <v>11</v>
      </c>
      <c r="AJ33" s="44" t="str">
        <f>Z33</f>
        <v>Se cumplio con la actividad definida tal como se informo en primer seguimiento</v>
      </c>
      <c r="AK33" s="81">
        <f t="shared" si="8"/>
        <v>10.857142857142858</v>
      </c>
      <c r="AL33" s="84">
        <f t="shared" si="9"/>
        <v>10.857142857142858</v>
      </c>
      <c r="AM33" s="84">
        <f t="shared" si="10"/>
        <v>10.857142857142858</v>
      </c>
      <c r="AN33" s="579">
        <f t="shared" ref="AN33" si="82">SUM(I33:I35)</f>
        <v>10.857142857142858</v>
      </c>
      <c r="AO33" s="580">
        <f t="shared" ref="AO33" si="83">IF(AND(Q33="",Q34="",Q35=""),"",SUM(Q33:Q35))</f>
        <v>10.857142857142858</v>
      </c>
      <c r="AP33" s="581">
        <f t="shared" ref="AP33" si="84">IF(AND(AA33="",AA34="",AA35=""),"",SUM(AA33:AA35))</f>
        <v>10.857142857142858</v>
      </c>
      <c r="AQ33" s="581">
        <f t="shared" ref="AQ33" si="85">IF(AND(AK33="",AK34="",AK35=""),"",SUM(AK33:AK35))</f>
        <v>10.857142857142858</v>
      </c>
      <c r="AR33" s="582">
        <f t="shared" ref="AR33" si="86">IF(AO33="",IF($AU$6&lt;1,"",IF($AU$6&gt;=1,"NA")),IF(AO33=0,0,AO33/$AN33))</f>
        <v>1</v>
      </c>
      <c r="AS33" s="582">
        <f t="shared" ref="AS33" si="87">IF(AP33="",IF($AU$6&lt;2,"",IF($AU$6&gt;=2,"NA")),IF(AP33=0,0,AP33/$AN33))</f>
        <v>1</v>
      </c>
      <c r="AT33" s="582">
        <f t="shared" ref="AT33" si="88">IF(AS33&gt;=AR33,AS33,AR33)</f>
        <v>1</v>
      </c>
      <c r="AU33" s="572">
        <f t="shared" ref="AU33" si="89">IF(AQ33="",IF($AU$6&lt;3,"",IF($AU$6&gt;=3,"NA")),IF(AQ33=0,0,AQ33/$AN33))</f>
        <v>1</v>
      </c>
      <c r="AV33" s="573">
        <f t="shared" ref="AV33" si="90">IF($AU$6=1,AR33,IF($AU$6=2,AS33,IF($AU$6=3,AU33,"")))</f>
        <v>1</v>
      </c>
      <c r="AW33" s="574">
        <f t="shared" ref="AW33" si="91">AV33</f>
        <v>1</v>
      </c>
      <c r="AX33" t="str">
        <f t="shared" si="11"/>
        <v>Se cumplio con la actividad definida tal como se informo en primer seguimiento</v>
      </c>
    </row>
    <row r="34" spans="1:50" ht="15.75" x14ac:dyDescent="0.25">
      <c r="A34" s="583"/>
      <c r="B34" s="578"/>
      <c r="C34" s="82" t="str">
        <f>IF('CONSOLIDACION DEL MAPA'!P34="","",'CONSOLIDACION DEL MAPA'!P34)</f>
        <v/>
      </c>
      <c r="D34" s="82" t="str">
        <f>CRONOGRAMA!D34</f>
        <v/>
      </c>
      <c r="E34" s="132" t="str">
        <f>IF(CRONOGRAMA!F34="", "",CRONOGRAMA!F34)</f>
        <v/>
      </c>
      <c r="F34" s="132" t="str">
        <f>IF(CRONOGRAMA!G34="", "",CRONOGRAMA!G34)</f>
        <v/>
      </c>
      <c r="G34" s="128" t="str">
        <f>IF(CRONOGRAMA!H34="", "",CRONOGRAMA!H34)</f>
        <v/>
      </c>
      <c r="H34" s="128" t="str">
        <f>IF(CRONOGRAMA!I34="", "",CRONOGRAMA!I34)</f>
        <v/>
      </c>
      <c r="I34" s="84">
        <f t="shared" si="12"/>
        <v>0</v>
      </c>
      <c r="J34" s="160" t="str">
        <f>IF($P$6="Indique Fecha Seguimiento","",IF(CRONOGRAMA!$E34="No Aplica","NA",IF($G34="","",IF(YEAR($G34)&lt;YEAR($P$6)," A ",IF(YEAR($G34)=YEAR($P$6),IF(MONTH($G34)&lt;=4," A ","NA"),IF(YEAR($G34)&gt;YEAR($P$6),"NA"))))))</f>
        <v/>
      </c>
      <c r="K34" s="400"/>
      <c r="L34" s="401"/>
      <c r="M34" s="400"/>
      <c r="N34" s="348" t="str">
        <f t="shared" si="0"/>
        <v/>
      </c>
      <c r="O34" s="349"/>
      <c r="P34" s="44"/>
      <c r="Q34" s="84" t="str">
        <f t="shared" si="1"/>
        <v/>
      </c>
      <c r="R34" s="84" t="str">
        <f t="shared" si="2"/>
        <v/>
      </c>
      <c r="S34" s="84">
        <f t="shared" si="3"/>
        <v>0</v>
      </c>
      <c r="T34" s="160" t="str">
        <f>IF($Z$6="Indique Fecha Seguimiento","",IF(CRONOGRAMA!$E34="No Aplica","NA",IF($G34="","",IF(YEAR($G34)&lt;YEAR($Z$6)," A ",IF(YEAR($G34)=YEAR($Z$6),IF(MONTH($G34)&lt;=8," A ","NA"),IF(YEAR($G34)&gt;YEAR($Z$6),"NA"))))))</f>
        <v/>
      </c>
      <c r="U34" s="351"/>
      <c r="V34" s="44"/>
      <c r="W34" s="351"/>
      <c r="X34" s="348" t="str">
        <f t="shared" si="4"/>
        <v/>
      </c>
      <c r="Y34" s="349"/>
      <c r="Z34" s="44"/>
      <c r="AA34" s="84" t="str">
        <f t="shared" si="5"/>
        <v/>
      </c>
      <c r="AB34" s="84" t="str">
        <f t="shared" si="13"/>
        <v/>
      </c>
      <c r="AC34" s="84">
        <f t="shared" si="6"/>
        <v>0</v>
      </c>
      <c r="AD34" s="160" t="str">
        <f>IF($AJ$6="Indique Fecha Seguimiento","",IF(CRONOGRAMA!$E34="No Aplica","NA",IF($G34="","",IF(YEAR($G34)&lt;YEAR($AJ$6)," A ",IF(YEAR($G34)=YEAR($AJ$6),IF(MONTH($G34)&lt;=12," A ","NA"),IF(YEAR($G34)&gt;YEAR($AJ$6),"NA"))))))</f>
        <v/>
      </c>
      <c r="AE34" s="350"/>
      <c r="AF34" s="44"/>
      <c r="AG34" s="351"/>
      <c r="AH34" s="348" t="str">
        <f t="shared" si="7"/>
        <v/>
      </c>
      <c r="AI34" s="349"/>
      <c r="AJ34" s="44"/>
      <c r="AK34" s="81" t="str">
        <f t="shared" si="8"/>
        <v/>
      </c>
      <c r="AL34" s="84" t="str">
        <f t="shared" si="9"/>
        <v/>
      </c>
      <c r="AM34" s="84">
        <f t="shared" si="10"/>
        <v>0</v>
      </c>
      <c r="AN34" s="579"/>
      <c r="AO34" s="580"/>
      <c r="AP34" s="581"/>
      <c r="AQ34" s="581"/>
      <c r="AR34" s="582"/>
      <c r="AS34" s="582"/>
      <c r="AT34" s="582"/>
      <c r="AU34" s="572"/>
      <c r="AV34" s="573"/>
      <c r="AW34" s="574"/>
      <c r="AX34">
        <f t="shared" si="11"/>
        <v>0</v>
      </c>
    </row>
    <row r="35" spans="1:50" ht="15.75" x14ac:dyDescent="0.25">
      <c r="A35" s="583"/>
      <c r="B35" s="578"/>
      <c r="C35" s="82" t="str">
        <f>IF('CONSOLIDACION DEL MAPA'!P35="","",'CONSOLIDACION DEL MAPA'!P35)</f>
        <v/>
      </c>
      <c r="D35" s="82" t="str">
        <f>CRONOGRAMA!D35</f>
        <v/>
      </c>
      <c r="E35" s="132" t="str">
        <f>IF(CRONOGRAMA!F35="", "",CRONOGRAMA!F35)</f>
        <v/>
      </c>
      <c r="F35" s="132" t="str">
        <f>IF(CRONOGRAMA!G35="", "",CRONOGRAMA!G35)</f>
        <v/>
      </c>
      <c r="G35" s="128" t="str">
        <f>IF(CRONOGRAMA!H35="", "",CRONOGRAMA!H35)</f>
        <v/>
      </c>
      <c r="H35" s="128" t="str">
        <f>IF(CRONOGRAMA!I35="", "",CRONOGRAMA!I35)</f>
        <v/>
      </c>
      <c r="I35" s="84">
        <f t="shared" si="12"/>
        <v>0</v>
      </c>
      <c r="J35" s="160" t="str">
        <f>IF($P$6="Indique Fecha Seguimiento","",IF(CRONOGRAMA!$E35="No Aplica","NA",IF($G35="","",IF(YEAR($G35)&lt;YEAR($P$6)," A ",IF(YEAR($G35)=YEAR($P$6),IF(MONTH($G35)&lt;=4," A ","NA"),IF(YEAR($G35)&gt;YEAR($P$6),"NA"))))))</f>
        <v/>
      </c>
      <c r="K35" s="400"/>
      <c r="L35" s="401"/>
      <c r="M35" s="400"/>
      <c r="N35" s="348" t="str">
        <f t="shared" si="0"/>
        <v/>
      </c>
      <c r="O35" s="349"/>
      <c r="P35" s="44"/>
      <c r="Q35" s="84" t="str">
        <f t="shared" si="1"/>
        <v/>
      </c>
      <c r="R35" s="84" t="str">
        <f t="shared" si="2"/>
        <v/>
      </c>
      <c r="S35" s="84">
        <f t="shared" si="3"/>
        <v>0</v>
      </c>
      <c r="T35" s="160" t="str">
        <f>IF($Z$6="Indique Fecha Seguimiento","",IF(CRONOGRAMA!$E35="No Aplica","NA",IF($G35="","",IF(YEAR($G35)&lt;YEAR($Z$6)," A ",IF(YEAR($G35)=YEAR($Z$6),IF(MONTH($G35)&lt;=8," A ","NA"),IF(YEAR($G35)&gt;YEAR($Z$6),"NA"))))))</f>
        <v/>
      </c>
      <c r="U35" s="351"/>
      <c r="V35" s="44"/>
      <c r="W35" s="351"/>
      <c r="X35" s="348" t="str">
        <f t="shared" si="4"/>
        <v/>
      </c>
      <c r="Y35" s="349"/>
      <c r="Z35" s="44"/>
      <c r="AA35" s="84" t="str">
        <f t="shared" si="5"/>
        <v/>
      </c>
      <c r="AB35" s="84" t="str">
        <f t="shared" si="13"/>
        <v/>
      </c>
      <c r="AC35" s="84">
        <f t="shared" si="6"/>
        <v>0</v>
      </c>
      <c r="AD35" s="160" t="str">
        <f>IF($AJ$6="Indique Fecha Seguimiento","",IF(CRONOGRAMA!$E35="No Aplica","NA",IF($G35="","",IF(YEAR($G35)&lt;YEAR($AJ$6)," A ",IF(YEAR($G35)=YEAR($AJ$6),IF(MONTH($G35)&lt;=12," A ","NA"),IF(YEAR($G35)&gt;YEAR($AJ$6),"NA"))))))</f>
        <v/>
      </c>
      <c r="AE35" s="350"/>
      <c r="AF35" s="44"/>
      <c r="AG35" s="351"/>
      <c r="AH35" s="348" t="str">
        <f t="shared" si="7"/>
        <v/>
      </c>
      <c r="AI35" s="349"/>
      <c r="AJ35" s="44"/>
      <c r="AK35" s="81" t="str">
        <f t="shared" si="8"/>
        <v/>
      </c>
      <c r="AL35" s="84" t="str">
        <f t="shared" si="9"/>
        <v/>
      </c>
      <c r="AM35" s="84">
        <f t="shared" si="10"/>
        <v>0</v>
      </c>
      <c r="AN35" s="579"/>
      <c r="AO35" s="580"/>
      <c r="AP35" s="581"/>
      <c r="AQ35" s="581"/>
      <c r="AR35" s="582"/>
      <c r="AS35" s="582"/>
      <c r="AT35" s="582"/>
      <c r="AU35" s="572"/>
      <c r="AV35" s="573"/>
      <c r="AW35" s="574"/>
      <c r="AX35">
        <f t="shared" si="11"/>
        <v>0</v>
      </c>
    </row>
    <row r="36" spans="1:50" ht="94.5" x14ac:dyDescent="0.25">
      <c r="A36" s="583" t="str">
        <f>CRONOGRAMA!A36</f>
        <v>10G</v>
      </c>
      <c r="B36" s="578" t="str">
        <f>CRONOGRAMA!B36</f>
        <v>Comunicaciones. Inoportuna e ineficaz divulgación de los productos comunicativos y publicitarios ante los usuarios internos y externos.</v>
      </c>
      <c r="C36" s="82" t="str">
        <f>IF('CONSOLIDACION DEL MAPA'!P36="","",'CONSOLIDACION DEL MAPA'!P36)</f>
        <v>Reducir</v>
      </c>
      <c r="D36" s="82" t="str">
        <f>CRONOGRAMA!D36</f>
        <v>Fomentar el autocontrol en los tiempos de entrega al equipo de comunicaciones</v>
      </c>
      <c r="E36" s="132" t="str">
        <f>IF(CRONOGRAMA!F36="", "",CRONOGRAMA!F36)</f>
        <v xml:space="preserve">comunicaciones </v>
      </c>
      <c r="F36" s="132">
        <f>IF(CRONOGRAMA!G36="", "",CRONOGRAMA!G36)</f>
        <v>4</v>
      </c>
      <c r="G36" s="128">
        <f>IF(CRONOGRAMA!H36="", "",CRONOGRAMA!H36)</f>
        <v>42384</v>
      </c>
      <c r="H36" s="128">
        <f>IF(CRONOGRAMA!I36="", "",CRONOGRAMA!I36)</f>
        <v>42734</v>
      </c>
      <c r="I36" s="84">
        <f t="shared" si="12"/>
        <v>50</v>
      </c>
      <c r="J36" s="160" t="str">
        <f>IF($P$6="Indique Fecha Seguimiento","",IF(CRONOGRAMA!$E36="No Aplica","NA",IF($G36="","",IF(YEAR($G36)&lt;YEAR($P$6)," A ",IF(YEAR($G36)=YEAR($P$6),IF(MONTH($G36)&lt;=4," A ","NA"),IF(YEAR($G36)&gt;YEAR($P$6),"NA"))))))</f>
        <v xml:space="preserve"> A </v>
      </c>
      <c r="K36" s="400">
        <v>0</v>
      </c>
      <c r="L36" s="401" t="s">
        <v>883</v>
      </c>
      <c r="M36" s="400">
        <v>0</v>
      </c>
      <c r="N36" s="348">
        <f t="shared" si="0"/>
        <v>0</v>
      </c>
      <c r="O36" s="349" t="s">
        <v>353</v>
      </c>
      <c r="P36" s="44"/>
      <c r="Q36" s="84">
        <f t="shared" si="1"/>
        <v>0</v>
      </c>
      <c r="R36" s="84">
        <f t="shared" si="2"/>
        <v>0</v>
      </c>
      <c r="S36" s="84">
        <f t="shared" si="3"/>
        <v>50</v>
      </c>
      <c r="T36" s="160" t="str">
        <f>IF($Z$6="Indique Fecha Seguimiento","",IF(CRONOGRAMA!$E36="No Aplica","NA",IF($G36="","",IF(YEAR($G36)&lt;YEAR($Z$6)," A ",IF(YEAR($G36)=YEAR($Z$6),IF(MONTH($G36)&lt;=8," A ","NA"),IF(YEAR($G36)&gt;YEAR($Z$6),"NA"))))))</f>
        <v xml:space="preserve"> A </v>
      </c>
      <c r="U36" s="351">
        <v>1</v>
      </c>
      <c r="V36" s="44" t="s">
        <v>976</v>
      </c>
      <c r="W36" s="351">
        <v>1</v>
      </c>
      <c r="X36" s="348">
        <f t="shared" si="4"/>
        <v>0.25</v>
      </c>
      <c r="Y36" s="349" t="s">
        <v>353</v>
      </c>
      <c r="Z36" s="44" t="s">
        <v>977</v>
      </c>
      <c r="AA36" s="84">
        <f t="shared" si="5"/>
        <v>12.5</v>
      </c>
      <c r="AB36" s="84">
        <f t="shared" si="13"/>
        <v>12.5</v>
      </c>
      <c r="AC36" s="84">
        <f t="shared" si="6"/>
        <v>50</v>
      </c>
      <c r="AD36" s="160" t="str">
        <f>IF($AJ$6="Indique Fecha Seguimiento","",IF(CRONOGRAMA!$E36="No Aplica","NA",IF($G36="","",IF(YEAR($G36)&lt;YEAR($AJ$6)," A ",IF(YEAR($G36)=YEAR($AJ$6),IF(MONTH($G36)&lt;=12," A ","NA"),IF(YEAR($G36)&gt;YEAR($AJ$6),"NA"))))))</f>
        <v xml:space="preserve"> A </v>
      </c>
      <c r="AE36" s="131">
        <v>1</v>
      </c>
      <c r="AF36" s="716" t="s">
        <v>987</v>
      </c>
      <c r="AG36" s="351">
        <v>1</v>
      </c>
      <c r="AH36" s="348">
        <f t="shared" si="7"/>
        <v>0.25</v>
      </c>
      <c r="AI36" s="349" t="s">
        <v>10</v>
      </c>
      <c r="AJ36" s="44" t="str">
        <f>AF36</f>
        <v>Correo enviado al equipo de trabajo sobre asignación de tareas</v>
      </c>
      <c r="AK36" s="81">
        <f t="shared" si="8"/>
        <v>12.5</v>
      </c>
      <c r="AL36" s="84">
        <f t="shared" si="9"/>
        <v>0</v>
      </c>
      <c r="AM36" s="84">
        <f t="shared" si="10"/>
        <v>50</v>
      </c>
      <c r="AN36" s="579">
        <f>SUM(I36:I38)</f>
        <v>100</v>
      </c>
      <c r="AO36" s="580">
        <f>IF(AND(Q36="",Q37="",Q38=""),"",SUM(Q36:Q38))</f>
        <v>12.5</v>
      </c>
      <c r="AP36" s="581">
        <f>IF(AND(AA36="",AA37="",AA38=""),"",SUM(AA36:AA38))</f>
        <v>25</v>
      </c>
      <c r="AQ36" s="581">
        <f>IF(AND(AK36="",AK37="",AK38=""),"",SUM(AK36:AK38))</f>
        <v>25</v>
      </c>
      <c r="AR36" s="582">
        <f t="shared" ref="AR36" si="92">IF(AO36="",IF($AU$6&lt;1,"",IF($AU$6&gt;=1,"NA")),IF(AO36=0,0,AO36/$AN36))</f>
        <v>0.125</v>
      </c>
      <c r="AS36" s="582">
        <f t="shared" ref="AS36" si="93">IF(AP36="",IF($AU$6&lt;2,"",IF($AU$6&gt;=2,"NA")),IF(AP36=0,0,AP36/$AN36))</f>
        <v>0.25</v>
      </c>
      <c r="AT36" s="582">
        <f t="shared" ref="AT36" si="94">IF(AS36&gt;=AR36,AS36,AR36)</f>
        <v>0.25</v>
      </c>
      <c r="AU36" s="572">
        <f t="shared" ref="AU36" si="95">IF(AQ36="",IF($AU$6&lt;3,"",IF($AU$6&gt;=3,"NA")),IF(AQ36=0,0,AQ36/$AN36))</f>
        <v>0.25</v>
      </c>
      <c r="AV36" s="573">
        <f t="shared" ref="AV36" si="96">IF($AU$6=1,AR36,IF($AU$6=2,AS36,IF($AU$6=3,AU36,"")))</f>
        <v>0.25</v>
      </c>
      <c r="AW36" s="574">
        <f t="shared" ref="AW36" si="97">AV36</f>
        <v>0.25</v>
      </c>
      <c r="AX36" t="str">
        <f t="shared" si="11"/>
        <v>Correo enviado al equipo de trabajo sobre asignación de tareas</v>
      </c>
    </row>
    <row r="37" spans="1:50" ht="63" x14ac:dyDescent="0.25">
      <c r="A37" s="583"/>
      <c r="B37" s="578"/>
      <c r="C37" s="82" t="str">
        <f>IF('CONSOLIDACION DEL MAPA'!P37="","",'CONSOLIDACION DEL MAPA'!P37)</f>
        <v>Reducir</v>
      </c>
      <c r="D37" s="82" t="str">
        <f>CRONOGRAMA!D37</f>
        <v>Recordar la periocidad y la entrega  oportuna de cada producto comunicativo</v>
      </c>
      <c r="E37" s="132" t="str">
        <f>IF(CRONOGRAMA!F37="", "",CRONOGRAMA!F37)</f>
        <v xml:space="preserve">comunicaciones </v>
      </c>
      <c r="F37" s="132">
        <f>IF(CRONOGRAMA!G37="", "",CRONOGRAMA!G37)</f>
        <v>4</v>
      </c>
      <c r="G37" s="128">
        <f>IF(CRONOGRAMA!H37="", "",CRONOGRAMA!H37)</f>
        <v>42384</v>
      </c>
      <c r="H37" s="128">
        <f>IF(CRONOGRAMA!I37="", "",CRONOGRAMA!I37)</f>
        <v>42734</v>
      </c>
      <c r="I37" s="84">
        <f t="shared" si="12"/>
        <v>50</v>
      </c>
      <c r="J37" s="160" t="str">
        <f>IF($P$6="Indique Fecha Seguimiento","",IF(CRONOGRAMA!$E37="No Aplica","NA",IF($G37="","",IF(YEAR($G37)&lt;YEAR($P$6)," A ",IF(YEAR($G37)=YEAR($P$6),IF(MONTH($G37)&lt;=4," A ","NA"),IF(YEAR($G37)&gt;YEAR($P$6),"NA"))))))</f>
        <v xml:space="preserve"> A </v>
      </c>
      <c r="K37" s="400">
        <v>1</v>
      </c>
      <c r="L37" s="401" t="s">
        <v>884</v>
      </c>
      <c r="M37" s="400">
        <v>1</v>
      </c>
      <c r="N37" s="348">
        <f t="shared" si="0"/>
        <v>0.25</v>
      </c>
      <c r="O37" s="349" t="s">
        <v>353</v>
      </c>
      <c r="P37" s="44"/>
      <c r="Q37" s="84">
        <f t="shared" si="1"/>
        <v>12.5</v>
      </c>
      <c r="R37" s="84">
        <f t="shared" si="2"/>
        <v>12.5</v>
      </c>
      <c r="S37" s="84">
        <f t="shared" si="3"/>
        <v>50</v>
      </c>
      <c r="T37" s="160" t="str">
        <f>IF($Z$6="Indique Fecha Seguimiento","",IF(CRONOGRAMA!$E37="No Aplica","NA",IF($G37="","",IF(YEAR($G37)&lt;YEAR($Z$6)," A ",IF(YEAR($G37)=YEAR($Z$6),IF(MONTH($G37)&lt;=8," A ","NA"),IF(YEAR($G37)&gt;YEAR($Z$6),"NA"))))))</f>
        <v xml:space="preserve"> A </v>
      </c>
      <c r="U37" s="351">
        <v>1</v>
      </c>
      <c r="V37" s="44" t="s">
        <v>884</v>
      </c>
      <c r="W37" s="351">
        <v>1</v>
      </c>
      <c r="X37" s="348">
        <f t="shared" si="4"/>
        <v>0.25</v>
      </c>
      <c r="Y37" s="349" t="s">
        <v>353</v>
      </c>
      <c r="Z37" s="44" t="s">
        <v>978</v>
      </c>
      <c r="AA37" s="84">
        <f t="shared" si="5"/>
        <v>12.5</v>
      </c>
      <c r="AB37" s="84">
        <f t="shared" si="13"/>
        <v>12.5</v>
      </c>
      <c r="AC37" s="84">
        <f t="shared" si="6"/>
        <v>50</v>
      </c>
      <c r="AD37" s="160" t="str">
        <f>IF($AJ$6="Indique Fecha Seguimiento","",IF(CRONOGRAMA!$E37="No Aplica","NA",IF($G37="","",IF(YEAR($G37)&lt;YEAR($AJ$6)," A ",IF(YEAR($G37)=YEAR($AJ$6),IF(MONTH($G37)&lt;=12," A ","NA"),IF(YEAR($G37)&gt;YEAR($AJ$6),"NA"))))))</f>
        <v xml:space="preserve"> A </v>
      </c>
      <c r="AE37" s="350">
        <v>1</v>
      </c>
      <c r="AF37" s="716" t="s">
        <v>978</v>
      </c>
      <c r="AG37" s="351">
        <v>1</v>
      </c>
      <c r="AH37" s="348">
        <f t="shared" si="7"/>
        <v>0.25</v>
      </c>
      <c r="AI37" s="349" t="s">
        <v>10</v>
      </c>
      <c r="AJ37" s="44" t="str">
        <f>AF37</f>
        <v>Correo enviado al equipo de trabajo</v>
      </c>
      <c r="AK37" s="81">
        <f t="shared" si="8"/>
        <v>12.5</v>
      </c>
      <c r="AL37" s="84">
        <f t="shared" si="9"/>
        <v>0</v>
      </c>
      <c r="AM37" s="84">
        <f t="shared" si="10"/>
        <v>50</v>
      </c>
      <c r="AN37" s="579"/>
      <c r="AO37" s="580"/>
      <c r="AP37" s="581"/>
      <c r="AQ37" s="581"/>
      <c r="AR37" s="582"/>
      <c r="AS37" s="582"/>
      <c r="AT37" s="582"/>
      <c r="AU37" s="572"/>
      <c r="AV37" s="573"/>
      <c r="AW37" s="574"/>
      <c r="AX37" t="str">
        <f t="shared" si="11"/>
        <v>Correo enviado al equipo de trabajo</v>
      </c>
    </row>
    <row r="38" spans="1:50" ht="15.75" x14ac:dyDescent="0.25">
      <c r="A38" s="583"/>
      <c r="B38" s="578"/>
      <c r="C38" s="82" t="str">
        <f>IF('CONSOLIDACION DEL MAPA'!P38="","",'CONSOLIDACION DEL MAPA'!P38)</f>
        <v/>
      </c>
      <c r="D38" s="82" t="str">
        <f>CRONOGRAMA!D38</f>
        <v/>
      </c>
      <c r="E38" s="132" t="str">
        <f>IF(CRONOGRAMA!F38="", "",CRONOGRAMA!F38)</f>
        <v/>
      </c>
      <c r="F38" s="132" t="str">
        <f>IF(CRONOGRAMA!G38="", "",CRONOGRAMA!G38)</f>
        <v/>
      </c>
      <c r="G38" s="128" t="str">
        <f>IF(CRONOGRAMA!H38="", "",CRONOGRAMA!H38)</f>
        <v/>
      </c>
      <c r="H38" s="128" t="str">
        <f>IF(CRONOGRAMA!I38="", "",CRONOGRAMA!I38)</f>
        <v/>
      </c>
      <c r="I38" s="84">
        <f t="shared" si="12"/>
        <v>0</v>
      </c>
      <c r="J38" s="160" t="str">
        <f>IF($P$6="Indique Fecha Seguimiento","",IF(CRONOGRAMA!$E38="No Aplica","NA",IF($G38="","",IF(YEAR($G38)&lt;YEAR($P$6)," A ",IF(YEAR($G38)=YEAR($P$6),IF(MONTH($G38)&lt;=4," A ","NA"),IF(YEAR($G38)&gt;YEAR($P$6),"NA"))))))</f>
        <v/>
      </c>
      <c r="K38" s="400"/>
      <c r="L38" s="401"/>
      <c r="M38" s="400"/>
      <c r="N38" s="348" t="str">
        <f t="shared" si="0"/>
        <v/>
      </c>
      <c r="O38" s="349"/>
      <c r="P38" s="44"/>
      <c r="Q38" s="84" t="str">
        <f t="shared" si="1"/>
        <v/>
      </c>
      <c r="R38" s="84" t="str">
        <f t="shared" si="2"/>
        <v/>
      </c>
      <c r="S38" s="84">
        <f t="shared" si="3"/>
        <v>0</v>
      </c>
      <c r="T38" s="160" t="str">
        <f>IF($Z$6="Indique Fecha Seguimiento","",IF(CRONOGRAMA!$E38="No Aplica","NA",IF($G38="","",IF(YEAR($G38)&lt;YEAR($Z$6)," A ",IF(YEAR($G38)=YEAR($Z$6),IF(MONTH($G38)&lt;=8," A ","NA"),IF(YEAR($G38)&gt;YEAR($Z$6),"NA"))))))</f>
        <v/>
      </c>
      <c r="U38" s="351"/>
      <c r="V38" s="44"/>
      <c r="W38" s="351"/>
      <c r="X38" s="348" t="str">
        <f t="shared" si="4"/>
        <v/>
      </c>
      <c r="Y38" s="349"/>
      <c r="Z38" s="44"/>
      <c r="AA38" s="84" t="str">
        <f t="shared" si="5"/>
        <v/>
      </c>
      <c r="AB38" s="84" t="str">
        <f t="shared" si="13"/>
        <v/>
      </c>
      <c r="AC38" s="84">
        <f t="shared" si="6"/>
        <v>0</v>
      </c>
      <c r="AD38" s="160" t="str">
        <f>IF($AJ$6="Indique Fecha Seguimiento","",IF(CRONOGRAMA!$E38="No Aplica","NA",IF($G38="","",IF(YEAR($G38)&lt;YEAR($AJ$6)," A ",IF(YEAR($G38)=YEAR($AJ$6),IF(MONTH($G38)&lt;=12," A ","NA"),IF(YEAR($G38)&gt;YEAR($AJ$6),"NA"))))))</f>
        <v/>
      </c>
      <c r="AE38" s="350"/>
      <c r="AF38" s="44"/>
      <c r="AG38" s="351"/>
      <c r="AH38" s="348" t="str">
        <f t="shared" si="7"/>
        <v/>
      </c>
      <c r="AI38" s="349"/>
      <c r="AJ38" s="44"/>
      <c r="AK38" s="81" t="str">
        <f t="shared" si="8"/>
        <v/>
      </c>
      <c r="AL38" s="84" t="str">
        <f t="shared" si="9"/>
        <v/>
      </c>
      <c r="AM38" s="84">
        <f t="shared" si="10"/>
        <v>0</v>
      </c>
      <c r="AN38" s="579"/>
      <c r="AO38" s="580"/>
      <c r="AP38" s="581"/>
      <c r="AQ38" s="581"/>
      <c r="AR38" s="582"/>
      <c r="AS38" s="582"/>
      <c r="AT38" s="582"/>
      <c r="AU38" s="572"/>
      <c r="AV38" s="573"/>
      <c r="AW38" s="574"/>
      <c r="AX38">
        <f t="shared" si="11"/>
        <v>0</v>
      </c>
    </row>
    <row r="39" spans="1:50" ht="120" x14ac:dyDescent="0.25">
      <c r="A39" s="583" t="str">
        <f>CRONOGRAMA!A39</f>
        <v>11G</v>
      </c>
      <c r="B39" s="578" t="str">
        <f>CRONOGRAMA!B39</f>
        <v>Gestión Academica. Pérdida de Registro Calificado de los Programas Académicos.</v>
      </c>
      <c r="C39" s="82" t="str">
        <f>IF('CONSOLIDACION DEL MAPA'!P39="","",'CONSOLIDACION DEL MAPA'!P39)</f>
        <v>Reducir</v>
      </c>
      <c r="D39" s="82" t="str">
        <f>CRONOGRAMA!D39</f>
        <v xml:space="preserve">1. Mejorar las estrategias de seguimiento del proceso. </v>
      </c>
      <c r="E39" s="132" t="str">
        <f>IF(CRONOGRAMA!F39="", "",CRONOGRAMA!F39)</f>
        <v>Documento con las estrategía</v>
      </c>
      <c r="F39" s="132">
        <f>IF(CRONOGRAMA!G39="", "",CRONOGRAMA!G39)</f>
        <v>1</v>
      </c>
      <c r="G39" s="128">
        <f>IF(CRONOGRAMA!H39="", "",CRONOGRAMA!H39)</f>
        <v>42576</v>
      </c>
      <c r="H39" s="128">
        <f>IF(CRONOGRAMA!I39="", "",CRONOGRAMA!I39)</f>
        <v>42714</v>
      </c>
      <c r="I39" s="84">
        <f t="shared" ref="I39:I59" si="98">IF(G39="",0,IF(H39="",0,(H39-G39)/7))</f>
        <v>19.714285714285715</v>
      </c>
      <c r="J39" s="160" t="str">
        <f>IF($P$6="Indique Fecha Seguimiento","",IF(CRONOGRAMA!$E39="No Aplica","NA",IF($G39="","",IF(YEAR($G39)&lt;YEAR($P$6)," A ",IF(YEAR($G39)=YEAR($P$6),IF(MONTH($G39)&lt;=4," A ","NA"),IF(YEAR($G39)&gt;YEAR($P$6),"NA"))))))</f>
        <v>NA</v>
      </c>
      <c r="K39" s="400"/>
      <c r="L39" s="401"/>
      <c r="M39" s="400"/>
      <c r="N39" s="348" t="str">
        <f t="shared" ref="N39:N59" si="99">IF(M39="","",IF($F39=0,0,M39/$F39))</f>
        <v/>
      </c>
      <c r="O39" s="349"/>
      <c r="P39" s="44"/>
      <c r="Q39" s="84" t="str">
        <f t="shared" ref="Q39:Q59" si="100">IF(N39="","",($I39*N39))</f>
        <v/>
      </c>
      <c r="R39" s="84" t="str">
        <f t="shared" ref="R39:R59" si="101">IF(O39="SI",Q39,IF($P$6&lt;=$H39,Q39,0))</f>
        <v/>
      </c>
      <c r="S39" s="84">
        <f t="shared" si="3"/>
        <v>19.714285714285715</v>
      </c>
      <c r="T39" s="160" t="str">
        <f>IF($Z$6="Indique Fecha Seguimiento","",IF(CRONOGRAMA!$E39="No Aplica","NA",IF($G39="","",IF(YEAR($G39)&lt;YEAR($Z$6)," A ",IF(YEAR($G39)=YEAR($Z$6),IF(MONTH($G39)&lt;=8," A ","NA"),IF(YEAR($G39)&gt;YEAR($Z$6),"NA"))))))</f>
        <v xml:space="preserve"> A </v>
      </c>
      <c r="U39" s="421">
        <v>0.05</v>
      </c>
      <c r="V39" s="420" t="s">
        <v>968</v>
      </c>
      <c r="W39" s="351">
        <v>0.05</v>
      </c>
      <c r="X39" s="348">
        <f t="shared" ref="X39:X59" si="102">IF(W39="","",IF($F39=0,0,W39/$F39))</f>
        <v>0.05</v>
      </c>
      <c r="Y39" s="349" t="s">
        <v>353</v>
      </c>
      <c r="Z39" s="44" t="s">
        <v>969</v>
      </c>
      <c r="AA39" s="84">
        <f t="shared" ref="AA39:AA59" si="103">IF(X39="","",($I39*X39))</f>
        <v>0.98571428571428577</v>
      </c>
      <c r="AB39" s="84">
        <f t="shared" ref="AB39:AB59" si="104">IF(N39=1,R39,IF(Y39="SI",AA39,IF($Z$6&lt;=$H39,AA39,0)))</f>
        <v>0.98571428571428577</v>
      </c>
      <c r="AC39" s="84">
        <f t="shared" si="6"/>
        <v>19.714285714285715</v>
      </c>
      <c r="AD39" s="160" t="str">
        <f>IF($AJ$6="Indique Fecha Seguimiento","",IF(CRONOGRAMA!$E39="No Aplica","NA",IF($G39="","",IF(YEAR($G39)&lt;YEAR($AJ$6)," A ",IF(YEAR($G39)=YEAR($AJ$6),IF(MONTH($G39)&lt;=12," A ","NA"),IF(YEAR($G39)&gt;YEAR($AJ$6),"NA"))))))</f>
        <v xml:space="preserve"> A </v>
      </c>
      <c r="AE39" s="350">
        <v>0.05</v>
      </c>
      <c r="AF39" s="44" t="s">
        <v>983</v>
      </c>
      <c r="AG39" s="351">
        <v>0.05</v>
      </c>
      <c r="AH39" s="348">
        <f t="shared" ref="AH39:AH59" si="105">IF(AG39="","",IF($F39=0,0,AG39/$F39))</f>
        <v>0.05</v>
      </c>
      <c r="AI39" s="349" t="s">
        <v>10</v>
      </c>
      <c r="AJ39" s="44" t="s">
        <v>984</v>
      </c>
      <c r="AK39" s="81">
        <f t="shared" ref="AK39:AK59" si="106">IF(AH39="","",($I39*AH39))</f>
        <v>0.98571428571428577</v>
      </c>
      <c r="AL39" s="84">
        <f t="shared" ref="AL39:AL59" si="107">IF(X39=1,AB39,IF(AI39="SI",AK39,IF($AJ$6&lt;=$H39,AK39,0)))</f>
        <v>0</v>
      </c>
      <c r="AM39" s="84">
        <f t="shared" si="10"/>
        <v>19.714285714285715</v>
      </c>
      <c r="AN39" s="579">
        <f t="shared" ref="AN39" si="108">SUM(I39:I41)</f>
        <v>39.428571428571431</v>
      </c>
      <c r="AO39" s="580" t="str">
        <f t="shared" ref="AO39" si="109">IF(AND(Q39="",Q40="",Q41=""),"",SUM(Q39:Q41))</f>
        <v/>
      </c>
      <c r="AP39" s="581">
        <f t="shared" ref="AP39" si="110">IF(AND(AA39="",AA40="",AA41=""),"",SUM(AA39:AA41))</f>
        <v>1.3800000000000001</v>
      </c>
      <c r="AQ39" s="581">
        <f t="shared" ref="AQ39" si="111">IF(AND(AK39="",AK40="",AK41=""),"",SUM(AK39:AK41))</f>
        <v>1.9714285714285715</v>
      </c>
      <c r="AR39" s="582" t="str">
        <f t="shared" ref="AR39" si="112">IF(AO39="",IF($AU$6&lt;1,"",IF($AU$6&gt;=1,"NA")),IF(AO39=0,0,AO39/$AN39))</f>
        <v>NA</v>
      </c>
      <c r="AS39" s="582">
        <f t="shared" ref="AS39" si="113">IF(AP39="",IF($AU$6&lt;2,"",IF($AU$6&gt;=2,"NA")),IF(AP39=0,0,AP39/$AN39))</f>
        <v>3.5000000000000003E-2</v>
      </c>
      <c r="AT39" s="582" t="str">
        <f t="shared" ref="AT39" si="114">IF(AS39&gt;=AR39,AS39,AR39)</f>
        <v>NA</v>
      </c>
      <c r="AU39" s="572">
        <f t="shared" ref="AU39" si="115">IF(AQ39="",IF($AU$6&lt;3,"",IF($AU$6&gt;=3,"NA")),IF(AQ39=0,0,AQ39/$AN39))</f>
        <v>0.05</v>
      </c>
      <c r="AV39" s="573">
        <f t="shared" ref="AV39" si="116">IF($AU$6=1,AR39,IF($AU$6=2,AS39,IF($AU$6=3,AU39,"")))</f>
        <v>0.05</v>
      </c>
      <c r="AW39" s="574">
        <f t="shared" ref="AW39" si="117">AV39</f>
        <v>0.05</v>
      </c>
      <c r="AX39" t="str">
        <f t="shared" ref="AX39:AX59" si="118">IF($AU$6=1,P39,IF($AU$6=2,Z39,IF($AU$6=3,AJ39,"")))</f>
        <v>Se perdio un registro calificado materializandose el riesgo, debido que no se  mejoró el seguimiento</v>
      </c>
    </row>
    <row r="40" spans="1:50" ht="120" x14ac:dyDescent="0.25">
      <c r="A40" s="583"/>
      <c r="B40" s="578"/>
      <c r="C40" s="82" t="str">
        <f>IF('CONSOLIDACION DEL MAPA'!P40="","",'CONSOLIDACION DEL MAPA'!P40)</f>
        <v>Evitar</v>
      </c>
      <c r="D40" s="82" t="str">
        <f>CRONOGRAMA!D40</f>
        <v>2. Automatizar tareas relacionadas con el proceso.</v>
      </c>
      <c r="E40" s="132" t="str">
        <f>IF(CRONOGRAMA!F40="", "",CRONOGRAMA!F40)</f>
        <v>Herramienta de automatización</v>
      </c>
      <c r="F40" s="132">
        <f>IF(CRONOGRAMA!G40="", "",CRONOGRAMA!G40)</f>
        <v>1</v>
      </c>
      <c r="G40" s="128">
        <f>IF(CRONOGRAMA!H40="", "",CRONOGRAMA!H40)</f>
        <v>42576</v>
      </c>
      <c r="H40" s="128">
        <f>IF(CRONOGRAMA!I40="", "",CRONOGRAMA!I40)</f>
        <v>42714</v>
      </c>
      <c r="I40" s="84">
        <f t="shared" si="98"/>
        <v>19.714285714285715</v>
      </c>
      <c r="J40" s="160" t="str">
        <f>IF($P$6="Indique Fecha Seguimiento","",IF(CRONOGRAMA!$E40="No Aplica","NA",IF($G40="","",IF(YEAR($G40)&lt;YEAR($P$6)," A ",IF(YEAR($G40)=YEAR($P$6),IF(MONTH($G40)&lt;=4," A ","NA"),IF(YEAR($G40)&gt;YEAR($P$6),"NA"))))))</f>
        <v>NA</v>
      </c>
      <c r="K40" s="400"/>
      <c r="L40" s="401"/>
      <c r="M40" s="400"/>
      <c r="N40" s="348" t="str">
        <f t="shared" si="99"/>
        <v/>
      </c>
      <c r="O40" s="349"/>
      <c r="P40" s="44"/>
      <c r="Q40" s="84" t="str">
        <f t="shared" si="100"/>
        <v/>
      </c>
      <c r="R40" s="84" t="str">
        <f t="shared" si="101"/>
        <v/>
      </c>
      <c r="S40" s="84">
        <f t="shared" si="3"/>
        <v>19.714285714285715</v>
      </c>
      <c r="T40" s="160" t="str">
        <f>IF($Z$6="Indique Fecha Seguimiento","",IF(CRONOGRAMA!$E40="No Aplica","NA",IF($G40="","",IF(YEAR($G40)&lt;YEAR($Z$6)," A ",IF(YEAR($G40)=YEAR($Z$6),IF(MONTH($G40)&lt;=8," A ","NA"),IF(YEAR($G40)&gt;YEAR($Z$6),"NA"))))))</f>
        <v xml:space="preserve"> A </v>
      </c>
      <c r="U40" s="421">
        <v>0.02</v>
      </c>
      <c r="V40" s="420" t="s">
        <v>968</v>
      </c>
      <c r="W40" s="351">
        <v>0.02</v>
      </c>
      <c r="X40" s="348">
        <f t="shared" si="102"/>
        <v>0.02</v>
      </c>
      <c r="Y40" s="349" t="s">
        <v>353</v>
      </c>
      <c r="Z40" s="44" t="s">
        <v>969</v>
      </c>
      <c r="AA40" s="84">
        <f t="shared" si="103"/>
        <v>0.39428571428571429</v>
      </c>
      <c r="AB40" s="84">
        <f t="shared" si="104"/>
        <v>0.39428571428571429</v>
      </c>
      <c r="AC40" s="84">
        <f t="shared" si="6"/>
        <v>19.714285714285715</v>
      </c>
      <c r="AD40" s="160" t="str">
        <f>IF($AJ$6="Indique Fecha Seguimiento","",IF(CRONOGRAMA!$E40="No Aplica","NA",IF($G40="","",IF(YEAR($G40)&lt;YEAR($AJ$6)," A ",IF(YEAR($G40)=YEAR($AJ$6),IF(MONTH($G40)&lt;=12," A ","NA"),IF(YEAR($G40)&gt;YEAR($AJ$6),"NA"))))))</f>
        <v xml:space="preserve"> A </v>
      </c>
      <c r="AE40" s="350">
        <v>0.05</v>
      </c>
      <c r="AF40" s="44" t="s">
        <v>983</v>
      </c>
      <c r="AG40" s="351">
        <v>0.05</v>
      </c>
      <c r="AH40" s="348">
        <f t="shared" si="105"/>
        <v>0.05</v>
      </c>
      <c r="AI40" s="349" t="s">
        <v>10</v>
      </c>
      <c r="AJ40" s="44" t="s">
        <v>984</v>
      </c>
      <c r="AK40" s="81">
        <f t="shared" si="106"/>
        <v>0.98571428571428577</v>
      </c>
      <c r="AL40" s="84">
        <f t="shared" si="107"/>
        <v>0</v>
      </c>
      <c r="AM40" s="84">
        <f t="shared" si="10"/>
        <v>19.714285714285715</v>
      </c>
      <c r="AN40" s="579"/>
      <c r="AO40" s="580"/>
      <c r="AP40" s="581"/>
      <c r="AQ40" s="581"/>
      <c r="AR40" s="582"/>
      <c r="AS40" s="582"/>
      <c r="AT40" s="582"/>
      <c r="AU40" s="572"/>
      <c r="AV40" s="573"/>
      <c r="AW40" s="574"/>
      <c r="AX40" t="str">
        <f t="shared" si="118"/>
        <v>Se perdio un registro calificado materializandose el riesgo, debido que no se  mejoró el seguimiento</v>
      </c>
    </row>
    <row r="41" spans="1:50" ht="15.75" x14ac:dyDescent="0.25">
      <c r="A41" s="583"/>
      <c r="B41" s="578"/>
      <c r="C41" s="82" t="str">
        <f>IF('CONSOLIDACION DEL MAPA'!P41="","",'CONSOLIDACION DEL MAPA'!P41)</f>
        <v/>
      </c>
      <c r="D41" s="82" t="str">
        <f>CRONOGRAMA!D41</f>
        <v/>
      </c>
      <c r="E41" s="132" t="str">
        <f>IF(CRONOGRAMA!F41="", "",CRONOGRAMA!F41)</f>
        <v/>
      </c>
      <c r="F41" s="132" t="str">
        <f>IF(CRONOGRAMA!G41="", "",CRONOGRAMA!G41)</f>
        <v/>
      </c>
      <c r="G41" s="128" t="str">
        <f>IF(CRONOGRAMA!H41="", "",CRONOGRAMA!H41)</f>
        <v/>
      </c>
      <c r="H41" s="128" t="str">
        <f>IF(CRONOGRAMA!I41="", "",CRONOGRAMA!I41)</f>
        <v/>
      </c>
      <c r="I41" s="84">
        <f t="shared" si="98"/>
        <v>0</v>
      </c>
      <c r="J41" s="160" t="str">
        <f>IF($P$6="Indique Fecha Seguimiento","",IF(CRONOGRAMA!$E41="No Aplica","NA",IF($G41="","",IF(YEAR($G41)&lt;YEAR($P$6)," A ",IF(YEAR($G41)=YEAR($P$6),IF(MONTH($G41)&lt;=4," A ","NA"),IF(YEAR($G41)&gt;YEAR($P$6),"NA"))))))</f>
        <v/>
      </c>
      <c r="K41" s="400"/>
      <c r="L41" s="401"/>
      <c r="M41" s="400"/>
      <c r="N41" s="348" t="str">
        <f t="shared" si="99"/>
        <v/>
      </c>
      <c r="O41" s="349"/>
      <c r="P41" s="44"/>
      <c r="Q41" s="84" t="str">
        <f t="shared" si="100"/>
        <v/>
      </c>
      <c r="R41" s="84" t="str">
        <f t="shared" si="101"/>
        <v/>
      </c>
      <c r="S41" s="84">
        <f t="shared" si="3"/>
        <v>0</v>
      </c>
      <c r="T41" s="160" t="str">
        <f>IF($Z$6="Indique Fecha Seguimiento","",IF(CRONOGRAMA!$E41="No Aplica","NA",IF($G41="","",IF(YEAR($G41)&lt;YEAR($Z$6)," A ",IF(YEAR($G41)=YEAR($Z$6),IF(MONTH($G41)&lt;=8," A ","NA"),IF(YEAR($G41)&gt;YEAR($Z$6),"NA"))))))</f>
        <v/>
      </c>
      <c r="U41" s="351"/>
      <c r="V41" s="44"/>
      <c r="W41" s="351"/>
      <c r="X41" s="348" t="str">
        <f t="shared" si="102"/>
        <v/>
      </c>
      <c r="Y41" s="349"/>
      <c r="Z41" s="44"/>
      <c r="AA41" s="84" t="str">
        <f t="shared" si="103"/>
        <v/>
      </c>
      <c r="AB41" s="84" t="str">
        <f t="shared" si="104"/>
        <v/>
      </c>
      <c r="AC41" s="84">
        <f t="shared" si="6"/>
        <v>0</v>
      </c>
      <c r="AD41" s="160" t="str">
        <f>IF($AJ$6="Indique Fecha Seguimiento","",IF(CRONOGRAMA!$E41="No Aplica","NA",IF($G41="","",IF(YEAR($G41)&lt;YEAR($AJ$6)," A ",IF(YEAR($G41)=YEAR($AJ$6),IF(MONTH($G41)&lt;=12," A ","NA"),IF(YEAR($G41)&gt;YEAR($AJ$6),"NA"))))))</f>
        <v/>
      </c>
      <c r="AE41" s="350"/>
      <c r="AF41" s="44"/>
      <c r="AG41" s="351"/>
      <c r="AH41" s="348" t="str">
        <f t="shared" si="105"/>
        <v/>
      </c>
      <c r="AI41" s="349"/>
      <c r="AJ41" s="44"/>
      <c r="AK41" s="81" t="str">
        <f t="shared" si="106"/>
        <v/>
      </c>
      <c r="AL41" s="84" t="str">
        <f t="shared" si="107"/>
        <v/>
      </c>
      <c r="AM41" s="84">
        <f t="shared" si="10"/>
        <v>0</v>
      </c>
      <c r="AN41" s="579"/>
      <c r="AO41" s="580"/>
      <c r="AP41" s="581"/>
      <c r="AQ41" s="581"/>
      <c r="AR41" s="582"/>
      <c r="AS41" s="582"/>
      <c r="AT41" s="582"/>
      <c r="AU41" s="572"/>
      <c r="AV41" s="573"/>
      <c r="AW41" s="574"/>
      <c r="AX41">
        <f t="shared" si="118"/>
        <v>0</v>
      </c>
    </row>
    <row r="42" spans="1:50" ht="84" x14ac:dyDescent="0.25">
      <c r="A42" s="583" t="str">
        <f>CRONOGRAMA!A42</f>
        <v>12G</v>
      </c>
      <c r="B42" s="578" t="str">
        <f>CRONOGRAMA!B42</f>
        <v>Gestión Academica. Formulación inadecuada de políticas.</v>
      </c>
      <c r="C42" s="82" t="str">
        <f>IF('CONSOLIDACION DEL MAPA'!P42="","",'CONSOLIDACION DEL MAPA'!P42)</f>
        <v>Evitar</v>
      </c>
      <c r="D42" s="82" t="str">
        <f>CRONOGRAMA!D42</f>
        <v>1. Desarrollar capacitaciones continuas y a todo el personal que ingrese, sobre la formulación de políticas</v>
      </c>
      <c r="E42" s="132" t="str">
        <f>IF(CRONOGRAMA!F42="", "",CRONOGRAMA!F42)</f>
        <v>Actas de asistencia a capacitación</v>
      </c>
      <c r="F42" s="132">
        <f>IF(CRONOGRAMA!G42="", "",CRONOGRAMA!G42)</f>
        <v>5</v>
      </c>
      <c r="G42" s="128">
        <f>IF(CRONOGRAMA!H42="", "",CRONOGRAMA!H42)</f>
        <v>42506</v>
      </c>
      <c r="H42" s="128">
        <f>IF(CRONOGRAMA!I42="", "",CRONOGRAMA!I42)</f>
        <v>42714</v>
      </c>
      <c r="I42" s="84">
        <f t="shared" si="98"/>
        <v>29.714285714285715</v>
      </c>
      <c r="J42" s="160" t="str">
        <f>IF($P$6="Indique Fecha Seguimiento","",IF(CRONOGRAMA!$E42="No Aplica","NA",IF($G42="","",IF(YEAR($G42)&lt;YEAR($P$6)," A ",IF(YEAR($G42)=YEAR($P$6),IF(MONTH($G42)&lt;=4," A ","NA"),IF(YEAR($G42)&gt;YEAR($P$6),"NA"))))))</f>
        <v>NA</v>
      </c>
      <c r="K42" s="400"/>
      <c r="L42" s="401"/>
      <c r="M42" s="400"/>
      <c r="N42" s="348" t="str">
        <f t="shared" si="99"/>
        <v/>
      </c>
      <c r="O42" s="349"/>
      <c r="P42" s="44"/>
      <c r="Q42" s="84" t="str">
        <f t="shared" si="100"/>
        <v/>
      </c>
      <c r="R42" s="84" t="str">
        <f t="shared" si="101"/>
        <v/>
      </c>
      <c r="S42" s="84">
        <f t="shared" si="3"/>
        <v>29.714285714285715</v>
      </c>
      <c r="T42" s="160" t="str">
        <f>IF($Z$6="Indique Fecha Seguimiento","",IF(CRONOGRAMA!$E42="No Aplica","NA",IF($G42="","",IF(YEAR($G42)&lt;YEAR($Z$6)," A ",IF(YEAR($G42)=YEAR($Z$6),IF(MONTH($G42)&lt;=8," A ","NA"),IF(YEAR($G42)&gt;YEAR($Z$6),"NA"))))))</f>
        <v xml:space="preserve"> A </v>
      </c>
      <c r="U42" s="422">
        <v>0.05</v>
      </c>
      <c r="V42" s="420" t="s">
        <v>970</v>
      </c>
      <c r="W42" s="351">
        <v>0.25</v>
      </c>
      <c r="X42" s="348">
        <f t="shared" si="102"/>
        <v>0.05</v>
      </c>
      <c r="Y42" s="349" t="s">
        <v>353</v>
      </c>
      <c r="Z42" s="44" t="s">
        <v>971</v>
      </c>
      <c r="AA42" s="84">
        <f t="shared" si="103"/>
        <v>1.4857142857142858</v>
      </c>
      <c r="AB42" s="84">
        <f t="shared" si="104"/>
        <v>1.4857142857142858</v>
      </c>
      <c r="AC42" s="84">
        <f t="shared" si="6"/>
        <v>29.714285714285715</v>
      </c>
      <c r="AD42" s="160" t="str">
        <f>IF($AJ$6="Indique Fecha Seguimiento","",IF(CRONOGRAMA!$E42="No Aplica","NA",IF($G42="","",IF(YEAR($G42)&lt;YEAR($AJ$6)," A ",IF(YEAR($G42)=YEAR($AJ$6),IF(MONTH($G42)&lt;=12," A ","NA"),IF(YEAR($G42)&gt;YEAR($AJ$6),"NA"))))))</f>
        <v xml:space="preserve"> A </v>
      </c>
      <c r="AE42" s="350">
        <v>2</v>
      </c>
      <c r="AF42" s="44" t="str">
        <f>Z42</f>
        <v>Inducción a docentes nuevos, reuniones con decanos</v>
      </c>
      <c r="AG42" s="351">
        <v>2</v>
      </c>
      <c r="AH42" s="348">
        <f t="shared" si="105"/>
        <v>0.4</v>
      </c>
      <c r="AI42" s="349" t="s">
        <v>10</v>
      </c>
      <c r="AJ42" s="44" t="str">
        <f>AF42</f>
        <v>Inducción a docentes nuevos, reuniones con decanos</v>
      </c>
      <c r="AK42" s="81">
        <f t="shared" si="106"/>
        <v>11.885714285714286</v>
      </c>
      <c r="AL42" s="84">
        <f t="shared" si="107"/>
        <v>0</v>
      </c>
      <c r="AM42" s="84">
        <f t="shared" si="10"/>
        <v>29.714285714285715</v>
      </c>
      <c r="AN42" s="579">
        <f t="shared" ref="AN42" si="119">SUM(I42:I44)</f>
        <v>29.714285714285715</v>
      </c>
      <c r="AO42" s="580" t="str">
        <f t="shared" ref="AO42" si="120">IF(AND(Q42="",Q43="",Q44=""),"",SUM(Q42:Q44))</f>
        <v/>
      </c>
      <c r="AP42" s="581">
        <f t="shared" ref="AP42" si="121">IF(AND(AA42="",AA43="",AA44=""),"",SUM(AA42:AA44))</f>
        <v>1.4857142857142858</v>
      </c>
      <c r="AQ42" s="581">
        <f t="shared" ref="AQ42" si="122">IF(AND(AK42="",AK43="",AK44=""),"",SUM(AK42:AK44))</f>
        <v>11.885714285714286</v>
      </c>
      <c r="AR42" s="582" t="str">
        <f t="shared" ref="AR42" si="123">IF(AO42="",IF($AU$6&lt;1,"",IF($AU$6&gt;=1,"NA")),IF(AO42=0,0,AO42/$AN42))</f>
        <v>NA</v>
      </c>
      <c r="AS42" s="582">
        <f t="shared" ref="AS42" si="124">IF(AP42="",IF($AU$6&lt;2,"",IF($AU$6&gt;=2,"NA")),IF(AP42=0,0,AP42/$AN42))</f>
        <v>0.05</v>
      </c>
      <c r="AT42" s="582" t="str">
        <f t="shared" ref="AT42" si="125">IF(AS42&gt;=AR42,AS42,AR42)</f>
        <v>NA</v>
      </c>
      <c r="AU42" s="572">
        <f t="shared" ref="AU42" si="126">IF(AQ42="",IF($AU$6&lt;3,"",IF($AU$6&gt;=3,"NA")),IF(AQ42=0,0,AQ42/$AN42))</f>
        <v>0.4</v>
      </c>
      <c r="AV42" s="573">
        <f t="shared" ref="AV42" si="127">IF($AU$6=1,AR42,IF($AU$6=2,AS42,IF($AU$6=3,AU42,"")))</f>
        <v>0.4</v>
      </c>
      <c r="AW42" s="574">
        <f t="shared" ref="AW42" si="128">AV42</f>
        <v>0.4</v>
      </c>
      <c r="AX42" t="str">
        <f t="shared" si="118"/>
        <v>Inducción a docentes nuevos, reuniones con decanos</v>
      </c>
    </row>
    <row r="43" spans="1:50" ht="15.75" x14ac:dyDescent="0.25">
      <c r="A43" s="583"/>
      <c r="B43" s="578"/>
      <c r="C43" s="82" t="str">
        <f>IF('CONSOLIDACION DEL MAPA'!P43="","",'CONSOLIDACION DEL MAPA'!P43)</f>
        <v/>
      </c>
      <c r="D43" s="82" t="str">
        <f>CRONOGRAMA!D43</f>
        <v/>
      </c>
      <c r="E43" s="132" t="str">
        <f>IF(CRONOGRAMA!F43="", "",CRONOGRAMA!F43)</f>
        <v/>
      </c>
      <c r="F43" s="132" t="str">
        <f>IF(CRONOGRAMA!G43="", "",CRONOGRAMA!G43)</f>
        <v/>
      </c>
      <c r="G43" s="128" t="str">
        <f>IF(CRONOGRAMA!H43="", "",CRONOGRAMA!H43)</f>
        <v/>
      </c>
      <c r="H43" s="128" t="str">
        <f>IF(CRONOGRAMA!I43="", "",CRONOGRAMA!I43)</f>
        <v/>
      </c>
      <c r="I43" s="84">
        <f t="shared" si="98"/>
        <v>0</v>
      </c>
      <c r="J43" s="160" t="str">
        <f>IF($P$6="Indique Fecha Seguimiento","",IF(CRONOGRAMA!$E43="No Aplica","NA",IF($G43="","",IF(YEAR($G43)&lt;YEAR($P$6)," A ",IF(YEAR($G43)=YEAR($P$6),IF(MONTH($G43)&lt;=4," A ","NA"),IF(YEAR($G43)&gt;YEAR($P$6),"NA"))))))</f>
        <v/>
      </c>
      <c r="K43" s="400"/>
      <c r="L43" s="401"/>
      <c r="M43" s="400"/>
      <c r="N43" s="348" t="str">
        <f t="shared" si="99"/>
        <v/>
      </c>
      <c r="O43" s="349"/>
      <c r="P43" s="44"/>
      <c r="Q43" s="84" t="str">
        <f t="shared" si="100"/>
        <v/>
      </c>
      <c r="R43" s="84" t="str">
        <f t="shared" si="101"/>
        <v/>
      </c>
      <c r="S43" s="84">
        <f t="shared" si="3"/>
        <v>0</v>
      </c>
      <c r="T43" s="160" t="str">
        <f>IF($Z$6="Indique Fecha Seguimiento","",IF(CRONOGRAMA!$E43="No Aplica","NA",IF($G43="","",IF(YEAR($G43)&lt;YEAR($Z$6)," A ",IF(YEAR($G43)=YEAR($Z$6),IF(MONTH($G43)&lt;=8," A ","NA"),IF(YEAR($G43)&gt;YEAR($Z$6),"NA"))))))</f>
        <v/>
      </c>
      <c r="U43" s="351"/>
      <c r="V43" s="44"/>
      <c r="W43" s="351"/>
      <c r="X43" s="348" t="str">
        <f t="shared" si="102"/>
        <v/>
      </c>
      <c r="Y43" s="349"/>
      <c r="Z43" s="44"/>
      <c r="AA43" s="84" t="str">
        <f t="shared" si="103"/>
        <v/>
      </c>
      <c r="AB43" s="84" t="str">
        <f t="shared" si="104"/>
        <v/>
      </c>
      <c r="AC43" s="84">
        <f t="shared" si="6"/>
        <v>0</v>
      </c>
      <c r="AD43" s="160" t="str">
        <f>IF($AJ$6="Indique Fecha Seguimiento","",IF(CRONOGRAMA!$E43="No Aplica","NA",IF($G43="","",IF(YEAR($G43)&lt;YEAR($AJ$6)," A ",IF(YEAR($G43)=YEAR($AJ$6),IF(MONTH($G43)&lt;=12," A ","NA"),IF(YEAR($G43)&gt;YEAR($AJ$6),"NA"))))))</f>
        <v/>
      </c>
      <c r="AE43" s="350"/>
      <c r="AF43" s="44"/>
      <c r="AG43" s="351"/>
      <c r="AH43" s="348" t="str">
        <f t="shared" si="105"/>
        <v/>
      </c>
      <c r="AI43" s="349"/>
      <c r="AJ43" s="44"/>
      <c r="AK43" s="81" t="str">
        <f t="shared" si="106"/>
        <v/>
      </c>
      <c r="AL43" s="84" t="str">
        <f t="shared" si="107"/>
        <v/>
      </c>
      <c r="AM43" s="84">
        <f t="shared" si="10"/>
        <v>0</v>
      </c>
      <c r="AN43" s="579"/>
      <c r="AO43" s="580"/>
      <c r="AP43" s="581"/>
      <c r="AQ43" s="581"/>
      <c r="AR43" s="582"/>
      <c r="AS43" s="582"/>
      <c r="AT43" s="582"/>
      <c r="AU43" s="572"/>
      <c r="AV43" s="573"/>
      <c r="AW43" s="574"/>
      <c r="AX43">
        <f t="shared" si="118"/>
        <v>0</v>
      </c>
    </row>
    <row r="44" spans="1:50" ht="15.75" x14ac:dyDescent="0.25">
      <c r="A44" s="583"/>
      <c r="B44" s="578"/>
      <c r="C44" s="82" t="str">
        <f>IF('CONSOLIDACION DEL MAPA'!P44="","",'CONSOLIDACION DEL MAPA'!P44)</f>
        <v/>
      </c>
      <c r="D44" s="82" t="str">
        <f>CRONOGRAMA!D44</f>
        <v/>
      </c>
      <c r="E44" s="132" t="str">
        <f>IF(CRONOGRAMA!F44="", "",CRONOGRAMA!F44)</f>
        <v/>
      </c>
      <c r="F44" s="132" t="str">
        <f>IF(CRONOGRAMA!G44="", "",CRONOGRAMA!G44)</f>
        <v/>
      </c>
      <c r="G44" s="128" t="str">
        <f>IF(CRONOGRAMA!H44="", "",CRONOGRAMA!H44)</f>
        <v/>
      </c>
      <c r="H44" s="128" t="str">
        <f>IF(CRONOGRAMA!I44="", "",CRONOGRAMA!I44)</f>
        <v/>
      </c>
      <c r="I44" s="84">
        <f t="shared" si="98"/>
        <v>0</v>
      </c>
      <c r="J44" s="160" t="str">
        <f>IF($P$6="Indique Fecha Seguimiento","",IF(CRONOGRAMA!$E44="No Aplica","NA",IF($G44="","",IF(YEAR($G44)&lt;YEAR($P$6)," A ",IF(YEAR($G44)=YEAR($P$6),IF(MONTH($G44)&lt;=4," A ","NA"),IF(YEAR($G44)&gt;YEAR($P$6),"NA"))))))</f>
        <v/>
      </c>
      <c r="K44" s="400"/>
      <c r="L44" s="401"/>
      <c r="M44" s="400"/>
      <c r="N44" s="348" t="str">
        <f t="shared" si="99"/>
        <v/>
      </c>
      <c r="O44" s="349"/>
      <c r="P44" s="44"/>
      <c r="Q44" s="84" t="str">
        <f t="shared" si="100"/>
        <v/>
      </c>
      <c r="R44" s="84" t="str">
        <f t="shared" si="101"/>
        <v/>
      </c>
      <c r="S44" s="84">
        <f t="shared" si="3"/>
        <v>0</v>
      </c>
      <c r="T44" s="160" t="str">
        <f>IF($Z$6="Indique Fecha Seguimiento","",IF(CRONOGRAMA!$E44="No Aplica","NA",IF($G44="","",IF(YEAR($G44)&lt;YEAR($Z$6)," A ",IF(YEAR($G44)=YEAR($Z$6),IF(MONTH($G44)&lt;=8," A ","NA"),IF(YEAR($G44)&gt;YEAR($Z$6),"NA"))))))</f>
        <v/>
      </c>
      <c r="U44" s="351"/>
      <c r="V44" s="44"/>
      <c r="W44" s="351"/>
      <c r="X44" s="348" t="str">
        <f t="shared" si="102"/>
        <v/>
      </c>
      <c r="Y44" s="349"/>
      <c r="Z44" s="44"/>
      <c r="AA44" s="84" t="str">
        <f t="shared" si="103"/>
        <v/>
      </c>
      <c r="AB44" s="84" t="str">
        <f t="shared" si="104"/>
        <v/>
      </c>
      <c r="AC44" s="84">
        <f t="shared" si="6"/>
        <v>0</v>
      </c>
      <c r="AD44" s="160" t="str">
        <f>IF($AJ$6="Indique Fecha Seguimiento","",IF(CRONOGRAMA!$E44="No Aplica","NA",IF($G44="","",IF(YEAR($G44)&lt;YEAR($AJ$6)," A ",IF(YEAR($G44)=YEAR($AJ$6),IF(MONTH($G44)&lt;=12," A ","NA"),IF(YEAR($G44)&gt;YEAR($AJ$6),"NA"))))))</f>
        <v/>
      </c>
      <c r="AE44" s="350"/>
      <c r="AF44" s="44"/>
      <c r="AG44" s="351"/>
      <c r="AH44" s="348" t="str">
        <f t="shared" si="105"/>
        <v/>
      </c>
      <c r="AI44" s="349"/>
      <c r="AJ44" s="44"/>
      <c r="AK44" s="81" t="str">
        <f t="shared" si="106"/>
        <v/>
      </c>
      <c r="AL44" s="84" t="str">
        <f t="shared" si="107"/>
        <v/>
      </c>
      <c r="AM44" s="84">
        <f t="shared" si="10"/>
        <v>0</v>
      </c>
      <c r="AN44" s="579"/>
      <c r="AO44" s="580"/>
      <c r="AP44" s="581"/>
      <c r="AQ44" s="581"/>
      <c r="AR44" s="582"/>
      <c r="AS44" s="582"/>
      <c r="AT44" s="582"/>
      <c r="AU44" s="572"/>
      <c r="AV44" s="573"/>
      <c r="AW44" s="574"/>
      <c r="AX44">
        <f t="shared" si="118"/>
        <v>0</v>
      </c>
    </row>
    <row r="45" spans="1:50" ht="84" x14ac:dyDescent="0.25">
      <c r="A45" s="583" t="str">
        <f>CRONOGRAMA!A45</f>
        <v>13G</v>
      </c>
      <c r="B45" s="578" t="str">
        <f>CRONOGRAMA!B45</f>
        <v>Gestión Academica. Aplicación inadecuada de la normatividad en el desarrollo de los diferentes procesos academicos de los programas.</v>
      </c>
      <c r="C45" s="82" t="str">
        <f>IF('CONSOLIDACION DEL MAPA'!P45="","",'CONSOLIDACION DEL MAPA'!P45)</f>
        <v>Reducir</v>
      </c>
      <c r="D45" s="82" t="str">
        <f>CRONOGRAMA!D45</f>
        <v>1. Desarrollar capacitaciones continuas y a todo el personal que ingrese, sobre la normativas internas y externas</v>
      </c>
      <c r="E45" s="132" t="str">
        <f>IF(CRONOGRAMA!F45="", "",CRONOGRAMA!F45)</f>
        <v>Actas de asistencia a capacitación</v>
      </c>
      <c r="F45" s="132">
        <f>IF(CRONOGRAMA!G45="", "",CRONOGRAMA!G45)</f>
        <v>5</v>
      </c>
      <c r="G45" s="128">
        <f>IF(CRONOGRAMA!H45="", "",CRONOGRAMA!H45)</f>
        <v>42506</v>
      </c>
      <c r="H45" s="128">
        <f>IF(CRONOGRAMA!I45="", "",CRONOGRAMA!I45)</f>
        <v>42714</v>
      </c>
      <c r="I45" s="84">
        <f t="shared" si="98"/>
        <v>29.714285714285715</v>
      </c>
      <c r="J45" s="160" t="str">
        <f>IF($P$6="Indique Fecha Seguimiento","",IF(CRONOGRAMA!$E45="No Aplica","NA",IF($G45="","",IF(YEAR($G45)&lt;YEAR($P$6)," A ",IF(YEAR($G45)=YEAR($P$6),IF(MONTH($G45)&lt;=4," A ","NA"),IF(YEAR($G45)&gt;YEAR($P$6),"NA"))))))</f>
        <v>NA</v>
      </c>
      <c r="K45" s="400"/>
      <c r="L45" s="401"/>
      <c r="M45" s="400"/>
      <c r="N45" s="348" t="str">
        <f t="shared" si="99"/>
        <v/>
      </c>
      <c r="O45" s="349"/>
      <c r="P45" s="44"/>
      <c r="Q45" s="84" t="str">
        <f t="shared" si="100"/>
        <v/>
      </c>
      <c r="R45" s="84" t="str">
        <f t="shared" si="101"/>
        <v/>
      </c>
      <c r="S45" s="84">
        <f t="shared" si="3"/>
        <v>29.714285714285715</v>
      </c>
      <c r="T45" s="160" t="str">
        <f>IF($Z$6="Indique Fecha Seguimiento","",IF(CRONOGRAMA!$E45="No Aplica","NA",IF($G45="","",IF(YEAR($G45)&lt;YEAR($Z$6)," A ",IF(YEAR($G45)=YEAR($Z$6),IF(MONTH($G45)&lt;=8," A ","NA"),IF(YEAR($G45)&gt;YEAR($Z$6),"NA"))))))</f>
        <v xml:space="preserve"> A </v>
      </c>
      <c r="U45" s="422">
        <v>0.05</v>
      </c>
      <c r="V45" s="420" t="s">
        <v>970</v>
      </c>
      <c r="W45" s="351">
        <v>0.25</v>
      </c>
      <c r="X45" s="348">
        <f t="shared" si="102"/>
        <v>0.05</v>
      </c>
      <c r="Y45" s="349" t="s">
        <v>353</v>
      </c>
      <c r="Z45" s="44" t="s">
        <v>971</v>
      </c>
      <c r="AA45" s="84">
        <f t="shared" si="103"/>
        <v>1.4857142857142858</v>
      </c>
      <c r="AB45" s="84">
        <f t="shared" si="104"/>
        <v>1.4857142857142858</v>
      </c>
      <c r="AC45" s="84">
        <f t="shared" si="6"/>
        <v>29.714285714285715</v>
      </c>
      <c r="AD45" s="160" t="str">
        <f>IF($AJ$6="Indique Fecha Seguimiento","",IF(CRONOGRAMA!$E45="No Aplica","NA",IF($G45="","",IF(YEAR($G45)&lt;YEAR($AJ$6)," A ",IF(YEAR($G45)=YEAR($AJ$6),IF(MONTH($G45)&lt;=12," A ","NA"),IF(YEAR($G45)&gt;YEAR($AJ$6),"NA"))))))</f>
        <v xml:space="preserve"> A </v>
      </c>
      <c r="AE45" s="350">
        <v>2</v>
      </c>
      <c r="AF45" s="44" t="str">
        <f>Z45</f>
        <v>Inducción a docentes nuevos, reuniones con decanos</v>
      </c>
      <c r="AG45" s="351">
        <v>2</v>
      </c>
      <c r="AH45" s="348">
        <f t="shared" si="105"/>
        <v>0.4</v>
      </c>
      <c r="AI45" s="349" t="s">
        <v>10</v>
      </c>
      <c r="AJ45" s="44" t="str">
        <f>AF45</f>
        <v>Inducción a docentes nuevos, reuniones con decanos</v>
      </c>
      <c r="AK45" s="81">
        <f t="shared" si="106"/>
        <v>11.885714285714286</v>
      </c>
      <c r="AL45" s="84">
        <f t="shared" si="107"/>
        <v>0</v>
      </c>
      <c r="AM45" s="84">
        <f t="shared" si="10"/>
        <v>29.714285714285715</v>
      </c>
      <c r="AN45" s="579">
        <f t="shared" ref="AN45" si="129">SUM(I45:I47)</f>
        <v>29.714285714285715</v>
      </c>
      <c r="AO45" s="580" t="str">
        <f t="shared" ref="AO45" si="130">IF(AND(Q45="",Q46="",Q47=""),"",SUM(Q45:Q47))</f>
        <v/>
      </c>
      <c r="AP45" s="581">
        <f t="shared" ref="AP45" si="131">IF(AND(AA45="",AA46="",AA47=""),"",SUM(AA45:AA47))</f>
        <v>1.4857142857142858</v>
      </c>
      <c r="AQ45" s="581">
        <f t="shared" ref="AQ45" si="132">IF(AND(AK45="",AK46="",AK47=""),"",SUM(AK45:AK47))</f>
        <v>11.885714285714286</v>
      </c>
      <c r="AR45" s="582" t="str">
        <f t="shared" ref="AR45" si="133">IF(AO45="",IF($AU$6&lt;1,"",IF($AU$6&gt;=1,"NA")),IF(AO45=0,0,AO45/$AN45))</f>
        <v>NA</v>
      </c>
      <c r="AS45" s="582">
        <f t="shared" ref="AS45" si="134">IF(AP45="",IF($AU$6&lt;2,"",IF($AU$6&gt;=2,"NA")),IF(AP45=0,0,AP45/$AN45))</f>
        <v>0.05</v>
      </c>
      <c r="AT45" s="582" t="str">
        <f t="shared" ref="AT45" si="135">IF(AS45&gt;=AR45,AS45,AR45)</f>
        <v>NA</v>
      </c>
      <c r="AU45" s="572">
        <f t="shared" ref="AU45" si="136">IF(AQ45="",IF($AU$6&lt;3,"",IF($AU$6&gt;=3,"NA")),IF(AQ45=0,0,AQ45/$AN45))</f>
        <v>0.4</v>
      </c>
      <c r="AV45" s="573">
        <f t="shared" ref="AV45" si="137">IF($AU$6=1,AR45,IF($AU$6=2,AS45,IF($AU$6=3,AU45,"")))</f>
        <v>0.4</v>
      </c>
      <c r="AW45" s="574">
        <f t="shared" ref="AW45" si="138">AV45</f>
        <v>0.4</v>
      </c>
      <c r="AX45" t="str">
        <f t="shared" si="118"/>
        <v>Inducción a docentes nuevos, reuniones con decanos</v>
      </c>
    </row>
    <row r="46" spans="1:50" ht="15.75" x14ac:dyDescent="0.25">
      <c r="A46" s="583"/>
      <c r="B46" s="578"/>
      <c r="C46" s="82" t="str">
        <f>IF('CONSOLIDACION DEL MAPA'!P46="","",'CONSOLIDACION DEL MAPA'!P46)</f>
        <v/>
      </c>
      <c r="D46" s="82" t="str">
        <f>CRONOGRAMA!D46</f>
        <v/>
      </c>
      <c r="E46" s="132" t="str">
        <f>IF(CRONOGRAMA!F46="", "",CRONOGRAMA!F46)</f>
        <v/>
      </c>
      <c r="F46" s="132" t="str">
        <f>IF(CRONOGRAMA!G46="", "",CRONOGRAMA!G46)</f>
        <v/>
      </c>
      <c r="G46" s="128" t="str">
        <f>IF(CRONOGRAMA!H46="", "",CRONOGRAMA!H46)</f>
        <v/>
      </c>
      <c r="H46" s="128" t="str">
        <f>IF(CRONOGRAMA!I46="", "",CRONOGRAMA!I46)</f>
        <v/>
      </c>
      <c r="I46" s="84">
        <f t="shared" si="98"/>
        <v>0</v>
      </c>
      <c r="J46" s="160" t="str">
        <f>IF($P$6="Indique Fecha Seguimiento","",IF(CRONOGRAMA!$E46="No Aplica","NA",IF($G46="","",IF(YEAR($G46)&lt;YEAR($P$6)," A ",IF(YEAR($G46)=YEAR($P$6),IF(MONTH($G46)&lt;=4," A ","NA"),IF(YEAR($G46)&gt;YEAR($P$6),"NA"))))))</f>
        <v/>
      </c>
      <c r="K46" s="400"/>
      <c r="L46" s="401"/>
      <c r="M46" s="400"/>
      <c r="N46" s="348" t="str">
        <f t="shared" si="99"/>
        <v/>
      </c>
      <c r="O46" s="349"/>
      <c r="P46" s="44"/>
      <c r="Q46" s="84" t="str">
        <f t="shared" si="100"/>
        <v/>
      </c>
      <c r="R46" s="84" t="str">
        <f t="shared" si="101"/>
        <v/>
      </c>
      <c r="S46" s="84">
        <f t="shared" si="3"/>
        <v>0</v>
      </c>
      <c r="T46" s="160" t="str">
        <f>IF($Z$6="Indique Fecha Seguimiento","",IF(CRONOGRAMA!$E46="No Aplica","NA",IF($G46="","",IF(YEAR($G46)&lt;YEAR($Z$6)," A ",IF(YEAR($G46)=YEAR($Z$6),IF(MONTH($G46)&lt;=8," A ","NA"),IF(YEAR($G46)&gt;YEAR($Z$6),"NA"))))))</f>
        <v/>
      </c>
      <c r="U46" s="351"/>
      <c r="V46" s="44"/>
      <c r="W46" s="351"/>
      <c r="X46" s="348" t="str">
        <f t="shared" si="102"/>
        <v/>
      </c>
      <c r="Y46" s="349"/>
      <c r="Z46" s="44"/>
      <c r="AA46" s="84" t="str">
        <f t="shared" si="103"/>
        <v/>
      </c>
      <c r="AB46" s="84" t="str">
        <f t="shared" si="104"/>
        <v/>
      </c>
      <c r="AC46" s="84">
        <f t="shared" si="6"/>
        <v>0</v>
      </c>
      <c r="AD46" s="160" t="str">
        <f>IF($AJ$6="Indique Fecha Seguimiento","",IF(CRONOGRAMA!$E46="No Aplica","NA",IF($G46="","",IF(YEAR($G46)&lt;YEAR($AJ$6)," A ",IF(YEAR($G46)=YEAR($AJ$6),IF(MONTH($G46)&lt;=12," A ","NA"),IF(YEAR($G46)&gt;YEAR($AJ$6),"NA"))))))</f>
        <v/>
      </c>
      <c r="AE46" s="350"/>
      <c r="AF46" s="44"/>
      <c r="AG46" s="351"/>
      <c r="AH46" s="348" t="str">
        <f t="shared" si="105"/>
        <v/>
      </c>
      <c r="AI46" s="349"/>
      <c r="AJ46" s="44"/>
      <c r="AK46" s="81" t="str">
        <f t="shared" si="106"/>
        <v/>
      </c>
      <c r="AL46" s="84" t="str">
        <f t="shared" si="107"/>
        <v/>
      </c>
      <c r="AM46" s="84">
        <f t="shared" si="10"/>
        <v>0</v>
      </c>
      <c r="AN46" s="579"/>
      <c r="AO46" s="580"/>
      <c r="AP46" s="581"/>
      <c r="AQ46" s="581"/>
      <c r="AR46" s="582"/>
      <c r="AS46" s="582"/>
      <c r="AT46" s="582"/>
      <c r="AU46" s="572"/>
      <c r="AV46" s="573"/>
      <c r="AW46" s="574"/>
      <c r="AX46">
        <f t="shared" si="118"/>
        <v>0</v>
      </c>
    </row>
    <row r="47" spans="1:50" ht="15.75" x14ac:dyDescent="0.25">
      <c r="A47" s="583"/>
      <c r="B47" s="578"/>
      <c r="C47" s="82" t="str">
        <f>IF('CONSOLIDACION DEL MAPA'!P47="","",'CONSOLIDACION DEL MAPA'!P47)</f>
        <v/>
      </c>
      <c r="D47" s="82" t="str">
        <f>CRONOGRAMA!D47</f>
        <v/>
      </c>
      <c r="E47" s="132" t="str">
        <f>IF(CRONOGRAMA!F47="", "",CRONOGRAMA!F47)</f>
        <v/>
      </c>
      <c r="F47" s="132" t="str">
        <f>IF(CRONOGRAMA!G47="", "",CRONOGRAMA!G47)</f>
        <v/>
      </c>
      <c r="G47" s="128" t="str">
        <f>IF(CRONOGRAMA!H47="", "",CRONOGRAMA!H47)</f>
        <v/>
      </c>
      <c r="H47" s="128" t="str">
        <f>IF(CRONOGRAMA!I47="", "",CRONOGRAMA!I47)</f>
        <v/>
      </c>
      <c r="I47" s="84">
        <f t="shared" si="98"/>
        <v>0</v>
      </c>
      <c r="J47" s="160" t="str">
        <f>IF($P$6="Indique Fecha Seguimiento","",IF(CRONOGRAMA!$E47="No Aplica","NA",IF($G47="","",IF(YEAR($G47)&lt;YEAR($P$6)," A ",IF(YEAR($G47)=YEAR($P$6),IF(MONTH($G47)&lt;=4," A ","NA"),IF(YEAR($G47)&gt;YEAR($P$6),"NA"))))))</f>
        <v/>
      </c>
      <c r="K47" s="400"/>
      <c r="L47" s="401"/>
      <c r="M47" s="400"/>
      <c r="N47" s="348" t="str">
        <f t="shared" si="99"/>
        <v/>
      </c>
      <c r="O47" s="349"/>
      <c r="P47" s="44"/>
      <c r="Q47" s="84" t="str">
        <f t="shared" si="100"/>
        <v/>
      </c>
      <c r="R47" s="84" t="str">
        <f t="shared" si="101"/>
        <v/>
      </c>
      <c r="S47" s="84">
        <f t="shared" si="3"/>
        <v>0</v>
      </c>
      <c r="T47" s="160" t="str">
        <f>IF($Z$6="Indique Fecha Seguimiento","",IF(CRONOGRAMA!$E47="No Aplica","NA",IF($G47="","",IF(YEAR($G47)&lt;YEAR($Z$6)," A ",IF(YEAR($G47)=YEAR($Z$6),IF(MONTH($G47)&lt;=8," A ","NA"),IF(YEAR($G47)&gt;YEAR($Z$6),"NA"))))))</f>
        <v/>
      </c>
      <c r="U47" s="351"/>
      <c r="V47" s="44"/>
      <c r="W47" s="351"/>
      <c r="X47" s="348" t="str">
        <f t="shared" si="102"/>
        <v/>
      </c>
      <c r="Y47" s="349"/>
      <c r="Z47" s="44"/>
      <c r="AA47" s="84" t="str">
        <f t="shared" si="103"/>
        <v/>
      </c>
      <c r="AB47" s="84" t="str">
        <f t="shared" si="104"/>
        <v/>
      </c>
      <c r="AC47" s="84">
        <f t="shared" si="6"/>
        <v>0</v>
      </c>
      <c r="AD47" s="160" t="str">
        <f>IF($AJ$6="Indique Fecha Seguimiento","",IF(CRONOGRAMA!$E47="No Aplica","NA",IF($G47="","",IF(YEAR($G47)&lt;YEAR($AJ$6)," A ",IF(YEAR($G47)=YEAR($AJ$6),IF(MONTH($G47)&lt;=12," A ","NA"),IF(YEAR($G47)&gt;YEAR($AJ$6),"NA"))))))</f>
        <v/>
      </c>
      <c r="AE47" s="350"/>
      <c r="AF47" s="44"/>
      <c r="AG47" s="351"/>
      <c r="AH47" s="348" t="str">
        <f t="shared" si="105"/>
        <v/>
      </c>
      <c r="AI47" s="349"/>
      <c r="AJ47" s="44"/>
      <c r="AK47" s="81" t="str">
        <f t="shared" si="106"/>
        <v/>
      </c>
      <c r="AL47" s="84" t="str">
        <f t="shared" si="107"/>
        <v/>
      </c>
      <c r="AM47" s="84">
        <f t="shared" si="10"/>
        <v>0</v>
      </c>
      <c r="AN47" s="579"/>
      <c r="AO47" s="580"/>
      <c r="AP47" s="581"/>
      <c r="AQ47" s="581"/>
      <c r="AR47" s="582"/>
      <c r="AS47" s="582"/>
      <c r="AT47" s="582"/>
      <c r="AU47" s="572"/>
      <c r="AV47" s="573"/>
      <c r="AW47" s="574"/>
      <c r="AX47">
        <f t="shared" si="118"/>
        <v>0</v>
      </c>
    </row>
    <row r="48" spans="1:50" ht="89.25" x14ac:dyDescent="0.25">
      <c r="A48" s="583" t="str">
        <f>CRONOGRAMA!A48</f>
        <v>14G</v>
      </c>
      <c r="B48" s="578" t="str">
        <f>CRONOGRAMA!B48</f>
        <v>Gestión Academica. Deterioro en la calidad de los programas académicos por necesidades de recursos no cubiertas.</v>
      </c>
      <c r="C48" s="82" t="str">
        <f>IF('CONSOLIDACION DEL MAPA'!P48="","",'CONSOLIDACION DEL MAPA'!P48)</f>
        <v>Reducir</v>
      </c>
      <c r="D48" s="82" t="str">
        <f>CRONOGRAMA!D48</f>
        <v>Implementar herramientas automatizadas para el seguimiento a los planes de mejoramiento de los programas academicos</v>
      </c>
      <c r="E48" s="132" t="str">
        <f>IF(CRONOGRAMA!F48="", "",CRONOGRAMA!F48)</f>
        <v>Herramienta de automatización</v>
      </c>
      <c r="F48" s="132">
        <f>IF(CRONOGRAMA!G48="", "",CRONOGRAMA!G48)</f>
        <v>1</v>
      </c>
      <c r="G48" s="128">
        <f>IF(CRONOGRAMA!H48="", "",CRONOGRAMA!H48)</f>
        <v>42576</v>
      </c>
      <c r="H48" s="128">
        <f>IF(CRONOGRAMA!I48="", "",CRONOGRAMA!I48)</f>
        <v>42941</v>
      </c>
      <c r="I48" s="84">
        <f t="shared" si="98"/>
        <v>52.142857142857146</v>
      </c>
      <c r="J48" s="160" t="str">
        <f>IF($P$6="Indique Fecha Seguimiento","",IF(CRONOGRAMA!$E48="No Aplica","NA",IF($G48="","",IF(YEAR($G48)&lt;YEAR($P$6)," A ",IF(YEAR($G48)=YEAR($P$6),IF(MONTH($G48)&lt;=4," A ","NA"),IF(YEAR($G48)&gt;YEAR($P$6),"NA"))))))</f>
        <v>NA</v>
      </c>
      <c r="K48" s="400"/>
      <c r="L48" s="401"/>
      <c r="M48" s="400"/>
      <c r="N48" s="348" t="str">
        <f t="shared" si="99"/>
        <v/>
      </c>
      <c r="O48" s="349"/>
      <c r="P48" s="44"/>
      <c r="Q48" s="84" t="str">
        <f t="shared" si="100"/>
        <v/>
      </c>
      <c r="R48" s="84" t="str">
        <f t="shared" si="101"/>
        <v/>
      </c>
      <c r="S48" s="84">
        <f t="shared" si="3"/>
        <v>52.142857142857146</v>
      </c>
      <c r="T48" s="160" t="str">
        <f>IF($Z$6="Indique Fecha Seguimiento","",IF(CRONOGRAMA!$E48="No Aplica","NA",IF($G48="","",IF(YEAR($G48)&lt;YEAR($Z$6)," A ",IF(YEAR($G48)=YEAR($Z$6),IF(MONTH($G48)&lt;=8," A ","NA"),IF(YEAR($G48)&gt;YEAR($Z$6),"NA"))))))</f>
        <v xml:space="preserve"> A </v>
      </c>
      <c r="U48" s="422">
        <v>0.02</v>
      </c>
      <c r="V48" s="420" t="s">
        <v>972</v>
      </c>
      <c r="W48" s="351">
        <v>0.02</v>
      </c>
      <c r="X48" s="348">
        <f t="shared" si="102"/>
        <v>0.02</v>
      </c>
      <c r="Y48" s="349" t="s">
        <v>353</v>
      </c>
      <c r="Z48" s="44" t="s">
        <v>973</v>
      </c>
      <c r="AA48" s="84">
        <f t="shared" si="103"/>
        <v>1.0428571428571429</v>
      </c>
      <c r="AB48" s="84">
        <f t="shared" si="104"/>
        <v>1.0428571428571429</v>
      </c>
      <c r="AC48" s="84">
        <f t="shared" si="6"/>
        <v>52.142857142857146</v>
      </c>
      <c r="AD48" s="160" t="str">
        <f>IF($AJ$6="Indique Fecha Seguimiento","",IF(CRONOGRAMA!$E48="No Aplica","NA",IF($G48="","",IF(YEAR($G48)&lt;YEAR($AJ$6)," A ",IF(YEAR($G48)=YEAR($AJ$6),IF(MONTH($G48)&lt;=12," A ","NA"),IF(YEAR($G48)&gt;YEAR($AJ$6),"NA"))))))</f>
        <v xml:space="preserve"> A </v>
      </c>
      <c r="AE48" s="350">
        <v>0.1</v>
      </c>
      <c r="AF48" s="44" t="str">
        <f>Z48</f>
        <v>Analisis para revisar las necesidades de programas academicos</v>
      </c>
      <c r="AG48" s="351">
        <v>0.1</v>
      </c>
      <c r="AH48" s="348">
        <f t="shared" si="105"/>
        <v>0.1</v>
      </c>
      <c r="AI48" s="349" t="s">
        <v>353</v>
      </c>
      <c r="AJ48" s="44" t="str">
        <f>AF48</f>
        <v>Analisis para revisar las necesidades de programas academicos</v>
      </c>
      <c r="AK48" s="81">
        <f t="shared" si="106"/>
        <v>5.2142857142857153</v>
      </c>
      <c r="AL48" s="84">
        <f t="shared" si="107"/>
        <v>5.2142857142857153</v>
      </c>
      <c r="AM48" s="84">
        <f t="shared" si="10"/>
        <v>52.142857142857146</v>
      </c>
      <c r="AN48" s="579">
        <f t="shared" ref="AN48" si="139">SUM(I48:I50)</f>
        <v>52.142857142857146</v>
      </c>
      <c r="AO48" s="580" t="str">
        <f t="shared" ref="AO48" si="140">IF(AND(Q48="",Q49="",Q50=""),"",SUM(Q48:Q50))</f>
        <v/>
      </c>
      <c r="AP48" s="581">
        <f t="shared" ref="AP48" si="141">IF(AND(AA48="",AA49="",AA50=""),"",SUM(AA48:AA50))</f>
        <v>1.0428571428571429</v>
      </c>
      <c r="AQ48" s="581">
        <f t="shared" ref="AQ48" si="142">IF(AND(AK48="",AK49="",AK50=""),"",SUM(AK48:AK50))</f>
        <v>5.2142857142857153</v>
      </c>
      <c r="AR48" s="582" t="str">
        <f t="shared" ref="AR48" si="143">IF(AO48="",IF($AU$6&lt;1,"",IF($AU$6&gt;=1,"NA")),IF(AO48=0,0,AO48/$AN48))</f>
        <v>NA</v>
      </c>
      <c r="AS48" s="582">
        <f t="shared" ref="AS48" si="144">IF(AP48="",IF($AU$6&lt;2,"",IF($AU$6&gt;=2,"NA")),IF(AP48=0,0,AP48/$AN48))</f>
        <v>0.02</v>
      </c>
      <c r="AT48" s="582" t="str">
        <f t="shared" ref="AT48" si="145">IF(AS48&gt;=AR48,AS48,AR48)</f>
        <v>NA</v>
      </c>
      <c r="AU48" s="572">
        <f t="shared" ref="AU48" si="146">IF(AQ48="",IF($AU$6&lt;3,"",IF($AU$6&gt;=3,"NA")),IF(AQ48=0,0,AQ48/$AN48))</f>
        <v>0.10000000000000002</v>
      </c>
      <c r="AV48" s="573">
        <f t="shared" ref="AV48" si="147">IF($AU$6=1,AR48,IF($AU$6=2,AS48,IF($AU$6=3,AU48,"")))</f>
        <v>0.10000000000000002</v>
      </c>
      <c r="AW48" s="574">
        <f t="shared" ref="AW48" si="148">AV48</f>
        <v>0.10000000000000002</v>
      </c>
      <c r="AX48" t="str">
        <f t="shared" si="118"/>
        <v>Analisis para revisar las necesidades de programas academicos</v>
      </c>
    </row>
    <row r="49" spans="1:50" ht="15.75" x14ac:dyDescent="0.25">
      <c r="A49" s="583"/>
      <c r="B49" s="578"/>
      <c r="C49" s="82" t="str">
        <f>IF('CONSOLIDACION DEL MAPA'!P49="","",'CONSOLIDACION DEL MAPA'!P49)</f>
        <v/>
      </c>
      <c r="D49" s="82" t="str">
        <f>CRONOGRAMA!D49</f>
        <v/>
      </c>
      <c r="E49" s="132" t="str">
        <f>IF(CRONOGRAMA!F49="", "",CRONOGRAMA!F49)</f>
        <v/>
      </c>
      <c r="F49" s="132" t="str">
        <f>IF(CRONOGRAMA!G49="", "",CRONOGRAMA!G49)</f>
        <v/>
      </c>
      <c r="G49" s="128" t="str">
        <f>IF(CRONOGRAMA!H49="", "",CRONOGRAMA!H49)</f>
        <v/>
      </c>
      <c r="H49" s="128" t="str">
        <f>IF(CRONOGRAMA!I49="", "",CRONOGRAMA!I49)</f>
        <v/>
      </c>
      <c r="I49" s="84">
        <f t="shared" si="98"/>
        <v>0</v>
      </c>
      <c r="J49" s="160" t="str">
        <f>IF($P$6="Indique Fecha Seguimiento","",IF(CRONOGRAMA!$E49="No Aplica","NA",IF($G49="","",IF(YEAR($G49)&lt;YEAR($P$6)," A ",IF(YEAR($G49)=YEAR($P$6),IF(MONTH($G49)&lt;=4," A ","NA"),IF(YEAR($G49)&gt;YEAR($P$6),"NA"))))))</f>
        <v/>
      </c>
      <c r="K49" s="400"/>
      <c r="L49" s="401"/>
      <c r="M49" s="400"/>
      <c r="N49" s="348" t="str">
        <f t="shared" si="99"/>
        <v/>
      </c>
      <c r="O49" s="349"/>
      <c r="P49" s="44"/>
      <c r="Q49" s="84" t="str">
        <f t="shared" si="100"/>
        <v/>
      </c>
      <c r="R49" s="84" t="str">
        <f t="shared" si="101"/>
        <v/>
      </c>
      <c r="S49" s="84">
        <f t="shared" si="3"/>
        <v>0</v>
      </c>
      <c r="T49" s="160" t="str">
        <f>IF($Z$6="Indique Fecha Seguimiento","",IF(CRONOGRAMA!$E49="No Aplica","NA",IF($G49="","",IF(YEAR($G49)&lt;YEAR($Z$6)," A ",IF(YEAR($G49)=YEAR($Z$6),IF(MONTH($G49)&lt;=8," A ","NA"),IF(YEAR($G49)&gt;YEAR($Z$6),"NA"))))))</f>
        <v/>
      </c>
      <c r="U49" s="351"/>
      <c r="V49" s="44"/>
      <c r="W49" s="351"/>
      <c r="X49" s="348" t="str">
        <f t="shared" si="102"/>
        <v/>
      </c>
      <c r="Y49" s="349"/>
      <c r="Z49" s="44"/>
      <c r="AA49" s="84" t="str">
        <f t="shared" si="103"/>
        <v/>
      </c>
      <c r="AB49" s="84" t="str">
        <f t="shared" si="104"/>
        <v/>
      </c>
      <c r="AC49" s="84">
        <f t="shared" si="6"/>
        <v>0</v>
      </c>
      <c r="AD49" s="160" t="str">
        <f>IF($AJ$6="Indique Fecha Seguimiento","",IF(CRONOGRAMA!$E49="No Aplica","NA",IF($G49="","",IF(YEAR($G49)&lt;YEAR($AJ$6)," A ",IF(YEAR($G49)=YEAR($AJ$6),IF(MONTH($G49)&lt;=12," A ","NA"),IF(YEAR($G49)&gt;YEAR($AJ$6),"NA"))))))</f>
        <v/>
      </c>
      <c r="AE49" s="350"/>
      <c r="AF49" s="44"/>
      <c r="AG49" s="351"/>
      <c r="AH49" s="348" t="str">
        <f t="shared" si="105"/>
        <v/>
      </c>
      <c r="AI49" s="349"/>
      <c r="AJ49" s="44"/>
      <c r="AK49" s="81" t="str">
        <f t="shared" si="106"/>
        <v/>
      </c>
      <c r="AL49" s="84" t="str">
        <f t="shared" si="107"/>
        <v/>
      </c>
      <c r="AM49" s="84">
        <f t="shared" si="10"/>
        <v>0</v>
      </c>
      <c r="AN49" s="579"/>
      <c r="AO49" s="580"/>
      <c r="AP49" s="581"/>
      <c r="AQ49" s="581"/>
      <c r="AR49" s="582"/>
      <c r="AS49" s="582"/>
      <c r="AT49" s="582"/>
      <c r="AU49" s="572"/>
      <c r="AV49" s="573"/>
      <c r="AW49" s="574"/>
      <c r="AX49">
        <f t="shared" si="118"/>
        <v>0</v>
      </c>
    </row>
    <row r="50" spans="1:50" ht="15.75" x14ac:dyDescent="0.25">
      <c r="A50" s="583"/>
      <c r="B50" s="578"/>
      <c r="C50" s="82" t="str">
        <f>IF('CONSOLIDACION DEL MAPA'!P50="","",'CONSOLIDACION DEL MAPA'!P50)</f>
        <v/>
      </c>
      <c r="D50" s="82" t="str">
        <f>CRONOGRAMA!D50</f>
        <v/>
      </c>
      <c r="E50" s="132" t="str">
        <f>IF(CRONOGRAMA!F50="", "",CRONOGRAMA!F50)</f>
        <v/>
      </c>
      <c r="F50" s="132" t="str">
        <f>IF(CRONOGRAMA!G50="", "",CRONOGRAMA!G50)</f>
        <v/>
      </c>
      <c r="G50" s="128" t="str">
        <f>IF(CRONOGRAMA!H50="", "",CRONOGRAMA!H50)</f>
        <v/>
      </c>
      <c r="H50" s="128" t="str">
        <f>IF(CRONOGRAMA!I50="", "",CRONOGRAMA!I50)</f>
        <v/>
      </c>
      <c r="I50" s="84">
        <f t="shared" si="98"/>
        <v>0</v>
      </c>
      <c r="J50" s="160" t="str">
        <f>IF($P$6="Indique Fecha Seguimiento","",IF(CRONOGRAMA!$E50="No Aplica","NA",IF($G50="","",IF(YEAR($G50)&lt;YEAR($P$6)," A ",IF(YEAR($G50)=YEAR($P$6),IF(MONTH($G50)&lt;=4," A ","NA"),IF(YEAR($G50)&gt;YEAR($P$6),"NA"))))))</f>
        <v/>
      </c>
      <c r="K50" s="400"/>
      <c r="L50" s="401"/>
      <c r="M50" s="400"/>
      <c r="N50" s="348" t="str">
        <f t="shared" si="99"/>
        <v/>
      </c>
      <c r="O50" s="349"/>
      <c r="P50" s="44"/>
      <c r="Q50" s="84" t="str">
        <f t="shared" si="100"/>
        <v/>
      </c>
      <c r="R50" s="84" t="str">
        <f t="shared" si="101"/>
        <v/>
      </c>
      <c r="S50" s="84">
        <f t="shared" si="3"/>
        <v>0</v>
      </c>
      <c r="T50" s="160" t="str">
        <f>IF($Z$6="Indique Fecha Seguimiento","",IF(CRONOGRAMA!$E50="No Aplica","NA",IF($G50="","",IF(YEAR($G50)&lt;YEAR($Z$6)," A ",IF(YEAR($G50)=YEAR($Z$6),IF(MONTH($G50)&lt;=8," A ","NA"),IF(YEAR($G50)&gt;YEAR($Z$6),"NA"))))))</f>
        <v/>
      </c>
      <c r="U50" s="351"/>
      <c r="V50" s="44"/>
      <c r="W50" s="351"/>
      <c r="X50" s="348" t="str">
        <f t="shared" si="102"/>
        <v/>
      </c>
      <c r="Y50" s="349"/>
      <c r="Z50" s="44"/>
      <c r="AA50" s="84" t="str">
        <f t="shared" si="103"/>
        <v/>
      </c>
      <c r="AB50" s="84" t="str">
        <f t="shared" si="104"/>
        <v/>
      </c>
      <c r="AC50" s="84">
        <f t="shared" si="6"/>
        <v>0</v>
      </c>
      <c r="AD50" s="160" t="str">
        <f>IF($AJ$6="Indique Fecha Seguimiento","",IF(CRONOGRAMA!$E50="No Aplica","NA",IF($G50="","",IF(YEAR($G50)&lt;YEAR($AJ$6)," A ",IF(YEAR($G50)=YEAR($AJ$6),IF(MONTH($G50)&lt;=12," A ","NA"),IF(YEAR($G50)&gt;YEAR($AJ$6),"NA"))))))</f>
        <v/>
      </c>
      <c r="AE50" s="350"/>
      <c r="AF50" s="44"/>
      <c r="AG50" s="351"/>
      <c r="AH50" s="348" t="str">
        <f t="shared" si="105"/>
        <v/>
      </c>
      <c r="AI50" s="349"/>
      <c r="AJ50" s="44"/>
      <c r="AK50" s="81" t="str">
        <f t="shared" si="106"/>
        <v/>
      </c>
      <c r="AL50" s="84" t="str">
        <f t="shared" si="107"/>
        <v/>
      </c>
      <c r="AM50" s="84">
        <f t="shared" si="10"/>
        <v>0</v>
      </c>
      <c r="AN50" s="579"/>
      <c r="AO50" s="580"/>
      <c r="AP50" s="581"/>
      <c r="AQ50" s="581"/>
      <c r="AR50" s="582"/>
      <c r="AS50" s="582"/>
      <c r="AT50" s="582"/>
      <c r="AU50" s="572"/>
      <c r="AV50" s="573"/>
      <c r="AW50" s="574"/>
      <c r="AX50">
        <f t="shared" si="118"/>
        <v>0</v>
      </c>
    </row>
    <row r="51" spans="1:50" ht="236.25" x14ac:dyDescent="0.25">
      <c r="A51" s="583" t="str">
        <f>CRONOGRAMA!A51</f>
        <v>15G</v>
      </c>
      <c r="B51" s="578" t="str">
        <f>CRONOGRAMA!B51</f>
        <v xml:space="preserve">Gestión de Investigación. No fomentar la actividad investigativa en la Universidad.  </v>
      </c>
      <c r="C51" s="82" t="str">
        <f>IF('CONSOLIDACION DEL MAPA'!P51="","",'CONSOLIDACION DEL MAPA'!P51)</f>
        <v>Reducir</v>
      </c>
      <c r="D51" s="82" t="str">
        <f>CRONOGRAMA!D51</f>
        <v>Monitorear las necesidades de los grupos de investigación</v>
      </c>
      <c r="E51" s="132" t="str">
        <f>IF(CRONOGRAMA!F51="", "",CRONOGRAMA!F51)</f>
        <v>Grupos que reciben financiación para personal, insumos, infraestructura, mobiliario y equipos (SIVI)</v>
      </c>
      <c r="F51" s="132">
        <f>IF(CRONOGRAMA!G51="", "",CRONOGRAMA!G51)</f>
        <v>35</v>
      </c>
      <c r="G51" s="128">
        <f>IF(CRONOGRAMA!H51="", "",CRONOGRAMA!H51)</f>
        <v>42388</v>
      </c>
      <c r="H51" s="128">
        <f>IF(CRONOGRAMA!I51="", "",CRONOGRAMA!I51)</f>
        <v>42723</v>
      </c>
      <c r="I51" s="84">
        <f t="shared" si="98"/>
        <v>47.857142857142854</v>
      </c>
      <c r="J51" s="160" t="str">
        <f>IF($P$6="Indique Fecha Seguimiento","",IF(CRONOGRAMA!$E51="No Aplica","NA",IF($G51="","",IF(YEAR($G51)&lt;YEAR($P$6)," A ",IF(YEAR($G51)=YEAR($P$6),IF(MONTH($G51)&lt;=4," A ","NA"),IF(YEAR($G51)&gt;YEAR($P$6),"NA"))))))</f>
        <v xml:space="preserve"> A </v>
      </c>
      <c r="K51" s="400">
        <v>35</v>
      </c>
      <c r="L51" s="401" t="s">
        <v>885</v>
      </c>
      <c r="M51" s="400">
        <v>35</v>
      </c>
      <c r="N51" s="348">
        <f t="shared" si="99"/>
        <v>1</v>
      </c>
      <c r="O51" s="349" t="s">
        <v>11</v>
      </c>
      <c r="P51" s="44"/>
      <c r="Q51" s="84">
        <f t="shared" si="100"/>
        <v>47.857142857142854</v>
      </c>
      <c r="R51" s="84">
        <f t="shared" si="101"/>
        <v>47.857142857142854</v>
      </c>
      <c r="S51" s="84">
        <f t="shared" si="3"/>
        <v>47.857142857142854</v>
      </c>
      <c r="T51" s="160" t="str">
        <f>IF($Z$6="Indique Fecha Seguimiento","",IF(CRONOGRAMA!$E51="No Aplica","NA",IF($G51="","",IF(YEAR($G51)&lt;YEAR($Z$6)," A ",IF(YEAR($G51)=YEAR($Z$6),IF(MONTH($G51)&lt;=8," A ","NA"),IF(YEAR($G51)&gt;YEAR($Z$6),"NA"))))))</f>
        <v xml:space="preserve"> A </v>
      </c>
      <c r="U51" s="407">
        <v>35</v>
      </c>
      <c r="V51" s="401" t="s">
        <v>885</v>
      </c>
      <c r="W51" s="351">
        <v>35</v>
      </c>
      <c r="X51" s="348">
        <f t="shared" si="102"/>
        <v>1</v>
      </c>
      <c r="Y51" s="349" t="s">
        <v>11</v>
      </c>
      <c r="Z51" s="402" t="s">
        <v>920</v>
      </c>
      <c r="AA51" s="84">
        <f t="shared" si="103"/>
        <v>47.857142857142854</v>
      </c>
      <c r="AB51" s="84">
        <f t="shared" si="104"/>
        <v>47.857142857142854</v>
      </c>
      <c r="AC51" s="84">
        <f t="shared" si="6"/>
        <v>47.857142857142854</v>
      </c>
      <c r="AD51" s="160" t="str">
        <f>IF($AJ$6="Indique Fecha Seguimiento","",IF(CRONOGRAMA!$E51="No Aplica","NA",IF($G51="","",IF(YEAR($G51)&lt;YEAR($AJ$6)," A ",IF(YEAR($G51)=YEAR($AJ$6),IF(MONTH($G51)&lt;=12," A ","NA"),IF(YEAR($G51)&gt;YEAR($AJ$6),"NA"))))))</f>
        <v xml:space="preserve"> A </v>
      </c>
      <c r="AE51" s="712">
        <v>35</v>
      </c>
      <c r="AF51" s="347" t="s">
        <v>885</v>
      </c>
      <c r="AG51" s="351">
        <v>35</v>
      </c>
      <c r="AH51" s="348">
        <f t="shared" si="105"/>
        <v>1</v>
      </c>
      <c r="AI51" s="349" t="s">
        <v>11</v>
      </c>
      <c r="AJ51" s="44" t="str">
        <f>Z51</f>
        <v>Contratación asistentes de apoyo, ayudantes y suscripción ELSEVIER</v>
      </c>
      <c r="AK51" s="81">
        <f t="shared" si="106"/>
        <v>47.857142857142854</v>
      </c>
      <c r="AL51" s="84">
        <f t="shared" si="107"/>
        <v>47.857142857142854</v>
      </c>
      <c r="AM51" s="84">
        <f t="shared" si="10"/>
        <v>47.857142857142854</v>
      </c>
      <c r="AN51" s="579">
        <f t="shared" ref="AN51" si="149">SUM(I51:I53)</f>
        <v>143.57142857142856</v>
      </c>
      <c r="AO51" s="580">
        <f t="shared" ref="AO51" si="150">IF(AND(Q51="",Q52="",Q53=""),"",SUM(Q51:Q53))</f>
        <v>83.749999999999986</v>
      </c>
      <c r="AP51" s="581">
        <f t="shared" ref="AP51" si="151">IF(AND(AA51="",AA52="",AA53=""),"",SUM(AA51:AA53))</f>
        <v>102.89285714285714</v>
      </c>
      <c r="AQ51" s="581">
        <f t="shared" ref="AQ51" si="152">IF(AND(AK51="",AK52="",AK53=""),"",SUM(AK51:AK53))</f>
        <v>141.17857142857142</v>
      </c>
      <c r="AR51" s="582">
        <f t="shared" ref="AR51" si="153">IF(AO51="",IF($AU$6&lt;1,"",IF($AU$6&gt;=1,"NA")),IF(AO51=0,0,AO51/$AN51))</f>
        <v>0.58333333333333326</v>
      </c>
      <c r="AS51" s="582">
        <f t="shared" ref="AS51" si="154">IF(AP51="",IF($AU$6&lt;2,"",IF($AU$6&gt;=2,"NA")),IF(AP51=0,0,AP51/$AN51))</f>
        <v>0.71666666666666667</v>
      </c>
      <c r="AT51" s="582">
        <f t="shared" ref="AT51" si="155">IF(AS51&gt;=AR51,AS51,AR51)</f>
        <v>0.71666666666666667</v>
      </c>
      <c r="AU51" s="572">
        <f t="shared" ref="AU51" si="156">IF(AQ51="",IF($AU$6&lt;3,"",IF($AU$6&gt;=3,"NA")),IF(AQ51=0,0,AQ51/$AN51))</f>
        <v>0.98333333333333339</v>
      </c>
      <c r="AV51" s="573">
        <f t="shared" ref="AV51" si="157">IF($AU$6=1,AR51,IF($AU$6=2,AS51,IF($AU$6=3,AU51,"")))</f>
        <v>0.98333333333333339</v>
      </c>
      <c r="AW51" s="574">
        <f t="shared" ref="AW51" si="158">AV51</f>
        <v>0.98333333333333339</v>
      </c>
      <c r="AX51" t="str">
        <f t="shared" si="118"/>
        <v>Contratación asistentes de apoyo, ayudantes y suscripción ELSEVIER</v>
      </c>
    </row>
    <row r="52" spans="1:50" ht="78.75" x14ac:dyDescent="0.25">
      <c r="A52" s="583"/>
      <c r="B52" s="578"/>
      <c r="C52" s="82" t="str">
        <f>IF('CONSOLIDACION DEL MAPA'!P52="","",'CONSOLIDACION DEL MAPA'!P52)</f>
        <v>Reducir</v>
      </c>
      <c r="D52" s="82" t="str">
        <f>CRONOGRAMA!D52</f>
        <v>Realizar seguimiento a la ejecución de las actividades programadas para investigación</v>
      </c>
      <c r="E52" s="132" t="str">
        <f>IF(CRONOGRAMA!F52="", "",CRONOGRAMA!F52)</f>
        <v xml:space="preserve">Actas de seguimiento a Proyectos del Plan de Acción (DE-F08) </v>
      </c>
      <c r="F52" s="132">
        <f>IF(CRONOGRAMA!G52="", "",CRONOGRAMA!G52)</f>
        <v>2</v>
      </c>
      <c r="G52" s="128">
        <f>IF(CRONOGRAMA!H52="", "",CRONOGRAMA!H52)</f>
        <v>42388</v>
      </c>
      <c r="H52" s="128">
        <f>IF(CRONOGRAMA!I52="", "",CRONOGRAMA!I52)</f>
        <v>42723</v>
      </c>
      <c r="I52" s="84">
        <f t="shared" si="98"/>
        <v>47.857142857142854</v>
      </c>
      <c r="J52" s="160" t="str">
        <f>IF($P$6="Indique Fecha Seguimiento","",IF(CRONOGRAMA!$E52="No Aplica","NA",IF($G52="","",IF(YEAR($G52)&lt;YEAR($P$6)," A ",IF(YEAR($G52)=YEAR($P$6),IF(MONTH($G52)&lt;=4," A ","NA"),IF(YEAR($G52)&gt;YEAR($P$6),"NA"))))))</f>
        <v xml:space="preserve"> A </v>
      </c>
      <c r="K52" s="400">
        <v>1</v>
      </c>
      <c r="L52" s="401" t="s">
        <v>886</v>
      </c>
      <c r="M52" s="400">
        <v>1</v>
      </c>
      <c r="N52" s="348">
        <f t="shared" si="99"/>
        <v>0.5</v>
      </c>
      <c r="O52" s="349" t="s">
        <v>353</v>
      </c>
      <c r="P52" s="44"/>
      <c r="Q52" s="84">
        <f t="shared" si="100"/>
        <v>23.928571428571427</v>
      </c>
      <c r="R52" s="84">
        <f t="shared" si="101"/>
        <v>23.928571428571427</v>
      </c>
      <c r="S52" s="84">
        <f t="shared" si="3"/>
        <v>47.857142857142854</v>
      </c>
      <c r="T52" s="160" t="str">
        <f>IF($Z$6="Indique Fecha Seguimiento","",IF(CRONOGRAMA!$E52="No Aplica","NA",IF($G52="","",IF(YEAR($G52)&lt;YEAR($Z$6)," A ",IF(YEAR($G52)=YEAR($Z$6),IF(MONTH($G52)&lt;=8," A ","NA"),IF(YEAR($G52)&gt;YEAR($Z$6),"NA"))))))</f>
        <v xml:space="preserve"> A </v>
      </c>
      <c r="U52" s="407">
        <v>1</v>
      </c>
      <c r="V52" s="401" t="s">
        <v>886</v>
      </c>
      <c r="W52" s="351">
        <v>1</v>
      </c>
      <c r="X52" s="348">
        <f t="shared" si="102"/>
        <v>0.5</v>
      </c>
      <c r="Y52" s="349" t="s">
        <v>353</v>
      </c>
      <c r="Z52" s="402" t="s">
        <v>921</v>
      </c>
      <c r="AA52" s="84">
        <f t="shared" si="103"/>
        <v>23.928571428571427</v>
      </c>
      <c r="AB52" s="84">
        <f t="shared" si="104"/>
        <v>23.928571428571427</v>
      </c>
      <c r="AC52" s="84">
        <f t="shared" si="6"/>
        <v>47.857142857142854</v>
      </c>
      <c r="AD52" s="160" t="str">
        <f>IF($AJ$6="Indique Fecha Seguimiento","",IF(CRONOGRAMA!$E52="No Aplica","NA",IF($G52="","",IF(YEAR($G52)&lt;YEAR($AJ$6)," A ",IF(YEAR($G52)=YEAR($AJ$6),IF(MONTH($G52)&lt;=12," A ","NA"),IF(YEAR($G52)&gt;YEAR($AJ$6),"NA"))))))</f>
        <v xml:space="preserve"> A </v>
      </c>
      <c r="AE52" s="713">
        <v>2</v>
      </c>
      <c r="AF52" s="347" t="s">
        <v>886</v>
      </c>
      <c r="AG52" s="351">
        <v>2</v>
      </c>
      <c r="AH52" s="348">
        <f t="shared" si="105"/>
        <v>1</v>
      </c>
      <c r="AI52" s="349" t="s">
        <v>11</v>
      </c>
      <c r="AJ52" s="44" t="str">
        <f>AF52</f>
        <v>Desde el mes de Enero se inició el desarrollo de los proyectos y programas previstos en el Plan de Acción.</v>
      </c>
      <c r="AK52" s="81">
        <f t="shared" si="106"/>
        <v>47.857142857142854</v>
      </c>
      <c r="AL52" s="84">
        <f t="shared" si="107"/>
        <v>47.857142857142854</v>
      </c>
      <c r="AM52" s="84">
        <f t="shared" si="10"/>
        <v>47.857142857142854</v>
      </c>
      <c r="AN52" s="579"/>
      <c r="AO52" s="580"/>
      <c r="AP52" s="581"/>
      <c r="AQ52" s="581"/>
      <c r="AR52" s="582"/>
      <c r="AS52" s="582"/>
      <c r="AT52" s="582"/>
      <c r="AU52" s="572"/>
      <c r="AV52" s="573"/>
      <c r="AW52" s="574"/>
      <c r="AX52" t="str">
        <f t="shared" si="118"/>
        <v>Desde el mes de Enero se inició el desarrollo de los proyectos y programas previstos en el Plan de Acción.</v>
      </c>
    </row>
    <row r="53" spans="1:50" ht="173.25" x14ac:dyDescent="0.25">
      <c r="A53" s="583"/>
      <c r="B53" s="578"/>
      <c r="C53" s="82" t="str">
        <f>IF('CONSOLIDACION DEL MAPA'!P53="","",'CONSOLIDACION DEL MAPA'!P53)</f>
        <v>Reducir</v>
      </c>
      <c r="D53" s="82" t="str">
        <f>CRONOGRAMA!D53</f>
        <v>Mejorar el sistema de información SIVI</v>
      </c>
      <c r="E53" s="132" t="str">
        <f>IF(CRONOGRAMA!F53="", "",CRONOGRAMA!F53)</f>
        <v>Control de recursos e indicadores del Plan de acción en el SIVI</v>
      </c>
      <c r="F53" s="132">
        <f>IF(CRONOGRAMA!G53="", "",CRONOGRAMA!G53)</f>
        <v>1</v>
      </c>
      <c r="G53" s="128">
        <f>IF(CRONOGRAMA!H53="", "",CRONOGRAMA!H53)</f>
        <v>42388</v>
      </c>
      <c r="H53" s="128">
        <f>IF(CRONOGRAMA!I53="", "",CRONOGRAMA!I53)</f>
        <v>42723</v>
      </c>
      <c r="I53" s="84">
        <f t="shared" si="98"/>
        <v>47.857142857142854</v>
      </c>
      <c r="J53" s="160" t="str">
        <f>IF($P$6="Indique Fecha Seguimiento","",IF(CRONOGRAMA!$E53="No Aplica","NA",IF($G53="","",IF(YEAR($G53)&lt;YEAR($P$6)," A ",IF(YEAR($G53)=YEAR($P$6),IF(MONTH($G53)&lt;=4," A ","NA"),IF(YEAR($G53)&gt;YEAR($P$6),"NA"))))))</f>
        <v xml:space="preserve"> A </v>
      </c>
      <c r="K53" s="400">
        <v>0.25</v>
      </c>
      <c r="L53" s="401" t="s">
        <v>887</v>
      </c>
      <c r="M53" s="400">
        <v>0.25</v>
      </c>
      <c r="N53" s="348">
        <f t="shared" si="99"/>
        <v>0.25</v>
      </c>
      <c r="O53" s="349" t="s">
        <v>353</v>
      </c>
      <c r="P53" s="44"/>
      <c r="Q53" s="84">
        <f t="shared" si="100"/>
        <v>11.964285714285714</v>
      </c>
      <c r="R53" s="84">
        <f t="shared" si="101"/>
        <v>11.964285714285714</v>
      </c>
      <c r="S53" s="84">
        <f t="shared" si="3"/>
        <v>47.857142857142854</v>
      </c>
      <c r="T53" s="160" t="str">
        <f>IF($Z$6="Indique Fecha Seguimiento","",IF(CRONOGRAMA!$E53="No Aplica","NA",IF($G53="","",IF(YEAR($G53)&lt;YEAR($Z$6)," A ",IF(YEAR($G53)=YEAR($Z$6),IF(MONTH($G53)&lt;=8," A ","NA"),IF(YEAR($G53)&gt;YEAR($Z$6),"NA"))))))</f>
        <v xml:space="preserve"> A </v>
      </c>
      <c r="U53" s="406">
        <v>0.65</v>
      </c>
      <c r="V53" s="401" t="s">
        <v>919</v>
      </c>
      <c r="W53" s="351">
        <v>0.65</v>
      </c>
      <c r="X53" s="348">
        <f t="shared" si="102"/>
        <v>0.65</v>
      </c>
      <c r="Y53" s="349" t="s">
        <v>353</v>
      </c>
      <c r="Z53" s="402" t="s">
        <v>922</v>
      </c>
      <c r="AA53" s="84">
        <f t="shared" si="103"/>
        <v>31.107142857142858</v>
      </c>
      <c r="AB53" s="84">
        <f t="shared" si="104"/>
        <v>31.107142857142858</v>
      </c>
      <c r="AC53" s="84">
        <f t="shared" si="6"/>
        <v>47.857142857142854</v>
      </c>
      <c r="AD53" s="160" t="str">
        <f>IF($AJ$6="Indique Fecha Seguimiento","",IF(CRONOGRAMA!$E53="No Aplica","NA",IF($G53="","",IF(YEAR($G53)&lt;YEAR($AJ$6)," A ",IF(YEAR($G53)=YEAR($AJ$6),IF(MONTH($G53)&lt;=12," A ","NA"),IF(YEAR($G53)&gt;YEAR($AJ$6),"NA"))))))</f>
        <v xml:space="preserve"> A </v>
      </c>
      <c r="AE53" s="714">
        <v>0.95</v>
      </c>
      <c r="AF53" s="347" t="s">
        <v>919</v>
      </c>
      <c r="AG53" s="351">
        <v>0.95</v>
      </c>
      <c r="AH53" s="348">
        <f t="shared" si="105"/>
        <v>0.95</v>
      </c>
      <c r="AI53" s="349" t="s">
        <v>11</v>
      </c>
      <c r="AJ53" s="44" t="str">
        <f>AF53</f>
        <v xml:space="preserve">En el SIVI se han implementado las siguientes mejoras: 
Control de pagos de ordenes.
Alertas a las ordenes a punto de vencerse y vencidas.
Reprogramación del módulo de movilidad
</v>
      </c>
      <c r="AK53" s="81">
        <f t="shared" si="106"/>
        <v>45.464285714285708</v>
      </c>
      <c r="AL53" s="84">
        <f t="shared" si="107"/>
        <v>45.464285714285708</v>
      </c>
      <c r="AM53" s="84">
        <f t="shared" si="10"/>
        <v>47.857142857142854</v>
      </c>
      <c r="AN53" s="579"/>
      <c r="AO53" s="580"/>
      <c r="AP53" s="581"/>
      <c r="AQ53" s="581"/>
      <c r="AR53" s="582"/>
      <c r="AS53" s="582"/>
      <c r="AT53" s="582"/>
      <c r="AU53" s="572"/>
      <c r="AV53" s="573"/>
      <c r="AW53" s="574"/>
      <c r="AX53" t="str">
        <f t="shared" si="118"/>
        <v xml:space="preserve">En el SIVI se han implementado las siguientes mejoras: 
Control de pagos de ordenes.
Alertas a las ordenes a punto de vencerse y vencidas.
Reprogramación del módulo de movilidad
</v>
      </c>
    </row>
    <row r="54" spans="1:50" ht="78.75" x14ac:dyDescent="0.25">
      <c r="A54" s="583" t="str">
        <f>CRONOGRAMA!A54</f>
        <v>16G</v>
      </c>
      <c r="B54" s="578" t="str">
        <f>CRONOGRAMA!B54</f>
        <v>Gestión de Investigación. Deficiente cumplimiento del plan de acción de la Vicerrectoría de Investigación</v>
      </c>
      <c r="C54" s="82" t="str">
        <f>IF('CONSOLIDACION DEL MAPA'!P54="","",'CONSOLIDACION DEL MAPA'!P54)</f>
        <v>Reducir</v>
      </c>
      <c r="D54" s="82" t="str">
        <f>CRONOGRAMA!D54</f>
        <v>Realizar Seguimiento al plan de acción</v>
      </c>
      <c r="E54" s="132" t="str">
        <f>IF(CRONOGRAMA!F54="", "",CRONOGRAMA!F54)</f>
        <v xml:space="preserve">Actas de seguimiento a Proyectos del Plan de Acción (DE-F08) </v>
      </c>
      <c r="F54" s="132">
        <f>IF(CRONOGRAMA!G54="", "",CRONOGRAMA!G54)</f>
        <v>2</v>
      </c>
      <c r="G54" s="128">
        <f>IF(CRONOGRAMA!H54="", "",CRONOGRAMA!H54)</f>
        <v>42388</v>
      </c>
      <c r="H54" s="128">
        <f>IF(CRONOGRAMA!I54="", "",CRONOGRAMA!I54)</f>
        <v>42723</v>
      </c>
      <c r="I54" s="84">
        <f t="shared" si="98"/>
        <v>47.857142857142854</v>
      </c>
      <c r="J54" s="160" t="str">
        <f>IF($P$6="Indique Fecha Seguimiento","",IF(CRONOGRAMA!$E54="No Aplica","NA",IF($G54="","",IF(YEAR($G54)&lt;YEAR($P$6)," A ",IF(YEAR($G54)=YEAR($P$6),IF(MONTH($G54)&lt;=4," A ","NA"),IF(YEAR($G54)&gt;YEAR($P$6),"NA"))))))</f>
        <v xml:space="preserve"> A </v>
      </c>
      <c r="K54" s="400">
        <v>0.5</v>
      </c>
      <c r="L54" s="401" t="s">
        <v>886</v>
      </c>
      <c r="M54" s="400">
        <v>0</v>
      </c>
      <c r="N54" s="348">
        <f t="shared" si="99"/>
        <v>0</v>
      </c>
      <c r="O54" s="349" t="s">
        <v>353</v>
      </c>
      <c r="P54" s="44" t="s">
        <v>912</v>
      </c>
      <c r="Q54" s="84">
        <f t="shared" si="100"/>
        <v>0</v>
      </c>
      <c r="R54" s="84">
        <f t="shared" si="101"/>
        <v>0</v>
      </c>
      <c r="S54" s="84">
        <f t="shared" si="3"/>
        <v>47.857142857142854</v>
      </c>
      <c r="T54" s="160" t="str">
        <f>IF($Z$6="Indique Fecha Seguimiento","",IF(CRONOGRAMA!$E54="No Aplica","NA",IF($G54="","",IF(YEAR($G54)&lt;YEAR($Z$6)," A ",IF(YEAR($G54)=YEAR($Z$6),IF(MONTH($G54)&lt;=8," A ","NA"),IF(YEAR($G54)&gt;YEAR($Z$6),"NA"))))))</f>
        <v xml:space="preserve"> A </v>
      </c>
      <c r="U54" s="407">
        <v>1</v>
      </c>
      <c r="V54" s="401" t="s">
        <v>886</v>
      </c>
      <c r="W54" s="351">
        <v>1</v>
      </c>
      <c r="X54" s="348">
        <f t="shared" si="102"/>
        <v>0.5</v>
      </c>
      <c r="Y54" s="349" t="s">
        <v>353</v>
      </c>
      <c r="Z54" s="402" t="s">
        <v>921</v>
      </c>
      <c r="AA54" s="84">
        <f t="shared" si="103"/>
        <v>23.928571428571427</v>
      </c>
      <c r="AB54" s="84">
        <f t="shared" si="104"/>
        <v>23.928571428571427</v>
      </c>
      <c r="AC54" s="84">
        <f t="shared" si="6"/>
        <v>47.857142857142854</v>
      </c>
      <c r="AD54" s="160" t="str">
        <f>IF($AJ$6="Indique Fecha Seguimiento","",IF(CRONOGRAMA!$E54="No Aplica","NA",IF($G54="","",IF(YEAR($G54)&lt;YEAR($AJ$6)," A ",IF(YEAR($G54)=YEAR($AJ$6),IF(MONTH($G54)&lt;=12," A ","NA"),IF(YEAR($G54)&gt;YEAR($AJ$6),"NA"))))))</f>
        <v xml:space="preserve"> A </v>
      </c>
      <c r="AE54" s="715">
        <v>2</v>
      </c>
      <c r="AF54" s="347" t="s">
        <v>886</v>
      </c>
      <c r="AG54" s="351">
        <v>2</v>
      </c>
      <c r="AH54" s="348">
        <f t="shared" si="105"/>
        <v>1</v>
      </c>
      <c r="AI54" s="349" t="s">
        <v>11</v>
      </c>
      <c r="AJ54" s="44" t="str">
        <f>AF54</f>
        <v>Desde el mes de Enero se inició el desarrollo de los proyectos y programas previstos en el Plan de Acción.</v>
      </c>
      <c r="AK54" s="81">
        <f t="shared" si="106"/>
        <v>47.857142857142854</v>
      </c>
      <c r="AL54" s="84">
        <f t="shared" si="107"/>
        <v>47.857142857142854</v>
      </c>
      <c r="AM54" s="84">
        <f t="shared" si="10"/>
        <v>47.857142857142854</v>
      </c>
      <c r="AN54" s="579">
        <f t="shared" ref="AN54" si="159">SUM(I54:I56)</f>
        <v>143.57142857142856</v>
      </c>
      <c r="AO54" s="580">
        <f t="shared" ref="AO54" si="160">IF(AND(Q54="",Q55="",Q56=""),"",SUM(Q54:Q56))</f>
        <v>11.964285714285714</v>
      </c>
      <c r="AP54" s="581">
        <f t="shared" ref="AP54" si="161">IF(AND(AA54="",AA55="",AA56=""),"",SUM(AA54:AA56))</f>
        <v>71.785714285714278</v>
      </c>
      <c r="AQ54" s="581">
        <f t="shared" ref="AQ54" si="162">IF(AND(AK54="",AK55="",AK56=""),"",SUM(AK54:AK56))</f>
        <v>131.60714285714283</v>
      </c>
      <c r="AR54" s="582">
        <f t="shared" ref="AR54" si="163">IF(AO54="",IF($AU$6&lt;1,"",IF($AU$6&gt;=1,"NA")),IF(AO54=0,0,AO54/$AN54))</f>
        <v>8.3333333333333343E-2</v>
      </c>
      <c r="AS54" s="582">
        <f t="shared" ref="AS54" si="164">IF(AP54="",IF($AU$6&lt;2,"",IF($AU$6&gt;=2,"NA")),IF(AP54=0,0,AP54/$AN54))</f>
        <v>0.5</v>
      </c>
      <c r="AT54" s="582">
        <f t="shared" ref="AT54" si="165">IF(AS54&gt;=AR54,AS54,AR54)</f>
        <v>0.5</v>
      </c>
      <c r="AU54" s="572">
        <f t="shared" ref="AU54" si="166">IF(AQ54="",IF($AU$6&lt;3,"",IF($AU$6&gt;=3,"NA")),IF(AQ54=0,0,AQ54/$AN54))</f>
        <v>0.91666666666666663</v>
      </c>
      <c r="AV54" s="573">
        <f t="shared" ref="AV54" si="167">IF($AU$6=1,AR54,IF($AU$6=2,AS54,IF($AU$6=3,AU54,"")))</f>
        <v>0.91666666666666663</v>
      </c>
      <c r="AW54" s="574">
        <f t="shared" ref="AW54" si="168">AV54</f>
        <v>0.91666666666666663</v>
      </c>
      <c r="AX54" t="str">
        <f t="shared" si="118"/>
        <v>Desde el mes de Enero se inició el desarrollo de los proyectos y programas previstos en el Plan de Acción.</v>
      </c>
    </row>
    <row r="55" spans="1:50" ht="63.75" x14ac:dyDescent="0.25">
      <c r="A55" s="583"/>
      <c r="B55" s="578"/>
      <c r="C55" s="82" t="str">
        <f>IF('CONSOLIDACION DEL MAPA'!P55="","",'CONSOLIDACION DEL MAPA'!P55)</f>
        <v>Reducir</v>
      </c>
      <c r="D55" s="82" t="str">
        <f>CRONOGRAMA!D55</f>
        <v>hacer seguimiento a las tareas y compromisos adquiridos</v>
      </c>
      <c r="E55" s="132" t="str">
        <f>IF(CRONOGRAMA!F55="", "",CRONOGRAMA!F55)</f>
        <v xml:space="preserve">Actas de seguimiento a Proyectos del Plan de Acción (DE-F08) </v>
      </c>
      <c r="F55" s="132">
        <f>IF(CRONOGRAMA!G55="", "",CRONOGRAMA!G55)</f>
        <v>2</v>
      </c>
      <c r="G55" s="128">
        <f>IF(CRONOGRAMA!H55="", "",CRONOGRAMA!H55)</f>
        <v>42388</v>
      </c>
      <c r="H55" s="128">
        <f>IF(CRONOGRAMA!I55="", "",CRONOGRAMA!I55)</f>
        <v>42723</v>
      </c>
      <c r="I55" s="84">
        <f t="shared" si="98"/>
        <v>47.857142857142854</v>
      </c>
      <c r="J55" s="160" t="str">
        <f>IF($P$6="Indique Fecha Seguimiento","",IF(CRONOGRAMA!$E55="No Aplica","NA",IF($G55="","",IF(YEAR($G55)&lt;YEAR($P$6)," A ",IF(YEAR($G55)=YEAR($P$6),IF(MONTH($G55)&lt;=4," A ","NA"),IF(YEAR($G55)&gt;YEAR($P$6),"NA"))))))</f>
        <v xml:space="preserve"> A </v>
      </c>
      <c r="K55" s="400">
        <v>0.5</v>
      </c>
      <c r="L55" s="401" t="s">
        <v>888</v>
      </c>
      <c r="M55" s="400">
        <v>0</v>
      </c>
      <c r="N55" s="348">
        <f t="shared" si="99"/>
        <v>0</v>
      </c>
      <c r="O55" s="349" t="s">
        <v>353</v>
      </c>
      <c r="P55" s="44" t="s">
        <v>912</v>
      </c>
      <c r="Q55" s="84">
        <f t="shared" si="100"/>
        <v>0</v>
      </c>
      <c r="R55" s="84">
        <f t="shared" si="101"/>
        <v>0</v>
      </c>
      <c r="S55" s="84">
        <f t="shared" si="3"/>
        <v>47.857142857142854</v>
      </c>
      <c r="T55" s="160" t="str">
        <f>IF($Z$6="Indique Fecha Seguimiento","",IF(CRONOGRAMA!$E55="No Aplica","NA",IF($G55="","",IF(YEAR($G55)&lt;YEAR($Z$6)," A ",IF(YEAR($G55)=YEAR($Z$6),IF(MONTH($G55)&lt;=8," A ","NA"),IF(YEAR($G55)&gt;YEAR($Z$6),"NA"))))))</f>
        <v xml:space="preserve"> A </v>
      </c>
      <c r="U55" s="407">
        <v>1</v>
      </c>
      <c r="V55" s="401" t="s">
        <v>923</v>
      </c>
      <c r="W55" s="351">
        <v>1</v>
      </c>
      <c r="X55" s="348">
        <f t="shared" si="102"/>
        <v>0.5</v>
      </c>
      <c r="Y55" s="349" t="s">
        <v>353</v>
      </c>
      <c r="Z55" s="402" t="str">
        <f>V55</f>
        <v xml:space="preserve">En el sistema de INVERSIÓN de Planeación se está llevando el seguimiento al PAI.  </v>
      </c>
      <c r="AA55" s="84">
        <f t="shared" si="103"/>
        <v>23.928571428571427</v>
      </c>
      <c r="AB55" s="84">
        <f t="shared" si="104"/>
        <v>23.928571428571427</v>
      </c>
      <c r="AC55" s="84">
        <f t="shared" si="6"/>
        <v>47.857142857142854</v>
      </c>
      <c r="AD55" s="160" t="str">
        <f>IF($AJ$6="Indique Fecha Seguimiento","",IF(CRONOGRAMA!$E55="No Aplica","NA",IF($G55="","",IF(YEAR($G55)&lt;YEAR($AJ$6)," A ",IF(YEAR($G55)=YEAR($AJ$6),IF(MONTH($G55)&lt;=12," A ","NA"),IF(YEAR($G55)&gt;YEAR($AJ$6),"NA"))))))</f>
        <v xml:space="preserve"> A </v>
      </c>
      <c r="AE55" s="715">
        <v>2</v>
      </c>
      <c r="AF55" s="347" t="s">
        <v>923</v>
      </c>
      <c r="AG55" s="351">
        <v>2</v>
      </c>
      <c r="AH55" s="348">
        <f t="shared" si="105"/>
        <v>1</v>
      </c>
      <c r="AI55" s="349" t="s">
        <v>11</v>
      </c>
      <c r="AJ55" s="44" t="str">
        <f>Z55</f>
        <v xml:space="preserve">En el sistema de INVERSIÓN de Planeación se está llevando el seguimiento al PAI.  </v>
      </c>
      <c r="AK55" s="81">
        <f t="shared" si="106"/>
        <v>47.857142857142854</v>
      </c>
      <c r="AL55" s="84">
        <f t="shared" si="107"/>
        <v>47.857142857142854</v>
      </c>
      <c r="AM55" s="84">
        <f t="shared" si="10"/>
        <v>47.857142857142854</v>
      </c>
      <c r="AN55" s="579"/>
      <c r="AO55" s="580"/>
      <c r="AP55" s="581"/>
      <c r="AQ55" s="581"/>
      <c r="AR55" s="582"/>
      <c r="AS55" s="582"/>
      <c r="AT55" s="582"/>
      <c r="AU55" s="572"/>
      <c r="AV55" s="573"/>
      <c r="AW55" s="574"/>
      <c r="AX55" t="str">
        <f t="shared" si="118"/>
        <v xml:space="preserve">En el sistema de INVERSIÓN de Planeación se está llevando el seguimiento al PAI.  </v>
      </c>
    </row>
    <row r="56" spans="1:50" ht="38.25" x14ac:dyDescent="0.25">
      <c r="A56" s="583"/>
      <c r="B56" s="578"/>
      <c r="C56" s="82" t="str">
        <f>IF('CONSOLIDACION DEL MAPA'!P56="","",'CONSOLIDACION DEL MAPA'!P56)</f>
        <v>Reducir</v>
      </c>
      <c r="D56" s="82" t="str">
        <f>CRONOGRAMA!D56</f>
        <v>Realizar seguimiento a la publicaciones de boletines</v>
      </c>
      <c r="E56" s="132" t="str">
        <f>IF(CRONOGRAMA!F56="", "",CRONOGRAMA!F56)</f>
        <v>Boletines de la VDI</v>
      </c>
      <c r="F56" s="132">
        <f>IF(CRONOGRAMA!G56="", "",CRONOGRAMA!G56)</f>
        <v>4</v>
      </c>
      <c r="G56" s="128">
        <f>IF(CRONOGRAMA!H56="", "",CRONOGRAMA!H56)</f>
        <v>42388</v>
      </c>
      <c r="H56" s="128">
        <f>IF(CRONOGRAMA!I56="", "",CRONOGRAMA!I56)</f>
        <v>42723</v>
      </c>
      <c r="I56" s="84">
        <f t="shared" si="98"/>
        <v>47.857142857142854</v>
      </c>
      <c r="J56" s="160" t="str">
        <f>IF($P$6="Indique Fecha Seguimiento","",IF(CRONOGRAMA!$E56="No Aplica","NA",IF($G56="","",IF(YEAR($G56)&lt;YEAR($P$6)," A ",IF(YEAR($G56)=YEAR($P$6),IF(MONTH($G56)&lt;=4," A ","NA"),IF(YEAR($G56)&gt;YEAR($P$6),"NA"))))))</f>
        <v xml:space="preserve"> A </v>
      </c>
      <c r="K56" s="400">
        <v>1</v>
      </c>
      <c r="L56" s="401" t="s">
        <v>889</v>
      </c>
      <c r="M56" s="400">
        <v>1</v>
      </c>
      <c r="N56" s="348">
        <f t="shared" si="99"/>
        <v>0.25</v>
      </c>
      <c r="O56" s="349" t="s">
        <v>353</v>
      </c>
      <c r="P56" s="44"/>
      <c r="Q56" s="84">
        <f t="shared" si="100"/>
        <v>11.964285714285714</v>
      </c>
      <c r="R56" s="84">
        <f t="shared" si="101"/>
        <v>11.964285714285714</v>
      </c>
      <c r="S56" s="84">
        <f t="shared" si="3"/>
        <v>47.857142857142854</v>
      </c>
      <c r="T56" s="160" t="str">
        <f>IF($Z$6="Indique Fecha Seguimiento","",IF(CRONOGRAMA!$E56="No Aplica","NA",IF($G56="","",IF(YEAR($G56)&lt;YEAR($Z$6)," A ",IF(YEAR($G56)=YEAR($Z$6),IF(MONTH($G56)&lt;=8," A ","NA"),IF(YEAR($G56)&gt;YEAR($Z$6),"NA"))))))</f>
        <v xml:space="preserve"> A </v>
      </c>
      <c r="U56" s="407">
        <v>2</v>
      </c>
      <c r="V56" s="401" t="s">
        <v>924</v>
      </c>
      <c r="W56" s="351">
        <v>2</v>
      </c>
      <c r="X56" s="348">
        <f t="shared" si="102"/>
        <v>0.5</v>
      </c>
      <c r="Y56" s="349" t="s">
        <v>353</v>
      </c>
      <c r="Z56" s="402" t="str">
        <f>V56</f>
        <v>Se han realizado 2 boletínes a la fecha.</v>
      </c>
      <c r="AA56" s="84">
        <f t="shared" si="103"/>
        <v>23.928571428571427</v>
      </c>
      <c r="AB56" s="84">
        <f t="shared" si="104"/>
        <v>23.928571428571427</v>
      </c>
      <c r="AC56" s="84">
        <f t="shared" si="6"/>
        <v>47.857142857142854</v>
      </c>
      <c r="AD56" s="160" t="str">
        <f>IF($AJ$6="Indique Fecha Seguimiento","",IF(CRONOGRAMA!$E56="No Aplica","NA",IF($G56="","",IF(YEAR($G56)&lt;YEAR($AJ$6)," A ",IF(YEAR($G56)=YEAR($AJ$6),IF(MONTH($G56)&lt;=12," A ","NA"),IF(YEAR($G56)&gt;YEAR($AJ$6),"NA"))))))</f>
        <v xml:space="preserve"> A </v>
      </c>
      <c r="AE56" s="350">
        <v>3</v>
      </c>
      <c r="AF56" s="44" t="s">
        <v>985</v>
      </c>
      <c r="AG56" s="351">
        <v>3</v>
      </c>
      <c r="AH56" s="348">
        <f t="shared" si="105"/>
        <v>0.75</v>
      </c>
      <c r="AI56" s="349" t="s">
        <v>10</v>
      </c>
      <c r="AJ56" s="44" t="str">
        <f>AF56</f>
        <v>se realizaron 3 boletines.</v>
      </c>
      <c r="AK56" s="81">
        <f t="shared" si="106"/>
        <v>35.892857142857139</v>
      </c>
      <c r="AL56" s="84">
        <f t="shared" si="107"/>
        <v>0</v>
      </c>
      <c r="AM56" s="84">
        <f t="shared" si="10"/>
        <v>47.857142857142854</v>
      </c>
      <c r="AN56" s="579"/>
      <c r="AO56" s="580"/>
      <c r="AP56" s="581"/>
      <c r="AQ56" s="581"/>
      <c r="AR56" s="582"/>
      <c r="AS56" s="582"/>
      <c r="AT56" s="582"/>
      <c r="AU56" s="572"/>
      <c r="AV56" s="573"/>
      <c r="AW56" s="574"/>
      <c r="AX56" t="str">
        <f t="shared" si="118"/>
        <v>se realizaron 3 boletines.</v>
      </c>
    </row>
    <row r="57" spans="1:50" ht="63" x14ac:dyDescent="0.25">
      <c r="A57" s="583" t="str">
        <f>CRONOGRAMA!A57</f>
        <v>17G</v>
      </c>
      <c r="B57" s="578" t="str">
        <f>CRONOGRAMA!B57</f>
        <v>Gestión de Extensión y Proyección Social. Incumplimiento en los compromisos establecidos en la formalización de los proyectos.</v>
      </c>
      <c r="C57" s="82" t="str">
        <f>IF('CONSOLIDACION DEL MAPA'!P57="","",'CONSOLIDACION DEL MAPA'!P57)</f>
        <v>Reducir</v>
      </c>
      <c r="D57" s="82" t="str">
        <f>CRONOGRAMA!D57</f>
        <v>Auto evaluación de los procesos.</v>
      </c>
      <c r="E57" s="132" t="str">
        <f>IF(CRONOGRAMA!F57="", "",CRONOGRAMA!F57)</f>
        <v>Informes</v>
      </c>
      <c r="F57" s="132">
        <f>IF(CRONOGRAMA!G57="", "",CRONOGRAMA!G57)</f>
        <v>1</v>
      </c>
      <c r="G57" s="128">
        <f>IF(CRONOGRAMA!H57="", "",CRONOGRAMA!H57)</f>
        <v>42398</v>
      </c>
      <c r="H57" s="128">
        <f>IF(CRONOGRAMA!I57="", "",CRONOGRAMA!I57)</f>
        <v>42704</v>
      </c>
      <c r="I57" s="84">
        <f t="shared" si="98"/>
        <v>43.714285714285715</v>
      </c>
      <c r="J57" s="160" t="str">
        <f>IF($P$6="Indique Fecha Seguimiento","",IF(CRONOGRAMA!$E57="No Aplica","NA",IF($G57="","",IF(YEAR($G57)&lt;YEAR($P$6)," A ",IF(YEAR($G57)=YEAR($P$6),IF(MONTH($G57)&lt;=4," A ","NA"),IF(YEAR($G57)&gt;YEAR($P$6),"NA"))))))</f>
        <v xml:space="preserve"> A </v>
      </c>
      <c r="K57" s="400">
        <v>0.25</v>
      </c>
      <c r="L57" s="401" t="s">
        <v>890</v>
      </c>
      <c r="M57" s="400">
        <v>0</v>
      </c>
      <c r="N57" s="348">
        <f t="shared" si="99"/>
        <v>0</v>
      </c>
      <c r="O57" s="349" t="s">
        <v>353</v>
      </c>
      <c r="P57" s="44" t="s">
        <v>913</v>
      </c>
      <c r="Q57" s="84">
        <f t="shared" si="100"/>
        <v>0</v>
      </c>
      <c r="R57" s="84">
        <f t="shared" si="101"/>
        <v>0</v>
      </c>
      <c r="S57" s="84">
        <f t="shared" si="3"/>
        <v>43.714285714285715</v>
      </c>
      <c r="T57" s="160" t="str">
        <f>IF($Z$6="Indique Fecha Seguimiento","",IF(CRONOGRAMA!$E57="No Aplica","NA",IF($G57="","",IF(YEAR($G57)&lt;YEAR($Z$6)," A ",IF(YEAR($G57)=YEAR($Z$6),IF(MONTH($G57)&lt;=8," A ","NA"),IF(YEAR($G57)&gt;YEAR($Z$6),"NA"))))))</f>
        <v xml:space="preserve"> A </v>
      </c>
      <c r="U57" s="410">
        <v>0.66600000000000004</v>
      </c>
      <c r="V57" s="401" t="s">
        <v>890</v>
      </c>
      <c r="W57" s="351">
        <v>0.67</v>
      </c>
      <c r="X57" s="348">
        <f t="shared" si="102"/>
        <v>0.67</v>
      </c>
      <c r="Y57" s="349" t="s">
        <v>353</v>
      </c>
      <c r="Z57" s="402" t="s">
        <v>932</v>
      </c>
      <c r="AA57" s="84">
        <f t="shared" si="103"/>
        <v>29.28857142857143</v>
      </c>
      <c r="AB57" s="84">
        <f t="shared" si="104"/>
        <v>29.28857142857143</v>
      </c>
      <c r="AC57" s="84">
        <f t="shared" si="6"/>
        <v>43.714285714285715</v>
      </c>
      <c r="AD57" s="160" t="str">
        <f>IF($AJ$6="Indique Fecha Seguimiento","",IF(CRONOGRAMA!$E57="No Aplica","NA",IF($G57="","",IF(YEAR($G57)&lt;YEAR($AJ$6)," A ",IF(YEAR($G57)=YEAR($AJ$6),IF(MONTH($G57)&lt;=12," A ","NA"),IF(YEAR($G57)&gt;YEAR($AJ$6),"NA"))))))</f>
        <v xml:space="preserve"> A </v>
      </c>
      <c r="AE57" s="350">
        <v>0.67</v>
      </c>
      <c r="AF57" s="420" t="s">
        <v>988</v>
      </c>
      <c r="AG57" s="351">
        <v>0.67</v>
      </c>
      <c r="AH57" s="348">
        <f t="shared" si="105"/>
        <v>0.67</v>
      </c>
      <c r="AI57" s="349" t="s">
        <v>11</v>
      </c>
      <c r="AJ57" s="44" t="str">
        <f>AF57</f>
        <v>No se ejecuto esta accion al 100% pero se replntea para la actualizacion del mapa de riesgo 2017</v>
      </c>
      <c r="AK57" s="81">
        <f t="shared" si="106"/>
        <v>29.28857142857143</v>
      </c>
      <c r="AL57" s="84">
        <f t="shared" si="107"/>
        <v>29.28857142857143</v>
      </c>
      <c r="AM57" s="84">
        <f t="shared" si="10"/>
        <v>43.714285714285715</v>
      </c>
      <c r="AN57" s="579">
        <f t="shared" ref="AN57" si="169">SUM(I57:I59)</f>
        <v>43.714285714285715</v>
      </c>
      <c r="AO57" s="580">
        <f t="shared" ref="AO57" si="170">IF(AND(Q57="",Q58="",Q59=""),"",SUM(Q57:Q59))</f>
        <v>0</v>
      </c>
      <c r="AP57" s="581">
        <f t="shared" ref="AP57" si="171">IF(AND(AA57="",AA58="",AA59=""),"",SUM(AA57:AA59))</f>
        <v>29.28857142857143</v>
      </c>
      <c r="AQ57" s="581">
        <f t="shared" ref="AQ57" si="172">IF(AND(AK57="",AK58="",AK59=""),"",SUM(AK57:AK59))</f>
        <v>29.28857142857143</v>
      </c>
      <c r="AR57" s="582">
        <f t="shared" ref="AR57" si="173">IF(AO57="",IF($AU$6&lt;1,"",IF($AU$6&gt;=1,"NA")),IF(AO57=0,0,AO57/$AN57))</f>
        <v>0</v>
      </c>
      <c r="AS57" s="582">
        <f t="shared" ref="AS57" si="174">IF(AP57="",IF($AU$6&lt;2,"",IF($AU$6&gt;=2,"NA")),IF(AP57=0,0,AP57/$AN57))</f>
        <v>0.67</v>
      </c>
      <c r="AT57" s="582">
        <f t="shared" ref="AT57" si="175">IF(AS57&gt;=AR57,AS57,AR57)</f>
        <v>0.67</v>
      </c>
      <c r="AU57" s="572">
        <f t="shared" ref="AU57" si="176">IF(AQ57="",IF($AU$6&lt;3,"",IF($AU$6&gt;=3,"NA")),IF(AQ57=0,0,AQ57/$AN57))</f>
        <v>0.67</v>
      </c>
      <c r="AV57" s="573">
        <f t="shared" ref="AV57" si="177">IF($AU$6=1,AR57,IF($AU$6=2,AS57,IF($AU$6=3,AU57,"")))</f>
        <v>0.67</v>
      </c>
      <c r="AW57" s="574">
        <f t="shared" ref="AW57" si="178">AV57</f>
        <v>0.67</v>
      </c>
      <c r="AX57" t="str">
        <f t="shared" si="118"/>
        <v>No se ejecuto esta accion al 100% pero se replntea para la actualizacion del mapa de riesgo 2017</v>
      </c>
    </row>
    <row r="58" spans="1:50" ht="15.75" x14ac:dyDescent="0.25">
      <c r="A58" s="583"/>
      <c r="B58" s="578"/>
      <c r="C58" s="82" t="str">
        <f>IF('CONSOLIDACION DEL MAPA'!P58="","",'CONSOLIDACION DEL MAPA'!P58)</f>
        <v/>
      </c>
      <c r="D58" s="82" t="str">
        <f>CRONOGRAMA!D58</f>
        <v/>
      </c>
      <c r="E58" s="132" t="str">
        <f>IF(CRONOGRAMA!F58="", "",CRONOGRAMA!F58)</f>
        <v/>
      </c>
      <c r="F58" s="132" t="str">
        <f>IF(CRONOGRAMA!G58="", "",CRONOGRAMA!G58)</f>
        <v/>
      </c>
      <c r="G58" s="128" t="str">
        <f>IF(CRONOGRAMA!H58="", "",CRONOGRAMA!H58)</f>
        <v/>
      </c>
      <c r="H58" s="128" t="str">
        <f>IF(CRONOGRAMA!I58="", "",CRONOGRAMA!I58)</f>
        <v/>
      </c>
      <c r="I58" s="84">
        <f t="shared" si="98"/>
        <v>0</v>
      </c>
      <c r="J58" s="160" t="str">
        <f>IF($P$6="Indique Fecha Seguimiento","",IF(CRONOGRAMA!$E58="No Aplica","NA",IF($G58="","",IF(YEAR($G58)&lt;YEAR($P$6)," A ",IF(YEAR($G58)=YEAR($P$6),IF(MONTH($G58)&lt;=4," A ","NA"),IF(YEAR($G58)&gt;YEAR($P$6),"NA"))))))</f>
        <v/>
      </c>
      <c r="K58" s="400"/>
      <c r="L58" s="401"/>
      <c r="M58" s="400"/>
      <c r="N58" s="348" t="str">
        <f t="shared" si="99"/>
        <v/>
      </c>
      <c r="O58" s="349"/>
      <c r="P58" s="44"/>
      <c r="Q58" s="84" t="str">
        <f t="shared" si="100"/>
        <v/>
      </c>
      <c r="R58" s="84" t="str">
        <f t="shared" si="101"/>
        <v/>
      </c>
      <c r="S58" s="84">
        <f t="shared" si="3"/>
        <v>0</v>
      </c>
      <c r="T58" s="160" t="str">
        <f>IF($Z$6="Indique Fecha Seguimiento","",IF(CRONOGRAMA!$E58="No Aplica","NA",IF($G58="","",IF(YEAR($G58)&lt;YEAR($Z$6)," A ",IF(YEAR($G58)=YEAR($Z$6),IF(MONTH($G58)&lt;=8," A ","NA"),IF(YEAR($G58)&gt;YEAR($Z$6),"NA"))))))</f>
        <v/>
      </c>
      <c r="U58" s="351"/>
      <c r="V58" s="44"/>
      <c r="W58" s="351"/>
      <c r="X58" s="348" t="str">
        <f t="shared" si="102"/>
        <v/>
      </c>
      <c r="Y58" s="349"/>
      <c r="Z58" s="402"/>
      <c r="AA58" s="84" t="str">
        <f t="shared" si="103"/>
        <v/>
      </c>
      <c r="AB58" s="84" t="str">
        <f t="shared" si="104"/>
        <v/>
      </c>
      <c r="AC58" s="84">
        <f t="shared" si="6"/>
        <v>0</v>
      </c>
      <c r="AD58" s="160" t="str">
        <f>IF($AJ$6="Indique Fecha Seguimiento","",IF(CRONOGRAMA!$E58="No Aplica","NA",IF($G58="","",IF(YEAR($G58)&lt;YEAR($AJ$6)," A ",IF(YEAR($G58)=YEAR($AJ$6),IF(MONTH($G58)&lt;=12," A ","NA"),IF(YEAR($G58)&gt;YEAR($AJ$6),"NA"))))))</f>
        <v/>
      </c>
      <c r="AE58" s="350"/>
      <c r="AF58" s="44"/>
      <c r="AG58" s="351"/>
      <c r="AH58" s="348" t="str">
        <f t="shared" si="105"/>
        <v/>
      </c>
      <c r="AI58" s="349"/>
      <c r="AJ58" s="44"/>
      <c r="AK58" s="81" t="str">
        <f t="shared" si="106"/>
        <v/>
      </c>
      <c r="AL58" s="84" t="str">
        <f t="shared" si="107"/>
        <v/>
      </c>
      <c r="AM58" s="84">
        <f t="shared" si="10"/>
        <v>0</v>
      </c>
      <c r="AN58" s="579"/>
      <c r="AO58" s="580"/>
      <c r="AP58" s="581"/>
      <c r="AQ58" s="581"/>
      <c r="AR58" s="582"/>
      <c r="AS58" s="582"/>
      <c r="AT58" s="582"/>
      <c r="AU58" s="572"/>
      <c r="AV58" s="573"/>
      <c r="AW58" s="574"/>
      <c r="AX58">
        <f t="shared" si="118"/>
        <v>0</v>
      </c>
    </row>
    <row r="59" spans="1:50" ht="84.75" customHeight="1" x14ac:dyDescent="0.25">
      <c r="A59" s="583"/>
      <c r="B59" s="578"/>
      <c r="C59" s="82" t="str">
        <f>IF('CONSOLIDACION DEL MAPA'!P59="","",'CONSOLIDACION DEL MAPA'!P59)</f>
        <v/>
      </c>
      <c r="D59" s="82" t="str">
        <f>CRONOGRAMA!D59</f>
        <v/>
      </c>
      <c r="E59" s="132" t="str">
        <f>IF(CRONOGRAMA!F59="", "",CRONOGRAMA!F59)</f>
        <v/>
      </c>
      <c r="F59" s="132" t="str">
        <f>IF(CRONOGRAMA!G59="", "",CRONOGRAMA!G59)</f>
        <v/>
      </c>
      <c r="G59" s="128" t="str">
        <f>IF(CRONOGRAMA!H59="", "",CRONOGRAMA!H59)</f>
        <v/>
      </c>
      <c r="H59" s="128" t="str">
        <f>IF(CRONOGRAMA!I59="", "",CRONOGRAMA!I59)</f>
        <v/>
      </c>
      <c r="I59" s="84">
        <f t="shared" si="98"/>
        <v>0</v>
      </c>
      <c r="J59" s="160" t="str">
        <f>IF($P$6="Indique Fecha Seguimiento","",IF(CRONOGRAMA!$E59="No Aplica","NA",IF($G59="","",IF(YEAR($G59)&lt;YEAR($P$6)," A ",IF(YEAR($G59)=YEAR($P$6),IF(MONTH($G59)&lt;=4," A ","NA"),IF(YEAR($G59)&gt;YEAR($P$6),"NA"))))))</f>
        <v/>
      </c>
      <c r="K59" s="400"/>
      <c r="L59" s="401"/>
      <c r="M59" s="400"/>
      <c r="N59" s="348" t="str">
        <f t="shared" si="99"/>
        <v/>
      </c>
      <c r="O59" s="349"/>
      <c r="P59" s="44"/>
      <c r="Q59" s="84" t="str">
        <f t="shared" si="100"/>
        <v/>
      </c>
      <c r="R59" s="84" t="str">
        <f t="shared" si="101"/>
        <v/>
      </c>
      <c r="S59" s="84">
        <f t="shared" si="3"/>
        <v>0</v>
      </c>
      <c r="T59" s="160" t="str">
        <f>IF($Z$6="Indique Fecha Seguimiento","",IF(CRONOGRAMA!$E59="No Aplica","NA",IF($G59="","",IF(YEAR($G59)&lt;YEAR($Z$6)," A ",IF(YEAR($G59)=YEAR($Z$6),IF(MONTH($G59)&lt;=8," A ","NA"),IF(YEAR($G59)&gt;YEAR($Z$6),"NA"))))))</f>
        <v/>
      </c>
      <c r="U59" s="351"/>
      <c r="V59" s="44"/>
      <c r="W59" s="351"/>
      <c r="X59" s="348" t="str">
        <f t="shared" si="102"/>
        <v/>
      </c>
      <c r="Y59" s="349"/>
      <c r="Z59" s="402"/>
      <c r="AA59" s="84" t="str">
        <f t="shared" si="103"/>
        <v/>
      </c>
      <c r="AB59" s="84" t="str">
        <f t="shared" si="104"/>
        <v/>
      </c>
      <c r="AC59" s="84">
        <f t="shared" si="6"/>
        <v>0</v>
      </c>
      <c r="AD59" s="160" t="str">
        <f>IF($AJ$6="Indique Fecha Seguimiento","",IF(CRONOGRAMA!$E59="No Aplica","NA",IF($G59="","",IF(YEAR($G59)&lt;YEAR($AJ$6)," A ",IF(YEAR($G59)=YEAR($AJ$6),IF(MONTH($G59)&lt;=12," A ","NA"),IF(YEAR($G59)&gt;YEAR($AJ$6),"NA"))))))</f>
        <v/>
      </c>
      <c r="AE59" s="350"/>
      <c r="AF59" s="44"/>
      <c r="AG59" s="351"/>
      <c r="AH59" s="348" t="str">
        <f t="shared" si="105"/>
        <v/>
      </c>
      <c r="AI59" s="349"/>
      <c r="AJ59" s="44"/>
      <c r="AK59" s="81" t="str">
        <f t="shared" si="106"/>
        <v/>
      </c>
      <c r="AL59" s="84" t="str">
        <f t="shared" si="107"/>
        <v/>
      </c>
      <c r="AM59" s="84">
        <f t="shared" si="10"/>
        <v>0</v>
      </c>
      <c r="AN59" s="579"/>
      <c r="AO59" s="580"/>
      <c r="AP59" s="581"/>
      <c r="AQ59" s="581"/>
      <c r="AR59" s="582"/>
      <c r="AS59" s="582"/>
      <c r="AT59" s="582"/>
      <c r="AU59" s="572"/>
      <c r="AV59" s="573"/>
      <c r="AW59" s="574"/>
      <c r="AX59">
        <f t="shared" si="118"/>
        <v>0</v>
      </c>
    </row>
    <row r="60" spans="1:50" ht="38.25" x14ac:dyDescent="0.25">
      <c r="A60" s="583" t="str">
        <f>CRONOGRAMA!A60</f>
        <v>18G</v>
      </c>
      <c r="B60" s="578" t="str">
        <f>CRONOGRAMA!B60</f>
        <v>Gestión de Extensión y Proyección Social. Limitada interacción e integración con las comunidades nacionales e internacionales en el fortalecimiento de la presencia de la Universidad en la vida social y cultural del país.</v>
      </c>
      <c r="C60" s="82" t="str">
        <f>IF('CONSOLIDACION DEL MAPA'!P60="","",'CONSOLIDACION DEL MAPA'!P60)</f>
        <v>Asumir</v>
      </c>
      <c r="D60" s="82" t="str">
        <f>CRONOGRAMA!D60</f>
        <v>Seguir ejecutando y monitoreando los controles existentes.</v>
      </c>
      <c r="E60" s="132" t="str">
        <f>IF(CRONOGRAMA!F60="", "",CRONOGRAMA!F60)</f>
        <v/>
      </c>
      <c r="F60" s="132" t="str">
        <f>IF(CRONOGRAMA!G60="", "",CRONOGRAMA!G60)</f>
        <v/>
      </c>
      <c r="G60" s="128" t="str">
        <f>IF(CRONOGRAMA!H60="", "",CRONOGRAMA!H60)</f>
        <v/>
      </c>
      <c r="H60" s="128" t="str">
        <f>IF(CRONOGRAMA!I60="", "",CRONOGRAMA!I60)</f>
        <v/>
      </c>
      <c r="I60" s="84">
        <f t="shared" ref="I60:I89" si="179">IF(G60="",0,IF(H60="",0,(H60-G60)/7))</f>
        <v>0</v>
      </c>
      <c r="J60" s="160" t="str">
        <f>IF($P$6="Indique Fecha Seguimiento","",IF(CRONOGRAMA!$E60="No Aplica","NA",IF($G60="","",IF(YEAR($G60)&lt;YEAR($P$6)," A ",IF(YEAR($G60)=YEAR($P$6),IF(MONTH($G60)&lt;=4," A ","NA"),IF(YEAR($G60)&gt;YEAR($P$6),"NA"))))))</f>
        <v>NA</v>
      </c>
      <c r="K60" s="400"/>
      <c r="L60" s="401"/>
      <c r="M60" s="400"/>
      <c r="N60" s="348" t="str">
        <f t="shared" ref="N60:N89" si="180">IF(M60="","",IF($F60=0,0,M60/$F60))</f>
        <v/>
      </c>
      <c r="O60" s="349"/>
      <c r="P60" s="44"/>
      <c r="Q60" s="84" t="str">
        <f t="shared" ref="Q60:Q89" si="181">IF(N60="","",($I60*N60))</f>
        <v/>
      </c>
      <c r="R60" s="84" t="str">
        <f t="shared" ref="R60:R89" si="182">IF(O60="SI",Q60,IF($P$6&lt;=$H60,Q60,0))</f>
        <v/>
      </c>
      <c r="S60" s="84">
        <f t="shared" si="3"/>
        <v>0</v>
      </c>
      <c r="T60" s="160" t="str">
        <f>IF($Z$6="Indique Fecha Seguimiento","",IF(CRONOGRAMA!$E60="No Aplica","NA",IF($G60="","",IF(YEAR($G60)&lt;YEAR($Z$6)," A ",IF(YEAR($G60)=YEAR($Z$6),IF(MONTH($G60)&lt;=8," A ","NA"),IF(YEAR($G60)&gt;YEAR($Z$6),"NA"))))))</f>
        <v>NA</v>
      </c>
      <c r="U60" s="351"/>
      <c r="V60" s="44"/>
      <c r="W60" s="351"/>
      <c r="X60" s="348" t="str">
        <f t="shared" ref="X60:X89" si="183">IF(W60="","",IF($F60=0,0,W60/$F60))</f>
        <v/>
      </c>
      <c r="Y60" s="349"/>
      <c r="Z60" s="402"/>
      <c r="AA60" s="84" t="str">
        <f t="shared" ref="AA60:AA89" si="184">IF(X60="","",($I60*X60))</f>
        <v/>
      </c>
      <c r="AB60" s="84" t="str">
        <f t="shared" ref="AB60:AB89" si="185">IF(N60=1,R60,IF(Y60="SI",AA60,IF($Z$6&lt;=$H60,AA60,0)))</f>
        <v/>
      </c>
      <c r="AC60" s="84">
        <f t="shared" si="6"/>
        <v>0</v>
      </c>
      <c r="AD60" s="160" t="str">
        <f>IF($AJ$6="Indique Fecha Seguimiento","",IF(CRONOGRAMA!$E60="No Aplica","NA",IF($G60="","",IF(YEAR($G60)&lt;YEAR($AJ$6)," A ",IF(YEAR($G60)=YEAR($AJ$6),IF(MONTH($G60)&lt;=12," A ","NA"),IF(YEAR($G60)&gt;YEAR($AJ$6),"NA"))))))</f>
        <v>NA</v>
      </c>
      <c r="AE60" s="350"/>
      <c r="AF60" s="44"/>
      <c r="AG60" s="351"/>
      <c r="AH60" s="348" t="str">
        <f t="shared" ref="AH60:AH89" si="186">IF(AG60="","",IF($F60=0,0,AG60/$F60))</f>
        <v/>
      </c>
      <c r="AI60" s="349"/>
      <c r="AJ60" s="44"/>
      <c r="AK60" s="81" t="str">
        <f t="shared" ref="AK60:AK89" si="187">IF(AH60="","",($I60*AH60))</f>
        <v/>
      </c>
      <c r="AL60" s="84" t="str">
        <f t="shared" ref="AL60:AL89" si="188">IF(X60=1,AB60,IF(AI60="SI",AK60,IF($AJ$6&lt;=$H60,AK60,0)))</f>
        <v/>
      </c>
      <c r="AM60" s="84">
        <f t="shared" si="10"/>
        <v>0</v>
      </c>
      <c r="AN60" s="579">
        <f t="shared" ref="AN60" si="189">SUM(I60:I62)</f>
        <v>0</v>
      </c>
      <c r="AO60" s="580" t="str">
        <f t="shared" ref="AO60" si="190">IF(AND(Q60="",Q61="",Q62=""),"",SUM(Q60:Q62))</f>
        <v/>
      </c>
      <c r="AP60" s="581" t="str">
        <f t="shared" ref="AP60" si="191">IF(AND(AA60="",AA61="",AA62=""),"",SUM(AA60:AA62))</f>
        <v/>
      </c>
      <c r="AQ60" s="581" t="str">
        <f t="shared" ref="AQ60" si="192">IF(AND(AK60="",AK61="",AK62=""),"",SUM(AK60:AK62))</f>
        <v/>
      </c>
      <c r="AR60" s="582" t="str">
        <f t="shared" ref="AR60" si="193">IF(AO60="",IF($AU$6&lt;1,"",IF($AU$6&gt;=1,"NA")),IF(AO60=0,0,AO60/$AN60))</f>
        <v>NA</v>
      </c>
      <c r="AS60" s="582" t="str">
        <f t="shared" ref="AS60" si="194">IF(AP60="",IF($AU$6&lt;2,"",IF($AU$6&gt;=2,"NA")),IF(AP60=0,0,AP60/$AN60))</f>
        <v>NA</v>
      </c>
      <c r="AT60" s="582" t="str">
        <f t="shared" ref="AT60" si="195">IF(AS60&gt;=AR60,AS60,AR60)</f>
        <v>NA</v>
      </c>
      <c r="AU60" s="572" t="str">
        <f t="shared" ref="AU60" si="196">IF(AQ60="",IF($AU$6&lt;3,"",IF($AU$6&gt;=3,"NA")),IF(AQ60=0,0,AQ60/$AN60))</f>
        <v>NA</v>
      </c>
      <c r="AV60" s="573" t="str">
        <f t="shared" ref="AV60" si="197">IF($AU$6=1,AR60,IF($AU$6=2,AS60,IF($AU$6=3,AU60,"")))</f>
        <v>NA</v>
      </c>
      <c r="AW60" s="574" t="str">
        <f t="shared" ref="AW60" si="198">AV60</f>
        <v>NA</v>
      </c>
      <c r="AX60">
        <f t="shared" ref="AX60:AX89" si="199">IF($AU$6=1,P60,IF($AU$6=2,Z60,IF($AU$6=3,AJ60,"")))</f>
        <v>0</v>
      </c>
    </row>
    <row r="61" spans="1:50" ht="15.75" x14ac:dyDescent="0.25">
      <c r="A61" s="583"/>
      <c r="B61" s="578"/>
      <c r="C61" s="82" t="str">
        <f>IF('CONSOLIDACION DEL MAPA'!P61="","",'CONSOLIDACION DEL MAPA'!P61)</f>
        <v/>
      </c>
      <c r="D61" s="82" t="str">
        <f>CRONOGRAMA!D61</f>
        <v/>
      </c>
      <c r="E61" s="132" t="str">
        <f>IF(CRONOGRAMA!F61="", "",CRONOGRAMA!F61)</f>
        <v/>
      </c>
      <c r="F61" s="132" t="str">
        <f>IF(CRONOGRAMA!G61="", "",CRONOGRAMA!G61)</f>
        <v/>
      </c>
      <c r="G61" s="128" t="str">
        <f>IF(CRONOGRAMA!H61="", "",CRONOGRAMA!H61)</f>
        <v/>
      </c>
      <c r="H61" s="128" t="str">
        <f>IF(CRONOGRAMA!I61="", "",CRONOGRAMA!I61)</f>
        <v/>
      </c>
      <c r="I61" s="84">
        <f t="shared" si="179"/>
        <v>0</v>
      </c>
      <c r="J61" s="160" t="str">
        <f>IF($P$6="Indique Fecha Seguimiento","",IF(CRONOGRAMA!$E61="No Aplica","NA",IF($G61="","",IF(YEAR($G61)&lt;YEAR($P$6)," A ",IF(YEAR($G61)=YEAR($P$6),IF(MONTH($G61)&lt;=4," A ","NA"),IF(YEAR($G61)&gt;YEAR($P$6),"NA"))))))</f>
        <v/>
      </c>
      <c r="K61" s="400"/>
      <c r="L61" s="401"/>
      <c r="M61" s="400"/>
      <c r="N61" s="348" t="str">
        <f t="shared" si="180"/>
        <v/>
      </c>
      <c r="O61" s="349"/>
      <c r="P61" s="44"/>
      <c r="Q61" s="84" t="str">
        <f t="shared" si="181"/>
        <v/>
      </c>
      <c r="R61" s="84" t="str">
        <f t="shared" si="182"/>
        <v/>
      </c>
      <c r="S61" s="84">
        <f t="shared" si="3"/>
        <v>0</v>
      </c>
      <c r="T61" s="160" t="str">
        <f>IF($Z$6="Indique Fecha Seguimiento","",IF(CRONOGRAMA!$E61="No Aplica","NA",IF($G61="","",IF(YEAR($G61)&lt;YEAR($Z$6)," A ",IF(YEAR($G61)=YEAR($Z$6),IF(MONTH($G61)&lt;=8," A ","NA"),IF(YEAR($G61)&gt;YEAR($Z$6),"NA"))))))</f>
        <v/>
      </c>
      <c r="U61" s="351"/>
      <c r="V61" s="44"/>
      <c r="W61" s="351"/>
      <c r="X61" s="348" t="str">
        <f t="shared" si="183"/>
        <v/>
      </c>
      <c r="Y61" s="349"/>
      <c r="Z61" s="402"/>
      <c r="AA61" s="84" t="str">
        <f t="shared" si="184"/>
        <v/>
      </c>
      <c r="AB61" s="84" t="str">
        <f t="shared" si="185"/>
        <v/>
      </c>
      <c r="AC61" s="84">
        <f t="shared" si="6"/>
        <v>0</v>
      </c>
      <c r="AD61" s="160" t="str">
        <f>IF($AJ$6="Indique Fecha Seguimiento","",IF(CRONOGRAMA!$E61="No Aplica","NA",IF($G61="","",IF(YEAR($G61)&lt;YEAR($AJ$6)," A ",IF(YEAR($G61)=YEAR($AJ$6),IF(MONTH($G61)&lt;=12," A ","NA"),IF(YEAR($G61)&gt;YEAR($AJ$6),"NA"))))))</f>
        <v/>
      </c>
      <c r="AE61" s="350"/>
      <c r="AF61" s="44"/>
      <c r="AG61" s="351"/>
      <c r="AH61" s="348" t="str">
        <f t="shared" si="186"/>
        <v/>
      </c>
      <c r="AI61" s="349"/>
      <c r="AJ61" s="44"/>
      <c r="AK61" s="81" t="str">
        <f t="shared" si="187"/>
        <v/>
      </c>
      <c r="AL61" s="84" t="str">
        <f t="shared" si="188"/>
        <v/>
      </c>
      <c r="AM61" s="84">
        <f t="shared" si="10"/>
        <v>0</v>
      </c>
      <c r="AN61" s="579"/>
      <c r="AO61" s="580"/>
      <c r="AP61" s="581"/>
      <c r="AQ61" s="581"/>
      <c r="AR61" s="582"/>
      <c r="AS61" s="582"/>
      <c r="AT61" s="582"/>
      <c r="AU61" s="572"/>
      <c r="AV61" s="573"/>
      <c r="AW61" s="574"/>
      <c r="AX61">
        <f t="shared" si="199"/>
        <v>0</v>
      </c>
    </row>
    <row r="62" spans="1:50" ht="15.75" x14ac:dyDescent="0.25">
      <c r="A62" s="583"/>
      <c r="B62" s="578"/>
      <c r="C62" s="82" t="str">
        <f>IF('CONSOLIDACION DEL MAPA'!P62="","",'CONSOLIDACION DEL MAPA'!P62)</f>
        <v/>
      </c>
      <c r="D62" s="82" t="str">
        <f>CRONOGRAMA!D62</f>
        <v/>
      </c>
      <c r="E62" s="132" t="str">
        <f>IF(CRONOGRAMA!F62="", "",CRONOGRAMA!F62)</f>
        <v/>
      </c>
      <c r="F62" s="132" t="str">
        <f>IF(CRONOGRAMA!G62="", "",CRONOGRAMA!G62)</f>
        <v/>
      </c>
      <c r="G62" s="128" t="str">
        <f>IF(CRONOGRAMA!H62="", "",CRONOGRAMA!H62)</f>
        <v/>
      </c>
      <c r="H62" s="128" t="str">
        <f>IF(CRONOGRAMA!I62="", "",CRONOGRAMA!I62)</f>
        <v/>
      </c>
      <c r="I62" s="84">
        <f t="shared" si="179"/>
        <v>0</v>
      </c>
      <c r="J62" s="160" t="str">
        <f>IF($P$6="Indique Fecha Seguimiento","",IF(CRONOGRAMA!$E62="No Aplica","NA",IF($G62="","",IF(YEAR($G62)&lt;YEAR($P$6)," A ",IF(YEAR($G62)=YEAR($P$6),IF(MONTH($G62)&lt;=4," A ","NA"),IF(YEAR($G62)&gt;YEAR($P$6),"NA"))))))</f>
        <v/>
      </c>
      <c r="K62" s="400"/>
      <c r="L62" s="401"/>
      <c r="M62" s="400"/>
      <c r="N62" s="348" t="str">
        <f t="shared" si="180"/>
        <v/>
      </c>
      <c r="O62" s="349"/>
      <c r="P62" s="44"/>
      <c r="Q62" s="84" t="str">
        <f t="shared" si="181"/>
        <v/>
      </c>
      <c r="R62" s="84" t="str">
        <f t="shared" si="182"/>
        <v/>
      </c>
      <c r="S62" s="84">
        <f t="shared" si="3"/>
        <v>0</v>
      </c>
      <c r="T62" s="160" t="str">
        <f>IF($Z$6="Indique Fecha Seguimiento","",IF(CRONOGRAMA!$E62="No Aplica","NA",IF($G62="","",IF(YEAR($G62)&lt;YEAR($Z$6)," A ",IF(YEAR($G62)=YEAR($Z$6),IF(MONTH($G62)&lt;=8," A ","NA"),IF(YEAR($G62)&gt;YEAR($Z$6),"NA"))))))</f>
        <v/>
      </c>
      <c r="U62" s="351"/>
      <c r="V62" s="44"/>
      <c r="W62" s="351"/>
      <c r="X62" s="348" t="str">
        <f t="shared" si="183"/>
        <v/>
      </c>
      <c r="Y62" s="349"/>
      <c r="Z62" s="402"/>
      <c r="AA62" s="84" t="str">
        <f t="shared" si="184"/>
        <v/>
      </c>
      <c r="AB62" s="84" t="str">
        <f t="shared" si="185"/>
        <v/>
      </c>
      <c r="AC62" s="84">
        <f t="shared" si="6"/>
        <v>0</v>
      </c>
      <c r="AD62" s="160" t="str">
        <f>IF($AJ$6="Indique Fecha Seguimiento","",IF(CRONOGRAMA!$E62="No Aplica","NA",IF($G62="","",IF(YEAR($G62)&lt;YEAR($AJ$6)," A ",IF(YEAR($G62)=YEAR($AJ$6),IF(MONTH($G62)&lt;=12," A ","NA"),IF(YEAR($G62)&gt;YEAR($AJ$6),"NA"))))))</f>
        <v/>
      </c>
      <c r="AE62" s="350"/>
      <c r="AF62" s="44"/>
      <c r="AG62" s="351"/>
      <c r="AH62" s="348" t="str">
        <f t="shared" si="186"/>
        <v/>
      </c>
      <c r="AI62" s="349"/>
      <c r="AJ62" s="44"/>
      <c r="AK62" s="81" t="str">
        <f t="shared" si="187"/>
        <v/>
      </c>
      <c r="AL62" s="84" t="str">
        <f t="shared" si="188"/>
        <v/>
      </c>
      <c r="AM62" s="84">
        <f t="shared" si="10"/>
        <v>0</v>
      </c>
      <c r="AN62" s="579"/>
      <c r="AO62" s="580"/>
      <c r="AP62" s="581"/>
      <c r="AQ62" s="581"/>
      <c r="AR62" s="582"/>
      <c r="AS62" s="582"/>
      <c r="AT62" s="582"/>
      <c r="AU62" s="572"/>
      <c r="AV62" s="573"/>
      <c r="AW62" s="574"/>
      <c r="AX62">
        <f t="shared" si="199"/>
        <v>0</v>
      </c>
    </row>
    <row r="63" spans="1:50" ht="38.25" x14ac:dyDescent="0.25">
      <c r="A63" s="583" t="str">
        <f>CRONOGRAMA!A63</f>
        <v>19G</v>
      </c>
      <c r="B63" s="578" t="str">
        <f>CRONOGRAMA!B63</f>
        <v>Gestión de Extensión y Proyección Social. Interrupción en las actividades e incumplimiento de los proyectos de extensión y proyección social, en las zonas de influencia.</v>
      </c>
      <c r="C63" s="82" t="str">
        <f>IF('CONSOLIDACION DEL MAPA'!P63="","",'CONSOLIDACION DEL MAPA'!P63)</f>
        <v>Asumir</v>
      </c>
      <c r="D63" s="82" t="str">
        <f>CRONOGRAMA!D63</f>
        <v>Seguir ejecutando y monitoreando los controles existentes.</v>
      </c>
      <c r="E63" s="132" t="str">
        <f>IF(CRONOGRAMA!F63="", "",CRONOGRAMA!F63)</f>
        <v/>
      </c>
      <c r="F63" s="132" t="str">
        <f>IF(CRONOGRAMA!G63="", "",CRONOGRAMA!G63)</f>
        <v/>
      </c>
      <c r="G63" s="128" t="str">
        <f>IF(CRONOGRAMA!H63="", "",CRONOGRAMA!H63)</f>
        <v/>
      </c>
      <c r="H63" s="128" t="str">
        <f>IF(CRONOGRAMA!I63="", "",CRONOGRAMA!I63)</f>
        <v/>
      </c>
      <c r="I63" s="84">
        <f t="shared" si="179"/>
        <v>0</v>
      </c>
      <c r="J63" s="160" t="str">
        <f>IF($P$6="Indique Fecha Seguimiento","",IF(CRONOGRAMA!$E63="No Aplica","NA",IF($G63="","",IF(YEAR($G63)&lt;YEAR($P$6)," A ",IF(YEAR($G63)=YEAR($P$6),IF(MONTH($G63)&lt;=4," A ","NA"),IF(YEAR($G63)&gt;YEAR($P$6),"NA"))))))</f>
        <v>NA</v>
      </c>
      <c r="K63" s="400"/>
      <c r="L63" s="401"/>
      <c r="M63" s="400"/>
      <c r="N63" s="348" t="str">
        <f t="shared" si="180"/>
        <v/>
      </c>
      <c r="O63" s="349"/>
      <c r="P63" s="44"/>
      <c r="Q63" s="84" t="str">
        <f t="shared" si="181"/>
        <v/>
      </c>
      <c r="R63" s="84" t="str">
        <f t="shared" si="182"/>
        <v/>
      </c>
      <c r="S63" s="84">
        <f t="shared" si="3"/>
        <v>0</v>
      </c>
      <c r="T63" s="160" t="str">
        <f>IF($Z$6="Indique Fecha Seguimiento","",IF(CRONOGRAMA!$E63="No Aplica","NA",IF($G63="","",IF(YEAR($G63)&lt;YEAR($Z$6)," A ",IF(YEAR($G63)=YEAR($Z$6),IF(MONTH($G63)&lt;=8," A ","NA"),IF(YEAR($G63)&gt;YEAR($Z$6),"NA"))))))</f>
        <v>NA</v>
      </c>
      <c r="U63" s="351"/>
      <c r="V63" s="44"/>
      <c r="W63" s="351"/>
      <c r="X63" s="348" t="str">
        <f t="shared" si="183"/>
        <v/>
      </c>
      <c r="Y63" s="349"/>
      <c r="Z63" s="402"/>
      <c r="AA63" s="84" t="str">
        <f t="shared" si="184"/>
        <v/>
      </c>
      <c r="AB63" s="84" t="str">
        <f t="shared" si="185"/>
        <v/>
      </c>
      <c r="AC63" s="84">
        <f t="shared" si="6"/>
        <v>0</v>
      </c>
      <c r="AD63" s="160" t="str">
        <f>IF($AJ$6="Indique Fecha Seguimiento","",IF(CRONOGRAMA!$E63="No Aplica","NA",IF($G63="","",IF(YEAR($G63)&lt;YEAR($AJ$6)," A ",IF(YEAR($G63)=YEAR($AJ$6),IF(MONTH($G63)&lt;=12," A ","NA"),IF(YEAR($G63)&gt;YEAR($AJ$6),"NA"))))))</f>
        <v>NA</v>
      </c>
      <c r="AE63" s="350"/>
      <c r="AF63" s="44"/>
      <c r="AG63" s="351"/>
      <c r="AH63" s="348" t="str">
        <f t="shared" si="186"/>
        <v/>
      </c>
      <c r="AI63" s="349"/>
      <c r="AJ63" s="44"/>
      <c r="AK63" s="81" t="str">
        <f t="shared" si="187"/>
        <v/>
      </c>
      <c r="AL63" s="84" t="str">
        <f t="shared" si="188"/>
        <v/>
      </c>
      <c r="AM63" s="84">
        <f t="shared" si="10"/>
        <v>0</v>
      </c>
      <c r="AN63" s="579">
        <f t="shared" ref="AN63" si="200">SUM(I63:I65)</f>
        <v>0</v>
      </c>
      <c r="AO63" s="580" t="str">
        <f t="shared" ref="AO63" si="201">IF(AND(Q63="",Q64="",Q65=""),"",SUM(Q63:Q65))</f>
        <v/>
      </c>
      <c r="AP63" s="581" t="str">
        <f t="shared" ref="AP63" si="202">IF(AND(AA63="",AA64="",AA65=""),"",SUM(AA63:AA65))</f>
        <v/>
      </c>
      <c r="AQ63" s="581" t="str">
        <f t="shared" ref="AQ63" si="203">IF(AND(AK63="",AK64="",AK65=""),"",SUM(AK63:AK65))</f>
        <v/>
      </c>
      <c r="AR63" s="582" t="str">
        <f t="shared" ref="AR63" si="204">IF(AO63="",IF($AU$6&lt;1,"",IF($AU$6&gt;=1,"NA")),IF(AO63=0,0,AO63/$AN63))</f>
        <v>NA</v>
      </c>
      <c r="AS63" s="582" t="str">
        <f t="shared" ref="AS63" si="205">IF(AP63="",IF($AU$6&lt;2,"",IF($AU$6&gt;=2,"NA")),IF(AP63=0,0,AP63/$AN63))</f>
        <v>NA</v>
      </c>
      <c r="AT63" s="582" t="str">
        <f t="shared" ref="AT63" si="206">IF(AS63&gt;=AR63,AS63,AR63)</f>
        <v>NA</v>
      </c>
      <c r="AU63" s="572" t="str">
        <f t="shared" ref="AU63" si="207">IF(AQ63="",IF($AU$6&lt;3,"",IF($AU$6&gt;=3,"NA")),IF(AQ63=0,0,AQ63/$AN63))</f>
        <v>NA</v>
      </c>
      <c r="AV63" s="573" t="str">
        <f t="shared" ref="AV63" si="208">IF($AU$6=1,AR63,IF($AU$6=2,AS63,IF($AU$6=3,AU63,"")))</f>
        <v>NA</v>
      </c>
      <c r="AW63" s="574" t="str">
        <f t="shared" ref="AW63" si="209">AV63</f>
        <v>NA</v>
      </c>
      <c r="AX63">
        <f t="shared" si="199"/>
        <v>0</v>
      </c>
    </row>
    <row r="64" spans="1:50" ht="15.75" x14ac:dyDescent="0.25">
      <c r="A64" s="583"/>
      <c r="B64" s="578"/>
      <c r="C64" s="82" t="str">
        <f>IF('CONSOLIDACION DEL MAPA'!P64="","",'CONSOLIDACION DEL MAPA'!P64)</f>
        <v/>
      </c>
      <c r="D64" s="82" t="str">
        <f>CRONOGRAMA!D64</f>
        <v/>
      </c>
      <c r="E64" s="132" t="str">
        <f>IF(CRONOGRAMA!F64="", "",CRONOGRAMA!F64)</f>
        <v/>
      </c>
      <c r="F64" s="132" t="str">
        <f>IF(CRONOGRAMA!G64="", "",CRONOGRAMA!G64)</f>
        <v/>
      </c>
      <c r="G64" s="128" t="str">
        <f>IF(CRONOGRAMA!H64="", "",CRONOGRAMA!H64)</f>
        <v/>
      </c>
      <c r="H64" s="128" t="str">
        <f>IF(CRONOGRAMA!I64="", "",CRONOGRAMA!I64)</f>
        <v/>
      </c>
      <c r="I64" s="84">
        <f t="shared" si="179"/>
        <v>0</v>
      </c>
      <c r="J64" s="160" t="str">
        <f>IF($P$6="Indique Fecha Seguimiento","",IF(CRONOGRAMA!$E64="No Aplica","NA",IF($G64="","",IF(YEAR($G64)&lt;YEAR($P$6)," A ",IF(YEAR($G64)=YEAR($P$6),IF(MONTH($G64)&lt;=4," A ","NA"),IF(YEAR($G64)&gt;YEAR($P$6),"NA"))))))</f>
        <v/>
      </c>
      <c r="K64" s="400"/>
      <c r="L64" s="401"/>
      <c r="M64" s="400"/>
      <c r="N64" s="348" t="str">
        <f t="shared" si="180"/>
        <v/>
      </c>
      <c r="O64" s="349"/>
      <c r="P64" s="44"/>
      <c r="Q64" s="84" t="str">
        <f t="shared" si="181"/>
        <v/>
      </c>
      <c r="R64" s="84" t="str">
        <f t="shared" si="182"/>
        <v/>
      </c>
      <c r="S64" s="84">
        <f t="shared" si="3"/>
        <v>0</v>
      </c>
      <c r="T64" s="160" t="str">
        <f>IF($Z$6="Indique Fecha Seguimiento","",IF(CRONOGRAMA!$E64="No Aplica","NA",IF($G64="","",IF(YEAR($G64)&lt;YEAR($Z$6)," A ",IF(YEAR($G64)=YEAR($Z$6),IF(MONTH($G64)&lt;=8," A ","NA"),IF(YEAR($G64)&gt;YEAR($Z$6),"NA"))))))</f>
        <v/>
      </c>
      <c r="U64" s="351"/>
      <c r="V64" s="44"/>
      <c r="W64" s="351"/>
      <c r="X64" s="348" t="str">
        <f t="shared" si="183"/>
        <v/>
      </c>
      <c r="Y64" s="349"/>
      <c r="Z64" s="44"/>
      <c r="AA64" s="84" t="str">
        <f t="shared" si="184"/>
        <v/>
      </c>
      <c r="AB64" s="84" t="str">
        <f t="shared" si="185"/>
        <v/>
      </c>
      <c r="AC64" s="84">
        <f t="shared" si="6"/>
        <v>0</v>
      </c>
      <c r="AD64" s="160" t="str">
        <f>IF($AJ$6="Indique Fecha Seguimiento","",IF(CRONOGRAMA!$E64="No Aplica","NA",IF($G64="","",IF(YEAR($G64)&lt;YEAR($AJ$6)," A ",IF(YEAR($G64)=YEAR($AJ$6),IF(MONTH($G64)&lt;=12," A ","NA"),IF(YEAR($G64)&gt;YEAR($AJ$6),"NA"))))))</f>
        <v/>
      </c>
      <c r="AE64" s="350"/>
      <c r="AF64" s="44"/>
      <c r="AG64" s="351"/>
      <c r="AH64" s="348" t="str">
        <f t="shared" si="186"/>
        <v/>
      </c>
      <c r="AI64" s="349"/>
      <c r="AJ64" s="44"/>
      <c r="AK64" s="81" t="str">
        <f t="shared" si="187"/>
        <v/>
      </c>
      <c r="AL64" s="84" t="str">
        <f t="shared" si="188"/>
        <v/>
      </c>
      <c r="AM64" s="84">
        <f t="shared" si="10"/>
        <v>0</v>
      </c>
      <c r="AN64" s="579"/>
      <c r="AO64" s="580"/>
      <c r="AP64" s="581"/>
      <c r="AQ64" s="581"/>
      <c r="AR64" s="582"/>
      <c r="AS64" s="582"/>
      <c r="AT64" s="582"/>
      <c r="AU64" s="572"/>
      <c r="AV64" s="573"/>
      <c r="AW64" s="574"/>
      <c r="AX64">
        <f t="shared" si="199"/>
        <v>0</v>
      </c>
    </row>
    <row r="65" spans="1:50" ht="15.75" x14ac:dyDescent="0.25">
      <c r="A65" s="583"/>
      <c r="B65" s="578"/>
      <c r="C65" s="82" t="str">
        <f>IF('CONSOLIDACION DEL MAPA'!P65="","",'CONSOLIDACION DEL MAPA'!P65)</f>
        <v/>
      </c>
      <c r="D65" s="82" t="str">
        <f>CRONOGRAMA!D65</f>
        <v/>
      </c>
      <c r="E65" s="132" t="str">
        <f>IF(CRONOGRAMA!F65="", "",CRONOGRAMA!F65)</f>
        <v/>
      </c>
      <c r="F65" s="132" t="str">
        <f>IF(CRONOGRAMA!G65="", "",CRONOGRAMA!G65)</f>
        <v/>
      </c>
      <c r="G65" s="128" t="str">
        <f>IF(CRONOGRAMA!H65="", "",CRONOGRAMA!H65)</f>
        <v/>
      </c>
      <c r="H65" s="128" t="str">
        <f>IF(CRONOGRAMA!I65="", "",CRONOGRAMA!I65)</f>
        <v/>
      </c>
      <c r="I65" s="84">
        <f t="shared" si="179"/>
        <v>0</v>
      </c>
      <c r="J65" s="160" t="str">
        <f>IF($P$6="Indique Fecha Seguimiento","",IF(CRONOGRAMA!$E65="No Aplica","NA",IF($G65="","",IF(YEAR($G65)&lt;YEAR($P$6)," A ",IF(YEAR($G65)=YEAR($P$6),IF(MONTH($G65)&lt;=4," A ","NA"),IF(YEAR($G65)&gt;YEAR($P$6),"NA"))))))</f>
        <v/>
      </c>
      <c r="K65" s="400"/>
      <c r="L65" s="401"/>
      <c r="M65" s="400"/>
      <c r="N65" s="348" t="str">
        <f t="shared" si="180"/>
        <v/>
      </c>
      <c r="O65" s="349"/>
      <c r="P65" s="44"/>
      <c r="Q65" s="84" t="str">
        <f t="shared" si="181"/>
        <v/>
      </c>
      <c r="R65" s="84" t="str">
        <f t="shared" si="182"/>
        <v/>
      </c>
      <c r="S65" s="84">
        <f t="shared" si="3"/>
        <v>0</v>
      </c>
      <c r="T65" s="160" t="str">
        <f>IF($Z$6="Indique Fecha Seguimiento","",IF(CRONOGRAMA!$E65="No Aplica","NA",IF($G65="","",IF(YEAR($G65)&lt;YEAR($Z$6)," A ",IF(YEAR($G65)=YEAR($Z$6),IF(MONTH($G65)&lt;=8," A ","NA"),IF(YEAR($G65)&gt;YEAR($Z$6),"NA"))))))</f>
        <v/>
      </c>
      <c r="U65" s="351"/>
      <c r="V65" s="44"/>
      <c r="W65" s="351"/>
      <c r="X65" s="348" t="str">
        <f t="shared" si="183"/>
        <v/>
      </c>
      <c r="Y65" s="349"/>
      <c r="Z65" s="44"/>
      <c r="AA65" s="84" t="str">
        <f t="shared" si="184"/>
        <v/>
      </c>
      <c r="AB65" s="84" t="str">
        <f t="shared" si="185"/>
        <v/>
      </c>
      <c r="AC65" s="84">
        <f t="shared" si="6"/>
        <v>0</v>
      </c>
      <c r="AD65" s="160" t="str">
        <f>IF($AJ$6="Indique Fecha Seguimiento","",IF(CRONOGRAMA!$E65="No Aplica","NA",IF($G65="","",IF(YEAR($G65)&lt;YEAR($AJ$6)," A ",IF(YEAR($G65)=YEAR($AJ$6),IF(MONTH($G65)&lt;=12," A ","NA"),IF(YEAR($G65)&gt;YEAR($AJ$6),"NA"))))))</f>
        <v/>
      </c>
      <c r="AE65" s="350"/>
      <c r="AF65" s="44"/>
      <c r="AG65" s="351"/>
      <c r="AH65" s="348" t="str">
        <f t="shared" si="186"/>
        <v/>
      </c>
      <c r="AI65" s="349"/>
      <c r="AJ65" s="44"/>
      <c r="AK65" s="81" t="str">
        <f t="shared" si="187"/>
        <v/>
      </c>
      <c r="AL65" s="84" t="str">
        <f t="shared" si="188"/>
        <v/>
      </c>
      <c r="AM65" s="84">
        <f t="shared" si="10"/>
        <v>0</v>
      </c>
      <c r="AN65" s="579"/>
      <c r="AO65" s="580"/>
      <c r="AP65" s="581"/>
      <c r="AQ65" s="581"/>
      <c r="AR65" s="582"/>
      <c r="AS65" s="582"/>
      <c r="AT65" s="582"/>
      <c r="AU65" s="572"/>
      <c r="AV65" s="573"/>
      <c r="AW65" s="574"/>
      <c r="AX65">
        <f t="shared" si="199"/>
        <v>0</v>
      </c>
    </row>
    <row r="66" spans="1:50" ht="38.25" x14ac:dyDescent="0.25">
      <c r="A66" s="583" t="str">
        <f>CRONOGRAMA!A66</f>
        <v>20G</v>
      </c>
      <c r="B66" s="578" t="str">
        <f>CRONOGRAMA!B66</f>
        <v>Gestión de Contratación. Celebración de contratos sin el cumplimiento de los requisitos internos y externos de carácter contractual</v>
      </c>
      <c r="C66" s="82" t="str">
        <f>IF('CONSOLIDACION DEL MAPA'!P66="","",'CONSOLIDACION DEL MAPA'!P66)</f>
        <v>Asumir</v>
      </c>
      <c r="D66" s="82" t="str">
        <f>CRONOGRAMA!D66</f>
        <v>Seguir ejecutando y monitoreando los controles existentes</v>
      </c>
      <c r="E66" s="132" t="str">
        <f>IF(CRONOGRAMA!F66="", "",CRONOGRAMA!F66)</f>
        <v/>
      </c>
      <c r="F66" s="132" t="str">
        <f>IF(CRONOGRAMA!G66="", "",CRONOGRAMA!G66)</f>
        <v/>
      </c>
      <c r="G66" s="128" t="str">
        <f>IF(CRONOGRAMA!H66="", "",CRONOGRAMA!H66)</f>
        <v/>
      </c>
      <c r="H66" s="128" t="str">
        <f>IF(CRONOGRAMA!I66="", "",CRONOGRAMA!I66)</f>
        <v/>
      </c>
      <c r="I66" s="84">
        <f t="shared" si="179"/>
        <v>0</v>
      </c>
      <c r="J66" s="160" t="str">
        <f>IF($P$6="Indique Fecha Seguimiento","",IF(CRONOGRAMA!$E66="No Aplica","NA",IF($G66="","",IF(YEAR($G66)&lt;YEAR($P$6)," A ",IF(YEAR($G66)=YEAR($P$6),IF(MONTH($G66)&lt;=4," A ","NA"),IF(YEAR($G66)&gt;YEAR($P$6),"NA"))))))</f>
        <v>NA</v>
      </c>
      <c r="K66" s="400"/>
      <c r="L66" s="401"/>
      <c r="M66" s="400"/>
      <c r="N66" s="348" t="str">
        <f t="shared" si="180"/>
        <v/>
      </c>
      <c r="O66" s="349"/>
      <c r="P66" s="44"/>
      <c r="Q66" s="84" t="str">
        <f t="shared" si="181"/>
        <v/>
      </c>
      <c r="R66" s="84" t="str">
        <f t="shared" si="182"/>
        <v/>
      </c>
      <c r="S66" s="84">
        <f t="shared" si="3"/>
        <v>0</v>
      </c>
      <c r="T66" s="160" t="str">
        <f>IF($Z$6="Indique Fecha Seguimiento","",IF(CRONOGRAMA!$E66="No Aplica","NA",IF($G66="","",IF(YEAR($G66)&lt;YEAR($Z$6)," A ",IF(YEAR($G66)=YEAR($Z$6),IF(MONTH($G66)&lt;=8," A ","NA"),IF(YEAR($G66)&gt;YEAR($Z$6),"NA"))))))</f>
        <v>NA</v>
      </c>
      <c r="U66" s="351"/>
      <c r="V66" s="44"/>
      <c r="W66" s="351"/>
      <c r="X66" s="348" t="str">
        <f t="shared" si="183"/>
        <v/>
      </c>
      <c r="Y66" s="349"/>
      <c r="Z66" s="44"/>
      <c r="AA66" s="84" t="str">
        <f t="shared" si="184"/>
        <v/>
      </c>
      <c r="AB66" s="84" t="str">
        <f t="shared" si="185"/>
        <v/>
      </c>
      <c r="AC66" s="84">
        <f t="shared" si="6"/>
        <v>0</v>
      </c>
      <c r="AD66" s="160" t="str">
        <f>IF($AJ$6="Indique Fecha Seguimiento","",IF(CRONOGRAMA!$E66="No Aplica","NA",IF($G66="","",IF(YEAR($G66)&lt;YEAR($AJ$6)," A ",IF(YEAR($G66)=YEAR($AJ$6),IF(MONTH($G66)&lt;=12," A ","NA"),IF(YEAR($G66)&gt;YEAR($AJ$6),"NA"))))))</f>
        <v>NA</v>
      </c>
      <c r="AE66" s="350"/>
      <c r="AF66" s="44"/>
      <c r="AG66" s="351"/>
      <c r="AH66" s="348" t="str">
        <f t="shared" si="186"/>
        <v/>
      </c>
      <c r="AI66" s="349"/>
      <c r="AJ66" s="44"/>
      <c r="AK66" s="81" t="str">
        <f t="shared" si="187"/>
        <v/>
      </c>
      <c r="AL66" s="84" t="str">
        <f t="shared" si="188"/>
        <v/>
      </c>
      <c r="AM66" s="84">
        <f t="shared" si="10"/>
        <v>0</v>
      </c>
      <c r="AN66" s="579">
        <f t="shared" ref="AN66" si="210">SUM(I66:I68)</f>
        <v>0</v>
      </c>
      <c r="AO66" s="580" t="str">
        <f t="shared" ref="AO66" si="211">IF(AND(Q66="",Q67="",Q68=""),"",SUM(Q66:Q68))</f>
        <v/>
      </c>
      <c r="AP66" s="581" t="str">
        <f t="shared" ref="AP66" si="212">IF(AND(AA66="",AA67="",AA68=""),"",SUM(AA66:AA68))</f>
        <v/>
      </c>
      <c r="AQ66" s="581" t="str">
        <f t="shared" ref="AQ66" si="213">IF(AND(AK66="",AK67="",AK68=""),"",SUM(AK66:AK68))</f>
        <v/>
      </c>
      <c r="AR66" s="582" t="str">
        <f t="shared" ref="AR66" si="214">IF(AO66="",IF($AU$6&lt;1,"",IF($AU$6&gt;=1,"NA")),IF(AO66=0,0,AO66/$AN66))</f>
        <v>NA</v>
      </c>
      <c r="AS66" s="582" t="str">
        <f t="shared" ref="AS66" si="215">IF(AP66="",IF($AU$6&lt;2,"",IF($AU$6&gt;=2,"NA")),IF(AP66=0,0,AP66/$AN66))</f>
        <v>NA</v>
      </c>
      <c r="AT66" s="582" t="str">
        <f t="shared" ref="AT66" si="216">IF(AS66&gt;=AR66,AS66,AR66)</f>
        <v>NA</v>
      </c>
      <c r="AU66" s="572" t="str">
        <f t="shared" ref="AU66" si="217">IF(AQ66="",IF($AU$6&lt;3,"",IF($AU$6&gt;=3,"NA")),IF(AQ66=0,0,AQ66/$AN66))</f>
        <v>NA</v>
      </c>
      <c r="AV66" s="573" t="str">
        <f t="shared" ref="AV66" si="218">IF($AU$6=1,AR66,IF($AU$6=2,AS66,IF($AU$6=3,AU66,"")))</f>
        <v>NA</v>
      </c>
      <c r="AW66" s="574" t="str">
        <f t="shared" ref="AW66" si="219">AV66</f>
        <v>NA</v>
      </c>
      <c r="AX66">
        <f t="shared" si="199"/>
        <v>0</v>
      </c>
    </row>
    <row r="67" spans="1:50" ht="15.75" x14ac:dyDescent="0.25">
      <c r="A67" s="583"/>
      <c r="B67" s="578"/>
      <c r="C67" s="82" t="str">
        <f>IF('CONSOLIDACION DEL MAPA'!P67="","",'CONSOLIDACION DEL MAPA'!P67)</f>
        <v/>
      </c>
      <c r="D67" s="82" t="str">
        <f>CRONOGRAMA!D67</f>
        <v/>
      </c>
      <c r="E67" s="132" t="str">
        <f>IF(CRONOGRAMA!F67="", "",CRONOGRAMA!F67)</f>
        <v/>
      </c>
      <c r="F67" s="132" t="str">
        <f>IF(CRONOGRAMA!G67="", "",CRONOGRAMA!G67)</f>
        <v/>
      </c>
      <c r="G67" s="128" t="str">
        <f>IF(CRONOGRAMA!H67="", "",CRONOGRAMA!H67)</f>
        <v/>
      </c>
      <c r="H67" s="128" t="str">
        <f>IF(CRONOGRAMA!I67="", "",CRONOGRAMA!I67)</f>
        <v/>
      </c>
      <c r="I67" s="84">
        <f t="shared" si="179"/>
        <v>0</v>
      </c>
      <c r="J67" s="160" t="str">
        <f>IF($P$6="Indique Fecha Seguimiento","",IF(CRONOGRAMA!$E67="No Aplica","NA",IF($G67="","",IF(YEAR($G67)&lt;YEAR($P$6)," A ",IF(YEAR($G67)=YEAR($P$6),IF(MONTH($G67)&lt;=4," A ","NA"),IF(YEAR($G67)&gt;YEAR($P$6),"NA"))))))</f>
        <v/>
      </c>
      <c r="K67" s="400"/>
      <c r="L67" s="401"/>
      <c r="M67" s="400"/>
      <c r="N67" s="348" t="str">
        <f t="shared" si="180"/>
        <v/>
      </c>
      <c r="O67" s="349"/>
      <c r="P67" s="44"/>
      <c r="Q67" s="84" t="str">
        <f t="shared" si="181"/>
        <v/>
      </c>
      <c r="R67" s="84" t="str">
        <f t="shared" si="182"/>
        <v/>
      </c>
      <c r="S67" s="84">
        <f t="shared" si="3"/>
        <v>0</v>
      </c>
      <c r="T67" s="160" t="str">
        <f>IF($Z$6="Indique Fecha Seguimiento","",IF(CRONOGRAMA!$E67="No Aplica","NA",IF($G67="","",IF(YEAR($G67)&lt;YEAR($Z$6)," A ",IF(YEAR($G67)=YEAR($Z$6),IF(MONTH($G67)&lt;=8," A ","NA"),IF(YEAR($G67)&gt;YEAR($Z$6),"NA"))))))</f>
        <v/>
      </c>
      <c r="U67" s="351"/>
      <c r="V67" s="44"/>
      <c r="W67" s="351"/>
      <c r="X67" s="348" t="str">
        <f t="shared" si="183"/>
        <v/>
      </c>
      <c r="Y67" s="349"/>
      <c r="Z67" s="44"/>
      <c r="AA67" s="84" t="str">
        <f t="shared" si="184"/>
        <v/>
      </c>
      <c r="AB67" s="84" t="str">
        <f t="shared" si="185"/>
        <v/>
      </c>
      <c r="AC67" s="84">
        <f t="shared" si="6"/>
        <v>0</v>
      </c>
      <c r="AD67" s="160" t="str">
        <f>IF($AJ$6="Indique Fecha Seguimiento","",IF(CRONOGRAMA!$E67="No Aplica","NA",IF($G67="","",IF(YEAR($G67)&lt;YEAR($AJ$6)," A ",IF(YEAR($G67)=YEAR($AJ$6),IF(MONTH($G67)&lt;=12," A ","NA"),IF(YEAR($G67)&gt;YEAR($AJ$6),"NA"))))))</f>
        <v/>
      </c>
      <c r="AE67" s="350"/>
      <c r="AF67" s="44"/>
      <c r="AG67" s="351"/>
      <c r="AH67" s="348" t="str">
        <f t="shared" si="186"/>
        <v/>
      </c>
      <c r="AI67" s="349"/>
      <c r="AJ67" s="44"/>
      <c r="AK67" s="81" t="str">
        <f t="shared" si="187"/>
        <v/>
      </c>
      <c r="AL67" s="84" t="str">
        <f t="shared" si="188"/>
        <v/>
      </c>
      <c r="AM67" s="84">
        <f t="shared" si="10"/>
        <v>0</v>
      </c>
      <c r="AN67" s="579"/>
      <c r="AO67" s="580"/>
      <c r="AP67" s="581"/>
      <c r="AQ67" s="581"/>
      <c r="AR67" s="582"/>
      <c r="AS67" s="582"/>
      <c r="AT67" s="582"/>
      <c r="AU67" s="572"/>
      <c r="AV67" s="573"/>
      <c r="AW67" s="574"/>
      <c r="AX67">
        <f t="shared" si="199"/>
        <v>0</v>
      </c>
    </row>
    <row r="68" spans="1:50" ht="15.75" x14ac:dyDescent="0.25">
      <c r="A68" s="583"/>
      <c r="B68" s="578"/>
      <c r="C68" s="82" t="str">
        <f>IF('CONSOLIDACION DEL MAPA'!P68="","",'CONSOLIDACION DEL MAPA'!P68)</f>
        <v/>
      </c>
      <c r="D68" s="82" t="str">
        <f>CRONOGRAMA!D68</f>
        <v/>
      </c>
      <c r="E68" s="132" t="str">
        <f>IF(CRONOGRAMA!F68="", "",CRONOGRAMA!F68)</f>
        <v/>
      </c>
      <c r="F68" s="132" t="str">
        <f>IF(CRONOGRAMA!G68="", "",CRONOGRAMA!G68)</f>
        <v/>
      </c>
      <c r="G68" s="128" t="str">
        <f>IF(CRONOGRAMA!H68="", "",CRONOGRAMA!H68)</f>
        <v/>
      </c>
      <c r="H68" s="128" t="str">
        <f>IF(CRONOGRAMA!I68="", "",CRONOGRAMA!I68)</f>
        <v/>
      </c>
      <c r="I68" s="84">
        <f t="shared" si="179"/>
        <v>0</v>
      </c>
      <c r="J68" s="160" t="str">
        <f>IF($P$6="Indique Fecha Seguimiento","",IF(CRONOGRAMA!$E68="No Aplica","NA",IF($G68="","",IF(YEAR($G68)&lt;YEAR($P$6)," A ",IF(YEAR($G68)=YEAR($P$6),IF(MONTH($G68)&lt;=4," A ","NA"),IF(YEAR($G68)&gt;YEAR($P$6),"NA"))))))</f>
        <v/>
      </c>
      <c r="K68" s="400"/>
      <c r="L68" s="401"/>
      <c r="M68" s="400"/>
      <c r="N68" s="348" t="str">
        <f t="shared" si="180"/>
        <v/>
      </c>
      <c r="O68" s="349"/>
      <c r="P68" s="44"/>
      <c r="Q68" s="84" t="str">
        <f t="shared" si="181"/>
        <v/>
      </c>
      <c r="R68" s="84" t="str">
        <f t="shared" si="182"/>
        <v/>
      </c>
      <c r="S68" s="84">
        <f t="shared" si="3"/>
        <v>0</v>
      </c>
      <c r="T68" s="160" t="str">
        <f>IF($Z$6="Indique Fecha Seguimiento","",IF(CRONOGRAMA!$E68="No Aplica","NA",IF($G68="","",IF(YEAR($G68)&lt;YEAR($Z$6)," A ",IF(YEAR($G68)=YEAR($Z$6),IF(MONTH($G68)&lt;=8," A ","NA"),IF(YEAR($G68)&gt;YEAR($Z$6),"NA"))))))</f>
        <v/>
      </c>
      <c r="U68" s="351"/>
      <c r="V68" s="44"/>
      <c r="W68" s="351"/>
      <c r="X68" s="348" t="str">
        <f t="shared" si="183"/>
        <v/>
      </c>
      <c r="Y68" s="349"/>
      <c r="Z68" s="44"/>
      <c r="AA68" s="84" t="str">
        <f t="shared" si="184"/>
        <v/>
      </c>
      <c r="AB68" s="84" t="str">
        <f t="shared" si="185"/>
        <v/>
      </c>
      <c r="AC68" s="84">
        <f t="shared" si="6"/>
        <v>0</v>
      </c>
      <c r="AD68" s="160" t="str">
        <f>IF($AJ$6="Indique Fecha Seguimiento","",IF(CRONOGRAMA!$E68="No Aplica","NA",IF($G68="","",IF(YEAR($G68)&lt;YEAR($AJ$6)," A ",IF(YEAR($G68)=YEAR($AJ$6),IF(MONTH($G68)&lt;=12," A ","NA"),IF(YEAR($G68)&gt;YEAR($AJ$6),"NA"))))))</f>
        <v/>
      </c>
      <c r="AE68" s="350"/>
      <c r="AF68" s="44"/>
      <c r="AG68" s="351"/>
      <c r="AH68" s="348" t="str">
        <f t="shared" si="186"/>
        <v/>
      </c>
      <c r="AI68" s="349"/>
      <c r="AJ68" s="44"/>
      <c r="AK68" s="81" t="str">
        <f t="shared" si="187"/>
        <v/>
      </c>
      <c r="AL68" s="84" t="str">
        <f t="shared" si="188"/>
        <v/>
      </c>
      <c r="AM68" s="84">
        <f t="shared" si="10"/>
        <v>0</v>
      </c>
      <c r="AN68" s="579"/>
      <c r="AO68" s="580"/>
      <c r="AP68" s="581"/>
      <c r="AQ68" s="581"/>
      <c r="AR68" s="582"/>
      <c r="AS68" s="582"/>
      <c r="AT68" s="582"/>
      <c r="AU68" s="572"/>
      <c r="AV68" s="573"/>
      <c r="AW68" s="574"/>
      <c r="AX68">
        <f t="shared" si="199"/>
        <v>0</v>
      </c>
    </row>
    <row r="69" spans="1:50" ht="38.25" x14ac:dyDescent="0.25">
      <c r="A69" s="583" t="str">
        <f>CRONOGRAMA!A69</f>
        <v>21G</v>
      </c>
      <c r="B69" s="578" t="str">
        <f>CRONOGRAMA!B69</f>
        <v>Gestión de Contratación. Documentación incompleta en la carpeta contractual</v>
      </c>
      <c r="C69" s="82" t="str">
        <f>IF('CONSOLIDACION DEL MAPA'!P69="","",'CONSOLIDACION DEL MAPA'!P69)</f>
        <v>Asumir</v>
      </c>
      <c r="D69" s="82" t="str">
        <f>CRONOGRAMA!D69</f>
        <v>Seguir ejecutando y monitoreando los controles existentes</v>
      </c>
      <c r="E69" s="132" t="str">
        <f>IF(CRONOGRAMA!F69="", "",CRONOGRAMA!F69)</f>
        <v/>
      </c>
      <c r="F69" s="132" t="str">
        <f>IF(CRONOGRAMA!G69="", "",CRONOGRAMA!G69)</f>
        <v/>
      </c>
      <c r="G69" s="128" t="str">
        <f>IF(CRONOGRAMA!H69="", "",CRONOGRAMA!H69)</f>
        <v/>
      </c>
      <c r="H69" s="128" t="str">
        <f>IF(CRONOGRAMA!I69="", "",CRONOGRAMA!I69)</f>
        <v/>
      </c>
      <c r="I69" s="84">
        <f t="shared" si="179"/>
        <v>0</v>
      </c>
      <c r="J69" s="160" t="str">
        <f>IF($P$6="Indique Fecha Seguimiento","",IF(CRONOGRAMA!$E69="No Aplica","NA",IF($G69="","",IF(YEAR($G69)&lt;YEAR($P$6)," A ",IF(YEAR($G69)=YEAR($P$6),IF(MONTH($G69)&lt;=4," A ","NA"),IF(YEAR($G69)&gt;YEAR($P$6),"NA"))))))</f>
        <v>NA</v>
      </c>
      <c r="K69" s="400"/>
      <c r="L69" s="401"/>
      <c r="M69" s="400"/>
      <c r="N69" s="348" t="str">
        <f t="shared" si="180"/>
        <v/>
      </c>
      <c r="O69" s="349"/>
      <c r="P69" s="44"/>
      <c r="Q69" s="84" t="str">
        <f t="shared" si="181"/>
        <v/>
      </c>
      <c r="R69" s="84" t="str">
        <f t="shared" si="182"/>
        <v/>
      </c>
      <c r="S69" s="84">
        <f t="shared" si="3"/>
        <v>0</v>
      </c>
      <c r="T69" s="160" t="str">
        <f>IF($Z$6="Indique Fecha Seguimiento","",IF(CRONOGRAMA!$E69="No Aplica","NA",IF($G69="","",IF(YEAR($G69)&lt;YEAR($Z$6)," A ",IF(YEAR($G69)=YEAR($Z$6),IF(MONTH($G69)&lt;=8," A ","NA"),IF(YEAR($G69)&gt;YEAR($Z$6),"NA"))))))</f>
        <v>NA</v>
      </c>
      <c r="U69" s="351"/>
      <c r="V69" s="44"/>
      <c r="W69" s="351"/>
      <c r="X69" s="348" t="str">
        <f t="shared" si="183"/>
        <v/>
      </c>
      <c r="Y69" s="349"/>
      <c r="Z69" s="44"/>
      <c r="AA69" s="84" t="str">
        <f t="shared" si="184"/>
        <v/>
      </c>
      <c r="AB69" s="84" t="str">
        <f t="shared" si="185"/>
        <v/>
      </c>
      <c r="AC69" s="84">
        <f t="shared" si="6"/>
        <v>0</v>
      </c>
      <c r="AD69" s="160" t="str">
        <f>IF($AJ$6="Indique Fecha Seguimiento","",IF(CRONOGRAMA!$E69="No Aplica","NA",IF($G69="","",IF(YEAR($G69)&lt;YEAR($AJ$6)," A ",IF(YEAR($G69)=YEAR($AJ$6),IF(MONTH($G69)&lt;=12," A ","NA"),IF(YEAR($G69)&gt;YEAR($AJ$6),"NA"))))))</f>
        <v>NA</v>
      </c>
      <c r="AE69" s="350"/>
      <c r="AF69" s="44"/>
      <c r="AG69" s="351"/>
      <c r="AH69" s="348" t="str">
        <f t="shared" si="186"/>
        <v/>
      </c>
      <c r="AI69" s="349"/>
      <c r="AJ69" s="44"/>
      <c r="AK69" s="81" t="str">
        <f t="shared" si="187"/>
        <v/>
      </c>
      <c r="AL69" s="84" t="str">
        <f t="shared" si="188"/>
        <v/>
      </c>
      <c r="AM69" s="84">
        <f t="shared" si="10"/>
        <v>0</v>
      </c>
      <c r="AN69" s="579">
        <f t="shared" ref="AN69" si="220">SUM(I69:I71)</f>
        <v>0</v>
      </c>
      <c r="AO69" s="580" t="str">
        <f t="shared" ref="AO69" si="221">IF(AND(Q69="",Q70="",Q71=""),"",SUM(Q69:Q71))</f>
        <v/>
      </c>
      <c r="AP69" s="581" t="str">
        <f t="shared" ref="AP69" si="222">IF(AND(AA69="",AA70="",AA71=""),"",SUM(AA69:AA71))</f>
        <v/>
      </c>
      <c r="AQ69" s="581" t="str">
        <f t="shared" ref="AQ69" si="223">IF(AND(AK69="",AK70="",AK71=""),"",SUM(AK69:AK71))</f>
        <v/>
      </c>
      <c r="AR69" s="582" t="str">
        <f t="shared" ref="AR69" si="224">IF(AO69="",IF($AU$6&lt;1,"",IF($AU$6&gt;=1,"NA")),IF(AO69=0,0,AO69/$AN69))</f>
        <v>NA</v>
      </c>
      <c r="AS69" s="582" t="str">
        <f t="shared" ref="AS69" si="225">IF(AP69="",IF($AU$6&lt;2,"",IF($AU$6&gt;=2,"NA")),IF(AP69=0,0,AP69/$AN69))</f>
        <v>NA</v>
      </c>
      <c r="AT69" s="582" t="str">
        <f t="shared" ref="AT69" si="226">IF(AS69&gt;=AR69,AS69,AR69)</f>
        <v>NA</v>
      </c>
      <c r="AU69" s="572" t="str">
        <f t="shared" ref="AU69" si="227">IF(AQ69="",IF($AU$6&lt;3,"",IF($AU$6&gt;=3,"NA")),IF(AQ69=0,0,AQ69/$AN69))</f>
        <v>NA</v>
      </c>
      <c r="AV69" s="573" t="str">
        <f t="shared" ref="AV69" si="228">IF($AU$6=1,AR69,IF($AU$6=2,AS69,IF($AU$6=3,AU69,"")))</f>
        <v>NA</v>
      </c>
      <c r="AW69" s="574" t="str">
        <f t="shared" ref="AW69" si="229">AV69</f>
        <v>NA</v>
      </c>
      <c r="AX69">
        <f t="shared" si="199"/>
        <v>0</v>
      </c>
    </row>
    <row r="70" spans="1:50" ht="15.75" x14ac:dyDescent="0.25">
      <c r="A70" s="583"/>
      <c r="B70" s="578"/>
      <c r="C70" s="82" t="str">
        <f>IF('CONSOLIDACION DEL MAPA'!P70="","",'CONSOLIDACION DEL MAPA'!P70)</f>
        <v/>
      </c>
      <c r="D70" s="82" t="str">
        <f>CRONOGRAMA!D70</f>
        <v/>
      </c>
      <c r="E70" s="132" t="str">
        <f>IF(CRONOGRAMA!F70="", "",CRONOGRAMA!F70)</f>
        <v/>
      </c>
      <c r="F70" s="132" t="str">
        <f>IF(CRONOGRAMA!G70="", "",CRONOGRAMA!G70)</f>
        <v/>
      </c>
      <c r="G70" s="128" t="str">
        <f>IF(CRONOGRAMA!H70="", "",CRONOGRAMA!H70)</f>
        <v/>
      </c>
      <c r="H70" s="128" t="str">
        <f>IF(CRONOGRAMA!I70="", "",CRONOGRAMA!I70)</f>
        <v/>
      </c>
      <c r="I70" s="84">
        <f t="shared" si="179"/>
        <v>0</v>
      </c>
      <c r="J70" s="160" t="str">
        <f>IF($P$6="Indique Fecha Seguimiento","",IF(CRONOGRAMA!$E70="No Aplica","NA",IF($G70="","",IF(YEAR($G70)&lt;YEAR($P$6)," A ",IF(YEAR($G70)=YEAR($P$6),IF(MONTH($G70)&lt;=4," A ","NA"),IF(YEAR($G70)&gt;YEAR($P$6),"NA"))))))</f>
        <v/>
      </c>
      <c r="K70" s="400"/>
      <c r="L70" s="401"/>
      <c r="M70" s="400"/>
      <c r="N70" s="348" t="str">
        <f t="shared" si="180"/>
        <v/>
      </c>
      <c r="O70" s="349"/>
      <c r="P70" s="44"/>
      <c r="Q70" s="84" t="str">
        <f t="shared" si="181"/>
        <v/>
      </c>
      <c r="R70" s="84" t="str">
        <f t="shared" si="182"/>
        <v/>
      </c>
      <c r="S70" s="84">
        <f t="shared" si="3"/>
        <v>0</v>
      </c>
      <c r="T70" s="160" t="str">
        <f>IF($Z$6="Indique Fecha Seguimiento","",IF(CRONOGRAMA!$E70="No Aplica","NA",IF($G70="","",IF(YEAR($G70)&lt;YEAR($Z$6)," A ",IF(YEAR($G70)=YEAR($Z$6),IF(MONTH($G70)&lt;=8," A ","NA"),IF(YEAR($G70)&gt;YEAR($Z$6),"NA"))))))</f>
        <v/>
      </c>
      <c r="U70" s="351"/>
      <c r="V70" s="44"/>
      <c r="W70" s="351"/>
      <c r="X70" s="348" t="str">
        <f t="shared" si="183"/>
        <v/>
      </c>
      <c r="Y70" s="349"/>
      <c r="Z70" s="44"/>
      <c r="AA70" s="84" t="str">
        <f t="shared" si="184"/>
        <v/>
      </c>
      <c r="AB70" s="84" t="str">
        <f t="shared" si="185"/>
        <v/>
      </c>
      <c r="AC70" s="84">
        <f t="shared" si="6"/>
        <v>0</v>
      </c>
      <c r="AD70" s="160" t="str">
        <f>IF($AJ$6="Indique Fecha Seguimiento","",IF(CRONOGRAMA!$E70="No Aplica","NA",IF($G70="","",IF(YEAR($G70)&lt;YEAR($AJ$6)," A ",IF(YEAR($G70)=YEAR($AJ$6),IF(MONTH($G70)&lt;=12," A ","NA"),IF(YEAR($G70)&gt;YEAR($AJ$6),"NA"))))))</f>
        <v/>
      </c>
      <c r="AE70" s="350"/>
      <c r="AF70" s="44"/>
      <c r="AG70" s="351"/>
      <c r="AH70" s="348" t="str">
        <f t="shared" si="186"/>
        <v/>
      </c>
      <c r="AI70" s="349"/>
      <c r="AJ70" s="44"/>
      <c r="AK70" s="81" t="str">
        <f t="shared" si="187"/>
        <v/>
      </c>
      <c r="AL70" s="84" t="str">
        <f t="shared" si="188"/>
        <v/>
      </c>
      <c r="AM70" s="84">
        <f t="shared" si="10"/>
        <v>0</v>
      </c>
      <c r="AN70" s="579"/>
      <c r="AO70" s="580"/>
      <c r="AP70" s="581"/>
      <c r="AQ70" s="581"/>
      <c r="AR70" s="582"/>
      <c r="AS70" s="582"/>
      <c r="AT70" s="582"/>
      <c r="AU70" s="572"/>
      <c r="AV70" s="573"/>
      <c r="AW70" s="574"/>
      <c r="AX70">
        <f t="shared" si="199"/>
        <v>0</v>
      </c>
    </row>
    <row r="71" spans="1:50" ht="15.75" x14ac:dyDescent="0.25">
      <c r="A71" s="583"/>
      <c r="B71" s="578"/>
      <c r="C71" s="82" t="str">
        <f>IF('CONSOLIDACION DEL MAPA'!P71="","",'CONSOLIDACION DEL MAPA'!P71)</f>
        <v/>
      </c>
      <c r="D71" s="82" t="str">
        <f>CRONOGRAMA!D71</f>
        <v/>
      </c>
      <c r="E71" s="132" t="str">
        <f>IF(CRONOGRAMA!F71="", "",CRONOGRAMA!F71)</f>
        <v/>
      </c>
      <c r="F71" s="132" t="str">
        <f>IF(CRONOGRAMA!G71="", "",CRONOGRAMA!G71)</f>
        <v/>
      </c>
      <c r="G71" s="128" t="str">
        <f>IF(CRONOGRAMA!H71="", "",CRONOGRAMA!H71)</f>
        <v/>
      </c>
      <c r="H71" s="128" t="str">
        <f>IF(CRONOGRAMA!I71="", "",CRONOGRAMA!I71)</f>
        <v/>
      </c>
      <c r="I71" s="84">
        <f t="shared" si="179"/>
        <v>0</v>
      </c>
      <c r="J71" s="160" t="str">
        <f>IF($P$6="Indique Fecha Seguimiento","",IF(CRONOGRAMA!$E71="No Aplica","NA",IF($G71="","",IF(YEAR($G71)&lt;YEAR($P$6)," A ",IF(YEAR($G71)=YEAR($P$6),IF(MONTH($G71)&lt;=4," A ","NA"),IF(YEAR($G71)&gt;YEAR($P$6),"NA"))))))</f>
        <v/>
      </c>
      <c r="K71" s="400"/>
      <c r="L71" s="401"/>
      <c r="M71" s="400"/>
      <c r="N71" s="348" t="str">
        <f t="shared" si="180"/>
        <v/>
      </c>
      <c r="O71" s="349"/>
      <c r="P71" s="44"/>
      <c r="Q71" s="84" t="str">
        <f t="shared" si="181"/>
        <v/>
      </c>
      <c r="R71" s="84" t="str">
        <f t="shared" si="182"/>
        <v/>
      </c>
      <c r="S71" s="84">
        <f t="shared" si="3"/>
        <v>0</v>
      </c>
      <c r="T71" s="160" t="str">
        <f>IF($Z$6="Indique Fecha Seguimiento","",IF(CRONOGRAMA!$E71="No Aplica","NA",IF($G71="","",IF(YEAR($G71)&lt;YEAR($Z$6)," A ",IF(YEAR($G71)=YEAR($Z$6),IF(MONTH($G71)&lt;=8," A ","NA"),IF(YEAR($G71)&gt;YEAR($Z$6),"NA"))))))</f>
        <v/>
      </c>
      <c r="U71" s="351"/>
      <c r="V71" s="44"/>
      <c r="W71" s="351"/>
      <c r="X71" s="348" t="str">
        <f t="shared" si="183"/>
        <v/>
      </c>
      <c r="Y71" s="349"/>
      <c r="Z71" s="44"/>
      <c r="AA71" s="84" t="str">
        <f t="shared" si="184"/>
        <v/>
      </c>
      <c r="AB71" s="84" t="str">
        <f t="shared" si="185"/>
        <v/>
      </c>
      <c r="AC71" s="84">
        <f t="shared" si="6"/>
        <v>0</v>
      </c>
      <c r="AD71" s="160" t="str">
        <f>IF($AJ$6="Indique Fecha Seguimiento","",IF(CRONOGRAMA!$E71="No Aplica","NA",IF($G71="","",IF(YEAR($G71)&lt;YEAR($AJ$6)," A ",IF(YEAR($G71)=YEAR($AJ$6),IF(MONTH($G71)&lt;=12," A ","NA"),IF(YEAR($G71)&gt;YEAR($AJ$6),"NA"))))))</f>
        <v/>
      </c>
      <c r="AE71" s="350"/>
      <c r="AF71" s="44"/>
      <c r="AG71" s="351"/>
      <c r="AH71" s="348" t="str">
        <f t="shared" si="186"/>
        <v/>
      </c>
      <c r="AI71" s="349"/>
      <c r="AJ71" s="44"/>
      <c r="AK71" s="81" t="str">
        <f t="shared" si="187"/>
        <v/>
      </c>
      <c r="AL71" s="84" t="str">
        <f t="shared" si="188"/>
        <v/>
      </c>
      <c r="AM71" s="84">
        <f t="shared" si="10"/>
        <v>0</v>
      </c>
      <c r="AN71" s="579"/>
      <c r="AO71" s="580"/>
      <c r="AP71" s="581"/>
      <c r="AQ71" s="581"/>
      <c r="AR71" s="582"/>
      <c r="AS71" s="582"/>
      <c r="AT71" s="582"/>
      <c r="AU71" s="572"/>
      <c r="AV71" s="573"/>
      <c r="AW71" s="574"/>
      <c r="AX71">
        <f t="shared" si="199"/>
        <v>0</v>
      </c>
    </row>
    <row r="72" spans="1:50" ht="63" x14ac:dyDescent="0.25">
      <c r="A72" s="583" t="str">
        <f>CRONOGRAMA!A72</f>
        <v>22G</v>
      </c>
      <c r="B72" s="578" t="str">
        <f>CRONOGRAMA!B72</f>
        <v>Gestión Administrativa. Inseguridad en el campus</v>
      </c>
      <c r="C72" s="82" t="str">
        <f>IF('CONSOLIDACION DEL MAPA'!P72="","",'CONSOLIDACION DEL MAPA'!P72)</f>
        <v>Reducir</v>
      </c>
      <c r="D72" s="82" t="str">
        <f>CRONOGRAMA!D72</f>
        <v>Documento analisis de estado de la seguridad y falencias existentes.</v>
      </c>
      <c r="E72" s="132" t="str">
        <f>IF(CRONOGRAMA!F72="", "",CRONOGRAMA!F72)</f>
        <v>Documento analisis</v>
      </c>
      <c r="F72" s="132">
        <f>IF(CRONOGRAMA!G72="", "",CRONOGRAMA!G72)</f>
        <v>1</v>
      </c>
      <c r="G72" s="128">
        <f>IF(CRONOGRAMA!H72="", "",CRONOGRAMA!H72)</f>
        <v>42371</v>
      </c>
      <c r="H72" s="128">
        <f>IF(CRONOGRAMA!I72="", "",CRONOGRAMA!I72)</f>
        <v>42735</v>
      </c>
      <c r="I72" s="84">
        <f t="shared" si="179"/>
        <v>52</v>
      </c>
      <c r="J72" s="160" t="str">
        <f>IF($P$6="Indique Fecha Seguimiento","",IF(CRONOGRAMA!$E72="No Aplica","NA",IF($G72="","",IF(YEAR($G72)&lt;YEAR($P$6)," A ",IF(YEAR($G72)=YEAR($P$6),IF(MONTH($G72)&lt;=4," A ","NA"),IF(YEAR($G72)&gt;YEAR($P$6),"NA"))))))</f>
        <v xml:space="preserve"> A </v>
      </c>
      <c r="K72" s="400">
        <v>0.05</v>
      </c>
      <c r="L72" s="401" t="s">
        <v>891</v>
      </c>
      <c r="M72" s="400">
        <v>0</v>
      </c>
      <c r="N72" s="348">
        <f t="shared" si="180"/>
        <v>0</v>
      </c>
      <c r="O72" s="349" t="s">
        <v>353</v>
      </c>
      <c r="P72" s="44" t="s">
        <v>914</v>
      </c>
      <c r="Q72" s="84">
        <f t="shared" si="181"/>
        <v>0</v>
      </c>
      <c r="R72" s="84">
        <f t="shared" si="182"/>
        <v>0</v>
      </c>
      <c r="S72" s="84">
        <f t="shared" si="3"/>
        <v>52</v>
      </c>
      <c r="T72" s="160" t="str">
        <f>IF($Z$6="Indique Fecha Seguimiento","",IF(CRONOGRAMA!$E72="No Aplica","NA",IF($G72="","",IF(YEAR($G72)&lt;YEAR($Z$6)," A ",IF(YEAR($G72)=YEAR($Z$6),IF(MONTH($G72)&lt;=8," A ","NA"),IF(YEAR($G72)&gt;YEAR($Z$6),"NA"))))))</f>
        <v xml:space="preserve"> A </v>
      </c>
      <c r="U72" s="410">
        <v>0.1</v>
      </c>
      <c r="V72" s="401" t="s">
        <v>891</v>
      </c>
      <c r="W72" s="351">
        <v>0.1</v>
      </c>
      <c r="X72" s="348">
        <f t="shared" si="183"/>
        <v>0.1</v>
      </c>
      <c r="Y72" s="349" t="s">
        <v>353</v>
      </c>
      <c r="Z72" s="402" t="str">
        <f>V72</f>
        <v>Detección de falencias y puntos de mejora en el sistema de seguridad</v>
      </c>
      <c r="AA72" s="84">
        <f t="shared" si="184"/>
        <v>5.2</v>
      </c>
      <c r="AB72" s="84">
        <f t="shared" si="185"/>
        <v>5.2</v>
      </c>
      <c r="AC72" s="84">
        <f t="shared" si="6"/>
        <v>52</v>
      </c>
      <c r="AD72" s="160" t="str">
        <f>IF($AJ$6="Indique Fecha Seguimiento","",IF(CRONOGRAMA!$E72="No Aplica","NA",IF($G72="","",IF(YEAR($G72)&lt;YEAR($AJ$6)," A ",IF(YEAR($G72)=YEAR($AJ$6),IF(MONTH($G72)&lt;=12," A ","NA"),IF(YEAR($G72)&gt;YEAR($AJ$6),"NA"))))))</f>
        <v xml:space="preserve"> A </v>
      </c>
      <c r="AE72" s="717">
        <v>0.1</v>
      </c>
      <c r="AF72" s="401" t="s">
        <v>891</v>
      </c>
      <c r="AG72" s="351">
        <v>0.1</v>
      </c>
      <c r="AH72" s="348">
        <f t="shared" si="186"/>
        <v>0.1</v>
      </c>
      <c r="AI72" s="349" t="s">
        <v>10</v>
      </c>
      <c r="AJ72" s="44" t="str">
        <f>AF72</f>
        <v>Detección de falencias y puntos de mejora en el sistema de seguridad</v>
      </c>
      <c r="AK72" s="81">
        <f t="shared" si="187"/>
        <v>5.2</v>
      </c>
      <c r="AL72" s="84">
        <f t="shared" si="188"/>
        <v>5.2</v>
      </c>
      <c r="AM72" s="84">
        <f t="shared" si="10"/>
        <v>52</v>
      </c>
      <c r="AN72" s="579">
        <f t="shared" ref="AN72" si="230">SUM(I72:I74)</f>
        <v>104</v>
      </c>
      <c r="AO72" s="580">
        <f t="shared" ref="AO72" si="231">IF(AND(Q72="",Q73="",Q74=""),"",SUM(Q72:Q74))</f>
        <v>0</v>
      </c>
      <c r="AP72" s="581">
        <f t="shared" ref="AP72" si="232">IF(AND(AA72="",AA73="",AA74=""),"",SUM(AA72:AA74))</f>
        <v>22.533333333333331</v>
      </c>
      <c r="AQ72" s="581">
        <f t="shared" ref="AQ72" si="233">IF(AND(AK72="",AK73="",AK74=""),"",SUM(AK72:AK74))</f>
        <v>22.533333333333331</v>
      </c>
      <c r="AR72" s="582">
        <f t="shared" ref="AR72" si="234">IF(AO72="",IF($AU$6&lt;1,"",IF($AU$6&gt;=1,"NA")),IF(AO72=0,0,AO72/$AN72))</f>
        <v>0</v>
      </c>
      <c r="AS72" s="582">
        <f t="shared" ref="AS72" si="235">IF(AP72="",IF($AU$6&lt;2,"",IF($AU$6&gt;=2,"NA")),IF(AP72=0,0,AP72/$AN72))</f>
        <v>0.21666666666666665</v>
      </c>
      <c r="AT72" s="582">
        <f t="shared" ref="AT72" si="236">IF(AS72&gt;=AR72,AS72,AR72)</f>
        <v>0.21666666666666665</v>
      </c>
      <c r="AU72" s="572">
        <f t="shared" ref="AU72" si="237">IF(AQ72="",IF($AU$6&lt;3,"",IF($AU$6&gt;=3,"NA")),IF(AQ72=0,0,AQ72/$AN72))</f>
        <v>0.21666666666666665</v>
      </c>
      <c r="AV72" s="573">
        <f t="shared" ref="AV72" si="238">IF($AU$6=1,AR72,IF($AU$6=2,AS72,IF($AU$6=3,AU72,"")))</f>
        <v>0.21666666666666665</v>
      </c>
      <c r="AW72" s="574">
        <f t="shared" ref="AW72" si="239">AV72</f>
        <v>0.21666666666666665</v>
      </c>
      <c r="AX72" t="str">
        <f t="shared" si="199"/>
        <v>Detección de falencias y puntos de mejora en el sistema de seguridad</v>
      </c>
    </row>
    <row r="73" spans="1:50" ht="76.5" x14ac:dyDescent="0.25">
      <c r="A73" s="583"/>
      <c r="B73" s="578"/>
      <c r="C73" s="82" t="str">
        <f>IF('CONSOLIDACION DEL MAPA'!P73="","",'CONSOLIDACION DEL MAPA'!P73)</f>
        <v>Reducir</v>
      </c>
      <c r="D73" s="82" t="str">
        <f>CRONOGRAMA!D73</f>
        <v>Gestionar compra de PDA, construccion de la sala de monitoreo y contratacion de responsable de monitoreo.</v>
      </c>
      <c r="E73" s="132" t="str">
        <f>IF(CRONOGRAMA!F73="", "",CRONOGRAMA!F73)</f>
        <v>PDA, sala de monitoreo</v>
      </c>
      <c r="F73" s="132">
        <f>IF(CRONOGRAMA!G73="", "",CRONOGRAMA!G73)</f>
        <v>3</v>
      </c>
      <c r="G73" s="128">
        <f>IF(CRONOGRAMA!H73="", "",CRONOGRAMA!H73)</f>
        <v>42371</v>
      </c>
      <c r="H73" s="128">
        <f>IF(CRONOGRAMA!I73="", "",CRONOGRAMA!I73)</f>
        <v>42735</v>
      </c>
      <c r="I73" s="84">
        <f t="shared" si="179"/>
        <v>52</v>
      </c>
      <c r="J73" s="160" t="str">
        <f>IF($P$6="Indique Fecha Seguimiento","",IF(CRONOGRAMA!$E73="No Aplica","NA",IF($G73="","",IF(YEAR($G73)&lt;YEAR($P$6)," A ",IF(YEAR($G73)=YEAR($P$6),IF(MONTH($G73)&lt;=4," A ","NA"),IF(YEAR($G73)&gt;YEAR($P$6),"NA"))))))</f>
        <v xml:space="preserve"> A </v>
      </c>
      <c r="K73" s="400">
        <v>0</v>
      </c>
      <c r="L73" s="401"/>
      <c r="M73" s="400">
        <v>0</v>
      </c>
      <c r="N73" s="348">
        <f t="shared" si="180"/>
        <v>0</v>
      </c>
      <c r="O73" s="349" t="s">
        <v>353</v>
      </c>
      <c r="P73" s="44"/>
      <c r="Q73" s="84">
        <f t="shared" si="181"/>
        <v>0</v>
      </c>
      <c r="R73" s="84">
        <f t="shared" si="182"/>
        <v>0</v>
      </c>
      <c r="S73" s="84">
        <f t="shared" si="3"/>
        <v>52</v>
      </c>
      <c r="T73" s="160" t="str">
        <f>IF($Z$6="Indique Fecha Seguimiento","",IF(CRONOGRAMA!$E73="No Aplica","NA",IF($G73="","",IF(YEAR($G73)&lt;YEAR($Z$6)," A ",IF(YEAR($G73)=YEAR($Z$6),IF(MONTH($G73)&lt;=8," A ","NA"),IF(YEAR($G73)&gt;YEAR($Z$6),"NA"))))))</f>
        <v xml:space="preserve"> A </v>
      </c>
      <c r="U73" s="410">
        <v>0.3</v>
      </c>
      <c r="V73" s="402" t="s">
        <v>935</v>
      </c>
      <c r="W73" s="351">
        <v>1</v>
      </c>
      <c r="X73" s="348">
        <f t="shared" si="183"/>
        <v>0.33333333333333331</v>
      </c>
      <c r="Y73" s="349" t="s">
        <v>353</v>
      </c>
      <c r="Z73" s="402" t="s">
        <v>936</v>
      </c>
      <c r="AA73" s="84">
        <f t="shared" si="184"/>
        <v>17.333333333333332</v>
      </c>
      <c r="AB73" s="84">
        <f t="shared" si="185"/>
        <v>17.333333333333332</v>
      </c>
      <c r="AC73" s="84">
        <f t="shared" si="6"/>
        <v>52</v>
      </c>
      <c r="AD73" s="160" t="str">
        <f>IF($AJ$6="Indique Fecha Seguimiento","",IF(CRONOGRAMA!$E73="No Aplica","NA",IF($G73="","",IF(YEAR($G73)&lt;YEAR($AJ$6)," A ",IF(YEAR($G73)=YEAR($AJ$6),IF(MONTH($G73)&lt;=12," A ","NA"),IF(YEAR($G73)&gt;YEAR($AJ$6),"NA"))))))</f>
        <v xml:space="preserve"> A </v>
      </c>
      <c r="AE73" s="419">
        <v>0.01</v>
      </c>
      <c r="AF73" s="44"/>
      <c r="AG73" s="351">
        <v>1</v>
      </c>
      <c r="AH73" s="348">
        <f t="shared" si="186"/>
        <v>0.33333333333333331</v>
      </c>
      <c r="AI73" s="349" t="s">
        <v>10</v>
      </c>
      <c r="AJ73" s="44" t="str">
        <f>Z73</f>
        <v>Funcionamiento del sistema de control de acceso</v>
      </c>
      <c r="AK73" s="81">
        <f t="shared" si="187"/>
        <v>17.333333333333332</v>
      </c>
      <c r="AL73" s="84">
        <f t="shared" si="188"/>
        <v>17.333333333333332</v>
      </c>
      <c r="AM73" s="84">
        <f t="shared" si="10"/>
        <v>52</v>
      </c>
      <c r="AN73" s="579"/>
      <c r="AO73" s="580"/>
      <c r="AP73" s="581"/>
      <c r="AQ73" s="581"/>
      <c r="AR73" s="582"/>
      <c r="AS73" s="582"/>
      <c r="AT73" s="582"/>
      <c r="AU73" s="572"/>
      <c r="AV73" s="573"/>
      <c r="AW73" s="574"/>
      <c r="AX73" t="str">
        <f t="shared" si="199"/>
        <v>Funcionamiento del sistema de control de acceso</v>
      </c>
    </row>
    <row r="74" spans="1:50" ht="15.75" x14ac:dyDescent="0.25">
      <c r="A74" s="583"/>
      <c r="B74" s="578"/>
      <c r="C74" s="82" t="str">
        <f>IF('CONSOLIDACION DEL MAPA'!P74="","",'CONSOLIDACION DEL MAPA'!P74)</f>
        <v/>
      </c>
      <c r="D74" s="82" t="str">
        <f>CRONOGRAMA!D74</f>
        <v/>
      </c>
      <c r="E74" s="132" t="str">
        <f>IF(CRONOGRAMA!F74="", "",CRONOGRAMA!F74)</f>
        <v/>
      </c>
      <c r="F74" s="132" t="str">
        <f>IF(CRONOGRAMA!G74="", "",CRONOGRAMA!G74)</f>
        <v/>
      </c>
      <c r="G74" s="128" t="str">
        <f>IF(CRONOGRAMA!H74="", "",CRONOGRAMA!H74)</f>
        <v/>
      </c>
      <c r="H74" s="128" t="str">
        <f>IF(CRONOGRAMA!I74="", "",CRONOGRAMA!I74)</f>
        <v/>
      </c>
      <c r="I74" s="84">
        <f t="shared" si="179"/>
        <v>0</v>
      </c>
      <c r="J74" s="160" t="str">
        <f>IF($P$6="Indique Fecha Seguimiento","",IF(CRONOGRAMA!$E74="No Aplica","NA",IF($G74="","",IF(YEAR($G74)&lt;YEAR($P$6)," A ",IF(YEAR($G74)=YEAR($P$6),IF(MONTH($G74)&lt;=4," A ","NA"),IF(YEAR($G74)&gt;YEAR($P$6),"NA"))))))</f>
        <v/>
      </c>
      <c r="K74" s="400"/>
      <c r="L74" s="401"/>
      <c r="M74" s="400"/>
      <c r="N74" s="348" t="str">
        <f t="shared" si="180"/>
        <v/>
      </c>
      <c r="O74" s="349"/>
      <c r="P74" s="44"/>
      <c r="Q74" s="84" t="str">
        <f t="shared" si="181"/>
        <v/>
      </c>
      <c r="R74" s="84" t="str">
        <f t="shared" si="182"/>
        <v/>
      </c>
      <c r="S74" s="84">
        <f t="shared" ref="S74:S92" si="240">$I74</f>
        <v>0</v>
      </c>
      <c r="T74" s="160" t="str">
        <f>IF($Z$6="Indique Fecha Seguimiento","",IF(CRONOGRAMA!$E74="No Aplica","NA",IF($G74="","",IF(YEAR($G74)&lt;YEAR($Z$6)," A ",IF(YEAR($G74)=YEAR($Z$6),IF(MONTH($G74)&lt;=8," A ","NA"),IF(YEAR($G74)&gt;YEAR($Z$6),"NA"))))))</f>
        <v/>
      </c>
      <c r="U74" s="351"/>
      <c r="V74" s="44"/>
      <c r="W74" s="351"/>
      <c r="X74" s="348" t="str">
        <f t="shared" si="183"/>
        <v/>
      </c>
      <c r="Y74" s="349"/>
      <c r="Z74" s="44"/>
      <c r="AA74" s="84" t="str">
        <f t="shared" si="184"/>
        <v/>
      </c>
      <c r="AB74" s="84" t="str">
        <f t="shared" si="185"/>
        <v/>
      </c>
      <c r="AC74" s="84">
        <f t="shared" ref="AC74:AC92" si="241">$I74</f>
        <v>0</v>
      </c>
      <c r="AD74" s="160" t="str">
        <f>IF($AJ$6="Indique Fecha Seguimiento","",IF(CRONOGRAMA!$E74="No Aplica","NA",IF($G74="","",IF(YEAR($G74)&lt;YEAR($AJ$6)," A ",IF(YEAR($G74)=YEAR($AJ$6),IF(MONTH($G74)&lt;=12," A ","NA"),IF(YEAR($G74)&gt;YEAR($AJ$6),"NA"))))))</f>
        <v/>
      </c>
      <c r="AE74" s="350"/>
      <c r="AF74" s="44"/>
      <c r="AG74" s="351"/>
      <c r="AH74" s="348" t="str">
        <f t="shared" si="186"/>
        <v/>
      </c>
      <c r="AI74" s="349"/>
      <c r="AJ74" s="44"/>
      <c r="AK74" s="81" t="str">
        <f t="shared" si="187"/>
        <v/>
      </c>
      <c r="AL74" s="84" t="str">
        <f t="shared" si="188"/>
        <v/>
      </c>
      <c r="AM74" s="84">
        <f t="shared" ref="AM74:AM92" si="242">$I74</f>
        <v>0</v>
      </c>
      <c r="AN74" s="579"/>
      <c r="AO74" s="580"/>
      <c r="AP74" s="581"/>
      <c r="AQ74" s="581"/>
      <c r="AR74" s="582"/>
      <c r="AS74" s="582"/>
      <c r="AT74" s="582"/>
      <c r="AU74" s="572"/>
      <c r="AV74" s="573"/>
      <c r="AW74" s="574"/>
      <c r="AX74">
        <f t="shared" si="199"/>
        <v>0</v>
      </c>
    </row>
    <row r="75" spans="1:50" ht="153.75" x14ac:dyDescent="0.25">
      <c r="A75" s="583" t="str">
        <f>CRONOGRAMA!A75</f>
        <v>23G</v>
      </c>
      <c r="B75" s="578" t="str">
        <f>CRONOGRAMA!B75</f>
        <v>Gestión Administrativa. Inadecuado gestión de los residuos</v>
      </c>
      <c r="C75" s="82" t="str">
        <f>IF('CONSOLIDACION DEL MAPA'!P75="","",'CONSOLIDACION DEL MAPA'!P75)</f>
        <v>Reducir</v>
      </c>
      <c r="D75" s="82" t="str">
        <f>CRONOGRAMA!D75</f>
        <v>Seguimiento de PGIR</v>
      </c>
      <c r="E75" s="132" t="str">
        <f>IF(CRONOGRAMA!F75="", "",CRONOGRAMA!F75)</f>
        <v>Informe de gestión</v>
      </c>
      <c r="F75" s="132">
        <f>IF(CRONOGRAMA!G75="", "",CRONOGRAMA!G75)</f>
        <v>1</v>
      </c>
      <c r="G75" s="128">
        <f>IF(CRONOGRAMA!H75="", "",CRONOGRAMA!H75)</f>
        <v>42371</v>
      </c>
      <c r="H75" s="128">
        <f>IF(CRONOGRAMA!I75="", "",CRONOGRAMA!I75)</f>
        <v>42735</v>
      </c>
      <c r="I75" s="84">
        <f t="shared" si="179"/>
        <v>52</v>
      </c>
      <c r="J75" s="160" t="str">
        <f>IF($P$6="Indique Fecha Seguimiento","",IF(CRONOGRAMA!$E75="No Aplica","NA",IF($G75="","",IF(YEAR($G75)&lt;YEAR($P$6)," A ",IF(YEAR($G75)=YEAR($P$6),IF(MONTH($G75)&lt;=4," A ","NA"),IF(YEAR($G75)&gt;YEAR($P$6),"NA"))))))</f>
        <v xml:space="preserve"> A </v>
      </c>
      <c r="K75" s="400">
        <v>40</v>
      </c>
      <c r="L75" s="401" t="s">
        <v>892</v>
      </c>
      <c r="M75" s="400">
        <v>0</v>
      </c>
      <c r="N75" s="348">
        <f t="shared" si="180"/>
        <v>0</v>
      </c>
      <c r="O75" s="349" t="s">
        <v>353</v>
      </c>
      <c r="P75" s="44" t="s">
        <v>915</v>
      </c>
      <c r="Q75" s="84">
        <f t="shared" si="181"/>
        <v>0</v>
      </c>
      <c r="R75" s="84">
        <f t="shared" si="182"/>
        <v>0</v>
      </c>
      <c r="S75" s="84">
        <f t="shared" si="240"/>
        <v>52</v>
      </c>
      <c r="T75" s="160" t="str">
        <f>IF($Z$6="Indique Fecha Seguimiento","",IF(CRONOGRAMA!$E75="No Aplica","NA",IF($G75="","",IF(YEAR($G75)&lt;YEAR($Z$6)," A ",IF(YEAR($G75)=YEAR($Z$6),IF(MONTH($G75)&lt;=8," A ","NA"),IF(YEAR($G75)&gt;YEAR($Z$6),"NA"))))))</f>
        <v xml:space="preserve"> A </v>
      </c>
      <c r="U75" s="410">
        <v>0.5</v>
      </c>
      <c r="V75" s="411" t="s">
        <v>937</v>
      </c>
      <c r="W75" s="351">
        <v>0.5</v>
      </c>
      <c r="X75" s="348">
        <f t="shared" si="183"/>
        <v>0.5</v>
      </c>
      <c r="Y75" s="349" t="s">
        <v>353</v>
      </c>
      <c r="Z75" s="402" t="s">
        <v>938</v>
      </c>
      <c r="AA75" s="84">
        <f t="shared" si="184"/>
        <v>26</v>
      </c>
      <c r="AB75" s="84">
        <f t="shared" si="185"/>
        <v>26</v>
      </c>
      <c r="AC75" s="84">
        <f t="shared" si="241"/>
        <v>52</v>
      </c>
      <c r="AD75" s="160" t="str">
        <f>IF($AJ$6="Indique Fecha Seguimiento","",IF(CRONOGRAMA!$E75="No Aplica","NA",IF($G75="","",IF(YEAR($G75)&lt;YEAR($AJ$6)," A ",IF(YEAR($G75)=YEAR($AJ$6),IF(MONTH($G75)&lt;=12," A ","NA"),IF(YEAR($G75)&gt;YEAR($AJ$6),"NA"))))))</f>
        <v xml:space="preserve"> A </v>
      </c>
      <c r="AE75" s="413">
        <v>0.5</v>
      </c>
      <c r="AF75" s="718" t="s">
        <v>989</v>
      </c>
      <c r="AG75" s="351">
        <v>0.5</v>
      </c>
      <c r="AH75" s="348">
        <f t="shared" si="186"/>
        <v>0.5</v>
      </c>
      <c r="AI75" s="349" t="s">
        <v>10</v>
      </c>
      <c r="AJ75" s="44" t="s">
        <v>990</v>
      </c>
      <c r="AK75" s="81">
        <f t="shared" si="187"/>
        <v>26</v>
      </c>
      <c r="AL75" s="84">
        <f t="shared" si="188"/>
        <v>26</v>
      </c>
      <c r="AM75" s="84">
        <f t="shared" si="242"/>
        <v>52</v>
      </c>
      <c r="AN75" s="579">
        <f t="shared" ref="AN75" si="243">SUM(I75:I77)</f>
        <v>52</v>
      </c>
      <c r="AO75" s="580">
        <f t="shared" ref="AO75" si="244">IF(AND(Q75="",Q76="",Q77=""),"",SUM(Q75:Q77))</f>
        <v>0</v>
      </c>
      <c r="AP75" s="581">
        <f t="shared" ref="AP75" si="245">IF(AND(AA75="",AA76="",AA77=""),"",SUM(AA75:AA77))</f>
        <v>26</v>
      </c>
      <c r="AQ75" s="581">
        <f t="shared" ref="AQ75" si="246">IF(AND(AK75="",AK76="",AK77=""),"",SUM(AK75:AK77))</f>
        <v>26</v>
      </c>
      <c r="AR75" s="582">
        <f t="shared" ref="AR75" si="247">IF(AO75="",IF($AU$6&lt;1,"",IF($AU$6&gt;=1,"NA")),IF(AO75=0,0,AO75/$AN75))</f>
        <v>0</v>
      </c>
      <c r="AS75" s="582">
        <f t="shared" ref="AS75" si="248">IF(AP75="",IF($AU$6&lt;2,"",IF($AU$6&gt;=2,"NA")),IF(AP75=0,0,AP75/$AN75))</f>
        <v>0.5</v>
      </c>
      <c r="AT75" s="582">
        <f t="shared" ref="AT75" si="249">IF(AS75&gt;=AR75,AS75,AR75)</f>
        <v>0.5</v>
      </c>
      <c r="AU75" s="572">
        <f t="shared" ref="AU75" si="250">IF(AQ75="",IF($AU$6&lt;3,"",IF($AU$6&gt;=3,"NA")),IF(AQ75=0,0,AQ75/$AN75))</f>
        <v>0.5</v>
      </c>
      <c r="AV75" s="573">
        <f t="shared" ref="AV75" si="251">IF($AU$6=1,AR75,IF($AU$6=2,AS75,IF($AU$6=3,AU75,"")))</f>
        <v>0.5</v>
      </c>
      <c r="AW75" s="574">
        <f t="shared" ref="AW75" si="252">AV75</f>
        <v>0.5</v>
      </c>
      <c r="AX75" t="str">
        <f t="shared" si="199"/>
        <v>Carros recolector segregación y movo interno y congelador de almacenamiento central de respeligrosos</v>
      </c>
    </row>
    <row r="76" spans="1:50" ht="15.75" x14ac:dyDescent="0.25">
      <c r="A76" s="583"/>
      <c r="B76" s="578"/>
      <c r="C76" s="82" t="str">
        <f>IF('CONSOLIDACION DEL MAPA'!P76="","",'CONSOLIDACION DEL MAPA'!P76)</f>
        <v/>
      </c>
      <c r="D76" s="82" t="str">
        <f>CRONOGRAMA!D76</f>
        <v/>
      </c>
      <c r="E76" s="132" t="str">
        <f>IF(CRONOGRAMA!F76="", "",CRONOGRAMA!F76)</f>
        <v/>
      </c>
      <c r="F76" s="132" t="str">
        <f>IF(CRONOGRAMA!G76="", "",CRONOGRAMA!G76)</f>
        <v/>
      </c>
      <c r="G76" s="128" t="str">
        <f>IF(CRONOGRAMA!H76="", "",CRONOGRAMA!H76)</f>
        <v/>
      </c>
      <c r="H76" s="128" t="str">
        <f>IF(CRONOGRAMA!I76="", "",CRONOGRAMA!I76)</f>
        <v/>
      </c>
      <c r="I76" s="84">
        <f t="shared" si="179"/>
        <v>0</v>
      </c>
      <c r="J76" s="160" t="str">
        <f>IF($P$6="Indique Fecha Seguimiento","",IF(CRONOGRAMA!$E76="No Aplica","NA",IF($G76="","",IF(YEAR($G76)&lt;YEAR($P$6)," A ",IF(YEAR($G76)=YEAR($P$6),IF(MONTH($G76)&lt;=4," A ","NA"),IF(YEAR($G76)&gt;YEAR($P$6),"NA"))))))</f>
        <v/>
      </c>
      <c r="K76" s="400"/>
      <c r="L76" s="401"/>
      <c r="M76" s="400"/>
      <c r="N76" s="348" t="str">
        <f t="shared" si="180"/>
        <v/>
      </c>
      <c r="O76" s="349"/>
      <c r="P76" s="44"/>
      <c r="Q76" s="84" t="str">
        <f t="shared" si="181"/>
        <v/>
      </c>
      <c r="R76" s="84" t="str">
        <f t="shared" si="182"/>
        <v/>
      </c>
      <c r="S76" s="84">
        <f t="shared" si="240"/>
        <v>0</v>
      </c>
      <c r="T76" s="160" t="str">
        <f>IF($Z$6="Indique Fecha Seguimiento","",IF(CRONOGRAMA!$E76="No Aplica","NA",IF($G76="","",IF(YEAR($G76)&lt;YEAR($Z$6)," A ",IF(YEAR($G76)=YEAR($Z$6),IF(MONTH($G76)&lt;=8," A ","NA"),IF(YEAR($G76)&gt;YEAR($Z$6),"NA"))))))</f>
        <v/>
      </c>
      <c r="U76" s="351"/>
      <c r="V76" s="44"/>
      <c r="W76" s="351"/>
      <c r="X76" s="348" t="str">
        <f t="shared" si="183"/>
        <v/>
      </c>
      <c r="Y76" s="349"/>
      <c r="Z76" s="44"/>
      <c r="AA76" s="84" t="str">
        <f t="shared" si="184"/>
        <v/>
      </c>
      <c r="AB76" s="84" t="str">
        <f t="shared" si="185"/>
        <v/>
      </c>
      <c r="AC76" s="84">
        <f t="shared" si="241"/>
        <v>0</v>
      </c>
      <c r="AD76" s="160" t="str">
        <f>IF($AJ$6="Indique Fecha Seguimiento","",IF(CRONOGRAMA!$E76="No Aplica","NA",IF($G76="","",IF(YEAR($G76)&lt;YEAR($AJ$6)," A ",IF(YEAR($G76)=YEAR($AJ$6),IF(MONTH($G76)&lt;=12," A ","NA"),IF(YEAR($G76)&gt;YEAR($AJ$6),"NA"))))))</f>
        <v/>
      </c>
      <c r="AE76" s="350"/>
      <c r="AF76" s="44"/>
      <c r="AG76" s="351"/>
      <c r="AH76" s="348" t="str">
        <f t="shared" si="186"/>
        <v/>
      </c>
      <c r="AI76" s="349"/>
      <c r="AJ76" s="44"/>
      <c r="AK76" s="81" t="str">
        <f t="shared" si="187"/>
        <v/>
      </c>
      <c r="AL76" s="84" t="str">
        <f t="shared" si="188"/>
        <v/>
      </c>
      <c r="AM76" s="84">
        <f t="shared" si="242"/>
        <v>0</v>
      </c>
      <c r="AN76" s="579"/>
      <c r="AO76" s="580"/>
      <c r="AP76" s="581"/>
      <c r="AQ76" s="581"/>
      <c r="AR76" s="582"/>
      <c r="AS76" s="582"/>
      <c r="AT76" s="582"/>
      <c r="AU76" s="572"/>
      <c r="AV76" s="573"/>
      <c r="AW76" s="574"/>
      <c r="AX76">
        <f t="shared" si="199"/>
        <v>0</v>
      </c>
    </row>
    <row r="77" spans="1:50" ht="15.75" x14ac:dyDescent="0.25">
      <c r="A77" s="583"/>
      <c r="B77" s="578"/>
      <c r="C77" s="82" t="str">
        <f>IF('CONSOLIDACION DEL MAPA'!P77="","",'CONSOLIDACION DEL MAPA'!P77)</f>
        <v/>
      </c>
      <c r="D77" s="82" t="str">
        <f>CRONOGRAMA!D77</f>
        <v/>
      </c>
      <c r="E77" s="132" t="str">
        <f>IF(CRONOGRAMA!F77="", "",CRONOGRAMA!F77)</f>
        <v/>
      </c>
      <c r="F77" s="132" t="str">
        <f>IF(CRONOGRAMA!G77="", "",CRONOGRAMA!G77)</f>
        <v/>
      </c>
      <c r="G77" s="128" t="str">
        <f>IF(CRONOGRAMA!H77="", "",CRONOGRAMA!H77)</f>
        <v/>
      </c>
      <c r="H77" s="128" t="str">
        <f>IF(CRONOGRAMA!I77="", "",CRONOGRAMA!I77)</f>
        <v/>
      </c>
      <c r="I77" s="84">
        <f t="shared" si="179"/>
        <v>0</v>
      </c>
      <c r="J77" s="160" t="str">
        <f>IF($P$6="Indique Fecha Seguimiento","",IF(CRONOGRAMA!$E77="No Aplica","NA",IF($G77="","",IF(YEAR($G77)&lt;YEAR($P$6)," A ",IF(YEAR($G77)=YEAR($P$6),IF(MONTH($G77)&lt;=4," A ","NA"),IF(YEAR($G77)&gt;YEAR($P$6),"NA"))))))</f>
        <v/>
      </c>
      <c r="K77" s="400"/>
      <c r="L77" s="401"/>
      <c r="M77" s="400"/>
      <c r="N77" s="348" t="str">
        <f t="shared" si="180"/>
        <v/>
      </c>
      <c r="O77" s="349"/>
      <c r="P77" s="44"/>
      <c r="Q77" s="84" t="str">
        <f t="shared" si="181"/>
        <v/>
      </c>
      <c r="R77" s="84" t="str">
        <f t="shared" si="182"/>
        <v/>
      </c>
      <c r="S77" s="84">
        <f t="shared" si="240"/>
        <v>0</v>
      </c>
      <c r="T77" s="160" t="str">
        <f>IF($Z$6="Indique Fecha Seguimiento","",IF(CRONOGRAMA!$E77="No Aplica","NA",IF($G77="","",IF(YEAR($G77)&lt;YEAR($Z$6)," A ",IF(YEAR($G77)=YEAR($Z$6),IF(MONTH($G77)&lt;=8," A ","NA"),IF(YEAR($G77)&gt;YEAR($Z$6),"NA"))))))</f>
        <v/>
      </c>
      <c r="U77" s="351"/>
      <c r="V77" s="44"/>
      <c r="W77" s="351"/>
      <c r="X77" s="348" t="str">
        <f t="shared" si="183"/>
        <v/>
      </c>
      <c r="Y77" s="349"/>
      <c r="Z77" s="44"/>
      <c r="AA77" s="84" t="str">
        <f t="shared" si="184"/>
        <v/>
      </c>
      <c r="AB77" s="84" t="str">
        <f t="shared" si="185"/>
        <v/>
      </c>
      <c r="AC77" s="84">
        <f t="shared" si="241"/>
        <v>0</v>
      </c>
      <c r="AD77" s="160" t="str">
        <f>IF($AJ$6="Indique Fecha Seguimiento","",IF(CRONOGRAMA!$E77="No Aplica","NA",IF($G77="","",IF(YEAR($G77)&lt;YEAR($AJ$6)," A ",IF(YEAR($G77)=YEAR($AJ$6),IF(MONTH($G77)&lt;=12," A ","NA"),IF(YEAR($G77)&gt;YEAR($AJ$6),"NA"))))))</f>
        <v/>
      </c>
      <c r="AE77" s="350"/>
      <c r="AF77" s="44"/>
      <c r="AG77" s="351"/>
      <c r="AH77" s="348" t="str">
        <f t="shared" si="186"/>
        <v/>
      </c>
      <c r="AI77" s="349"/>
      <c r="AJ77" s="44"/>
      <c r="AK77" s="81" t="str">
        <f t="shared" si="187"/>
        <v/>
      </c>
      <c r="AL77" s="84" t="str">
        <f t="shared" si="188"/>
        <v/>
      </c>
      <c r="AM77" s="84">
        <f t="shared" si="242"/>
        <v>0</v>
      </c>
      <c r="AN77" s="579"/>
      <c r="AO77" s="580"/>
      <c r="AP77" s="581"/>
      <c r="AQ77" s="581"/>
      <c r="AR77" s="582"/>
      <c r="AS77" s="582"/>
      <c r="AT77" s="582"/>
      <c r="AU77" s="572"/>
      <c r="AV77" s="573"/>
      <c r="AW77" s="574"/>
      <c r="AX77">
        <f t="shared" si="199"/>
        <v>0</v>
      </c>
    </row>
    <row r="78" spans="1:50" ht="168" x14ac:dyDescent="0.25">
      <c r="A78" s="583" t="str">
        <f>CRONOGRAMA!A78</f>
        <v>24G</v>
      </c>
      <c r="B78" s="578" t="str">
        <f>CRONOGRAMA!B78</f>
        <v>Gestión del Talento Humano. Deficiente desempeño laboral de los funcionarios de la Universidad.</v>
      </c>
      <c r="C78" s="82" t="str">
        <f>IF('CONSOLIDACION DEL MAPA'!P78="","",'CONSOLIDACION DEL MAPA'!P78)</f>
        <v>Reducir</v>
      </c>
      <c r="D78" s="82" t="str">
        <f>CRONOGRAMA!D78</f>
        <v>Adquirir y aplicar herramientas para evaluar las competencias laborales de los servidores públicos.</v>
      </c>
      <c r="E78" s="132" t="str">
        <f>IF(CRONOGRAMA!F78="", "",CRONOGRAMA!F78)</f>
        <v xml:space="preserve">Adquisición y aplicación de herramientas de evaluación por competencias / Informe Resultados </v>
      </c>
      <c r="F78" s="132">
        <f>IF(CRONOGRAMA!G78="", "",CRONOGRAMA!G78)</f>
        <v>2</v>
      </c>
      <c r="G78" s="128">
        <f>IF(CRONOGRAMA!H78="", "",CRONOGRAMA!H78)</f>
        <v>42401</v>
      </c>
      <c r="H78" s="128">
        <f>IF(CRONOGRAMA!I78="", "",CRONOGRAMA!I78)</f>
        <v>42735</v>
      </c>
      <c r="I78" s="84">
        <f t="shared" si="179"/>
        <v>47.714285714285715</v>
      </c>
      <c r="J78" s="160" t="str">
        <f>IF($P$6="Indique Fecha Seguimiento","",IF(CRONOGRAMA!$E78="No Aplica","NA",IF($G78="","",IF(YEAR($G78)&lt;YEAR($P$6)," A ",IF(YEAR($G78)=YEAR($P$6),IF(MONTH($G78)&lt;=4," A ","NA"),IF(YEAR($G78)&gt;YEAR($P$6),"NA"))))))</f>
        <v xml:space="preserve"> A </v>
      </c>
      <c r="K78" s="400">
        <v>0.05</v>
      </c>
      <c r="L78" s="401" t="s">
        <v>893</v>
      </c>
      <c r="M78" s="400">
        <v>0</v>
      </c>
      <c r="N78" s="348">
        <f t="shared" si="180"/>
        <v>0</v>
      </c>
      <c r="O78" s="349" t="s">
        <v>353</v>
      </c>
      <c r="P78" s="44" t="s">
        <v>916</v>
      </c>
      <c r="Q78" s="84">
        <f t="shared" si="181"/>
        <v>0</v>
      </c>
      <c r="R78" s="84">
        <f t="shared" si="182"/>
        <v>0</v>
      </c>
      <c r="S78" s="84">
        <f t="shared" si="240"/>
        <v>47.714285714285715</v>
      </c>
      <c r="T78" s="160" t="str">
        <f>IF($Z$6="Indique Fecha Seguimiento","",IF(CRONOGRAMA!$E78="No Aplica","NA",IF($G78="","",IF(YEAR($G78)&lt;YEAR($Z$6)," A ",IF(YEAR($G78)=YEAR($Z$6),IF(MONTH($G78)&lt;=8," A ","NA"),IF(YEAR($G78)&gt;YEAR($Z$6),"NA"))))))</f>
        <v xml:space="preserve"> A </v>
      </c>
      <c r="U78" s="414">
        <v>0.2</v>
      </c>
      <c r="V78" s="415" t="s">
        <v>945</v>
      </c>
      <c r="W78" s="351">
        <v>0.2</v>
      </c>
      <c r="X78" s="348">
        <f t="shared" si="183"/>
        <v>0.1</v>
      </c>
      <c r="Y78" s="349" t="s">
        <v>353</v>
      </c>
      <c r="Z78" s="44" t="s">
        <v>947</v>
      </c>
      <c r="AA78" s="84">
        <f t="shared" si="184"/>
        <v>4.7714285714285714</v>
      </c>
      <c r="AB78" s="84">
        <f t="shared" si="185"/>
        <v>4.7714285714285714</v>
      </c>
      <c r="AC78" s="84">
        <f t="shared" si="241"/>
        <v>47.714285714285715</v>
      </c>
      <c r="AD78" s="160" t="str">
        <f>IF($AJ$6="Indique Fecha Seguimiento","",IF(CRONOGRAMA!$E78="No Aplica","NA",IF($G78="","",IF(YEAR($G78)&lt;YEAR($AJ$6)," A ",IF(YEAR($G78)=YEAR($AJ$6),IF(MONTH($G78)&lt;=12," A ","NA"),IF(YEAR($G78)&gt;YEAR($AJ$6),"NA"))))))</f>
        <v xml:space="preserve"> A </v>
      </c>
      <c r="AE78" s="719">
        <v>0.2</v>
      </c>
      <c r="AF78" s="420" t="s">
        <v>991</v>
      </c>
      <c r="AG78" s="351">
        <v>0.2</v>
      </c>
      <c r="AH78" s="348">
        <f t="shared" si="186"/>
        <v>0.1</v>
      </c>
      <c r="AI78" s="349" t="s">
        <v>10</v>
      </c>
      <c r="AJ78" s="44" t="s">
        <v>993</v>
      </c>
      <c r="AK78" s="81">
        <f t="shared" si="187"/>
        <v>4.7714285714285714</v>
      </c>
      <c r="AL78" s="84">
        <f t="shared" si="188"/>
        <v>4.7714285714285714</v>
      </c>
      <c r="AM78" s="84">
        <f t="shared" si="242"/>
        <v>47.714285714285715</v>
      </c>
      <c r="AN78" s="579">
        <f t="shared" ref="AN78" si="253">SUM(I78:I80)</f>
        <v>95.428571428571431</v>
      </c>
      <c r="AO78" s="580">
        <f t="shared" ref="AO78" si="254">IF(AND(Q78="",Q79="",Q80=""),"",SUM(Q78:Q80))</f>
        <v>0</v>
      </c>
      <c r="AP78" s="581">
        <f t="shared" ref="AP78" si="255">IF(AND(AA78="",AA79="",AA80=""),"",SUM(AA78:AA80))</f>
        <v>42.942857142857143</v>
      </c>
      <c r="AQ78" s="581">
        <f t="shared" ref="AQ78" si="256">IF(AND(AK78="",AK79="",AK80=""),"",SUM(AK78:AK80))</f>
        <v>42.942857142857143</v>
      </c>
      <c r="AR78" s="582">
        <f t="shared" ref="AR78" si="257">IF(AO78="",IF($AU$6&lt;1,"",IF($AU$6&gt;=1,"NA")),IF(AO78=0,0,AO78/$AN78))</f>
        <v>0</v>
      </c>
      <c r="AS78" s="582">
        <f t="shared" ref="AS78" si="258">IF(AP78="",IF($AU$6&lt;2,"",IF($AU$6&gt;=2,"NA")),IF(AP78=0,0,AP78/$AN78))</f>
        <v>0.45</v>
      </c>
      <c r="AT78" s="582">
        <f t="shared" ref="AT78" si="259">IF(AS78&gt;=AR78,AS78,AR78)</f>
        <v>0.45</v>
      </c>
      <c r="AU78" s="572">
        <f t="shared" ref="AU78" si="260">IF(AQ78="",IF($AU$6&lt;3,"",IF($AU$6&gt;=3,"NA")),IF(AQ78=0,0,AQ78/$AN78))</f>
        <v>0.45</v>
      </c>
      <c r="AV78" s="573">
        <f t="shared" ref="AV78" si="261">IF($AU$6=1,AR78,IF($AU$6=2,AS78,IF($AU$6=3,AU78,"")))</f>
        <v>0.45</v>
      </c>
      <c r="AW78" s="574">
        <f t="shared" ref="AW78" si="262">AV78</f>
        <v>0.45</v>
      </c>
      <c r="AX78" t="str">
        <f t="shared" si="199"/>
        <v>Actividades informadas</v>
      </c>
    </row>
    <row r="79" spans="1:50" ht="120" x14ac:dyDescent="0.25">
      <c r="A79" s="583"/>
      <c r="B79" s="578"/>
      <c r="C79" s="82" t="str">
        <f>IF('CONSOLIDACION DEL MAPA'!P79="","",'CONSOLIDACION DEL MAPA'!P79)</f>
        <v>Reducir</v>
      </c>
      <c r="D79" s="82" t="str">
        <f>CRONOGRAMA!D79</f>
        <v>Elaboración y ejecución de un programa detallado de Inducción y/o 
Reinduccion.</v>
      </c>
      <c r="E79" s="132" t="str">
        <f>IF(CRONOGRAMA!F79="", "",CRONOGRAMA!F79)</f>
        <v>Informes de Inducción y Reinducción de los empleados</v>
      </c>
      <c r="F79" s="132">
        <f>IF(CRONOGRAMA!G79="", "",CRONOGRAMA!G79)</f>
        <v>1</v>
      </c>
      <c r="G79" s="128">
        <f>IF(CRONOGRAMA!H79="", "",CRONOGRAMA!H79)</f>
        <v>42401</v>
      </c>
      <c r="H79" s="128">
        <f>IF(CRONOGRAMA!I79="", "",CRONOGRAMA!I79)</f>
        <v>42735</v>
      </c>
      <c r="I79" s="84">
        <f t="shared" si="179"/>
        <v>47.714285714285715</v>
      </c>
      <c r="J79" s="160" t="str">
        <f>IF($P$6="Indique Fecha Seguimiento","",IF(CRONOGRAMA!$E79="No Aplica","NA",IF($G79="","",IF(YEAR($G79)&lt;YEAR($P$6)," A ",IF(YEAR($G79)=YEAR($P$6),IF(MONTH($G79)&lt;=4," A ","NA"),IF(YEAR($G79)&gt;YEAR($P$6),"NA"))))))</f>
        <v xml:space="preserve"> A </v>
      </c>
      <c r="K79" s="400">
        <v>0.1</v>
      </c>
      <c r="L79" s="401" t="s">
        <v>894</v>
      </c>
      <c r="M79" s="400">
        <v>0</v>
      </c>
      <c r="N79" s="348">
        <f t="shared" si="180"/>
        <v>0</v>
      </c>
      <c r="O79" s="349" t="s">
        <v>353</v>
      </c>
      <c r="P79" s="44" t="s">
        <v>917</v>
      </c>
      <c r="Q79" s="84">
        <f t="shared" si="181"/>
        <v>0</v>
      </c>
      <c r="R79" s="84">
        <f t="shared" si="182"/>
        <v>0</v>
      </c>
      <c r="S79" s="84">
        <f t="shared" si="240"/>
        <v>47.714285714285715</v>
      </c>
      <c r="T79" s="160" t="str">
        <f>IF($Z$6="Indique Fecha Seguimiento","",IF(CRONOGRAMA!$E79="No Aplica","NA",IF($G79="","",IF(YEAR($G79)&lt;YEAR($Z$6)," A ",IF(YEAR($G79)=YEAR($Z$6),IF(MONTH($G79)&lt;=8," A ","NA"),IF(YEAR($G79)&gt;YEAR($Z$6),"NA"))))))</f>
        <v xml:space="preserve"> A </v>
      </c>
      <c r="U79" s="414">
        <v>0.8</v>
      </c>
      <c r="V79" s="415" t="s">
        <v>946</v>
      </c>
      <c r="W79" s="351">
        <v>0.8</v>
      </c>
      <c r="X79" s="348">
        <f t="shared" si="183"/>
        <v>0.8</v>
      </c>
      <c r="Y79" s="349" t="s">
        <v>353</v>
      </c>
      <c r="Z79" s="44" t="s">
        <v>948</v>
      </c>
      <c r="AA79" s="84">
        <f t="shared" si="184"/>
        <v>38.171428571428571</v>
      </c>
      <c r="AB79" s="84">
        <f t="shared" si="185"/>
        <v>38.171428571428571</v>
      </c>
      <c r="AC79" s="84">
        <f t="shared" si="241"/>
        <v>47.714285714285715</v>
      </c>
      <c r="AD79" s="160" t="str">
        <f>IF($AJ$6="Indique Fecha Seguimiento","",IF(CRONOGRAMA!$E79="No Aplica","NA",IF($G79="","",IF(YEAR($G79)&lt;YEAR($AJ$6)," A ",IF(YEAR($G79)=YEAR($AJ$6),IF(MONTH($G79)&lt;=12," A ","NA"),IF(YEAR($G79)&gt;YEAR($AJ$6),"NA"))))))</f>
        <v xml:space="preserve"> A </v>
      </c>
      <c r="AE79" s="719">
        <v>0.8</v>
      </c>
      <c r="AF79" s="420" t="s">
        <v>992</v>
      </c>
      <c r="AG79" s="351">
        <v>0.8</v>
      </c>
      <c r="AH79" s="348">
        <f t="shared" si="186"/>
        <v>0.8</v>
      </c>
      <c r="AI79" s="349" t="s">
        <v>10</v>
      </c>
      <c r="AJ79" s="44" t="s">
        <v>993</v>
      </c>
      <c r="AK79" s="81">
        <f t="shared" si="187"/>
        <v>38.171428571428571</v>
      </c>
      <c r="AL79" s="84">
        <f t="shared" si="188"/>
        <v>38.171428571428571</v>
      </c>
      <c r="AM79" s="84">
        <f t="shared" si="242"/>
        <v>47.714285714285715</v>
      </c>
      <c r="AN79" s="579"/>
      <c r="AO79" s="580"/>
      <c r="AP79" s="581"/>
      <c r="AQ79" s="581"/>
      <c r="AR79" s="582"/>
      <c r="AS79" s="582"/>
      <c r="AT79" s="582"/>
      <c r="AU79" s="572"/>
      <c r="AV79" s="573"/>
      <c r="AW79" s="574"/>
      <c r="AX79" t="str">
        <f t="shared" si="199"/>
        <v>Actividades informadas</v>
      </c>
    </row>
    <row r="80" spans="1:50" ht="15.75" x14ac:dyDescent="0.25">
      <c r="A80" s="583"/>
      <c r="B80" s="578"/>
      <c r="C80" s="82" t="str">
        <f>IF('CONSOLIDACION DEL MAPA'!P80="","",'CONSOLIDACION DEL MAPA'!P80)</f>
        <v/>
      </c>
      <c r="D80" s="82" t="str">
        <f>CRONOGRAMA!D80</f>
        <v/>
      </c>
      <c r="E80" s="132" t="str">
        <f>IF(CRONOGRAMA!F80="", "",CRONOGRAMA!F80)</f>
        <v/>
      </c>
      <c r="F80" s="132" t="str">
        <f>IF(CRONOGRAMA!G80="", "",CRONOGRAMA!G80)</f>
        <v/>
      </c>
      <c r="G80" s="128" t="str">
        <f>IF(CRONOGRAMA!H80="", "",CRONOGRAMA!H80)</f>
        <v/>
      </c>
      <c r="H80" s="128" t="str">
        <f>IF(CRONOGRAMA!I80="", "",CRONOGRAMA!I80)</f>
        <v/>
      </c>
      <c r="I80" s="84">
        <f t="shared" si="179"/>
        <v>0</v>
      </c>
      <c r="J80" s="160" t="str">
        <f>IF($P$6="Indique Fecha Seguimiento","",IF(CRONOGRAMA!$E80="No Aplica","NA",IF($G80="","",IF(YEAR($G80)&lt;YEAR($P$6)," A ",IF(YEAR($G80)=YEAR($P$6),IF(MONTH($G80)&lt;=4," A ","NA"),IF(YEAR($G80)&gt;YEAR($P$6),"NA"))))))</f>
        <v/>
      </c>
      <c r="K80" s="400"/>
      <c r="L80" s="401"/>
      <c r="M80" s="400"/>
      <c r="N80" s="348" t="str">
        <f t="shared" si="180"/>
        <v/>
      </c>
      <c r="O80" s="349"/>
      <c r="P80" s="44"/>
      <c r="Q80" s="84" t="str">
        <f t="shared" si="181"/>
        <v/>
      </c>
      <c r="R80" s="84" t="str">
        <f t="shared" si="182"/>
        <v/>
      </c>
      <c r="S80" s="84">
        <f t="shared" si="240"/>
        <v>0</v>
      </c>
      <c r="T80" s="160" t="str">
        <f>IF($Z$6="Indique Fecha Seguimiento","",IF(CRONOGRAMA!$E80="No Aplica","NA",IF($G80="","",IF(YEAR($G80)&lt;YEAR($Z$6)," A ",IF(YEAR($G80)=YEAR($Z$6),IF(MONTH($G80)&lt;=8," A ","NA"),IF(YEAR($G80)&gt;YEAR($Z$6),"NA"))))))</f>
        <v/>
      </c>
      <c r="U80" s="351"/>
      <c r="V80" s="44"/>
      <c r="W80" s="351"/>
      <c r="X80" s="348" t="str">
        <f t="shared" si="183"/>
        <v/>
      </c>
      <c r="Y80" s="349"/>
      <c r="Z80" s="44"/>
      <c r="AA80" s="84" t="str">
        <f t="shared" si="184"/>
        <v/>
      </c>
      <c r="AB80" s="84" t="str">
        <f t="shared" si="185"/>
        <v/>
      </c>
      <c r="AC80" s="84">
        <f t="shared" si="241"/>
        <v>0</v>
      </c>
      <c r="AD80" s="160" t="str">
        <f>IF($AJ$6="Indique Fecha Seguimiento","",IF(CRONOGRAMA!$E80="No Aplica","NA",IF($G80="","",IF(YEAR($G80)&lt;YEAR($AJ$6)," A ",IF(YEAR($G80)=YEAR($AJ$6),IF(MONTH($G80)&lt;=12," A ","NA"),IF(YEAR($G80)&gt;YEAR($AJ$6),"NA"))))))</f>
        <v/>
      </c>
      <c r="AE80" s="350"/>
      <c r="AF80" s="44"/>
      <c r="AG80" s="351"/>
      <c r="AH80" s="348" t="str">
        <f t="shared" si="186"/>
        <v/>
      </c>
      <c r="AI80" s="349"/>
      <c r="AJ80" s="44"/>
      <c r="AK80" s="81" t="str">
        <f t="shared" si="187"/>
        <v/>
      </c>
      <c r="AL80" s="84" t="str">
        <f t="shared" si="188"/>
        <v/>
      </c>
      <c r="AM80" s="84">
        <f t="shared" si="242"/>
        <v>0</v>
      </c>
      <c r="AN80" s="579"/>
      <c r="AO80" s="580"/>
      <c r="AP80" s="581"/>
      <c r="AQ80" s="581"/>
      <c r="AR80" s="582"/>
      <c r="AS80" s="582"/>
      <c r="AT80" s="582"/>
      <c r="AU80" s="572"/>
      <c r="AV80" s="573"/>
      <c r="AW80" s="574"/>
      <c r="AX80">
        <f t="shared" si="199"/>
        <v>0</v>
      </c>
    </row>
    <row r="81" spans="1:50" ht="90" x14ac:dyDescent="0.25">
      <c r="A81" s="583" t="str">
        <f>CRONOGRAMA!A81</f>
        <v>25G</v>
      </c>
      <c r="B81" s="578" t="str">
        <f>CRONOGRAMA!B81</f>
        <v>Gestión del Talento Humano. Falta de plan de incentivos y/o estímulos.</v>
      </c>
      <c r="C81" s="82" t="str">
        <f>IF('CONSOLIDACION DEL MAPA'!P81="","",'CONSOLIDACION DEL MAPA'!P81)</f>
        <v>Reducir</v>
      </c>
      <c r="D81" s="82" t="str">
        <f>CRONOGRAMA!D81</f>
        <v>Elaborar y presentar propuesta del programas de incentivos y bienestar laboral</v>
      </c>
      <c r="E81" s="132" t="str">
        <f>IF(CRONOGRAMA!F81="", "",CRONOGRAMA!F81)</f>
        <v>Propuesta del Programa de Incentivos y Bienestar Laboral</v>
      </c>
      <c r="F81" s="132">
        <f>IF(CRONOGRAMA!G81="", "",CRONOGRAMA!G81)</f>
        <v>1</v>
      </c>
      <c r="G81" s="128">
        <f>IF(CRONOGRAMA!H81="", "",CRONOGRAMA!H81)</f>
        <v>42401</v>
      </c>
      <c r="H81" s="128">
        <f>IF(CRONOGRAMA!I81="", "",CRONOGRAMA!I81)</f>
        <v>42612</v>
      </c>
      <c r="I81" s="84">
        <f t="shared" si="179"/>
        <v>30.142857142857142</v>
      </c>
      <c r="J81" s="160" t="str">
        <f>IF($P$6="Indique Fecha Seguimiento","",IF(CRONOGRAMA!$E81="No Aplica","NA",IF($G81="","",IF(YEAR($G81)&lt;YEAR($P$6)," A ",IF(YEAR($G81)=YEAR($P$6),IF(MONTH($G81)&lt;=4," A ","NA"),IF(YEAR($G81)&gt;YEAR($P$6),"NA"))))))</f>
        <v xml:space="preserve"> A </v>
      </c>
      <c r="K81" s="400">
        <v>0.1</v>
      </c>
      <c r="L81" s="401" t="s">
        <v>895</v>
      </c>
      <c r="M81" s="400">
        <v>0</v>
      </c>
      <c r="N81" s="348">
        <f t="shared" si="180"/>
        <v>0</v>
      </c>
      <c r="O81" s="349" t="s">
        <v>353</v>
      </c>
      <c r="P81" s="44" t="s">
        <v>917</v>
      </c>
      <c r="Q81" s="84">
        <f t="shared" si="181"/>
        <v>0</v>
      </c>
      <c r="R81" s="84">
        <f t="shared" si="182"/>
        <v>0</v>
      </c>
      <c r="S81" s="84">
        <f t="shared" si="240"/>
        <v>30.142857142857142</v>
      </c>
      <c r="T81" s="160" t="str">
        <f>IF($Z$6="Indique Fecha Seguimiento","",IF(CRONOGRAMA!$E81="No Aplica","NA",IF($G81="","",IF(YEAR($G81)&lt;YEAR($Z$6)," A ",IF(YEAR($G81)=YEAR($Z$6),IF(MONTH($G81)&lt;=8," A ","NA"),IF(YEAR($G81)&gt;YEAR($Z$6),"NA"))))))</f>
        <v xml:space="preserve"> A </v>
      </c>
      <c r="U81" s="416">
        <v>0</v>
      </c>
      <c r="V81" s="415" t="s">
        <v>949</v>
      </c>
      <c r="W81" s="351">
        <v>0</v>
      </c>
      <c r="X81" s="348">
        <f t="shared" si="183"/>
        <v>0</v>
      </c>
      <c r="Y81" s="349" t="s">
        <v>10</v>
      </c>
      <c r="Z81" s="44" t="s">
        <v>950</v>
      </c>
      <c r="AA81" s="84">
        <f t="shared" si="184"/>
        <v>0</v>
      </c>
      <c r="AB81" s="84">
        <f t="shared" si="185"/>
        <v>0</v>
      </c>
      <c r="AC81" s="84">
        <f t="shared" si="241"/>
        <v>30.142857142857142</v>
      </c>
      <c r="AD81" s="160" t="str">
        <f>IF($AJ$6="Indique Fecha Seguimiento","",IF(CRONOGRAMA!$E81="No Aplica","NA",IF($G81="","",IF(YEAR($G81)&lt;YEAR($AJ$6)," A ",IF(YEAR($G81)=YEAR($AJ$6),IF(MONTH($G81)&lt;=12," A ","NA"),IF(YEAR($G81)&gt;YEAR($AJ$6),"NA"))))))</f>
        <v xml:space="preserve"> A </v>
      </c>
      <c r="AE81" s="720">
        <v>0.4</v>
      </c>
      <c r="AF81" s="402" t="s">
        <v>994</v>
      </c>
      <c r="AG81" s="351">
        <v>0.4</v>
      </c>
      <c r="AH81" s="348">
        <f t="shared" si="186"/>
        <v>0.4</v>
      </c>
      <c r="AI81" s="349" t="s">
        <v>10</v>
      </c>
      <c r="AJ81" s="44" t="s">
        <v>995</v>
      </c>
      <c r="AK81" s="81">
        <f t="shared" si="187"/>
        <v>12.057142857142857</v>
      </c>
      <c r="AL81" s="84">
        <f t="shared" si="188"/>
        <v>0</v>
      </c>
      <c r="AM81" s="84">
        <f t="shared" si="242"/>
        <v>30.142857142857142</v>
      </c>
      <c r="AN81" s="579">
        <f t="shared" ref="AN81" si="263">SUM(I81:I83)</f>
        <v>30.142857142857142</v>
      </c>
      <c r="AO81" s="580">
        <f t="shared" ref="AO81" si="264">IF(AND(Q81="",Q82="",Q83=""),"",SUM(Q81:Q83))</f>
        <v>0</v>
      </c>
      <c r="AP81" s="581">
        <f t="shared" ref="AP81" si="265">IF(AND(AA81="",AA82="",AA83=""),"",SUM(AA81:AA83))</f>
        <v>0</v>
      </c>
      <c r="AQ81" s="581">
        <f t="shared" ref="AQ81" si="266">IF(AND(AK81="",AK82="",AK83=""),"",SUM(AK81:AK83))</f>
        <v>12.057142857142857</v>
      </c>
      <c r="AR81" s="582">
        <f t="shared" ref="AR81" si="267">IF(AO81="",IF($AU$6&lt;1,"",IF($AU$6&gt;=1,"NA")),IF(AO81=0,0,AO81/$AN81))</f>
        <v>0</v>
      </c>
      <c r="AS81" s="582">
        <f t="shared" ref="AS81" si="268">IF(AP81="",IF($AU$6&lt;2,"",IF($AU$6&gt;=2,"NA")),IF(AP81=0,0,AP81/$AN81))</f>
        <v>0</v>
      </c>
      <c r="AT81" s="582">
        <f t="shared" ref="AT81" si="269">IF(AS81&gt;=AR81,AS81,AR81)</f>
        <v>0</v>
      </c>
      <c r="AU81" s="572">
        <f t="shared" ref="AU81" si="270">IF(AQ81="",IF($AU$6&lt;3,"",IF($AU$6&gt;=3,"NA")),IF(AQ81=0,0,AQ81/$AN81))</f>
        <v>0.4</v>
      </c>
      <c r="AV81" s="573">
        <f t="shared" ref="AV81" si="271">IF($AU$6=1,AR81,IF($AU$6=2,AS81,IF($AU$6=3,AU81,"")))</f>
        <v>0.4</v>
      </c>
      <c r="AW81" s="574">
        <f t="shared" ref="AW81" si="272">AV81</f>
        <v>0.4</v>
      </c>
      <c r="AX81" t="str">
        <f t="shared" si="199"/>
        <v>El documento se esta replanteando de acuerdo a los lineamientos de la nueva administración</v>
      </c>
    </row>
    <row r="82" spans="1:50" ht="15.75" x14ac:dyDescent="0.25">
      <c r="A82" s="583"/>
      <c r="B82" s="578"/>
      <c r="C82" s="82" t="str">
        <f>IF('CONSOLIDACION DEL MAPA'!P82="","",'CONSOLIDACION DEL MAPA'!P82)</f>
        <v/>
      </c>
      <c r="D82" s="82" t="str">
        <f>CRONOGRAMA!D82</f>
        <v/>
      </c>
      <c r="E82" s="132" t="str">
        <f>IF(CRONOGRAMA!F82="", "",CRONOGRAMA!F82)</f>
        <v/>
      </c>
      <c r="F82" s="132" t="str">
        <f>IF(CRONOGRAMA!G82="", "",CRONOGRAMA!G82)</f>
        <v/>
      </c>
      <c r="G82" s="128" t="str">
        <f>IF(CRONOGRAMA!H82="", "",CRONOGRAMA!H82)</f>
        <v/>
      </c>
      <c r="H82" s="128" t="str">
        <f>IF(CRONOGRAMA!I82="", "",CRONOGRAMA!I82)</f>
        <v/>
      </c>
      <c r="I82" s="84">
        <f t="shared" si="179"/>
        <v>0</v>
      </c>
      <c r="J82" s="160" t="str">
        <f>IF($P$6="Indique Fecha Seguimiento","",IF(CRONOGRAMA!$E82="No Aplica","NA",IF($G82="","",IF(YEAR($G82)&lt;YEAR($P$6)," A ",IF(YEAR($G82)=YEAR($P$6),IF(MONTH($G82)&lt;=4," A ","NA"),IF(YEAR($G82)&gt;YEAR($P$6),"NA"))))))</f>
        <v/>
      </c>
      <c r="K82" s="400"/>
      <c r="L82" s="401"/>
      <c r="M82" s="400"/>
      <c r="N82" s="348" t="str">
        <f t="shared" si="180"/>
        <v/>
      </c>
      <c r="O82" s="349"/>
      <c r="P82" s="44"/>
      <c r="Q82" s="84" t="str">
        <f t="shared" si="181"/>
        <v/>
      </c>
      <c r="R82" s="84" t="str">
        <f t="shared" si="182"/>
        <v/>
      </c>
      <c r="S82" s="84">
        <f t="shared" si="240"/>
        <v>0</v>
      </c>
      <c r="T82" s="160" t="str">
        <f>IF($Z$6="Indique Fecha Seguimiento","",IF(CRONOGRAMA!$E82="No Aplica","NA",IF($G82="","",IF(YEAR($G82)&lt;YEAR($Z$6)," A ",IF(YEAR($G82)=YEAR($Z$6),IF(MONTH($G82)&lt;=8," A ","NA"),IF(YEAR($G82)&gt;YEAR($Z$6),"NA"))))))</f>
        <v/>
      </c>
      <c r="U82" s="351"/>
      <c r="V82" s="44"/>
      <c r="W82" s="351"/>
      <c r="X82" s="348" t="str">
        <f t="shared" si="183"/>
        <v/>
      </c>
      <c r="Y82" s="349"/>
      <c r="Z82" s="44"/>
      <c r="AA82" s="84" t="str">
        <f t="shared" si="184"/>
        <v/>
      </c>
      <c r="AB82" s="84" t="str">
        <f t="shared" si="185"/>
        <v/>
      </c>
      <c r="AC82" s="84">
        <f t="shared" si="241"/>
        <v>0</v>
      </c>
      <c r="AD82" s="160" t="str">
        <f>IF($AJ$6="Indique Fecha Seguimiento","",IF(CRONOGRAMA!$E82="No Aplica","NA",IF($G82="","",IF(YEAR($G82)&lt;YEAR($AJ$6)," A ",IF(YEAR($G82)=YEAR($AJ$6),IF(MONTH($G82)&lt;=12," A ","NA"),IF(YEAR($G82)&gt;YEAR($AJ$6),"NA"))))))</f>
        <v/>
      </c>
      <c r="AE82" s="350"/>
      <c r="AF82" s="44"/>
      <c r="AG82" s="351"/>
      <c r="AH82" s="348" t="str">
        <f t="shared" si="186"/>
        <v/>
      </c>
      <c r="AI82" s="349"/>
      <c r="AJ82" s="44"/>
      <c r="AK82" s="81" t="str">
        <f t="shared" si="187"/>
        <v/>
      </c>
      <c r="AL82" s="84" t="str">
        <f t="shared" si="188"/>
        <v/>
      </c>
      <c r="AM82" s="84">
        <f t="shared" si="242"/>
        <v>0</v>
      </c>
      <c r="AN82" s="579"/>
      <c r="AO82" s="580"/>
      <c r="AP82" s="581"/>
      <c r="AQ82" s="581"/>
      <c r="AR82" s="582"/>
      <c r="AS82" s="582"/>
      <c r="AT82" s="582"/>
      <c r="AU82" s="572"/>
      <c r="AV82" s="573"/>
      <c r="AW82" s="574"/>
      <c r="AX82">
        <f t="shared" si="199"/>
        <v>0</v>
      </c>
    </row>
    <row r="83" spans="1:50" ht="15.75" x14ac:dyDescent="0.25">
      <c r="A83" s="583"/>
      <c r="B83" s="578"/>
      <c r="C83" s="82" t="str">
        <f>IF('CONSOLIDACION DEL MAPA'!P83="","",'CONSOLIDACION DEL MAPA'!P83)</f>
        <v/>
      </c>
      <c r="D83" s="82" t="str">
        <f>CRONOGRAMA!D83</f>
        <v/>
      </c>
      <c r="E83" s="132" t="str">
        <f>IF(CRONOGRAMA!F83="", "",CRONOGRAMA!F83)</f>
        <v/>
      </c>
      <c r="F83" s="132" t="str">
        <f>IF(CRONOGRAMA!G83="", "",CRONOGRAMA!G83)</f>
        <v/>
      </c>
      <c r="G83" s="128" t="str">
        <f>IF(CRONOGRAMA!H83="", "",CRONOGRAMA!H83)</f>
        <v/>
      </c>
      <c r="H83" s="128" t="str">
        <f>IF(CRONOGRAMA!I83="", "",CRONOGRAMA!I83)</f>
        <v/>
      </c>
      <c r="I83" s="84">
        <f t="shared" si="179"/>
        <v>0</v>
      </c>
      <c r="J83" s="160" t="str">
        <f>IF($P$6="Indique Fecha Seguimiento","",IF(CRONOGRAMA!$E83="No Aplica","NA",IF($G83="","",IF(YEAR($G83)&lt;YEAR($P$6)," A ",IF(YEAR($G83)=YEAR($P$6),IF(MONTH($G83)&lt;=4," A ","NA"),IF(YEAR($G83)&gt;YEAR($P$6),"NA"))))))</f>
        <v/>
      </c>
      <c r="K83" s="400"/>
      <c r="L83" s="401"/>
      <c r="M83" s="400"/>
      <c r="N83" s="348" t="str">
        <f t="shared" si="180"/>
        <v/>
      </c>
      <c r="O83" s="349"/>
      <c r="P83" s="44"/>
      <c r="Q83" s="84" t="str">
        <f t="shared" si="181"/>
        <v/>
      </c>
      <c r="R83" s="84" t="str">
        <f t="shared" si="182"/>
        <v/>
      </c>
      <c r="S83" s="84">
        <f t="shared" si="240"/>
        <v>0</v>
      </c>
      <c r="T83" s="160" t="str">
        <f>IF($Z$6="Indique Fecha Seguimiento","",IF(CRONOGRAMA!$E83="No Aplica","NA",IF($G83="","",IF(YEAR($G83)&lt;YEAR($Z$6)," A ",IF(YEAR($G83)=YEAR($Z$6),IF(MONTH($G83)&lt;=8," A ","NA"),IF(YEAR($G83)&gt;YEAR($Z$6),"NA"))))))</f>
        <v/>
      </c>
      <c r="U83" s="351"/>
      <c r="V83" s="44"/>
      <c r="W83" s="351"/>
      <c r="X83" s="348" t="str">
        <f t="shared" si="183"/>
        <v/>
      </c>
      <c r="Y83" s="349"/>
      <c r="Z83" s="44"/>
      <c r="AA83" s="84" t="str">
        <f t="shared" si="184"/>
        <v/>
      </c>
      <c r="AB83" s="84" t="str">
        <f t="shared" si="185"/>
        <v/>
      </c>
      <c r="AC83" s="84">
        <f t="shared" si="241"/>
        <v>0</v>
      </c>
      <c r="AD83" s="160" t="str">
        <f>IF($AJ$6="Indique Fecha Seguimiento","",IF(CRONOGRAMA!$E83="No Aplica","NA",IF($G83="","",IF(YEAR($G83)&lt;YEAR($AJ$6)," A ",IF(YEAR($G83)=YEAR($AJ$6),IF(MONTH($G83)&lt;=12," A ","NA"),IF(YEAR($G83)&gt;YEAR($AJ$6),"NA"))))))</f>
        <v/>
      </c>
      <c r="AE83" s="350"/>
      <c r="AF83" s="44"/>
      <c r="AG83" s="351"/>
      <c r="AH83" s="348" t="str">
        <f t="shared" si="186"/>
        <v/>
      </c>
      <c r="AI83" s="349"/>
      <c r="AJ83" s="44"/>
      <c r="AK83" s="81" t="str">
        <f t="shared" si="187"/>
        <v/>
      </c>
      <c r="AL83" s="84" t="str">
        <f t="shared" si="188"/>
        <v/>
      </c>
      <c r="AM83" s="84">
        <f t="shared" si="242"/>
        <v>0</v>
      </c>
      <c r="AN83" s="579"/>
      <c r="AO83" s="580"/>
      <c r="AP83" s="581"/>
      <c r="AQ83" s="581"/>
      <c r="AR83" s="582"/>
      <c r="AS83" s="582"/>
      <c r="AT83" s="582"/>
      <c r="AU83" s="572"/>
      <c r="AV83" s="573"/>
      <c r="AW83" s="574"/>
      <c r="AX83">
        <f t="shared" si="199"/>
        <v>0</v>
      </c>
    </row>
    <row r="84" spans="1:50" ht="141" x14ac:dyDescent="0.25">
      <c r="A84" s="583" t="str">
        <f>CRONOGRAMA!A84</f>
        <v>26G</v>
      </c>
      <c r="B84" s="578" t="str">
        <f>CRONOGRAMA!B84</f>
        <v>Gestión del Talento Humano. Demoras en la afilicación de catedráticos y ocasionales al Sistema de Seguridad Social Integral, y de los contratistas y estudiantes de Práctica a la Administradora de Riesgos Laborales.</v>
      </c>
      <c r="C84" s="82" t="str">
        <f>IF('CONSOLIDACION DEL MAPA'!P84="","",'CONSOLIDACION DEL MAPA'!P84)</f>
        <v>Reducir</v>
      </c>
      <c r="D84" s="82" t="str">
        <f>CRONOGRAMA!D84</f>
        <v>Elaboración y aprobación del procedimiento de Seguridad Social</v>
      </c>
      <c r="E84" s="132" t="str">
        <f>IF(CRONOGRAMA!F84="", "",CRONOGRAMA!F84)</f>
        <v>Procedimiento de Seguridad Social aprobado y publicado en COGUI</v>
      </c>
      <c r="F84" s="132">
        <f>IF(CRONOGRAMA!G84="", "",CRONOGRAMA!G84)</f>
        <v>1</v>
      </c>
      <c r="G84" s="128">
        <f>IF(CRONOGRAMA!H84="", "",CRONOGRAMA!H84)</f>
        <v>42430</v>
      </c>
      <c r="H84" s="128">
        <f>IF(CRONOGRAMA!I84="", "",CRONOGRAMA!I84)</f>
        <v>42735</v>
      </c>
      <c r="I84" s="84">
        <f t="shared" si="179"/>
        <v>43.571428571428569</v>
      </c>
      <c r="J84" s="160" t="str">
        <f>IF($P$6="Indique Fecha Seguimiento","",IF(CRONOGRAMA!$E84="No Aplica","NA",IF($G84="","",IF(YEAR($G84)&lt;YEAR($P$6)," A ",IF(YEAR($G84)=YEAR($P$6),IF(MONTH($G84)&lt;=4," A ","NA"),IF(YEAR($G84)&gt;YEAR($P$6),"NA"))))))</f>
        <v xml:space="preserve"> A </v>
      </c>
      <c r="K84" s="400">
        <v>0</v>
      </c>
      <c r="L84" s="401" t="s">
        <v>896</v>
      </c>
      <c r="M84" s="400">
        <v>0</v>
      </c>
      <c r="N84" s="348">
        <f t="shared" si="180"/>
        <v>0</v>
      </c>
      <c r="O84" s="349" t="s">
        <v>353</v>
      </c>
      <c r="P84" s="44"/>
      <c r="Q84" s="84">
        <f t="shared" si="181"/>
        <v>0</v>
      </c>
      <c r="R84" s="84">
        <f t="shared" si="182"/>
        <v>0</v>
      </c>
      <c r="S84" s="84">
        <f t="shared" si="240"/>
        <v>43.571428571428569</v>
      </c>
      <c r="T84" s="160" t="str">
        <f>IF($Z$6="Indique Fecha Seguimiento","",IF(CRONOGRAMA!$E84="No Aplica","NA",IF($G84="","",IF(YEAR($G84)&lt;YEAR($Z$6)," A ",IF(YEAR($G84)=YEAR($Z$6),IF(MONTH($G84)&lt;=8," A ","NA"),IF(YEAR($G84)&gt;YEAR($Z$6),"NA"))))))</f>
        <v xml:space="preserve"> A </v>
      </c>
      <c r="U84" s="416">
        <v>0</v>
      </c>
      <c r="V84" s="415" t="s">
        <v>951</v>
      </c>
      <c r="W84" s="351">
        <v>0</v>
      </c>
      <c r="X84" s="348">
        <f t="shared" si="183"/>
        <v>0</v>
      </c>
      <c r="Y84" s="349" t="s">
        <v>353</v>
      </c>
      <c r="Z84" s="44" t="s">
        <v>952</v>
      </c>
      <c r="AA84" s="84">
        <f t="shared" si="184"/>
        <v>0</v>
      </c>
      <c r="AB84" s="84">
        <f t="shared" si="185"/>
        <v>0</v>
      </c>
      <c r="AC84" s="84">
        <f t="shared" si="241"/>
        <v>43.571428571428569</v>
      </c>
      <c r="AD84" s="160" t="str">
        <f>IF($AJ$6="Indique Fecha Seguimiento","",IF(CRONOGRAMA!$E84="No Aplica","NA",IF($G84="","",IF(YEAR($G84)&lt;YEAR($AJ$6)," A ",IF(YEAR($G84)=YEAR($AJ$6),IF(MONTH($G84)&lt;=12," A ","NA"),IF(YEAR($G84)&gt;YEAR($AJ$6),"NA"))))))</f>
        <v xml:space="preserve"> A </v>
      </c>
      <c r="AE84" s="720">
        <v>0.2</v>
      </c>
      <c r="AF84" s="402" t="s">
        <v>996</v>
      </c>
      <c r="AG84" s="351">
        <v>0.2</v>
      </c>
      <c r="AH84" s="348">
        <f t="shared" si="186"/>
        <v>0.2</v>
      </c>
      <c r="AI84" s="349" t="s">
        <v>10</v>
      </c>
      <c r="AJ84" s="44" t="s">
        <v>993</v>
      </c>
      <c r="AK84" s="81">
        <f t="shared" si="187"/>
        <v>8.7142857142857135</v>
      </c>
      <c r="AL84" s="84">
        <f t="shared" si="188"/>
        <v>8.7142857142857135</v>
      </c>
      <c r="AM84" s="84">
        <f t="shared" si="242"/>
        <v>43.571428571428569</v>
      </c>
      <c r="AN84" s="579">
        <f t="shared" ref="AN84" si="273">SUM(I84:I86)</f>
        <v>43.571428571428569</v>
      </c>
      <c r="AO84" s="580">
        <f t="shared" ref="AO84" si="274">IF(AND(Q84="",Q85="",Q86=""),"",SUM(Q84:Q86))</f>
        <v>0</v>
      </c>
      <c r="AP84" s="581">
        <f t="shared" ref="AP84" si="275">IF(AND(AA84="",AA85="",AA86=""),"",SUM(AA84:AA86))</f>
        <v>0</v>
      </c>
      <c r="AQ84" s="581">
        <f t="shared" ref="AQ84" si="276">IF(AND(AK84="",AK85="",AK86=""),"",SUM(AK84:AK86))</f>
        <v>8.7142857142857135</v>
      </c>
      <c r="AR84" s="582">
        <f t="shared" ref="AR84" si="277">IF(AO84="",IF($AU$6&lt;1,"",IF($AU$6&gt;=1,"NA")),IF(AO84=0,0,AO84/$AN84))</f>
        <v>0</v>
      </c>
      <c r="AS84" s="582">
        <f t="shared" ref="AS84" si="278">IF(AP84="",IF($AU$6&lt;2,"",IF($AU$6&gt;=2,"NA")),IF(AP84=0,0,AP84/$AN84))</f>
        <v>0</v>
      </c>
      <c r="AT84" s="582">
        <f t="shared" ref="AT84" si="279">IF(AS84&gt;=AR84,AS84,AR84)</f>
        <v>0</v>
      </c>
      <c r="AU84" s="572">
        <f t="shared" ref="AU84" si="280">IF(AQ84="",IF($AU$6&lt;3,"",IF($AU$6&gt;=3,"NA")),IF(AQ84=0,0,AQ84/$AN84))</f>
        <v>0.19999999999999998</v>
      </c>
      <c r="AV84" s="573">
        <f t="shared" ref="AV84" si="281">IF($AU$6=1,AR84,IF($AU$6=2,AS84,IF($AU$6=3,AU84,"")))</f>
        <v>0.19999999999999998</v>
      </c>
      <c r="AW84" s="574">
        <f t="shared" ref="AW84" si="282">AV84</f>
        <v>0.19999999999999998</v>
      </c>
      <c r="AX84" t="str">
        <f t="shared" si="199"/>
        <v>Actividades informadas</v>
      </c>
    </row>
    <row r="85" spans="1:50" ht="15.75" x14ac:dyDescent="0.25">
      <c r="A85" s="583"/>
      <c r="B85" s="578"/>
      <c r="C85" s="82" t="str">
        <f>IF('CONSOLIDACION DEL MAPA'!P85="","",'CONSOLIDACION DEL MAPA'!P85)</f>
        <v/>
      </c>
      <c r="D85" s="82" t="str">
        <f>CRONOGRAMA!D85</f>
        <v/>
      </c>
      <c r="E85" s="132" t="str">
        <f>IF(CRONOGRAMA!F85="", "",CRONOGRAMA!F85)</f>
        <v/>
      </c>
      <c r="F85" s="132" t="str">
        <f>IF(CRONOGRAMA!G85="", "",CRONOGRAMA!G85)</f>
        <v/>
      </c>
      <c r="G85" s="128" t="str">
        <f>IF(CRONOGRAMA!H85="", "",CRONOGRAMA!H85)</f>
        <v/>
      </c>
      <c r="H85" s="128" t="str">
        <f>IF(CRONOGRAMA!I85="", "",CRONOGRAMA!I85)</f>
        <v/>
      </c>
      <c r="I85" s="84">
        <f t="shared" si="179"/>
        <v>0</v>
      </c>
      <c r="J85" s="160" t="str">
        <f>IF($P$6="Indique Fecha Seguimiento","",IF(CRONOGRAMA!$E85="No Aplica","NA",IF($G85="","",IF(YEAR($G85)&lt;YEAR($P$6)," A ",IF(YEAR($G85)=YEAR($P$6),IF(MONTH($G85)&lt;=4," A ","NA"),IF(YEAR($G85)&gt;YEAR($P$6),"NA"))))))</f>
        <v/>
      </c>
      <c r="K85" s="400"/>
      <c r="L85" s="401"/>
      <c r="M85" s="400"/>
      <c r="N85" s="348" t="str">
        <f t="shared" si="180"/>
        <v/>
      </c>
      <c r="O85" s="349"/>
      <c r="P85" s="44"/>
      <c r="Q85" s="84" t="str">
        <f t="shared" si="181"/>
        <v/>
      </c>
      <c r="R85" s="84" t="str">
        <f t="shared" si="182"/>
        <v/>
      </c>
      <c r="S85" s="84">
        <f t="shared" si="240"/>
        <v>0</v>
      </c>
      <c r="T85" s="160" t="str">
        <f>IF($Z$6="Indique Fecha Seguimiento","",IF(CRONOGRAMA!$E85="No Aplica","NA",IF($G85="","",IF(YEAR($G85)&lt;YEAR($Z$6)," A ",IF(YEAR($G85)=YEAR($Z$6),IF(MONTH($G85)&lt;=8," A ","NA"),IF(YEAR($G85)&gt;YEAR($Z$6),"NA"))))))</f>
        <v/>
      </c>
      <c r="U85" s="351"/>
      <c r="V85" s="44"/>
      <c r="W85" s="351"/>
      <c r="X85" s="348" t="str">
        <f t="shared" si="183"/>
        <v/>
      </c>
      <c r="Y85" s="349"/>
      <c r="Z85" s="44"/>
      <c r="AA85" s="84" t="str">
        <f t="shared" si="184"/>
        <v/>
      </c>
      <c r="AB85" s="84" t="str">
        <f t="shared" si="185"/>
        <v/>
      </c>
      <c r="AC85" s="84">
        <f t="shared" si="241"/>
        <v>0</v>
      </c>
      <c r="AD85" s="160" t="str">
        <f>IF($AJ$6="Indique Fecha Seguimiento","",IF(CRONOGRAMA!$E85="No Aplica","NA",IF($G85="","",IF(YEAR($G85)&lt;YEAR($AJ$6)," A ",IF(YEAR($G85)=YEAR($AJ$6),IF(MONTH($G85)&lt;=12," A ","NA"),IF(YEAR($G85)&gt;YEAR($AJ$6),"NA"))))))</f>
        <v/>
      </c>
      <c r="AE85" s="350"/>
      <c r="AF85" s="44"/>
      <c r="AG85" s="351"/>
      <c r="AH85" s="348" t="str">
        <f t="shared" si="186"/>
        <v/>
      </c>
      <c r="AI85" s="349"/>
      <c r="AJ85" s="44"/>
      <c r="AK85" s="81" t="str">
        <f t="shared" si="187"/>
        <v/>
      </c>
      <c r="AL85" s="84" t="str">
        <f t="shared" si="188"/>
        <v/>
      </c>
      <c r="AM85" s="84">
        <f t="shared" si="242"/>
        <v>0</v>
      </c>
      <c r="AN85" s="579"/>
      <c r="AO85" s="580"/>
      <c r="AP85" s="581"/>
      <c r="AQ85" s="581"/>
      <c r="AR85" s="582"/>
      <c r="AS85" s="582"/>
      <c r="AT85" s="582"/>
      <c r="AU85" s="572"/>
      <c r="AV85" s="573"/>
      <c r="AW85" s="574"/>
      <c r="AX85">
        <f t="shared" si="199"/>
        <v>0</v>
      </c>
    </row>
    <row r="86" spans="1:50" ht="15.75" x14ac:dyDescent="0.25">
      <c r="A86" s="583"/>
      <c r="B86" s="578"/>
      <c r="C86" s="82" t="str">
        <f>IF('CONSOLIDACION DEL MAPA'!P86="","",'CONSOLIDACION DEL MAPA'!P86)</f>
        <v/>
      </c>
      <c r="D86" s="82" t="str">
        <f>CRONOGRAMA!D86</f>
        <v/>
      </c>
      <c r="E86" s="132" t="str">
        <f>IF(CRONOGRAMA!F86="", "",CRONOGRAMA!F86)</f>
        <v/>
      </c>
      <c r="F86" s="132" t="str">
        <f>IF(CRONOGRAMA!G86="", "",CRONOGRAMA!G86)</f>
        <v/>
      </c>
      <c r="G86" s="128" t="str">
        <f>IF(CRONOGRAMA!H86="", "",CRONOGRAMA!H86)</f>
        <v/>
      </c>
      <c r="H86" s="128" t="str">
        <f>IF(CRONOGRAMA!I86="", "",CRONOGRAMA!I86)</f>
        <v/>
      </c>
      <c r="I86" s="84">
        <f t="shared" si="179"/>
        <v>0</v>
      </c>
      <c r="J86" s="160" t="str">
        <f>IF($P$6="Indique Fecha Seguimiento","",IF(CRONOGRAMA!$E86="No Aplica","NA",IF($G86="","",IF(YEAR($G86)&lt;YEAR($P$6)," A ",IF(YEAR($G86)=YEAR($P$6),IF(MONTH($G86)&lt;=4," A ","NA"),IF(YEAR($G86)&gt;YEAR($P$6),"NA"))))))</f>
        <v/>
      </c>
      <c r="K86" s="400"/>
      <c r="L86" s="401"/>
      <c r="M86" s="400"/>
      <c r="N86" s="348" t="str">
        <f t="shared" si="180"/>
        <v/>
      </c>
      <c r="O86" s="349"/>
      <c r="P86" s="44"/>
      <c r="Q86" s="84" t="str">
        <f t="shared" si="181"/>
        <v/>
      </c>
      <c r="R86" s="84" t="str">
        <f t="shared" si="182"/>
        <v/>
      </c>
      <c r="S86" s="84">
        <f t="shared" si="240"/>
        <v>0</v>
      </c>
      <c r="T86" s="160" t="str">
        <f>IF($Z$6="Indique Fecha Seguimiento","",IF(CRONOGRAMA!$E86="No Aplica","NA",IF($G86="","",IF(YEAR($G86)&lt;YEAR($Z$6)," A ",IF(YEAR($G86)=YEAR($Z$6),IF(MONTH($G86)&lt;=8," A ","NA"),IF(YEAR($G86)&gt;YEAR($Z$6),"NA"))))))</f>
        <v/>
      </c>
      <c r="U86" s="351"/>
      <c r="V86" s="44"/>
      <c r="W86" s="351"/>
      <c r="X86" s="348" t="str">
        <f t="shared" si="183"/>
        <v/>
      </c>
      <c r="Y86" s="349"/>
      <c r="Z86" s="44"/>
      <c r="AA86" s="84" t="str">
        <f t="shared" si="184"/>
        <v/>
      </c>
      <c r="AB86" s="84" t="str">
        <f t="shared" si="185"/>
        <v/>
      </c>
      <c r="AC86" s="84">
        <f t="shared" si="241"/>
        <v>0</v>
      </c>
      <c r="AD86" s="160" t="str">
        <f>IF($AJ$6="Indique Fecha Seguimiento","",IF(CRONOGRAMA!$E86="No Aplica","NA",IF($G86="","",IF(YEAR($G86)&lt;YEAR($AJ$6)," A ",IF(YEAR($G86)=YEAR($AJ$6),IF(MONTH($G86)&lt;=12," A ","NA"),IF(YEAR($G86)&gt;YEAR($AJ$6),"NA"))))))</f>
        <v/>
      </c>
      <c r="AE86" s="350"/>
      <c r="AF86" s="44"/>
      <c r="AG86" s="351"/>
      <c r="AH86" s="348" t="str">
        <f t="shared" si="186"/>
        <v/>
      </c>
      <c r="AI86" s="349"/>
      <c r="AJ86" s="44"/>
      <c r="AK86" s="81" t="str">
        <f t="shared" si="187"/>
        <v/>
      </c>
      <c r="AL86" s="84" t="str">
        <f t="shared" si="188"/>
        <v/>
      </c>
      <c r="AM86" s="84">
        <f t="shared" si="242"/>
        <v>0</v>
      </c>
      <c r="AN86" s="579"/>
      <c r="AO86" s="580"/>
      <c r="AP86" s="581"/>
      <c r="AQ86" s="581"/>
      <c r="AR86" s="582"/>
      <c r="AS86" s="582"/>
      <c r="AT86" s="582"/>
      <c r="AU86" s="572"/>
      <c r="AV86" s="573"/>
      <c r="AW86" s="574"/>
      <c r="AX86">
        <f t="shared" si="199"/>
        <v>0</v>
      </c>
    </row>
    <row r="87" spans="1:50" ht="38.25" x14ac:dyDescent="0.25">
      <c r="A87" s="583" t="str">
        <f>CRONOGRAMA!A87</f>
        <v>27G</v>
      </c>
      <c r="B87" s="578" t="str">
        <f>CRONOGRAMA!B87</f>
        <v>Evaluación Independiente. Deficiente evaluación y verificacion de la existencia, nivel de desarrollo y grado de efectividad del Sistema de Control Interno</v>
      </c>
      <c r="C87" s="82" t="str">
        <f>IF('CONSOLIDACION DEL MAPA'!P87="","",'CONSOLIDACION DEL MAPA'!P87)</f>
        <v>Asumir</v>
      </c>
      <c r="D87" s="82" t="str">
        <f>CRONOGRAMA!D87</f>
        <v>Seguir ejecutando y monitoreando los controles existentes</v>
      </c>
      <c r="E87" s="132" t="str">
        <f>IF(CRONOGRAMA!F87="", "",CRONOGRAMA!F87)</f>
        <v/>
      </c>
      <c r="F87" s="132" t="str">
        <f>IF(CRONOGRAMA!G87="", "",CRONOGRAMA!G87)</f>
        <v/>
      </c>
      <c r="G87" s="128" t="str">
        <f>IF(CRONOGRAMA!H87="", "",CRONOGRAMA!H87)</f>
        <v/>
      </c>
      <c r="H87" s="128" t="str">
        <f>IF(CRONOGRAMA!I87="", "",CRONOGRAMA!I87)</f>
        <v/>
      </c>
      <c r="I87" s="84">
        <f t="shared" si="179"/>
        <v>0</v>
      </c>
      <c r="J87" s="160" t="str">
        <f>IF($P$6="Indique Fecha Seguimiento","",IF(CRONOGRAMA!$E87="No Aplica","NA",IF($G87="","",IF(YEAR($G87)&lt;YEAR($P$6)," A ",IF(YEAR($G87)=YEAR($P$6),IF(MONTH($G87)&lt;=4," A ","NA"),IF(YEAR($G87)&gt;YEAR($P$6),"NA"))))))</f>
        <v>NA</v>
      </c>
      <c r="K87" s="400"/>
      <c r="L87" s="401"/>
      <c r="M87" s="400"/>
      <c r="N87" s="348" t="str">
        <f t="shared" si="180"/>
        <v/>
      </c>
      <c r="O87" s="349"/>
      <c r="P87" s="44"/>
      <c r="Q87" s="84" t="str">
        <f t="shared" si="181"/>
        <v/>
      </c>
      <c r="R87" s="84" t="str">
        <f t="shared" si="182"/>
        <v/>
      </c>
      <c r="S87" s="84">
        <f t="shared" si="240"/>
        <v>0</v>
      </c>
      <c r="T87" s="160" t="str">
        <f>IF($Z$6="Indique Fecha Seguimiento","",IF(CRONOGRAMA!$E87="No Aplica","NA",IF($G87="","",IF(YEAR($G87)&lt;YEAR($Z$6)," A ",IF(YEAR($G87)=YEAR($Z$6),IF(MONTH($G87)&lt;=8," A ","NA"),IF(YEAR($G87)&gt;YEAR($Z$6),"NA"))))))</f>
        <v>NA</v>
      </c>
      <c r="U87" s="351"/>
      <c r="V87" s="44"/>
      <c r="W87" s="351"/>
      <c r="X87" s="348" t="str">
        <f t="shared" si="183"/>
        <v/>
      </c>
      <c r="Y87" s="349"/>
      <c r="Z87" s="44"/>
      <c r="AA87" s="84" t="str">
        <f t="shared" si="184"/>
        <v/>
      </c>
      <c r="AB87" s="84" t="str">
        <f t="shared" si="185"/>
        <v/>
      </c>
      <c r="AC87" s="84">
        <f t="shared" si="241"/>
        <v>0</v>
      </c>
      <c r="AD87" s="160" t="str">
        <f>IF($AJ$6="Indique Fecha Seguimiento","",IF(CRONOGRAMA!$E87="No Aplica","NA",IF($G87="","",IF(YEAR($G87)&lt;YEAR($AJ$6)," A ",IF(YEAR($G87)=YEAR($AJ$6),IF(MONTH($G87)&lt;=12," A ","NA"),IF(YEAR($G87)&gt;YEAR($AJ$6),"NA"))))))</f>
        <v>NA</v>
      </c>
      <c r="AE87" s="350"/>
      <c r="AF87" s="44"/>
      <c r="AG87" s="351"/>
      <c r="AH87" s="348" t="str">
        <f t="shared" si="186"/>
        <v/>
      </c>
      <c r="AI87" s="349"/>
      <c r="AJ87" s="44"/>
      <c r="AK87" s="81" t="str">
        <f t="shared" si="187"/>
        <v/>
      </c>
      <c r="AL87" s="84" t="str">
        <f t="shared" si="188"/>
        <v/>
      </c>
      <c r="AM87" s="84">
        <f t="shared" si="242"/>
        <v>0</v>
      </c>
      <c r="AN87" s="579">
        <f t="shared" ref="AN87" si="283">SUM(I87:I89)</f>
        <v>0</v>
      </c>
      <c r="AO87" s="580" t="str">
        <f t="shared" ref="AO87" si="284">IF(AND(Q87="",Q88="",Q89=""),"",SUM(Q87:Q89))</f>
        <v/>
      </c>
      <c r="AP87" s="581" t="str">
        <f t="shared" ref="AP87" si="285">IF(AND(AA87="",AA88="",AA89=""),"",SUM(AA87:AA89))</f>
        <v/>
      </c>
      <c r="AQ87" s="581" t="str">
        <f t="shared" ref="AQ87" si="286">IF(AND(AK87="",AK88="",AK89=""),"",SUM(AK87:AK89))</f>
        <v/>
      </c>
      <c r="AR87" s="582" t="str">
        <f t="shared" ref="AR87" si="287">IF(AO87="",IF($AU$6&lt;1,"",IF($AU$6&gt;=1,"NA")),IF(AO87=0,0,AO87/$AN87))</f>
        <v>NA</v>
      </c>
      <c r="AS87" s="582" t="str">
        <f t="shared" ref="AS87" si="288">IF(AP87="",IF($AU$6&lt;2,"",IF($AU$6&gt;=2,"NA")),IF(AP87=0,0,AP87/$AN87))</f>
        <v>NA</v>
      </c>
      <c r="AT87" s="582" t="str">
        <f t="shared" ref="AT87" si="289">IF(AS87&gt;=AR87,AS87,AR87)</f>
        <v>NA</v>
      </c>
      <c r="AU87" s="572" t="str">
        <f t="shared" ref="AU87" si="290">IF(AQ87="",IF($AU$6&lt;3,"",IF($AU$6&gt;=3,"NA")),IF(AQ87=0,0,AQ87/$AN87))</f>
        <v>NA</v>
      </c>
      <c r="AV87" s="573" t="str">
        <f t="shared" ref="AV87" si="291">IF($AU$6=1,AR87,IF($AU$6=2,AS87,IF($AU$6=3,AU87,"")))</f>
        <v>NA</v>
      </c>
      <c r="AW87" s="574" t="str">
        <f t="shared" ref="AW87" si="292">AV87</f>
        <v>NA</v>
      </c>
      <c r="AX87">
        <f t="shared" si="199"/>
        <v>0</v>
      </c>
    </row>
    <row r="88" spans="1:50" ht="15.75" x14ac:dyDescent="0.25">
      <c r="A88" s="583"/>
      <c r="B88" s="578"/>
      <c r="C88" s="82" t="str">
        <f>IF('CONSOLIDACION DEL MAPA'!P88="","",'CONSOLIDACION DEL MAPA'!P88)</f>
        <v/>
      </c>
      <c r="D88" s="82" t="str">
        <f>CRONOGRAMA!D88</f>
        <v/>
      </c>
      <c r="E88" s="132" t="str">
        <f>IF(CRONOGRAMA!F88="", "",CRONOGRAMA!F88)</f>
        <v/>
      </c>
      <c r="F88" s="132" t="str">
        <f>IF(CRONOGRAMA!G88="", "",CRONOGRAMA!G88)</f>
        <v/>
      </c>
      <c r="G88" s="128" t="str">
        <f>IF(CRONOGRAMA!H88="", "",CRONOGRAMA!H88)</f>
        <v/>
      </c>
      <c r="H88" s="128" t="str">
        <f>IF(CRONOGRAMA!I88="", "",CRONOGRAMA!I88)</f>
        <v/>
      </c>
      <c r="I88" s="84">
        <f t="shared" si="179"/>
        <v>0</v>
      </c>
      <c r="J88" s="160" t="str">
        <f>IF($P$6="Indique Fecha Seguimiento","",IF(CRONOGRAMA!$E88="No Aplica","NA",IF($G88="","",IF(YEAR($G88)&lt;YEAR($P$6)," A ",IF(YEAR($G88)=YEAR($P$6),IF(MONTH($G88)&lt;=4," A ","NA"),IF(YEAR($G88)&gt;YEAR($P$6),"NA"))))))</f>
        <v/>
      </c>
      <c r="K88" s="400"/>
      <c r="L88" s="401"/>
      <c r="M88" s="400"/>
      <c r="N88" s="348" t="str">
        <f t="shared" si="180"/>
        <v/>
      </c>
      <c r="O88" s="349"/>
      <c r="P88" s="44"/>
      <c r="Q88" s="84" t="str">
        <f t="shared" si="181"/>
        <v/>
      </c>
      <c r="R88" s="84" t="str">
        <f t="shared" si="182"/>
        <v/>
      </c>
      <c r="S88" s="84">
        <f t="shared" si="240"/>
        <v>0</v>
      </c>
      <c r="T88" s="160" t="str">
        <f>IF($Z$6="Indique Fecha Seguimiento","",IF(CRONOGRAMA!$E88="No Aplica","NA",IF($G88="","",IF(YEAR($G88)&lt;YEAR($Z$6)," A ",IF(YEAR($G88)=YEAR($Z$6),IF(MONTH($G88)&lt;=8," A ","NA"),IF(YEAR($G88)&gt;YEAR($Z$6),"NA"))))))</f>
        <v/>
      </c>
      <c r="U88" s="351"/>
      <c r="V88" s="44"/>
      <c r="W88" s="351"/>
      <c r="X88" s="348" t="str">
        <f t="shared" si="183"/>
        <v/>
      </c>
      <c r="Y88" s="349"/>
      <c r="Z88" s="44"/>
      <c r="AA88" s="84" t="str">
        <f t="shared" si="184"/>
        <v/>
      </c>
      <c r="AB88" s="84" t="str">
        <f t="shared" si="185"/>
        <v/>
      </c>
      <c r="AC88" s="84">
        <f t="shared" si="241"/>
        <v>0</v>
      </c>
      <c r="AD88" s="160" t="str">
        <f>IF($AJ$6="Indique Fecha Seguimiento","",IF(CRONOGRAMA!$E88="No Aplica","NA",IF($G88="","",IF(YEAR($G88)&lt;YEAR($AJ$6)," A ",IF(YEAR($G88)=YEAR($AJ$6),IF(MONTH($G88)&lt;=12," A ","NA"),IF(YEAR($G88)&gt;YEAR($AJ$6),"NA"))))))</f>
        <v/>
      </c>
      <c r="AE88" s="350"/>
      <c r="AF88" s="44"/>
      <c r="AG88" s="351"/>
      <c r="AH88" s="348" t="str">
        <f t="shared" si="186"/>
        <v/>
      </c>
      <c r="AI88" s="349"/>
      <c r="AJ88" s="44"/>
      <c r="AK88" s="81" t="str">
        <f t="shared" si="187"/>
        <v/>
      </c>
      <c r="AL88" s="84" t="str">
        <f t="shared" si="188"/>
        <v/>
      </c>
      <c r="AM88" s="84">
        <f t="shared" si="242"/>
        <v>0</v>
      </c>
      <c r="AN88" s="579"/>
      <c r="AO88" s="580"/>
      <c r="AP88" s="581"/>
      <c r="AQ88" s="581"/>
      <c r="AR88" s="582"/>
      <c r="AS88" s="582"/>
      <c r="AT88" s="582"/>
      <c r="AU88" s="572"/>
      <c r="AV88" s="573"/>
      <c r="AW88" s="574"/>
      <c r="AX88">
        <f t="shared" si="199"/>
        <v>0</v>
      </c>
    </row>
    <row r="89" spans="1:50" ht="15.75" x14ac:dyDescent="0.25">
      <c r="A89" s="583"/>
      <c r="B89" s="578"/>
      <c r="C89" s="82" t="str">
        <f>IF('CONSOLIDACION DEL MAPA'!P89="","",'CONSOLIDACION DEL MAPA'!P89)</f>
        <v/>
      </c>
      <c r="D89" s="82" t="str">
        <f>CRONOGRAMA!D89</f>
        <v/>
      </c>
      <c r="E89" s="132" t="str">
        <f>IF(CRONOGRAMA!F89="", "",CRONOGRAMA!F89)</f>
        <v/>
      </c>
      <c r="F89" s="132" t="str">
        <f>IF(CRONOGRAMA!G89="", "",CRONOGRAMA!G89)</f>
        <v/>
      </c>
      <c r="G89" s="128" t="str">
        <f>IF(CRONOGRAMA!H89="", "",CRONOGRAMA!H89)</f>
        <v/>
      </c>
      <c r="H89" s="128" t="str">
        <f>IF(CRONOGRAMA!I89="", "",CRONOGRAMA!I89)</f>
        <v/>
      </c>
      <c r="I89" s="84">
        <f t="shared" si="179"/>
        <v>0</v>
      </c>
      <c r="J89" s="160" t="str">
        <f>IF($P$6="Indique Fecha Seguimiento","",IF(CRONOGRAMA!$E89="No Aplica","NA",IF($G89="","",IF(YEAR($G89)&lt;YEAR($P$6)," A ",IF(YEAR($G89)=YEAR($P$6),IF(MONTH($G89)&lt;=4," A ","NA"),IF(YEAR($G89)&gt;YEAR($P$6),"NA"))))))</f>
        <v/>
      </c>
      <c r="K89" s="400"/>
      <c r="L89" s="401"/>
      <c r="M89" s="400"/>
      <c r="N89" s="348" t="str">
        <f t="shared" si="180"/>
        <v/>
      </c>
      <c r="O89" s="349"/>
      <c r="P89" s="44"/>
      <c r="Q89" s="84" t="str">
        <f t="shared" si="181"/>
        <v/>
      </c>
      <c r="R89" s="84" t="str">
        <f t="shared" si="182"/>
        <v/>
      </c>
      <c r="S89" s="84">
        <f t="shared" si="240"/>
        <v>0</v>
      </c>
      <c r="T89" s="160" t="str">
        <f>IF($Z$6="Indique Fecha Seguimiento","",IF(CRONOGRAMA!$E89="No Aplica","NA",IF($G89="","",IF(YEAR($G89)&lt;YEAR($Z$6)," A ",IF(YEAR($G89)=YEAR($Z$6),IF(MONTH($G89)&lt;=8," A ","NA"),IF(YEAR($G89)&gt;YEAR($Z$6),"NA"))))))</f>
        <v/>
      </c>
      <c r="U89" s="351"/>
      <c r="V89" s="44"/>
      <c r="W89" s="351"/>
      <c r="X89" s="348" t="str">
        <f t="shared" si="183"/>
        <v/>
      </c>
      <c r="Y89" s="349"/>
      <c r="Z89" s="44"/>
      <c r="AA89" s="84" t="str">
        <f t="shared" si="184"/>
        <v/>
      </c>
      <c r="AB89" s="84" t="str">
        <f t="shared" si="185"/>
        <v/>
      </c>
      <c r="AC89" s="84">
        <f t="shared" si="241"/>
        <v>0</v>
      </c>
      <c r="AD89" s="160" t="str">
        <f>IF($AJ$6="Indique Fecha Seguimiento","",IF(CRONOGRAMA!$E89="No Aplica","NA",IF($G89="","",IF(YEAR($G89)&lt;YEAR($AJ$6)," A ",IF(YEAR($G89)=YEAR($AJ$6),IF(MONTH($G89)&lt;=12," A ","NA"),IF(YEAR($G89)&gt;YEAR($AJ$6),"NA"))))))</f>
        <v/>
      </c>
      <c r="AE89" s="350"/>
      <c r="AF89" s="44"/>
      <c r="AG89" s="351"/>
      <c r="AH89" s="348" t="str">
        <f t="shared" si="186"/>
        <v/>
      </c>
      <c r="AI89" s="349"/>
      <c r="AJ89" s="44"/>
      <c r="AK89" s="81" t="str">
        <f t="shared" si="187"/>
        <v/>
      </c>
      <c r="AL89" s="84" t="str">
        <f t="shared" si="188"/>
        <v/>
      </c>
      <c r="AM89" s="84">
        <f t="shared" si="242"/>
        <v>0</v>
      </c>
      <c r="AN89" s="579"/>
      <c r="AO89" s="580"/>
      <c r="AP89" s="581"/>
      <c r="AQ89" s="581"/>
      <c r="AR89" s="582"/>
      <c r="AS89" s="582"/>
      <c r="AT89" s="582"/>
      <c r="AU89" s="572"/>
      <c r="AV89" s="573"/>
      <c r="AW89" s="574"/>
      <c r="AX89">
        <f t="shared" si="199"/>
        <v>0</v>
      </c>
    </row>
    <row r="90" spans="1:50" ht="38.25" x14ac:dyDescent="0.25">
      <c r="A90" s="583" t="str">
        <f>CRONOGRAMA!A90</f>
        <v>28G</v>
      </c>
      <c r="B90" s="578" t="str">
        <f>CRONOGRAMA!B90</f>
        <v>Evaluación Independiente. Deficiente evaluación del nivel de avance de las acciones pactadas en los planes de mejoramiento</v>
      </c>
      <c r="C90" s="82" t="str">
        <f>IF('CONSOLIDACION DEL MAPA'!P90="","",'CONSOLIDACION DEL MAPA'!P90)</f>
        <v>Asumir</v>
      </c>
      <c r="D90" s="82" t="str">
        <f>CRONOGRAMA!D90</f>
        <v>Seguir ejecutando y monitoreando los controles existentes</v>
      </c>
      <c r="E90" s="132" t="str">
        <f>IF(CRONOGRAMA!F90="", "",CRONOGRAMA!F90)</f>
        <v/>
      </c>
      <c r="F90" s="132" t="str">
        <f>IF(CRONOGRAMA!G90="", "",CRONOGRAMA!G90)</f>
        <v/>
      </c>
      <c r="G90" s="128" t="str">
        <f>IF(CRONOGRAMA!H90="", "",CRONOGRAMA!H90)</f>
        <v/>
      </c>
      <c r="H90" s="128" t="str">
        <f>IF(CRONOGRAMA!I90="", "",CRONOGRAMA!I90)</f>
        <v/>
      </c>
      <c r="I90" s="84">
        <f t="shared" ref="I90:I92" si="293">IF(G90="",0,IF(H90="",0,(H90-G90)/7))</f>
        <v>0</v>
      </c>
      <c r="J90" s="160" t="str">
        <f>IF($P$6="Indique Fecha Seguimiento","",IF(CRONOGRAMA!$E90="No Aplica","NA",IF($G90="","",IF(YEAR($G90)&lt;YEAR($P$6)," A ",IF(YEAR($G90)=YEAR($P$6),IF(MONTH($G90)&lt;=4," A ","NA"),IF(YEAR($G90)&gt;YEAR($P$6),"NA"))))))</f>
        <v>NA</v>
      </c>
      <c r="K90" s="400"/>
      <c r="L90" s="401"/>
      <c r="M90" s="400"/>
      <c r="N90" s="348" t="str">
        <f t="shared" ref="N90:N92" si="294">IF(M90="","",IF($F90=0,0,M90/$F90))</f>
        <v/>
      </c>
      <c r="O90" s="349"/>
      <c r="P90" s="44"/>
      <c r="Q90" s="84" t="str">
        <f t="shared" ref="Q90:Q92" si="295">IF(N90="","",($I90*N90))</f>
        <v/>
      </c>
      <c r="R90" s="84" t="str">
        <f t="shared" ref="R90:R92" si="296">IF(O90="SI",Q90,IF($P$6&lt;=$H90,Q90,0))</f>
        <v/>
      </c>
      <c r="S90" s="84">
        <f t="shared" si="240"/>
        <v>0</v>
      </c>
      <c r="T90" s="160" t="str">
        <f>IF($Z$6="Indique Fecha Seguimiento","",IF(CRONOGRAMA!$E90="No Aplica","NA",IF($G90="","",IF(YEAR($G90)&lt;YEAR($Z$6)," A ",IF(YEAR($G90)=YEAR($Z$6),IF(MONTH($G90)&lt;=8," A ","NA"),IF(YEAR($G90)&gt;YEAR($Z$6),"NA"))))))</f>
        <v>NA</v>
      </c>
      <c r="U90" s="351"/>
      <c r="V90" s="44"/>
      <c r="W90" s="351"/>
      <c r="X90" s="348" t="str">
        <f t="shared" ref="X90:X92" si="297">IF(W90="","",IF($F90=0,0,W90/$F90))</f>
        <v/>
      </c>
      <c r="Y90" s="349"/>
      <c r="Z90" s="44"/>
      <c r="AA90" s="84" t="str">
        <f t="shared" ref="AA90:AA92" si="298">IF(X90="","",($I90*X90))</f>
        <v/>
      </c>
      <c r="AB90" s="84" t="str">
        <f t="shared" ref="AB90:AB92" si="299">IF(N90=1,R90,IF(Y90="SI",AA90,IF($Z$6&lt;=$H90,AA90,0)))</f>
        <v/>
      </c>
      <c r="AC90" s="84">
        <f t="shared" si="241"/>
        <v>0</v>
      </c>
      <c r="AD90" s="160" t="str">
        <f>IF($AJ$6="Indique Fecha Seguimiento","",IF(CRONOGRAMA!$E90="No Aplica","NA",IF($G90="","",IF(YEAR($G90)&lt;YEAR($AJ$6)," A ",IF(YEAR($G90)=YEAR($AJ$6),IF(MONTH($G90)&lt;=12," A ","NA"),IF(YEAR($G90)&gt;YEAR($AJ$6),"NA"))))))</f>
        <v>NA</v>
      </c>
      <c r="AE90" s="350"/>
      <c r="AF90" s="44"/>
      <c r="AG90" s="351"/>
      <c r="AH90" s="348" t="str">
        <f t="shared" ref="AH90:AH92" si="300">IF(AG90="","",IF($F90=0,0,AG90/$F90))</f>
        <v/>
      </c>
      <c r="AI90" s="349"/>
      <c r="AJ90" s="44"/>
      <c r="AK90" s="81" t="str">
        <f t="shared" ref="AK90:AK92" si="301">IF(AH90="","",($I90*AH90))</f>
        <v/>
      </c>
      <c r="AL90" s="84" t="str">
        <f t="shared" ref="AL90:AL92" si="302">IF(X90=1,AB90,IF(AI90="SI",AK90,IF($AJ$6&lt;=$H90,AK90,0)))</f>
        <v/>
      </c>
      <c r="AM90" s="84">
        <f t="shared" si="242"/>
        <v>0</v>
      </c>
      <c r="AN90" s="579">
        <f t="shared" ref="AN90" si="303">SUM(I90:I92)</f>
        <v>0</v>
      </c>
      <c r="AO90" s="580" t="str">
        <f t="shared" ref="AO90" si="304">IF(AND(Q90="",Q91="",Q92=""),"",SUM(Q90:Q92))</f>
        <v/>
      </c>
      <c r="AP90" s="581" t="str">
        <f t="shared" ref="AP90" si="305">IF(AND(AA90="",AA91="",AA92=""),"",SUM(AA90:AA92))</f>
        <v/>
      </c>
      <c r="AQ90" s="581" t="str">
        <f t="shared" ref="AQ90" si="306">IF(AND(AK90="",AK91="",AK92=""),"",SUM(AK90:AK92))</f>
        <v/>
      </c>
      <c r="AR90" s="582" t="str">
        <f t="shared" ref="AR90" si="307">IF(AO90="",IF($AU$6&lt;1,"",IF($AU$6&gt;=1,"NA")),IF(AO90=0,0,AO90/$AN90))</f>
        <v>NA</v>
      </c>
      <c r="AS90" s="582" t="str">
        <f t="shared" ref="AS90" si="308">IF(AP90="",IF($AU$6&lt;2,"",IF($AU$6&gt;=2,"NA")),IF(AP90=0,0,AP90/$AN90))</f>
        <v>NA</v>
      </c>
      <c r="AT90" s="582" t="str">
        <f t="shared" ref="AT90" si="309">IF(AS90&gt;=AR90,AS90,AR90)</f>
        <v>NA</v>
      </c>
      <c r="AU90" s="572" t="str">
        <f t="shared" ref="AU90" si="310">IF(AQ90="",IF($AU$6&lt;3,"",IF($AU$6&gt;=3,"NA")),IF(AQ90=0,0,AQ90/$AN90))</f>
        <v>NA</v>
      </c>
      <c r="AV90" s="573" t="str">
        <f t="shared" ref="AV90" si="311">IF($AU$6=1,AR90,IF($AU$6=2,AS90,IF($AU$6=3,AU90,"")))</f>
        <v>NA</v>
      </c>
      <c r="AW90" s="574" t="str">
        <f t="shared" ref="AW90" si="312">AV90</f>
        <v>NA</v>
      </c>
      <c r="AX90">
        <f t="shared" ref="AX90:AX92" si="313">IF($AU$6=1,P90,IF($AU$6=2,Z90,IF($AU$6=3,AJ90,"")))</f>
        <v>0</v>
      </c>
    </row>
    <row r="91" spans="1:50" ht="15.75" x14ac:dyDescent="0.25">
      <c r="A91" s="583"/>
      <c r="B91" s="578"/>
      <c r="C91" s="82" t="str">
        <f>IF('CONSOLIDACION DEL MAPA'!P91="","",'CONSOLIDACION DEL MAPA'!P91)</f>
        <v/>
      </c>
      <c r="D91" s="82" t="str">
        <f>CRONOGRAMA!D91</f>
        <v/>
      </c>
      <c r="E91" s="132" t="str">
        <f>IF(CRONOGRAMA!F91="", "",CRONOGRAMA!F91)</f>
        <v/>
      </c>
      <c r="F91" s="132" t="str">
        <f>IF(CRONOGRAMA!G91="", "",CRONOGRAMA!G91)</f>
        <v/>
      </c>
      <c r="G91" s="128" t="str">
        <f>IF(CRONOGRAMA!H91="", "",CRONOGRAMA!H91)</f>
        <v/>
      </c>
      <c r="H91" s="128" t="str">
        <f>IF(CRONOGRAMA!I91="", "",CRONOGRAMA!I91)</f>
        <v/>
      </c>
      <c r="I91" s="84">
        <f t="shared" si="293"/>
        <v>0</v>
      </c>
      <c r="J91" s="160" t="str">
        <f>IF($P$6="Indique Fecha Seguimiento","",IF(CRONOGRAMA!$E91="No Aplica","NA",IF($G91="","",IF(YEAR($G91)&lt;YEAR($P$6)," A ",IF(YEAR($G91)=YEAR($P$6),IF(MONTH($G91)&lt;=4," A ","NA"),IF(YEAR($G91)&gt;YEAR($P$6),"NA"))))))</f>
        <v/>
      </c>
      <c r="K91" s="346"/>
      <c r="L91" s="347"/>
      <c r="M91" s="346"/>
      <c r="N91" s="348" t="str">
        <f t="shared" si="294"/>
        <v/>
      </c>
      <c r="O91" s="349"/>
      <c r="P91" s="44"/>
      <c r="Q91" s="84" t="str">
        <f t="shared" si="295"/>
        <v/>
      </c>
      <c r="R91" s="84" t="str">
        <f t="shared" si="296"/>
        <v/>
      </c>
      <c r="S91" s="84">
        <f t="shared" si="240"/>
        <v>0</v>
      </c>
      <c r="T91" s="160" t="str">
        <f>IF($Z$6="Indique Fecha Seguimiento","",IF(CRONOGRAMA!$E91="No Aplica","NA",IF($G91="","",IF(YEAR($G91)&lt;YEAR($Z$6)," A ",IF(YEAR($G91)=YEAR($Z$6),IF(MONTH($G91)&lt;=8," A ","NA"),IF(YEAR($G91)&gt;YEAR($Z$6),"NA"))))))</f>
        <v/>
      </c>
      <c r="U91" s="351"/>
      <c r="V91" s="44"/>
      <c r="W91" s="351"/>
      <c r="X91" s="348" t="str">
        <f t="shared" si="297"/>
        <v/>
      </c>
      <c r="Y91" s="349"/>
      <c r="Z91" s="44"/>
      <c r="AA91" s="84" t="str">
        <f t="shared" si="298"/>
        <v/>
      </c>
      <c r="AB91" s="84" t="str">
        <f t="shared" si="299"/>
        <v/>
      </c>
      <c r="AC91" s="84">
        <f t="shared" si="241"/>
        <v>0</v>
      </c>
      <c r="AD91" s="160" t="str">
        <f>IF($AJ$6="Indique Fecha Seguimiento","",IF(CRONOGRAMA!$E91="No Aplica","NA",IF($G91="","",IF(YEAR($G91)&lt;YEAR($AJ$6)," A ",IF(YEAR($G91)=YEAR($AJ$6),IF(MONTH($G91)&lt;=12," A ","NA"),IF(YEAR($G91)&gt;YEAR($AJ$6),"NA"))))))</f>
        <v/>
      </c>
      <c r="AE91" s="350"/>
      <c r="AF91" s="44"/>
      <c r="AG91" s="351"/>
      <c r="AH91" s="348" t="str">
        <f t="shared" si="300"/>
        <v/>
      </c>
      <c r="AI91" s="349"/>
      <c r="AJ91" s="44"/>
      <c r="AK91" s="81" t="str">
        <f t="shared" si="301"/>
        <v/>
      </c>
      <c r="AL91" s="84" t="str">
        <f t="shared" si="302"/>
        <v/>
      </c>
      <c r="AM91" s="84">
        <f t="shared" si="242"/>
        <v>0</v>
      </c>
      <c r="AN91" s="579"/>
      <c r="AO91" s="580"/>
      <c r="AP91" s="581"/>
      <c r="AQ91" s="581"/>
      <c r="AR91" s="582"/>
      <c r="AS91" s="582"/>
      <c r="AT91" s="582"/>
      <c r="AU91" s="572"/>
      <c r="AV91" s="573"/>
      <c r="AW91" s="574"/>
      <c r="AX91">
        <f t="shared" si="313"/>
        <v>0</v>
      </c>
    </row>
    <row r="92" spans="1:50" ht="16.5" thickBot="1" x14ac:dyDescent="0.3">
      <c r="A92" s="583"/>
      <c r="B92" s="578"/>
      <c r="C92" s="82" t="str">
        <f>IF('CONSOLIDACION DEL MAPA'!P92="","",'CONSOLIDACION DEL MAPA'!P92)</f>
        <v/>
      </c>
      <c r="D92" s="82" t="str">
        <f>CRONOGRAMA!D92</f>
        <v/>
      </c>
      <c r="E92" s="132" t="str">
        <f>IF(CRONOGRAMA!F92="", "",CRONOGRAMA!F92)</f>
        <v/>
      </c>
      <c r="F92" s="132" t="str">
        <f>IF(CRONOGRAMA!G92="", "",CRONOGRAMA!G92)</f>
        <v/>
      </c>
      <c r="G92" s="128" t="str">
        <f>IF(CRONOGRAMA!H92="", "",CRONOGRAMA!H92)</f>
        <v/>
      </c>
      <c r="H92" s="128" t="str">
        <f>IF(CRONOGRAMA!I92="", "",CRONOGRAMA!I92)</f>
        <v/>
      </c>
      <c r="I92" s="84">
        <f t="shared" si="293"/>
        <v>0</v>
      </c>
      <c r="J92" s="160" t="str">
        <f>IF($P$6="Indique Fecha Seguimiento","",IF(CRONOGRAMA!$E92="No Aplica","NA",IF($G92="","",IF(YEAR($G92)&lt;YEAR($P$6)," A ",IF(YEAR($G92)=YEAR($P$6),IF(MONTH($G92)&lt;=4," A ","NA"),IF(YEAR($G92)&gt;YEAR($P$6),"NA"))))))</f>
        <v/>
      </c>
      <c r="K92" s="346"/>
      <c r="L92" s="347"/>
      <c r="M92" s="346"/>
      <c r="N92" s="348" t="str">
        <f t="shared" si="294"/>
        <v/>
      </c>
      <c r="O92" s="349"/>
      <c r="P92" s="44"/>
      <c r="Q92" s="84" t="str">
        <f t="shared" si="295"/>
        <v/>
      </c>
      <c r="R92" s="84" t="str">
        <f t="shared" si="296"/>
        <v/>
      </c>
      <c r="S92" s="84">
        <f t="shared" si="240"/>
        <v>0</v>
      </c>
      <c r="T92" s="160" t="str">
        <f>IF($Z$6="Indique Fecha Seguimiento","",IF(CRONOGRAMA!$E92="No Aplica","NA",IF($G92="","",IF(YEAR($G92)&lt;YEAR($Z$6)," A ",IF(YEAR($G92)=YEAR($Z$6),IF(MONTH($G92)&lt;=8," A ","NA"),IF(YEAR($G92)&gt;YEAR($Z$6),"NA"))))))</f>
        <v/>
      </c>
      <c r="U92" s="351"/>
      <c r="V92" s="44"/>
      <c r="W92" s="351"/>
      <c r="X92" s="348" t="str">
        <f t="shared" si="297"/>
        <v/>
      </c>
      <c r="Y92" s="349"/>
      <c r="Z92" s="44"/>
      <c r="AA92" s="84" t="str">
        <f t="shared" si="298"/>
        <v/>
      </c>
      <c r="AB92" s="84" t="str">
        <f t="shared" si="299"/>
        <v/>
      </c>
      <c r="AC92" s="84">
        <f t="shared" si="241"/>
        <v>0</v>
      </c>
      <c r="AD92" s="160" t="str">
        <f>IF($AJ$6="Indique Fecha Seguimiento","",IF(CRONOGRAMA!$E92="No Aplica","NA",IF($G92="","",IF(YEAR($G92)&lt;YEAR($AJ$6)," A ",IF(YEAR($G92)=YEAR($AJ$6),IF(MONTH($G92)&lt;=12," A ","NA"),IF(YEAR($G92)&gt;YEAR($AJ$6),"NA"))))))</f>
        <v/>
      </c>
      <c r="AE92" s="350"/>
      <c r="AF92" s="44"/>
      <c r="AG92" s="351"/>
      <c r="AH92" s="348" t="str">
        <f t="shared" si="300"/>
        <v/>
      </c>
      <c r="AI92" s="349"/>
      <c r="AJ92" s="44"/>
      <c r="AK92" s="81" t="str">
        <f t="shared" si="301"/>
        <v/>
      </c>
      <c r="AL92" s="84" t="str">
        <f t="shared" si="302"/>
        <v/>
      </c>
      <c r="AM92" s="84">
        <f t="shared" si="242"/>
        <v>0</v>
      </c>
      <c r="AN92" s="579"/>
      <c r="AO92" s="580"/>
      <c r="AP92" s="581"/>
      <c r="AQ92" s="581"/>
      <c r="AR92" s="582"/>
      <c r="AS92" s="582"/>
      <c r="AT92" s="582"/>
      <c r="AU92" s="572"/>
      <c r="AV92" s="573"/>
      <c r="AW92" s="574"/>
      <c r="AX92">
        <f t="shared" si="313"/>
        <v>0</v>
      </c>
    </row>
    <row r="93" spans="1:50" s="94" customFormat="1" ht="16.5" hidden="1" thickBot="1" x14ac:dyDescent="0.3">
      <c r="A93" s="116" t="s">
        <v>360</v>
      </c>
      <c r="B93" s="116"/>
      <c r="C93" s="116"/>
      <c r="D93" s="116"/>
      <c r="E93" s="116"/>
      <c r="F93" s="116"/>
      <c r="G93" s="116"/>
      <c r="H93" s="116"/>
      <c r="I93" s="117">
        <f>SUM(I9:I92)</f>
        <v>1067.8571428571429</v>
      </c>
      <c r="J93" s="160" t="str">
        <f>IF($P$6="Indique Fecha Seguimiento","",IF(CRONOGRAMA!$E93="No Aplica","NA",IF($G93="","",IF(YEAR($G93)&lt;YEAR($P$6),"A",IF(YEAR($G93)=YEAR($P$6),IF(MONTH($G93)&lt;=4," A ","NA"),IF(YEAR($G93)&gt;YEAR($P$6),"NA"))))))</f>
        <v/>
      </c>
      <c r="K93" s="106"/>
      <c r="O93" s="342"/>
      <c r="Q93" s="120">
        <f>SUM(Q9:Q92)</f>
        <v>186.07142857142858</v>
      </c>
      <c r="R93" s="120">
        <f>SUM(R9:R92)</f>
        <v>186.07142857142858</v>
      </c>
      <c r="S93" s="120">
        <f>SUM(S9:S92)</f>
        <v>1067.8571428571429</v>
      </c>
      <c r="T93" s="165"/>
      <c r="W93" s="143"/>
      <c r="Y93" s="342"/>
      <c r="AA93" s="338">
        <f>SUM(AA9:AA92)</f>
        <v>427.7661904761905</v>
      </c>
      <c r="AB93" s="120">
        <f>SUM(AB9:AB92)</f>
        <v>427.7661904761905</v>
      </c>
      <c r="AC93" s="120">
        <f>SUM(AC9:AC92)</f>
        <v>1067.8571428571429</v>
      </c>
      <c r="AD93" s="160"/>
      <c r="AG93" s="143"/>
      <c r="AI93" s="342"/>
      <c r="AJ93" s="81"/>
      <c r="AK93" s="121">
        <f>SUM(AK9:AK92)</f>
        <v>607.06476190476189</v>
      </c>
      <c r="AL93" s="120">
        <f>SUM(AL9:AL92)</f>
        <v>484.30047619047616</v>
      </c>
      <c r="AM93" s="120">
        <f>SUM(AM9:AM92)</f>
        <v>1067.8571428571429</v>
      </c>
      <c r="AR93" s="141"/>
      <c r="AS93" s="141"/>
      <c r="AT93" s="141"/>
      <c r="AU93" s="141"/>
      <c r="AV93" s="141"/>
      <c r="AW93" s="137"/>
    </row>
    <row r="94" spans="1:50" ht="16.5" customHeight="1" thickTop="1" thickBot="1" x14ac:dyDescent="0.25">
      <c r="A94" s="460" t="str">
        <f>IDENTIFICACIÓN!A37</f>
        <v>RIESGOS DE CORRUPCIÓN</v>
      </c>
      <c r="B94" s="461"/>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61"/>
      <c r="AK94" s="461"/>
      <c r="AL94" s="461"/>
      <c r="AM94" s="461"/>
      <c r="AN94" s="461"/>
      <c r="AO94" s="461"/>
      <c r="AP94" s="461"/>
      <c r="AQ94" s="461"/>
      <c r="AR94" s="461"/>
      <c r="AS94" s="461"/>
      <c r="AT94" s="461"/>
      <c r="AU94" s="461"/>
      <c r="AV94" s="461"/>
      <c r="AW94" s="462"/>
    </row>
    <row r="95" spans="1:50" ht="102.75" thickTop="1" x14ac:dyDescent="0.25">
      <c r="A95" s="575" t="str">
        <f>CRONOGRAMA!A94</f>
        <v>1C</v>
      </c>
      <c r="B95" s="578" t="str">
        <f>CRONOGRAMA!B94</f>
        <v>Relaciones Interinstitucionales. Tráfico de Influencias</v>
      </c>
      <c r="C95" s="82" t="str">
        <f>IF('CONSOLIDACION DEL MAPA'!P94="","",'CONSOLIDACION DEL MAPA'!P94)</f>
        <v>Evitar</v>
      </c>
      <c r="D95" s="82" t="str">
        <f>CRONOGRAMA!D94</f>
        <v xml:space="preserve">Asistencia a capacitaciones (transparencia, buen gobierno, etc) organizadas por Rectoría, Talento Humano y/o contratación. </v>
      </c>
      <c r="E95" s="132" t="str">
        <f>IF(CRONOGRAMA!F94="", "",CRONOGRAMA!F94)</f>
        <v xml:space="preserve">Asistencia </v>
      </c>
      <c r="F95" s="132">
        <f>IF(CRONOGRAMA!G94="", "",CRONOGRAMA!G94)</f>
        <v>1</v>
      </c>
      <c r="G95" s="128">
        <f>IF(CRONOGRAMA!H94="", "",CRONOGRAMA!H94)</f>
        <v>42370</v>
      </c>
      <c r="H95" s="128">
        <f>IF(CRONOGRAMA!I94="", "",CRONOGRAMA!I94)</f>
        <v>42490</v>
      </c>
      <c r="I95" s="84">
        <f t="shared" ref="I95:I97" si="314">IF(G95="",0,IF(H95="",0,(H95-G95)/7))</f>
        <v>17.142857142857142</v>
      </c>
      <c r="J95" s="160" t="str">
        <f>IF($P$6="Indique Fecha Seguimiento","",IF(CRONOGRAMA!$E94="No Aplica","NA",IF($G95="","",IF(YEAR($G95)&lt;YEAR($P$6)," A ",IF(YEAR($G95)=YEAR($P$6),IF(MONTH($G95)&lt;=4," A ","NA"),IF(YEAR($G95)&gt;YEAR($P$6),"NA"))))))</f>
        <v xml:space="preserve"> A </v>
      </c>
      <c r="K95" s="400">
        <v>1</v>
      </c>
      <c r="L95" s="402" t="s">
        <v>897</v>
      </c>
      <c r="M95" s="400">
        <v>1</v>
      </c>
      <c r="N95" s="348">
        <f t="shared" ref="N95:N97" si="315">IF(M95="","",IF($F95=0,0,M95/$F95))</f>
        <v>1</v>
      </c>
      <c r="O95" s="349" t="s">
        <v>11</v>
      </c>
      <c r="P95" s="44"/>
      <c r="Q95" s="84">
        <f t="shared" ref="Q95:Q97" si="316">IF(N95="","",($I95*N95))</f>
        <v>17.142857142857142</v>
      </c>
      <c r="R95" s="84">
        <f t="shared" ref="R95:R109" si="317">IF(O95="SI",Q95,IF($P$6&lt;=$H95,Q95,0))</f>
        <v>17.142857142857142</v>
      </c>
      <c r="S95" s="84">
        <f t="shared" ref="S95:S158" si="318">$I95</f>
        <v>17.142857142857142</v>
      </c>
      <c r="T95" s="160" t="str">
        <f>IF($Z$6="Indique Fecha Seguimiento","",IF(CRONOGRAMA!$E94="No Aplica","NA",IF($G95="","",IF(YEAR($G95)&lt;YEAR($Z$6)," A ",IF(YEAR($G95)=YEAR($Z$6),IF(MONTH($G95)&lt;=8," A ","NA"),IF(YEAR($G95)&gt;YEAR($Z$6),"NA"))))))</f>
        <v xml:space="preserve"> A </v>
      </c>
      <c r="U95" s="412">
        <v>1</v>
      </c>
      <c r="V95" s="402" t="s">
        <v>939</v>
      </c>
      <c r="W95" s="351">
        <v>1</v>
      </c>
      <c r="X95" s="348">
        <f t="shared" ref="X95:X97" si="319">IF(W95="","",IF($F95=0,0,W95/$F95))</f>
        <v>1</v>
      </c>
      <c r="Y95" s="349" t="s">
        <v>11</v>
      </c>
      <c r="Z95" s="44" t="s">
        <v>940</v>
      </c>
      <c r="AA95" s="84">
        <f t="shared" ref="AA95:AA97" si="320">IF(X95="","",($I95*X95))</f>
        <v>17.142857142857142</v>
      </c>
      <c r="AB95" s="84">
        <f t="shared" ref="AB95:AB109" si="321">IF(N95=1,R95,IF(Y95="SI",AA95,IF($Z$6&lt;=$H95,AA95,0)))</f>
        <v>17.142857142857142</v>
      </c>
      <c r="AC95" s="84">
        <f t="shared" ref="AC95:AC158" si="322">$I95</f>
        <v>17.142857142857142</v>
      </c>
      <c r="AD95" s="160" t="str">
        <f>IF($AJ$6="Indique Fecha Seguimiento","",IF(CRONOGRAMA!$E94="No Aplica","NA",IF($G95="","",IF(YEAR($G95)&lt;YEAR($AJ$6)," A ",IF(YEAR($G95)=YEAR($AJ$6),IF(MONTH($G95)&lt;=12," A ","NA"),IF(YEAR($G95)&gt;YEAR($AJ$6),"NA"))))))</f>
        <v xml:space="preserve"> A </v>
      </c>
      <c r="AE95" s="350">
        <v>1</v>
      </c>
      <c r="AF95" s="44" t="str">
        <f>V95</f>
        <v>El cumplimiento de la meta fue informado en primer seguimiento</v>
      </c>
      <c r="AG95" s="351">
        <v>1</v>
      </c>
      <c r="AH95" s="348">
        <f t="shared" ref="AH95:AH97" si="323">IF(AG95="","",IF($F95=0,0,AG95/$F95))</f>
        <v>1</v>
      </c>
      <c r="AI95" s="349" t="s">
        <v>11</v>
      </c>
      <c r="AJ95" s="44" t="str">
        <f>Z95</f>
        <v>Se cumplio con la actividad definida tal como se informo en primer seguimiento</v>
      </c>
      <c r="AK95" s="81">
        <f t="shared" ref="AK95:AK97" si="324">IF(AH95="","",($I95*AH95))</f>
        <v>17.142857142857142</v>
      </c>
      <c r="AL95" s="84">
        <f t="shared" ref="AL95:AL109" si="325">IF(X95=1,AB95,IF(AI95="SI",AK95,IF($AJ$6&lt;=$H95,AK95,0)))</f>
        <v>17.142857142857142</v>
      </c>
      <c r="AM95" s="84">
        <f t="shared" ref="AM95:AM158" si="326">$I95</f>
        <v>17.142857142857142</v>
      </c>
      <c r="AN95" s="579">
        <f t="shared" ref="AN95" si="327">SUM(I95:I97)</f>
        <v>17.142857142857142</v>
      </c>
      <c r="AO95" s="580">
        <f t="shared" ref="AO95" si="328">IF(AND(Q95="",Q96="",Q97=""),"",SUM(Q95:Q97))</f>
        <v>17.142857142857142</v>
      </c>
      <c r="AP95" s="581">
        <f t="shared" ref="AP95" si="329">IF(AND(AA95="",AA96="",AA97=""),"",SUM(AA95:AA97))</f>
        <v>17.142857142857142</v>
      </c>
      <c r="AQ95" s="581">
        <f t="shared" ref="AQ95" si="330">IF(AND(AK95="",AK96="",AK97=""),"",SUM(AK95:AK97))</f>
        <v>17.142857142857142</v>
      </c>
      <c r="AR95" s="582">
        <f t="shared" ref="AR95:AR158" si="331">IF(AO95="",IF($AU$6&lt;1,"",IF($AU$6&gt;=1,"NA")),IF(AO95=0,0,AO95/$AN95))</f>
        <v>1</v>
      </c>
      <c r="AS95" s="582">
        <f t="shared" ref="AS95:AS158" si="332">IF(AP95="",IF($AU$6&lt;2,"",IF($AU$6&gt;=2,"NA")),IF(AP95=0,0,AP95/$AN95))</f>
        <v>1</v>
      </c>
      <c r="AT95" s="582">
        <f t="shared" ref="AT95" si="333">IF(AS95&gt;=AR95,AS95,AR95)</f>
        <v>1</v>
      </c>
      <c r="AU95" s="572">
        <f t="shared" ref="AU95:AU158" si="334">IF(AQ95="",IF($AU$6&lt;3,"",IF($AU$6&gt;=3,"NA")),IF(AQ95=0,0,AQ95/$AN95))</f>
        <v>1</v>
      </c>
      <c r="AV95" s="573">
        <f t="shared" ref="AV95" si="335">IF($AU$6=1,AR95,IF($AU$6=2,AS95,IF($AU$6=3,AU95,"")))</f>
        <v>1</v>
      </c>
      <c r="AW95" s="574">
        <f t="shared" ref="AW95" si="336">AV95</f>
        <v>1</v>
      </c>
      <c r="AX95" t="str">
        <f t="shared" ref="AX95:AX97" si="337">IF($AU$6=1,P95,IF($AU$6=2,Z95,IF($AU$6=3,AJ95,"")))</f>
        <v>Se cumplio con la actividad definida tal como se informo en primer seguimiento</v>
      </c>
    </row>
    <row r="96" spans="1:50" ht="15.75" x14ac:dyDescent="0.25">
      <c r="A96" s="576"/>
      <c r="B96" s="578"/>
      <c r="C96" s="82" t="str">
        <f>IF('CONSOLIDACION DEL MAPA'!P95="","",'CONSOLIDACION DEL MAPA'!P95)</f>
        <v/>
      </c>
      <c r="D96" s="82" t="str">
        <f>CRONOGRAMA!D95</f>
        <v/>
      </c>
      <c r="E96" s="132" t="str">
        <f>IF(CRONOGRAMA!F95="", "",CRONOGRAMA!F95)</f>
        <v/>
      </c>
      <c r="F96" s="132" t="str">
        <f>IF(CRONOGRAMA!G95="", "",CRONOGRAMA!G95)</f>
        <v/>
      </c>
      <c r="G96" s="128" t="str">
        <f>IF(CRONOGRAMA!H95="", "",CRONOGRAMA!H95)</f>
        <v/>
      </c>
      <c r="H96" s="128" t="str">
        <f>IF(CRONOGRAMA!I95="", "",CRONOGRAMA!I95)</f>
        <v/>
      </c>
      <c r="I96" s="84">
        <f t="shared" si="314"/>
        <v>0</v>
      </c>
      <c r="J96" s="160" t="str">
        <f>IF($P$6="Indique Fecha Seguimiento","",IF(CRONOGRAMA!$E95="No Aplica","NA",IF($G96="","",IF(YEAR($G96)&lt;YEAR($P$6)," A ",IF(YEAR($G96)=YEAR($P$6),IF(MONTH($G96)&lt;=4," A ","NA"),IF(YEAR($G96)&gt;YEAR($P$6),"NA"))))))</f>
        <v/>
      </c>
      <c r="K96" s="400"/>
      <c r="L96" s="402"/>
      <c r="M96" s="400"/>
      <c r="N96" s="348" t="str">
        <f t="shared" si="315"/>
        <v/>
      </c>
      <c r="O96" s="349"/>
      <c r="P96" s="44"/>
      <c r="Q96" s="84" t="str">
        <f t="shared" si="316"/>
        <v/>
      </c>
      <c r="R96" s="84" t="str">
        <f t="shared" si="317"/>
        <v/>
      </c>
      <c r="S96" s="84">
        <f t="shared" si="318"/>
        <v>0</v>
      </c>
      <c r="T96" s="160" t="str">
        <f>IF($Z$6="Indique Fecha Seguimiento","",IF(CRONOGRAMA!$E95="No Aplica","NA",IF($G96="","",IF(YEAR($G96)&lt;YEAR($Z$6)," A ",IF(YEAR($G96)=YEAR($Z$6),IF(MONTH($G96)&lt;=8," A ","NA"),IF(YEAR($G96)&gt;YEAR($Z$6),"NA"))))))</f>
        <v/>
      </c>
      <c r="U96" s="350"/>
      <c r="V96" s="44"/>
      <c r="W96" s="351"/>
      <c r="X96" s="348" t="str">
        <f t="shared" si="319"/>
        <v/>
      </c>
      <c r="Y96" s="349"/>
      <c r="Z96" s="44"/>
      <c r="AA96" s="84" t="str">
        <f t="shared" si="320"/>
        <v/>
      </c>
      <c r="AB96" s="84" t="str">
        <f t="shared" si="321"/>
        <v/>
      </c>
      <c r="AC96" s="84">
        <f t="shared" si="322"/>
        <v>0</v>
      </c>
      <c r="AD96" s="160" t="str">
        <f>IF($AJ$6="Indique Fecha Seguimiento","",IF(CRONOGRAMA!$E95="No Aplica","NA",IF($G96="","",IF(YEAR($G96)&lt;YEAR($AJ$6)," A ",IF(YEAR($G96)=YEAR($AJ$6),IF(MONTH($G96)&lt;=12," A ","NA"),IF(YEAR($G96)&gt;YEAR($AJ$6),"NA"))))))</f>
        <v/>
      </c>
      <c r="AE96" s="350"/>
      <c r="AF96" s="44"/>
      <c r="AG96" s="351"/>
      <c r="AH96" s="348" t="str">
        <f t="shared" si="323"/>
        <v/>
      </c>
      <c r="AI96" s="349"/>
      <c r="AJ96" s="44"/>
      <c r="AK96" s="81" t="str">
        <f t="shared" si="324"/>
        <v/>
      </c>
      <c r="AL96" s="84" t="str">
        <f t="shared" si="325"/>
        <v/>
      </c>
      <c r="AM96" s="84">
        <f t="shared" si="326"/>
        <v>0</v>
      </c>
      <c r="AN96" s="579"/>
      <c r="AO96" s="580"/>
      <c r="AP96" s="581"/>
      <c r="AQ96" s="581"/>
      <c r="AR96" s="582"/>
      <c r="AS96" s="582"/>
      <c r="AT96" s="582"/>
      <c r="AU96" s="572"/>
      <c r="AV96" s="573"/>
      <c r="AW96" s="574"/>
      <c r="AX96">
        <f t="shared" si="337"/>
        <v>0</v>
      </c>
    </row>
    <row r="97" spans="1:50" ht="16.5" thickBot="1" x14ac:dyDescent="0.3">
      <c r="A97" s="577"/>
      <c r="B97" s="578"/>
      <c r="C97" s="82" t="str">
        <f>IF('CONSOLIDACION DEL MAPA'!P96="","",'CONSOLIDACION DEL MAPA'!P96)</f>
        <v/>
      </c>
      <c r="D97" s="82" t="str">
        <f>CRONOGRAMA!D96</f>
        <v/>
      </c>
      <c r="E97" s="132" t="str">
        <f>IF(CRONOGRAMA!F96="", "",CRONOGRAMA!F96)</f>
        <v/>
      </c>
      <c r="F97" s="132" t="str">
        <f>IF(CRONOGRAMA!G96="", "",CRONOGRAMA!G96)</f>
        <v/>
      </c>
      <c r="G97" s="128" t="str">
        <f>IF(CRONOGRAMA!H96="", "",CRONOGRAMA!H96)</f>
        <v/>
      </c>
      <c r="H97" s="128" t="str">
        <f>IF(CRONOGRAMA!I96="", "",CRONOGRAMA!I96)</f>
        <v/>
      </c>
      <c r="I97" s="84">
        <f t="shared" si="314"/>
        <v>0</v>
      </c>
      <c r="J97" s="160" t="str">
        <f>IF($P$6="Indique Fecha Seguimiento","",IF(CRONOGRAMA!$E96="No Aplica","NA",IF($G97="","",IF(YEAR($G97)&lt;YEAR($P$6)," A ",IF(YEAR($G97)=YEAR($P$6),IF(MONTH($G97)&lt;=4," A ","NA"),IF(YEAR($G97)&gt;YEAR($P$6),"NA"))))))</f>
        <v/>
      </c>
      <c r="K97" s="400"/>
      <c r="L97" s="402"/>
      <c r="M97" s="400"/>
      <c r="N97" s="348" t="str">
        <f t="shared" si="315"/>
        <v/>
      </c>
      <c r="O97" s="349"/>
      <c r="P97" s="44"/>
      <c r="Q97" s="84" t="str">
        <f t="shared" si="316"/>
        <v/>
      </c>
      <c r="R97" s="84" t="str">
        <f t="shared" si="317"/>
        <v/>
      </c>
      <c r="S97" s="84">
        <f t="shared" si="318"/>
        <v>0</v>
      </c>
      <c r="T97" s="160" t="str">
        <f>IF($Z$6="Indique Fecha Seguimiento","",IF(CRONOGRAMA!$E96="No Aplica","NA",IF($G97="","",IF(YEAR($G97)&lt;YEAR($Z$6)," A ",IF(YEAR($G97)=YEAR($Z$6),IF(MONTH($G97)&lt;=8," A ","NA"),IF(YEAR($G97)&gt;YEAR($Z$6),"NA"))))))</f>
        <v/>
      </c>
      <c r="U97" s="350"/>
      <c r="V97" s="44"/>
      <c r="W97" s="351"/>
      <c r="X97" s="348" t="str">
        <f t="shared" si="319"/>
        <v/>
      </c>
      <c r="Y97" s="349"/>
      <c r="Z97" s="44"/>
      <c r="AA97" s="84" t="str">
        <f t="shared" si="320"/>
        <v/>
      </c>
      <c r="AB97" s="84" t="str">
        <f t="shared" si="321"/>
        <v/>
      </c>
      <c r="AC97" s="84">
        <f t="shared" si="322"/>
        <v>0</v>
      </c>
      <c r="AD97" s="160" t="str">
        <f>IF($AJ$6="Indique Fecha Seguimiento","",IF(CRONOGRAMA!$E96="No Aplica","NA",IF($G97="","",IF(YEAR($G97)&lt;YEAR($AJ$6)," A ",IF(YEAR($G97)=YEAR($AJ$6),IF(MONTH($G97)&lt;=12," A ","NA"),IF(YEAR($G97)&gt;YEAR($AJ$6),"NA"))))))</f>
        <v/>
      </c>
      <c r="AE97" s="350"/>
      <c r="AF97" s="44"/>
      <c r="AG97" s="351"/>
      <c r="AH97" s="348" t="str">
        <f t="shared" si="323"/>
        <v/>
      </c>
      <c r="AI97" s="349"/>
      <c r="AJ97" s="44"/>
      <c r="AK97" s="81" t="str">
        <f t="shared" si="324"/>
        <v/>
      </c>
      <c r="AL97" s="84" t="str">
        <f t="shared" si="325"/>
        <v/>
      </c>
      <c r="AM97" s="84">
        <f t="shared" si="326"/>
        <v>0</v>
      </c>
      <c r="AN97" s="579"/>
      <c r="AO97" s="580"/>
      <c r="AP97" s="581"/>
      <c r="AQ97" s="581"/>
      <c r="AR97" s="582"/>
      <c r="AS97" s="582"/>
      <c r="AT97" s="582"/>
      <c r="AU97" s="572"/>
      <c r="AV97" s="573"/>
      <c r="AW97" s="574"/>
      <c r="AX97">
        <f t="shared" si="337"/>
        <v>0</v>
      </c>
    </row>
    <row r="98" spans="1:50" ht="39" thickTop="1" x14ac:dyDescent="0.25">
      <c r="A98" s="575" t="str">
        <f>CRONOGRAMA!A97</f>
        <v>2C</v>
      </c>
      <c r="B98" s="578" t="str">
        <f>CRONOGRAMA!B97</f>
        <v>Dirección y Planeación. Ausencia o debilidad de procesos y procedimientos para la gestión administrativa y misional</v>
      </c>
      <c r="C98" s="82" t="str">
        <f>IF('CONSOLIDACION DEL MAPA'!P97="","",'CONSOLIDACION DEL MAPA'!P97)</f>
        <v>No Establecer</v>
      </c>
      <c r="D98" s="82" t="str">
        <f>CRONOGRAMA!D97</f>
        <v>Seguir ejecutando y monitoreando los controles existentes</v>
      </c>
      <c r="E98" s="132" t="str">
        <f>IF(CRONOGRAMA!F97="", "",CRONOGRAMA!F97)</f>
        <v/>
      </c>
      <c r="F98" s="132" t="str">
        <f>IF(CRONOGRAMA!G97="", "",CRONOGRAMA!G97)</f>
        <v/>
      </c>
      <c r="G98" s="128" t="str">
        <f>IF(CRONOGRAMA!H97="", "",CRONOGRAMA!H97)</f>
        <v/>
      </c>
      <c r="H98" s="128" t="str">
        <f>IF(CRONOGRAMA!I97="", "",CRONOGRAMA!I97)</f>
        <v/>
      </c>
      <c r="I98" s="84">
        <f t="shared" ref="I98:I100" si="338">IF(G98="",0,IF(H98="",0,(H98-G98)/7))</f>
        <v>0</v>
      </c>
      <c r="J98" s="160" t="str">
        <f>IF($P$6="Indique Fecha Seguimiento","",IF(CRONOGRAMA!$E97="No Aplica","NA",IF($G98="","",IF(YEAR($G98)&lt;YEAR($P$6)," A ",IF(YEAR($G98)=YEAR($P$6),IF(MONTH($G98)&lt;=4," A ","NA"),IF(YEAR($G98)&gt;YEAR($P$6),"NA"))))))</f>
        <v>NA</v>
      </c>
      <c r="K98" s="400"/>
      <c r="L98" s="402"/>
      <c r="M98" s="400"/>
      <c r="N98" s="348" t="str">
        <f t="shared" ref="N98:N100" si="339">IF(M98="","",IF($F98=0,0,M98/$F98))</f>
        <v/>
      </c>
      <c r="O98" s="349"/>
      <c r="P98" s="44"/>
      <c r="Q98" s="84" t="str">
        <f t="shared" ref="Q98:Q100" si="340">IF(N98="","",($I98*N98))</f>
        <v/>
      </c>
      <c r="R98" s="84" t="str">
        <f t="shared" si="317"/>
        <v/>
      </c>
      <c r="S98" s="84">
        <f t="shared" si="318"/>
        <v>0</v>
      </c>
      <c r="T98" s="160" t="str">
        <f>IF($Z$6="Indique Fecha Seguimiento","",IF(CRONOGRAMA!$E97="No Aplica","NA",IF($G98="","",IF(YEAR($G98)&lt;YEAR($Z$6)," A ",IF(YEAR($G98)=YEAR($Z$6),IF(MONTH($G98)&lt;=8," A ","NA"),IF(YEAR($G98)&gt;YEAR($Z$6),"NA"))))))</f>
        <v>NA</v>
      </c>
      <c r="U98" s="350"/>
      <c r="V98" s="44"/>
      <c r="W98" s="351"/>
      <c r="X98" s="348" t="str">
        <f t="shared" ref="X98:X100" si="341">IF(W98="","",IF($F98=0,0,W98/$F98))</f>
        <v/>
      </c>
      <c r="Y98" s="349"/>
      <c r="Z98" s="44"/>
      <c r="AA98" s="84" t="str">
        <f t="shared" ref="AA98:AA100" si="342">IF(X98="","",($I98*X98))</f>
        <v/>
      </c>
      <c r="AB98" s="84" t="str">
        <f t="shared" si="321"/>
        <v/>
      </c>
      <c r="AC98" s="84">
        <f t="shared" si="322"/>
        <v>0</v>
      </c>
      <c r="AD98" s="160" t="str">
        <f>IF($AJ$6="Indique Fecha Seguimiento","",IF(CRONOGRAMA!$E97="No Aplica","NA",IF($G98="","",IF(YEAR($G98)&lt;YEAR($AJ$6)," A ",IF(YEAR($G98)=YEAR($AJ$6),IF(MONTH($G98)&lt;=12," A ","NA"),IF(YEAR($G98)&gt;YEAR($AJ$6),"NA"))))))</f>
        <v>NA</v>
      </c>
      <c r="AE98" s="350"/>
      <c r="AF98" s="44"/>
      <c r="AG98" s="351"/>
      <c r="AH98" s="348" t="str">
        <f t="shared" ref="AH98:AH100" si="343">IF(AG98="","",IF($F98=0,0,AG98/$F98))</f>
        <v/>
      </c>
      <c r="AI98" s="349"/>
      <c r="AJ98" s="44"/>
      <c r="AK98" s="81" t="str">
        <f t="shared" ref="AK98:AK100" si="344">IF(AH98="","",($I98*AH98))</f>
        <v/>
      </c>
      <c r="AL98" s="84" t="str">
        <f t="shared" si="325"/>
        <v/>
      </c>
      <c r="AM98" s="84">
        <f t="shared" si="326"/>
        <v>0</v>
      </c>
      <c r="AN98" s="579">
        <f t="shared" ref="AN98" si="345">SUM(I98:I100)</f>
        <v>0</v>
      </c>
      <c r="AO98" s="580" t="str">
        <f t="shared" ref="AO98" si="346">IF(AND(Q98="",Q99="",Q100=""),"",SUM(Q98:Q100))</f>
        <v/>
      </c>
      <c r="AP98" s="581" t="str">
        <f t="shared" ref="AP98" si="347">IF(AND(AA98="",AA99="",AA100=""),"",SUM(AA98:AA100))</f>
        <v/>
      </c>
      <c r="AQ98" s="581" t="str">
        <f t="shared" ref="AQ98" si="348">IF(AND(AK98="",AK99="",AK100=""),"",SUM(AK98:AK100))</f>
        <v/>
      </c>
      <c r="AR98" s="582" t="str">
        <f t="shared" si="331"/>
        <v>NA</v>
      </c>
      <c r="AS98" s="582" t="str">
        <f t="shared" si="332"/>
        <v>NA</v>
      </c>
      <c r="AT98" s="582" t="str">
        <f t="shared" ref="AT98" si="349">IF(AS98&gt;=AR98,AS98,AR98)</f>
        <v>NA</v>
      </c>
      <c r="AU98" s="572" t="str">
        <f t="shared" si="334"/>
        <v>NA</v>
      </c>
      <c r="AV98" s="573" t="str">
        <f t="shared" ref="AV98" si="350">IF($AU$6=1,AR98,IF($AU$6=2,AS98,IF($AU$6=3,AU98,"")))</f>
        <v>NA</v>
      </c>
      <c r="AW98" s="574" t="str">
        <f t="shared" ref="AW98" si="351">AV98</f>
        <v>NA</v>
      </c>
      <c r="AX98">
        <f t="shared" ref="AX98:AX100" si="352">IF($AU$6=1,P98,IF($AU$6=2,Z98,IF($AU$6=3,AJ98,"")))</f>
        <v>0</v>
      </c>
    </row>
    <row r="99" spans="1:50" ht="15.75" x14ac:dyDescent="0.25">
      <c r="A99" s="576"/>
      <c r="B99" s="578"/>
      <c r="C99" s="82" t="str">
        <f>IF('CONSOLIDACION DEL MAPA'!P98="","",'CONSOLIDACION DEL MAPA'!P98)</f>
        <v/>
      </c>
      <c r="D99" s="82" t="str">
        <f>CRONOGRAMA!D98</f>
        <v/>
      </c>
      <c r="E99" s="132" t="str">
        <f>IF(CRONOGRAMA!F98="", "",CRONOGRAMA!F98)</f>
        <v/>
      </c>
      <c r="F99" s="132" t="str">
        <f>IF(CRONOGRAMA!G98="", "",CRONOGRAMA!G98)</f>
        <v/>
      </c>
      <c r="G99" s="128" t="str">
        <f>IF(CRONOGRAMA!H98="", "",CRONOGRAMA!H98)</f>
        <v/>
      </c>
      <c r="H99" s="128" t="str">
        <f>IF(CRONOGRAMA!I98="", "",CRONOGRAMA!I98)</f>
        <v/>
      </c>
      <c r="I99" s="84">
        <f t="shared" si="338"/>
        <v>0</v>
      </c>
      <c r="J99" s="160" t="str">
        <f>IF($P$6="Indique Fecha Seguimiento","",IF(CRONOGRAMA!$E98="No Aplica","NA",IF($G99="","",IF(YEAR($G99)&lt;YEAR($P$6)," A ",IF(YEAR($G99)=YEAR($P$6),IF(MONTH($G99)&lt;=4," A ","NA"),IF(YEAR($G99)&gt;YEAR($P$6),"NA"))))))</f>
        <v/>
      </c>
      <c r="K99" s="400"/>
      <c r="L99" s="402"/>
      <c r="M99" s="400"/>
      <c r="N99" s="348" t="str">
        <f t="shared" si="339"/>
        <v/>
      </c>
      <c r="O99" s="349"/>
      <c r="P99" s="44"/>
      <c r="Q99" s="84" t="str">
        <f t="shared" si="340"/>
        <v/>
      </c>
      <c r="R99" s="84" t="str">
        <f t="shared" si="317"/>
        <v/>
      </c>
      <c r="S99" s="84">
        <f t="shared" si="318"/>
        <v>0</v>
      </c>
      <c r="T99" s="160" t="str">
        <f>IF($Z$6="Indique Fecha Seguimiento","",IF(CRONOGRAMA!$E98="No Aplica","NA",IF($G99="","",IF(YEAR($G99)&lt;YEAR($Z$6)," A ",IF(YEAR($G99)=YEAR($Z$6),IF(MONTH($G99)&lt;=8," A ","NA"),IF(YEAR($G99)&gt;YEAR($Z$6),"NA"))))))</f>
        <v/>
      </c>
      <c r="U99" s="350"/>
      <c r="V99" s="44"/>
      <c r="W99" s="351"/>
      <c r="X99" s="348" t="str">
        <f t="shared" si="341"/>
        <v/>
      </c>
      <c r="Y99" s="349"/>
      <c r="Z99" s="44"/>
      <c r="AA99" s="84" t="str">
        <f t="shared" si="342"/>
        <v/>
      </c>
      <c r="AB99" s="84" t="str">
        <f t="shared" si="321"/>
        <v/>
      </c>
      <c r="AC99" s="84">
        <f t="shared" si="322"/>
        <v>0</v>
      </c>
      <c r="AD99" s="160" t="str">
        <f>IF($AJ$6="Indique Fecha Seguimiento","",IF(CRONOGRAMA!$E98="No Aplica","NA",IF($G99="","",IF(YEAR($G99)&lt;YEAR($AJ$6)," A ",IF(YEAR($G99)=YEAR($AJ$6),IF(MONTH($G99)&lt;=12," A ","NA"),IF(YEAR($G99)&gt;YEAR($AJ$6),"NA"))))))</f>
        <v/>
      </c>
      <c r="AE99" s="350"/>
      <c r="AF99" s="44"/>
      <c r="AG99" s="351"/>
      <c r="AH99" s="348" t="str">
        <f t="shared" si="343"/>
        <v/>
      </c>
      <c r="AI99" s="349"/>
      <c r="AJ99" s="44"/>
      <c r="AK99" s="81" t="str">
        <f t="shared" si="344"/>
        <v/>
      </c>
      <c r="AL99" s="84" t="str">
        <f t="shared" si="325"/>
        <v/>
      </c>
      <c r="AM99" s="84">
        <f t="shared" si="326"/>
        <v>0</v>
      </c>
      <c r="AN99" s="579"/>
      <c r="AO99" s="580"/>
      <c r="AP99" s="581"/>
      <c r="AQ99" s="581"/>
      <c r="AR99" s="582"/>
      <c r="AS99" s="582"/>
      <c r="AT99" s="582"/>
      <c r="AU99" s="572"/>
      <c r="AV99" s="573"/>
      <c r="AW99" s="574"/>
      <c r="AX99">
        <f t="shared" si="352"/>
        <v>0</v>
      </c>
    </row>
    <row r="100" spans="1:50" ht="16.5" thickBot="1" x14ac:dyDescent="0.3">
      <c r="A100" s="577"/>
      <c r="B100" s="578"/>
      <c r="C100" s="82" t="str">
        <f>IF('CONSOLIDACION DEL MAPA'!P99="","",'CONSOLIDACION DEL MAPA'!P99)</f>
        <v/>
      </c>
      <c r="D100" s="82" t="str">
        <f>CRONOGRAMA!D99</f>
        <v/>
      </c>
      <c r="E100" s="132" t="str">
        <f>IF(CRONOGRAMA!F99="", "",CRONOGRAMA!F99)</f>
        <v/>
      </c>
      <c r="F100" s="132" t="str">
        <f>IF(CRONOGRAMA!G99="", "",CRONOGRAMA!G99)</f>
        <v/>
      </c>
      <c r="G100" s="128" t="str">
        <f>IF(CRONOGRAMA!H99="", "",CRONOGRAMA!H99)</f>
        <v/>
      </c>
      <c r="H100" s="128" t="str">
        <f>IF(CRONOGRAMA!I99="", "",CRONOGRAMA!I99)</f>
        <v/>
      </c>
      <c r="I100" s="84">
        <f t="shared" si="338"/>
        <v>0</v>
      </c>
      <c r="J100" s="160" t="str">
        <f>IF($P$6="Indique Fecha Seguimiento","",IF(CRONOGRAMA!$E99="No Aplica","NA",IF($G100="","",IF(YEAR($G100)&lt;YEAR($P$6)," A ",IF(YEAR($G100)=YEAR($P$6),IF(MONTH($G100)&lt;=4," A ","NA"),IF(YEAR($G100)&gt;YEAR($P$6),"NA"))))))</f>
        <v/>
      </c>
      <c r="K100" s="400"/>
      <c r="L100" s="402"/>
      <c r="M100" s="400"/>
      <c r="N100" s="348" t="str">
        <f t="shared" si="339"/>
        <v/>
      </c>
      <c r="O100" s="349"/>
      <c r="P100" s="44"/>
      <c r="Q100" s="84" t="str">
        <f t="shared" si="340"/>
        <v/>
      </c>
      <c r="R100" s="84" t="str">
        <f t="shared" si="317"/>
        <v/>
      </c>
      <c r="S100" s="84">
        <f t="shared" si="318"/>
        <v>0</v>
      </c>
      <c r="T100" s="160" t="str">
        <f>IF($Z$6="Indique Fecha Seguimiento","",IF(CRONOGRAMA!$E99="No Aplica","NA",IF($G100="","",IF(YEAR($G100)&lt;YEAR($Z$6)," A ",IF(YEAR($G100)=YEAR($Z$6),IF(MONTH($G100)&lt;=8," A ","NA"),IF(YEAR($G100)&gt;YEAR($Z$6),"NA"))))))</f>
        <v/>
      </c>
      <c r="U100" s="350"/>
      <c r="V100" s="44"/>
      <c r="W100" s="351"/>
      <c r="X100" s="348" t="str">
        <f t="shared" si="341"/>
        <v/>
      </c>
      <c r="Y100" s="349"/>
      <c r="Z100" s="44"/>
      <c r="AA100" s="84" t="str">
        <f t="shared" si="342"/>
        <v/>
      </c>
      <c r="AB100" s="84" t="str">
        <f t="shared" si="321"/>
        <v/>
      </c>
      <c r="AC100" s="84">
        <f t="shared" si="322"/>
        <v>0</v>
      </c>
      <c r="AD100" s="160" t="str">
        <f>IF($AJ$6="Indique Fecha Seguimiento","",IF(CRONOGRAMA!$E99="No Aplica","NA",IF($G100="","",IF(YEAR($G100)&lt;YEAR($AJ$6)," A ",IF(YEAR($G100)=YEAR($AJ$6),IF(MONTH($G100)&lt;=12," A ","NA"),IF(YEAR($G100)&gt;YEAR($AJ$6),"NA"))))))</f>
        <v/>
      </c>
      <c r="AE100" s="350"/>
      <c r="AF100" s="44"/>
      <c r="AG100" s="351"/>
      <c r="AH100" s="348" t="str">
        <f t="shared" si="343"/>
        <v/>
      </c>
      <c r="AI100" s="349"/>
      <c r="AJ100" s="44"/>
      <c r="AK100" s="81" t="str">
        <f t="shared" si="344"/>
        <v/>
      </c>
      <c r="AL100" s="84" t="str">
        <f t="shared" si="325"/>
        <v/>
      </c>
      <c r="AM100" s="84">
        <f t="shared" si="326"/>
        <v>0</v>
      </c>
      <c r="AN100" s="579"/>
      <c r="AO100" s="580"/>
      <c r="AP100" s="581"/>
      <c r="AQ100" s="581"/>
      <c r="AR100" s="582"/>
      <c r="AS100" s="582"/>
      <c r="AT100" s="582"/>
      <c r="AU100" s="572"/>
      <c r="AV100" s="573"/>
      <c r="AW100" s="574"/>
      <c r="AX100">
        <f t="shared" si="352"/>
        <v>0</v>
      </c>
    </row>
    <row r="101" spans="1:50" ht="39" thickTop="1" x14ac:dyDescent="0.25">
      <c r="A101" s="575" t="str">
        <f>CRONOGRAMA!A100</f>
        <v>3C</v>
      </c>
      <c r="B101" s="578" t="str">
        <f>CRONOGRAMA!B100</f>
        <v>Dirección y Planeación. Prevaricato</v>
      </c>
      <c r="C101" s="82" t="str">
        <f>IF('CONSOLIDACION DEL MAPA'!P100="","",'CONSOLIDACION DEL MAPA'!P100)</f>
        <v>No Establecer</v>
      </c>
      <c r="D101" s="82" t="str">
        <f>CRONOGRAMA!D100</f>
        <v>Seguir ejecutando y monitoreando los controles existentes</v>
      </c>
      <c r="E101" s="132" t="str">
        <f>IF(CRONOGRAMA!F100="", "",CRONOGRAMA!F100)</f>
        <v/>
      </c>
      <c r="F101" s="132" t="str">
        <f>IF(CRONOGRAMA!G100="", "",CRONOGRAMA!G100)</f>
        <v/>
      </c>
      <c r="G101" s="128" t="str">
        <f>IF(CRONOGRAMA!H100="", "",CRONOGRAMA!H100)</f>
        <v/>
      </c>
      <c r="H101" s="128" t="str">
        <f>IF(CRONOGRAMA!I100="", "",CRONOGRAMA!I100)</f>
        <v/>
      </c>
      <c r="I101" s="84">
        <f t="shared" ref="I101:I103" si="353">IF(G101="",0,IF(H101="",0,(H101-G101)/7))</f>
        <v>0</v>
      </c>
      <c r="J101" s="160" t="str">
        <f>IF($P$6="Indique Fecha Seguimiento","",IF(CRONOGRAMA!$E100="No Aplica","NA",IF($G101="","",IF(YEAR($G101)&lt;YEAR($P$6)," A ",IF(YEAR($G101)=YEAR($P$6),IF(MONTH($G101)&lt;=4," A ","NA"),IF(YEAR($G101)&gt;YEAR($P$6),"NA"))))))</f>
        <v>NA</v>
      </c>
      <c r="K101" s="400"/>
      <c r="L101" s="402"/>
      <c r="M101" s="400"/>
      <c r="N101" s="348" t="str">
        <f t="shared" ref="N101:N103" si="354">IF(M101="","",IF($F101=0,0,M101/$F101))</f>
        <v/>
      </c>
      <c r="O101" s="349"/>
      <c r="P101" s="44"/>
      <c r="Q101" s="84" t="str">
        <f t="shared" ref="Q101:Q103" si="355">IF(N101="","",($I101*N101))</f>
        <v/>
      </c>
      <c r="R101" s="84" t="str">
        <f t="shared" si="317"/>
        <v/>
      </c>
      <c r="S101" s="84">
        <f t="shared" si="318"/>
        <v>0</v>
      </c>
      <c r="T101" s="160" t="str">
        <f>IF($Z$6="Indique Fecha Seguimiento","",IF(CRONOGRAMA!$E100="No Aplica","NA",IF($G101="","",IF(YEAR($G101)&lt;YEAR($Z$6)," A ",IF(YEAR($G101)=YEAR($Z$6),IF(MONTH($G101)&lt;=8," A ","NA"),IF(YEAR($G101)&gt;YEAR($Z$6),"NA"))))))</f>
        <v>NA</v>
      </c>
      <c r="U101" s="350"/>
      <c r="V101" s="44"/>
      <c r="W101" s="351"/>
      <c r="X101" s="348" t="str">
        <f t="shared" ref="X101:X103" si="356">IF(W101="","",IF($F101=0,0,W101/$F101))</f>
        <v/>
      </c>
      <c r="Y101" s="349"/>
      <c r="Z101" s="44"/>
      <c r="AA101" s="84" t="str">
        <f t="shared" ref="AA101:AA103" si="357">IF(X101="","",($I101*X101))</f>
        <v/>
      </c>
      <c r="AB101" s="84" t="str">
        <f t="shared" si="321"/>
        <v/>
      </c>
      <c r="AC101" s="84">
        <f t="shared" si="322"/>
        <v>0</v>
      </c>
      <c r="AD101" s="160" t="str">
        <f>IF($AJ$6="Indique Fecha Seguimiento","",IF(CRONOGRAMA!$E100="No Aplica","NA",IF($G101="","",IF(YEAR($G101)&lt;YEAR($AJ$6)," A ",IF(YEAR($G101)=YEAR($AJ$6),IF(MONTH($G101)&lt;=12," A ","NA"),IF(YEAR($G101)&gt;YEAR($AJ$6),"NA"))))))</f>
        <v>NA</v>
      </c>
      <c r="AE101" s="350"/>
      <c r="AF101" s="44"/>
      <c r="AG101" s="351"/>
      <c r="AH101" s="348" t="str">
        <f t="shared" ref="AH101:AH103" si="358">IF(AG101="","",IF($F101=0,0,AG101/$F101))</f>
        <v/>
      </c>
      <c r="AI101" s="349"/>
      <c r="AJ101" s="44"/>
      <c r="AK101" s="81" t="str">
        <f t="shared" ref="AK101:AK103" si="359">IF(AH101="","",($I101*AH101))</f>
        <v/>
      </c>
      <c r="AL101" s="84" t="str">
        <f t="shared" si="325"/>
        <v/>
      </c>
      <c r="AM101" s="84">
        <f t="shared" si="326"/>
        <v>0</v>
      </c>
      <c r="AN101" s="579">
        <f t="shared" ref="AN101" si="360">SUM(I101:I103)</f>
        <v>0</v>
      </c>
      <c r="AO101" s="580" t="str">
        <f t="shared" ref="AO101" si="361">IF(AND(Q101="",Q102="",Q103=""),"",SUM(Q101:Q103))</f>
        <v/>
      </c>
      <c r="AP101" s="581" t="str">
        <f t="shared" ref="AP101" si="362">IF(AND(AA101="",AA102="",AA103=""),"",SUM(AA101:AA103))</f>
        <v/>
      </c>
      <c r="AQ101" s="581" t="str">
        <f t="shared" ref="AQ101" si="363">IF(AND(AK101="",AK102="",AK103=""),"",SUM(AK101:AK103))</f>
        <v/>
      </c>
      <c r="AR101" s="582" t="str">
        <f t="shared" si="331"/>
        <v>NA</v>
      </c>
      <c r="AS101" s="582" t="str">
        <f t="shared" si="332"/>
        <v>NA</v>
      </c>
      <c r="AT101" s="582" t="str">
        <f t="shared" ref="AT101" si="364">IF(AS101&gt;=AR101,AS101,AR101)</f>
        <v>NA</v>
      </c>
      <c r="AU101" s="572" t="str">
        <f t="shared" si="334"/>
        <v>NA</v>
      </c>
      <c r="AV101" s="573" t="str">
        <f t="shared" ref="AV101" si="365">IF($AU$6=1,AR101,IF($AU$6=2,AS101,IF($AU$6=3,AU101,"")))</f>
        <v>NA</v>
      </c>
      <c r="AW101" s="574" t="str">
        <f t="shared" ref="AW101" si="366">AV101</f>
        <v>NA</v>
      </c>
      <c r="AX101">
        <f t="shared" ref="AX101:AX103" si="367">IF($AU$6=1,P101,IF($AU$6=2,Z101,IF($AU$6=3,AJ101,"")))</f>
        <v>0</v>
      </c>
    </row>
    <row r="102" spans="1:50" ht="15.75" x14ac:dyDescent="0.25">
      <c r="A102" s="576"/>
      <c r="B102" s="578"/>
      <c r="C102" s="82" t="str">
        <f>IF('CONSOLIDACION DEL MAPA'!P101="","",'CONSOLIDACION DEL MAPA'!P101)</f>
        <v/>
      </c>
      <c r="D102" s="82" t="str">
        <f>CRONOGRAMA!D101</f>
        <v/>
      </c>
      <c r="E102" s="132" t="str">
        <f>IF(CRONOGRAMA!F101="", "",CRONOGRAMA!F101)</f>
        <v/>
      </c>
      <c r="F102" s="132" t="str">
        <f>IF(CRONOGRAMA!G101="", "",CRONOGRAMA!G101)</f>
        <v/>
      </c>
      <c r="G102" s="128" t="str">
        <f>IF(CRONOGRAMA!H101="", "",CRONOGRAMA!H101)</f>
        <v/>
      </c>
      <c r="H102" s="128" t="str">
        <f>IF(CRONOGRAMA!I101="", "",CRONOGRAMA!I101)</f>
        <v/>
      </c>
      <c r="I102" s="84">
        <f t="shared" si="353"/>
        <v>0</v>
      </c>
      <c r="J102" s="160" t="str">
        <f>IF($P$6="Indique Fecha Seguimiento","",IF(CRONOGRAMA!$E101="No Aplica","NA",IF($G102="","",IF(YEAR($G102)&lt;YEAR($P$6)," A ",IF(YEAR($G102)=YEAR($P$6),IF(MONTH($G102)&lt;=4," A ","NA"),IF(YEAR($G102)&gt;YEAR($P$6),"NA"))))))</f>
        <v/>
      </c>
      <c r="K102" s="400"/>
      <c r="L102" s="402"/>
      <c r="M102" s="400"/>
      <c r="N102" s="348" t="str">
        <f t="shared" si="354"/>
        <v/>
      </c>
      <c r="O102" s="349"/>
      <c r="P102" s="44"/>
      <c r="Q102" s="84" t="str">
        <f t="shared" si="355"/>
        <v/>
      </c>
      <c r="R102" s="84" t="str">
        <f t="shared" si="317"/>
        <v/>
      </c>
      <c r="S102" s="84">
        <f t="shared" si="318"/>
        <v>0</v>
      </c>
      <c r="T102" s="160" t="str">
        <f>IF($Z$6="Indique Fecha Seguimiento","",IF(CRONOGRAMA!$E101="No Aplica","NA",IF($G102="","",IF(YEAR($G102)&lt;YEAR($Z$6)," A ",IF(YEAR($G102)=YEAR($Z$6),IF(MONTH($G102)&lt;=8," A ","NA"),IF(YEAR($G102)&gt;YEAR($Z$6),"NA"))))))</f>
        <v/>
      </c>
      <c r="U102" s="350"/>
      <c r="V102" s="44"/>
      <c r="W102" s="351"/>
      <c r="X102" s="348" t="str">
        <f t="shared" si="356"/>
        <v/>
      </c>
      <c r="Y102" s="349"/>
      <c r="Z102" s="44"/>
      <c r="AA102" s="84" t="str">
        <f t="shared" si="357"/>
        <v/>
      </c>
      <c r="AB102" s="84" t="str">
        <f t="shared" si="321"/>
        <v/>
      </c>
      <c r="AC102" s="84">
        <f t="shared" si="322"/>
        <v>0</v>
      </c>
      <c r="AD102" s="160" t="str">
        <f>IF($AJ$6="Indique Fecha Seguimiento","",IF(CRONOGRAMA!$E101="No Aplica","NA",IF($G102="","",IF(YEAR($G102)&lt;YEAR($AJ$6)," A ",IF(YEAR($G102)=YEAR($AJ$6),IF(MONTH($G102)&lt;=12," A ","NA"),IF(YEAR($G102)&gt;YEAR($AJ$6),"NA"))))))</f>
        <v/>
      </c>
      <c r="AE102" s="350"/>
      <c r="AF102" s="44"/>
      <c r="AG102" s="351"/>
      <c r="AH102" s="348" t="str">
        <f t="shared" si="358"/>
        <v/>
      </c>
      <c r="AI102" s="349"/>
      <c r="AJ102" s="44"/>
      <c r="AK102" s="81" t="str">
        <f t="shared" si="359"/>
        <v/>
      </c>
      <c r="AL102" s="84" t="str">
        <f t="shared" si="325"/>
        <v/>
      </c>
      <c r="AM102" s="84">
        <f t="shared" si="326"/>
        <v>0</v>
      </c>
      <c r="AN102" s="579"/>
      <c r="AO102" s="580"/>
      <c r="AP102" s="581"/>
      <c r="AQ102" s="581"/>
      <c r="AR102" s="582"/>
      <c r="AS102" s="582"/>
      <c r="AT102" s="582"/>
      <c r="AU102" s="572"/>
      <c r="AV102" s="573"/>
      <c r="AW102" s="574"/>
      <c r="AX102">
        <f t="shared" si="367"/>
        <v>0</v>
      </c>
    </row>
    <row r="103" spans="1:50" ht="16.5" thickBot="1" x14ac:dyDescent="0.3">
      <c r="A103" s="577"/>
      <c r="B103" s="578"/>
      <c r="C103" s="82" t="str">
        <f>IF('CONSOLIDACION DEL MAPA'!P102="","",'CONSOLIDACION DEL MAPA'!P102)</f>
        <v/>
      </c>
      <c r="D103" s="82" t="str">
        <f>CRONOGRAMA!D102</f>
        <v/>
      </c>
      <c r="E103" s="132" t="str">
        <f>IF(CRONOGRAMA!F102="", "",CRONOGRAMA!F102)</f>
        <v/>
      </c>
      <c r="F103" s="132" t="str">
        <f>IF(CRONOGRAMA!G102="", "",CRONOGRAMA!G102)</f>
        <v/>
      </c>
      <c r="G103" s="128" t="str">
        <f>IF(CRONOGRAMA!H102="", "",CRONOGRAMA!H102)</f>
        <v/>
      </c>
      <c r="H103" s="128" t="str">
        <f>IF(CRONOGRAMA!I102="", "",CRONOGRAMA!I102)</f>
        <v/>
      </c>
      <c r="I103" s="84">
        <f t="shared" si="353"/>
        <v>0</v>
      </c>
      <c r="J103" s="160" t="str">
        <f>IF($P$6="Indique Fecha Seguimiento","",IF(CRONOGRAMA!$E102="No Aplica","NA",IF($G103="","",IF(YEAR($G103)&lt;YEAR($P$6)," A ",IF(YEAR($G103)=YEAR($P$6),IF(MONTH($G103)&lt;=4," A ","NA"),IF(YEAR($G103)&gt;YEAR($P$6),"NA"))))))</f>
        <v/>
      </c>
      <c r="K103" s="400"/>
      <c r="L103" s="402"/>
      <c r="M103" s="400"/>
      <c r="N103" s="348" t="str">
        <f t="shared" si="354"/>
        <v/>
      </c>
      <c r="O103" s="349"/>
      <c r="P103" s="44"/>
      <c r="Q103" s="84" t="str">
        <f t="shared" si="355"/>
        <v/>
      </c>
      <c r="R103" s="84" t="str">
        <f t="shared" si="317"/>
        <v/>
      </c>
      <c r="S103" s="84">
        <f t="shared" si="318"/>
        <v>0</v>
      </c>
      <c r="T103" s="160" t="str">
        <f>IF($Z$6="Indique Fecha Seguimiento","",IF(CRONOGRAMA!$E102="No Aplica","NA",IF($G103="","",IF(YEAR($G103)&lt;YEAR($Z$6)," A ",IF(YEAR($G103)=YEAR($Z$6),IF(MONTH($G103)&lt;=8," A ","NA"),IF(YEAR($G103)&gt;YEAR($Z$6),"NA"))))))</f>
        <v/>
      </c>
      <c r="U103" s="350"/>
      <c r="V103" s="44"/>
      <c r="W103" s="351"/>
      <c r="X103" s="348" t="str">
        <f t="shared" si="356"/>
        <v/>
      </c>
      <c r="Y103" s="349"/>
      <c r="Z103" s="44"/>
      <c r="AA103" s="84" t="str">
        <f t="shared" si="357"/>
        <v/>
      </c>
      <c r="AB103" s="84" t="str">
        <f t="shared" si="321"/>
        <v/>
      </c>
      <c r="AC103" s="84">
        <f t="shared" si="322"/>
        <v>0</v>
      </c>
      <c r="AD103" s="160" t="str">
        <f>IF($AJ$6="Indique Fecha Seguimiento","",IF(CRONOGRAMA!$E102="No Aplica","NA",IF($G103="","",IF(YEAR($G103)&lt;YEAR($AJ$6)," A ",IF(YEAR($G103)=YEAR($AJ$6),IF(MONTH($G103)&lt;=12," A ","NA"),IF(YEAR($G103)&gt;YEAR($AJ$6),"NA"))))))</f>
        <v/>
      </c>
      <c r="AE103" s="350"/>
      <c r="AF103" s="44"/>
      <c r="AG103" s="351"/>
      <c r="AH103" s="348" t="str">
        <f t="shared" si="358"/>
        <v/>
      </c>
      <c r="AI103" s="349"/>
      <c r="AJ103" s="44"/>
      <c r="AK103" s="81" t="str">
        <f t="shared" si="359"/>
        <v/>
      </c>
      <c r="AL103" s="84" t="str">
        <f t="shared" si="325"/>
        <v/>
      </c>
      <c r="AM103" s="84">
        <f t="shared" si="326"/>
        <v>0</v>
      </c>
      <c r="AN103" s="579"/>
      <c r="AO103" s="580"/>
      <c r="AP103" s="581"/>
      <c r="AQ103" s="581"/>
      <c r="AR103" s="582"/>
      <c r="AS103" s="582"/>
      <c r="AT103" s="582"/>
      <c r="AU103" s="572"/>
      <c r="AV103" s="573"/>
      <c r="AW103" s="574"/>
      <c r="AX103">
        <f t="shared" si="367"/>
        <v>0</v>
      </c>
    </row>
    <row r="104" spans="1:50" ht="39" thickTop="1" x14ac:dyDescent="0.25">
      <c r="A104" s="575" t="str">
        <f>CRONOGRAMA!A103</f>
        <v>4C</v>
      </c>
      <c r="B104" s="578" t="str">
        <f>CRONOGRAMA!B103</f>
        <v>Dirección y Planeación. Malversación de Recursos</v>
      </c>
      <c r="C104" s="82" t="str">
        <f>IF('CONSOLIDACION DEL MAPA'!P103="","",'CONSOLIDACION DEL MAPA'!P103)</f>
        <v>No Establecer</v>
      </c>
      <c r="D104" s="82" t="str">
        <f>CRONOGRAMA!D103</f>
        <v>Seguir ejecutando y monitoreando los controles existentes</v>
      </c>
      <c r="E104" s="132" t="str">
        <f>IF(CRONOGRAMA!F103="", "",CRONOGRAMA!F103)</f>
        <v/>
      </c>
      <c r="F104" s="132" t="str">
        <f>IF(CRONOGRAMA!G103="", "",CRONOGRAMA!G103)</f>
        <v/>
      </c>
      <c r="G104" s="128" t="str">
        <f>IF(CRONOGRAMA!H103="", "",CRONOGRAMA!H103)</f>
        <v/>
      </c>
      <c r="H104" s="128" t="str">
        <f>IF(CRONOGRAMA!I103="", "",CRONOGRAMA!I103)</f>
        <v/>
      </c>
      <c r="I104" s="84">
        <f t="shared" ref="I104:I106" si="368">IF(G104="",0,IF(H104="",0,(H104-G104)/7))</f>
        <v>0</v>
      </c>
      <c r="J104" s="160" t="str">
        <f>IF($P$6="Indique Fecha Seguimiento","",IF(CRONOGRAMA!$E103="No Aplica","NA",IF($G104="","",IF(YEAR($G104)&lt;YEAR($P$6)," A ",IF(YEAR($G104)=YEAR($P$6),IF(MONTH($G104)&lt;=4," A ","NA"),IF(YEAR($G104)&gt;YEAR($P$6),"NA"))))))</f>
        <v>NA</v>
      </c>
      <c r="K104" s="400"/>
      <c r="L104" s="402"/>
      <c r="M104" s="400"/>
      <c r="N104" s="348" t="str">
        <f t="shared" ref="N104:N106" si="369">IF(M104="","",IF($F104=0,0,M104/$F104))</f>
        <v/>
      </c>
      <c r="O104" s="349"/>
      <c r="P104" s="44"/>
      <c r="Q104" s="84" t="str">
        <f t="shared" ref="Q104:Q106" si="370">IF(N104="","",($I104*N104))</f>
        <v/>
      </c>
      <c r="R104" s="84" t="str">
        <f t="shared" si="317"/>
        <v/>
      </c>
      <c r="S104" s="84">
        <f t="shared" si="318"/>
        <v>0</v>
      </c>
      <c r="T104" s="160" t="str">
        <f>IF($Z$6="Indique Fecha Seguimiento","",IF(CRONOGRAMA!$E103="No Aplica","NA",IF($G104="","",IF(YEAR($G104)&lt;YEAR($Z$6)," A ",IF(YEAR($G104)=YEAR($Z$6),IF(MONTH($G104)&lt;=8," A ","NA"),IF(YEAR($G104)&gt;YEAR($Z$6),"NA"))))))</f>
        <v>NA</v>
      </c>
      <c r="U104" s="350"/>
      <c r="V104" s="44"/>
      <c r="W104" s="351"/>
      <c r="X104" s="348" t="str">
        <f t="shared" ref="X104:X106" si="371">IF(W104="","",IF($F104=0,0,W104/$F104))</f>
        <v/>
      </c>
      <c r="Y104" s="349"/>
      <c r="Z104" s="44"/>
      <c r="AA104" s="84" t="str">
        <f t="shared" ref="AA104:AA106" si="372">IF(X104="","",($I104*X104))</f>
        <v/>
      </c>
      <c r="AB104" s="84" t="str">
        <f t="shared" si="321"/>
        <v/>
      </c>
      <c r="AC104" s="84">
        <f t="shared" si="322"/>
        <v>0</v>
      </c>
      <c r="AD104" s="160" t="str">
        <f>IF($AJ$6="Indique Fecha Seguimiento","",IF(CRONOGRAMA!$E103="No Aplica","NA",IF($G104="","",IF(YEAR($G104)&lt;YEAR($AJ$6)," A ",IF(YEAR($G104)=YEAR($AJ$6),IF(MONTH($G104)&lt;=12," A ","NA"),IF(YEAR($G104)&gt;YEAR($AJ$6),"NA"))))))</f>
        <v>NA</v>
      </c>
      <c r="AE104" s="350"/>
      <c r="AF104" s="44"/>
      <c r="AG104" s="351"/>
      <c r="AH104" s="348" t="str">
        <f t="shared" ref="AH104:AH106" si="373">IF(AG104="","",IF($F104=0,0,AG104/$F104))</f>
        <v/>
      </c>
      <c r="AI104" s="349"/>
      <c r="AJ104" s="44"/>
      <c r="AK104" s="81" t="str">
        <f t="shared" ref="AK104:AK106" si="374">IF(AH104="","",($I104*AH104))</f>
        <v/>
      </c>
      <c r="AL104" s="84" t="str">
        <f t="shared" si="325"/>
        <v/>
      </c>
      <c r="AM104" s="84">
        <f t="shared" si="326"/>
        <v>0</v>
      </c>
      <c r="AN104" s="579">
        <f t="shared" ref="AN104" si="375">SUM(I104:I106)</f>
        <v>0</v>
      </c>
      <c r="AO104" s="580" t="str">
        <f t="shared" ref="AO104" si="376">IF(AND(Q104="",Q105="",Q106=""),"",SUM(Q104:Q106))</f>
        <v/>
      </c>
      <c r="AP104" s="581" t="str">
        <f t="shared" ref="AP104" si="377">IF(AND(AA104="",AA105="",AA106=""),"",SUM(AA104:AA106))</f>
        <v/>
      </c>
      <c r="AQ104" s="581" t="str">
        <f t="shared" ref="AQ104" si="378">IF(AND(AK104="",AK105="",AK106=""),"",SUM(AK104:AK106))</f>
        <v/>
      </c>
      <c r="AR104" s="582" t="str">
        <f t="shared" si="331"/>
        <v>NA</v>
      </c>
      <c r="AS104" s="582" t="str">
        <f t="shared" si="332"/>
        <v>NA</v>
      </c>
      <c r="AT104" s="582" t="str">
        <f t="shared" ref="AT104" si="379">IF(AS104&gt;=AR104,AS104,AR104)</f>
        <v>NA</v>
      </c>
      <c r="AU104" s="572" t="str">
        <f t="shared" si="334"/>
        <v>NA</v>
      </c>
      <c r="AV104" s="573" t="str">
        <f t="shared" ref="AV104" si="380">IF($AU$6=1,AR104,IF($AU$6=2,AS104,IF($AU$6=3,AU104,"")))</f>
        <v>NA</v>
      </c>
      <c r="AW104" s="574" t="str">
        <f t="shared" ref="AW104" si="381">AV104</f>
        <v>NA</v>
      </c>
      <c r="AX104">
        <f t="shared" ref="AX104:AX106" si="382">IF($AU$6=1,P104,IF($AU$6=2,Z104,IF($AU$6=3,AJ104,"")))</f>
        <v>0</v>
      </c>
    </row>
    <row r="105" spans="1:50" ht="15.75" x14ac:dyDescent="0.25">
      <c r="A105" s="576"/>
      <c r="B105" s="578"/>
      <c r="C105" s="82" t="str">
        <f>IF('CONSOLIDACION DEL MAPA'!P104="","",'CONSOLIDACION DEL MAPA'!P104)</f>
        <v/>
      </c>
      <c r="D105" s="82" t="str">
        <f>CRONOGRAMA!D104</f>
        <v/>
      </c>
      <c r="E105" s="132" t="str">
        <f>IF(CRONOGRAMA!F104="", "",CRONOGRAMA!F104)</f>
        <v/>
      </c>
      <c r="F105" s="132" t="str">
        <f>IF(CRONOGRAMA!G104="", "",CRONOGRAMA!G104)</f>
        <v/>
      </c>
      <c r="G105" s="128" t="str">
        <f>IF(CRONOGRAMA!H104="", "",CRONOGRAMA!H104)</f>
        <v/>
      </c>
      <c r="H105" s="128" t="str">
        <f>IF(CRONOGRAMA!I104="", "",CRONOGRAMA!I104)</f>
        <v/>
      </c>
      <c r="I105" s="84">
        <f t="shared" si="368"/>
        <v>0</v>
      </c>
      <c r="J105" s="160" t="str">
        <f>IF($P$6="Indique Fecha Seguimiento","",IF(CRONOGRAMA!$E104="No Aplica","NA",IF($G105="","",IF(YEAR($G105)&lt;YEAR($P$6)," A ",IF(YEAR($G105)=YEAR($P$6),IF(MONTH($G105)&lt;=4," A ","NA"),IF(YEAR($G105)&gt;YEAR($P$6),"NA"))))))</f>
        <v/>
      </c>
      <c r="K105" s="400"/>
      <c r="L105" s="402"/>
      <c r="M105" s="400"/>
      <c r="N105" s="348" t="str">
        <f t="shared" si="369"/>
        <v/>
      </c>
      <c r="O105" s="349" t="s">
        <v>11</v>
      </c>
      <c r="P105" s="44"/>
      <c r="Q105" s="84" t="str">
        <f t="shared" si="370"/>
        <v/>
      </c>
      <c r="R105" s="84" t="str">
        <f t="shared" si="317"/>
        <v/>
      </c>
      <c r="S105" s="84">
        <f t="shared" si="318"/>
        <v>0</v>
      </c>
      <c r="T105" s="160" t="str">
        <f>IF($Z$6="Indique Fecha Seguimiento","",IF(CRONOGRAMA!$E104="No Aplica","NA",IF($G105="","",IF(YEAR($G105)&lt;YEAR($Z$6)," A ",IF(YEAR($G105)=YEAR($Z$6),IF(MONTH($G105)&lt;=8," A ","NA"),IF(YEAR($G105)&gt;YEAR($Z$6),"NA"))))))</f>
        <v/>
      </c>
      <c r="U105" s="350"/>
      <c r="V105" s="44"/>
      <c r="W105" s="351"/>
      <c r="X105" s="348" t="str">
        <f t="shared" si="371"/>
        <v/>
      </c>
      <c r="Y105" s="349"/>
      <c r="Z105" s="44"/>
      <c r="AA105" s="84" t="str">
        <f t="shared" si="372"/>
        <v/>
      </c>
      <c r="AB105" s="84" t="str">
        <f t="shared" si="321"/>
        <v/>
      </c>
      <c r="AC105" s="84">
        <f t="shared" si="322"/>
        <v>0</v>
      </c>
      <c r="AD105" s="160" t="str">
        <f>IF($AJ$6="Indique Fecha Seguimiento","",IF(CRONOGRAMA!$E104="No Aplica","NA",IF($G105="","",IF(YEAR($G105)&lt;YEAR($AJ$6)," A ",IF(YEAR($G105)=YEAR($AJ$6),IF(MONTH($G105)&lt;=12," A ","NA"),IF(YEAR($G105)&gt;YEAR($AJ$6),"NA"))))))</f>
        <v/>
      </c>
      <c r="AE105" s="350"/>
      <c r="AF105" s="44"/>
      <c r="AG105" s="351"/>
      <c r="AH105" s="348" t="str">
        <f t="shared" si="373"/>
        <v/>
      </c>
      <c r="AI105" s="349"/>
      <c r="AJ105" s="44"/>
      <c r="AK105" s="81" t="str">
        <f t="shared" si="374"/>
        <v/>
      </c>
      <c r="AL105" s="84" t="str">
        <f t="shared" si="325"/>
        <v/>
      </c>
      <c r="AM105" s="84">
        <f t="shared" si="326"/>
        <v>0</v>
      </c>
      <c r="AN105" s="579"/>
      <c r="AO105" s="580"/>
      <c r="AP105" s="581"/>
      <c r="AQ105" s="581"/>
      <c r="AR105" s="582"/>
      <c r="AS105" s="582"/>
      <c r="AT105" s="582"/>
      <c r="AU105" s="572"/>
      <c r="AV105" s="573"/>
      <c r="AW105" s="574"/>
      <c r="AX105">
        <f t="shared" si="382"/>
        <v>0</v>
      </c>
    </row>
    <row r="106" spans="1:50" ht="16.5" thickBot="1" x14ac:dyDescent="0.3">
      <c r="A106" s="577"/>
      <c r="B106" s="578"/>
      <c r="C106" s="82" t="str">
        <f>IF('CONSOLIDACION DEL MAPA'!P105="","",'CONSOLIDACION DEL MAPA'!P105)</f>
        <v/>
      </c>
      <c r="D106" s="82" t="str">
        <f>CRONOGRAMA!D105</f>
        <v/>
      </c>
      <c r="E106" s="132" t="str">
        <f>IF(CRONOGRAMA!F105="", "",CRONOGRAMA!F105)</f>
        <v/>
      </c>
      <c r="F106" s="132" t="str">
        <f>IF(CRONOGRAMA!G105="", "",CRONOGRAMA!G105)</f>
        <v/>
      </c>
      <c r="G106" s="128" t="str">
        <f>IF(CRONOGRAMA!H105="", "",CRONOGRAMA!H105)</f>
        <v/>
      </c>
      <c r="H106" s="128" t="str">
        <f>IF(CRONOGRAMA!I105="", "",CRONOGRAMA!I105)</f>
        <v/>
      </c>
      <c r="I106" s="84">
        <f t="shared" si="368"/>
        <v>0</v>
      </c>
      <c r="J106" s="160" t="str">
        <f>IF($P$6="Indique Fecha Seguimiento","",IF(CRONOGRAMA!$E105="No Aplica","NA",IF($G106="","",IF(YEAR($G106)&lt;YEAR($P$6)," A ",IF(YEAR($G106)=YEAR($P$6),IF(MONTH($G106)&lt;=4," A ","NA"),IF(YEAR($G106)&gt;YEAR($P$6),"NA"))))))</f>
        <v/>
      </c>
      <c r="K106" s="400"/>
      <c r="L106" s="402"/>
      <c r="M106" s="400"/>
      <c r="N106" s="348" t="str">
        <f t="shared" si="369"/>
        <v/>
      </c>
      <c r="O106" s="349" t="s">
        <v>11</v>
      </c>
      <c r="P106" s="44"/>
      <c r="Q106" s="84" t="str">
        <f t="shared" si="370"/>
        <v/>
      </c>
      <c r="R106" s="84" t="str">
        <f t="shared" si="317"/>
        <v/>
      </c>
      <c r="S106" s="84">
        <f t="shared" si="318"/>
        <v>0</v>
      </c>
      <c r="T106" s="160" t="str">
        <f>IF($Z$6="Indique Fecha Seguimiento","",IF(CRONOGRAMA!$E105="No Aplica","NA",IF($G106="","",IF(YEAR($G106)&lt;YEAR($Z$6)," A ",IF(YEAR($G106)=YEAR($Z$6),IF(MONTH($G106)&lt;=8," A ","NA"),IF(YEAR($G106)&gt;YEAR($Z$6),"NA"))))))</f>
        <v/>
      </c>
      <c r="U106" s="350"/>
      <c r="V106" s="44"/>
      <c r="W106" s="351"/>
      <c r="X106" s="348" t="str">
        <f t="shared" si="371"/>
        <v/>
      </c>
      <c r="Y106" s="349"/>
      <c r="Z106" s="44"/>
      <c r="AA106" s="84" t="str">
        <f t="shared" si="372"/>
        <v/>
      </c>
      <c r="AB106" s="84" t="str">
        <f t="shared" si="321"/>
        <v/>
      </c>
      <c r="AC106" s="84">
        <f t="shared" si="322"/>
        <v>0</v>
      </c>
      <c r="AD106" s="160" t="str">
        <f>IF($AJ$6="Indique Fecha Seguimiento","",IF(CRONOGRAMA!$E105="No Aplica","NA",IF($G106="","",IF(YEAR($G106)&lt;YEAR($AJ$6)," A ",IF(YEAR($G106)=YEAR($AJ$6),IF(MONTH($G106)&lt;=12," A ","NA"),IF(YEAR($G106)&gt;YEAR($AJ$6),"NA"))))))</f>
        <v/>
      </c>
      <c r="AE106" s="350"/>
      <c r="AF106" s="44"/>
      <c r="AG106" s="351"/>
      <c r="AH106" s="348" t="str">
        <f t="shared" si="373"/>
        <v/>
      </c>
      <c r="AI106" s="349"/>
      <c r="AJ106" s="44"/>
      <c r="AK106" s="81" t="str">
        <f t="shared" si="374"/>
        <v/>
      </c>
      <c r="AL106" s="84" t="str">
        <f t="shared" si="325"/>
        <v/>
      </c>
      <c r="AM106" s="84">
        <f t="shared" si="326"/>
        <v>0</v>
      </c>
      <c r="AN106" s="579"/>
      <c r="AO106" s="580"/>
      <c r="AP106" s="581"/>
      <c r="AQ106" s="581"/>
      <c r="AR106" s="582"/>
      <c r="AS106" s="582"/>
      <c r="AT106" s="582"/>
      <c r="AU106" s="572"/>
      <c r="AV106" s="573"/>
      <c r="AW106" s="574"/>
      <c r="AX106">
        <f t="shared" si="382"/>
        <v>0</v>
      </c>
    </row>
    <row r="107" spans="1:50" ht="128.25" thickTop="1" x14ac:dyDescent="0.25">
      <c r="A107" s="575" t="str">
        <f>CRONOGRAMA!A106</f>
        <v>5C</v>
      </c>
      <c r="B107" s="578" t="str">
        <f>CRONOGRAMA!B106</f>
        <v>Acreditación. Deficiencias en el manejo documental y de archivo</v>
      </c>
      <c r="C107" s="82" t="str">
        <f>IF('CONSOLIDACION DEL MAPA'!P106="","",'CONSOLIDACION DEL MAPA'!P106)</f>
        <v>Reducir</v>
      </c>
      <c r="D107" s="82" t="str">
        <f>CRONOGRAMA!D106</f>
        <v>Cumplimiento de metas acordes con el plan de trabajo.</v>
      </c>
      <c r="E107" s="132" t="str">
        <f>IF(CRONOGRAMA!F106="", "",CRONOGRAMA!F106)</f>
        <v>Comunicaciones</v>
      </c>
      <c r="F107" s="132">
        <f>IF(CRONOGRAMA!G106="", "",CRONOGRAMA!G106)</f>
        <v>1</v>
      </c>
      <c r="G107" s="128">
        <f>IF(CRONOGRAMA!H106="", "",CRONOGRAMA!H106)</f>
        <v>42383</v>
      </c>
      <c r="H107" s="128">
        <f>IF(CRONOGRAMA!I106="", "",CRONOGRAMA!I106)</f>
        <v>42720</v>
      </c>
      <c r="I107" s="84">
        <f t="shared" ref="I107:I109" si="383">IF(G107="",0,IF(H107="",0,(H107-G107)/7))</f>
        <v>48.142857142857146</v>
      </c>
      <c r="J107" s="160" t="str">
        <f>IF($P$6="Indique Fecha Seguimiento","",IF(CRONOGRAMA!$E106="No Aplica","NA",IF($G107="","",IF(YEAR($G107)&lt;YEAR($P$6)," A ",IF(YEAR($G107)=YEAR($P$6),IF(MONTH($G107)&lt;=4," A ","NA"),IF(YEAR($G107)&gt;YEAR($P$6),"NA"))))))</f>
        <v xml:space="preserve"> A </v>
      </c>
      <c r="K107" s="400">
        <v>1</v>
      </c>
      <c r="L107" s="402" t="s">
        <v>898</v>
      </c>
      <c r="M107" s="400">
        <v>1</v>
      </c>
      <c r="N107" s="348">
        <f t="shared" ref="N107:N109" si="384">IF(M107="","",IF($F107=0,0,M107/$F107))</f>
        <v>1</v>
      </c>
      <c r="O107" s="349" t="s">
        <v>11</v>
      </c>
      <c r="P107" s="44"/>
      <c r="Q107" s="84">
        <f t="shared" ref="Q107:Q109" si="385">IF(N107="","",($I107*N107))</f>
        <v>48.142857142857146</v>
      </c>
      <c r="R107" s="84">
        <f t="shared" si="317"/>
        <v>48.142857142857146</v>
      </c>
      <c r="S107" s="84">
        <f t="shared" si="318"/>
        <v>48.142857142857146</v>
      </c>
      <c r="T107" s="160" t="str">
        <f>IF($Z$6="Indique Fecha Seguimiento","",IF(CRONOGRAMA!$E106="No Aplica","NA",IF($G107="","",IF(YEAR($G107)&lt;YEAR($Z$6)," A ",IF(YEAR($G107)=YEAR($Z$6),IF(MONTH($G107)&lt;=8," A ","NA"),IF(YEAR($G107)&gt;YEAR($Z$6),"NA"))))))</f>
        <v xml:space="preserve"> A </v>
      </c>
      <c r="U107" s="350">
        <v>1</v>
      </c>
      <c r="V107" s="44" t="s">
        <v>939</v>
      </c>
      <c r="W107" s="351">
        <v>1</v>
      </c>
      <c r="X107" s="348">
        <f t="shared" ref="X107:X109" si="386">IF(W107="","",IF($F107=0,0,W107/$F107))</f>
        <v>1</v>
      </c>
      <c r="Y107" s="349" t="s">
        <v>11</v>
      </c>
      <c r="Z107" s="44" t="s">
        <v>940</v>
      </c>
      <c r="AA107" s="84">
        <f t="shared" ref="AA107:AA109" si="387">IF(X107="","",($I107*X107))</f>
        <v>48.142857142857146</v>
      </c>
      <c r="AB107" s="84">
        <f t="shared" si="321"/>
        <v>48.142857142857146</v>
      </c>
      <c r="AC107" s="84">
        <f t="shared" si="322"/>
        <v>48.142857142857146</v>
      </c>
      <c r="AD107" s="160" t="str">
        <f>IF($AJ$6="Indique Fecha Seguimiento","",IF(CRONOGRAMA!$E106="No Aplica","NA",IF($G107="","",IF(YEAR($G107)&lt;YEAR($AJ$6)," A ",IF(YEAR($G107)=YEAR($AJ$6),IF(MONTH($G107)&lt;=12," A ","NA"),IF(YEAR($G107)&gt;YEAR($AJ$6),"NA"))))))</f>
        <v xml:space="preserve"> A </v>
      </c>
      <c r="AE107" s="350">
        <v>1</v>
      </c>
      <c r="AF107" s="44" t="str">
        <f>V107</f>
        <v>El cumplimiento de la meta fue informado en primer seguimiento</v>
      </c>
      <c r="AG107" s="351">
        <v>1</v>
      </c>
      <c r="AH107" s="348">
        <f t="shared" ref="AH107:AH109" si="388">IF(AG107="","",IF($F107=0,0,AG107/$F107))</f>
        <v>1</v>
      </c>
      <c r="AI107" s="349" t="s">
        <v>11</v>
      </c>
      <c r="AJ107" s="44" t="str">
        <f>AF107</f>
        <v>El cumplimiento de la meta fue informado en primer seguimiento</v>
      </c>
      <c r="AK107" s="81">
        <f t="shared" ref="AK107:AK109" si="389">IF(AH107="","",($I107*AH107))</f>
        <v>48.142857142857146</v>
      </c>
      <c r="AL107" s="84">
        <f t="shared" si="325"/>
        <v>48.142857142857146</v>
      </c>
      <c r="AM107" s="84">
        <f t="shared" si="326"/>
        <v>48.142857142857146</v>
      </c>
      <c r="AN107" s="579">
        <f t="shared" ref="AN107" si="390">SUM(I107:I109)</f>
        <v>48.142857142857146</v>
      </c>
      <c r="AO107" s="580">
        <f t="shared" ref="AO107" si="391">IF(AND(Q107="",Q108="",Q109=""),"",SUM(Q107:Q109))</f>
        <v>48.142857142857146</v>
      </c>
      <c r="AP107" s="581">
        <f t="shared" ref="AP107" si="392">IF(AND(AA107="",AA108="",AA109=""),"",SUM(AA107:AA109))</f>
        <v>48.142857142857146</v>
      </c>
      <c r="AQ107" s="581">
        <f t="shared" ref="AQ107" si="393">IF(AND(AK107="",AK108="",AK109=""),"",SUM(AK107:AK109))</f>
        <v>48.142857142857146</v>
      </c>
      <c r="AR107" s="582">
        <f t="shared" si="331"/>
        <v>1</v>
      </c>
      <c r="AS107" s="582">
        <f t="shared" si="332"/>
        <v>1</v>
      </c>
      <c r="AT107" s="582">
        <f t="shared" ref="AT107" si="394">IF(AS107&gt;=AR107,AS107,AR107)</f>
        <v>1</v>
      </c>
      <c r="AU107" s="572">
        <f t="shared" si="334"/>
        <v>1</v>
      </c>
      <c r="AV107" s="573">
        <f t="shared" ref="AV107" si="395">IF($AU$6=1,AR107,IF($AU$6=2,AS107,IF($AU$6=3,AU107,"")))</f>
        <v>1</v>
      </c>
      <c r="AW107" s="574">
        <f t="shared" ref="AW107" si="396">AV107</f>
        <v>1</v>
      </c>
      <c r="AX107" t="str">
        <f t="shared" ref="AX107:AX109" si="397">IF($AU$6=1,P107,IF($AU$6=2,Z107,IF($AU$6=3,AJ107,"")))</f>
        <v>El cumplimiento de la meta fue informado en primer seguimiento</v>
      </c>
    </row>
    <row r="108" spans="1:50" ht="15.75" x14ac:dyDescent="0.25">
      <c r="A108" s="576"/>
      <c r="B108" s="578"/>
      <c r="C108" s="82" t="str">
        <f>IF('CONSOLIDACION DEL MAPA'!P107="","",'CONSOLIDACION DEL MAPA'!P107)</f>
        <v/>
      </c>
      <c r="D108" s="82" t="str">
        <f>CRONOGRAMA!D107</f>
        <v/>
      </c>
      <c r="E108" s="132" t="str">
        <f>IF(CRONOGRAMA!F107="", "",CRONOGRAMA!F107)</f>
        <v/>
      </c>
      <c r="F108" s="132" t="str">
        <f>IF(CRONOGRAMA!G107="", "",CRONOGRAMA!G107)</f>
        <v/>
      </c>
      <c r="G108" s="128" t="str">
        <f>IF(CRONOGRAMA!H107="", "",CRONOGRAMA!H107)</f>
        <v/>
      </c>
      <c r="H108" s="128" t="str">
        <f>IF(CRONOGRAMA!I107="", "",CRONOGRAMA!I107)</f>
        <v/>
      </c>
      <c r="I108" s="84">
        <f t="shared" si="383"/>
        <v>0</v>
      </c>
      <c r="J108" s="160" t="str">
        <f>IF($P$6="Indique Fecha Seguimiento","",IF(CRONOGRAMA!$E107="No Aplica","NA",IF($G108="","",IF(YEAR($G108)&lt;YEAR($P$6)," A ",IF(YEAR($G108)=YEAR($P$6),IF(MONTH($G108)&lt;=4," A ","NA"),IF(YEAR($G108)&gt;YEAR($P$6),"NA"))))))</f>
        <v/>
      </c>
      <c r="K108" s="400"/>
      <c r="L108" s="402"/>
      <c r="M108" s="400"/>
      <c r="N108" s="348" t="str">
        <f t="shared" si="384"/>
        <v/>
      </c>
      <c r="O108" s="349"/>
      <c r="P108" s="44"/>
      <c r="Q108" s="84" t="str">
        <f t="shared" si="385"/>
        <v/>
      </c>
      <c r="R108" s="84" t="str">
        <f t="shared" si="317"/>
        <v/>
      </c>
      <c r="S108" s="84">
        <f t="shared" si="318"/>
        <v>0</v>
      </c>
      <c r="T108" s="160" t="str">
        <f>IF($Z$6="Indique Fecha Seguimiento","",IF(CRONOGRAMA!$E107="No Aplica","NA",IF($G108="","",IF(YEAR($G108)&lt;YEAR($Z$6)," A ",IF(YEAR($G108)=YEAR($Z$6),IF(MONTH($G108)&lt;=8," A ","NA"),IF(YEAR($G108)&gt;YEAR($Z$6),"NA"))))))</f>
        <v/>
      </c>
      <c r="U108" s="350"/>
      <c r="V108" s="44"/>
      <c r="W108" s="351"/>
      <c r="X108" s="348" t="str">
        <f t="shared" si="386"/>
        <v/>
      </c>
      <c r="Y108" s="349"/>
      <c r="Z108" s="44"/>
      <c r="AA108" s="84" t="str">
        <f t="shared" si="387"/>
        <v/>
      </c>
      <c r="AB108" s="84" t="str">
        <f t="shared" si="321"/>
        <v/>
      </c>
      <c r="AC108" s="84">
        <f t="shared" si="322"/>
        <v>0</v>
      </c>
      <c r="AD108" s="160" t="str">
        <f>IF($AJ$6="Indique Fecha Seguimiento","",IF(CRONOGRAMA!$E107="No Aplica","NA",IF($G108="","",IF(YEAR($G108)&lt;YEAR($AJ$6)," A ",IF(YEAR($G108)=YEAR($AJ$6),IF(MONTH($G108)&lt;=12," A ","NA"),IF(YEAR($G108)&gt;YEAR($AJ$6),"NA"))))))</f>
        <v/>
      </c>
      <c r="AE108" s="350"/>
      <c r="AF108" s="44"/>
      <c r="AG108" s="351"/>
      <c r="AH108" s="348" t="str">
        <f t="shared" si="388"/>
        <v/>
      </c>
      <c r="AI108" s="349"/>
      <c r="AJ108" s="44"/>
      <c r="AK108" s="81" t="str">
        <f t="shared" si="389"/>
        <v/>
      </c>
      <c r="AL108" s="84" t="str">
        <f t="shared" si="325"/>
        <v/>
      </c>
      <c r="AM108" s="84">
        <f t="shared" si="326"/>
        <v>0</v>
      </c>
      <c r="AN108" s="579"/>
      <c r="AO108" s="580"/>
      <c r="AP108" s="581"/>
      <c r="AQ108" s="581"/>
      <c r="AR108" s="582"/>
      <c r="AS108" s="582"/>
      <c r="AT108" s="582"/>
      <c r="AU108" s="572"/>
      <c r="AV108" s="573"/>
      <c r="AW108" s="574"/>
      <c r="AX108">
        <f t="shared" si="397"/>
        <v>0</v>
      </c>
    </row>
    <row r="109" spans="1:50" ht="16.5" thickBot="1" x14ac:dyDescent="0.3">
      <c r="A109" s="577"/>
      <c r="B109" s="578"/>
      <c r="C109" s="82" t="str">
        <f>IF('CONSOLIDACION DEL MAPA'!P108="","",'CONSOLIDACION DEL MAPA'!P108)</f>
        <v/>
      </c>
      <c r="D109" s="82" t="str">
        <f>CRONOGRAMA!D108</f>
        <v/>
      </c>
      <c r="E109" s="132" t="str">
        <f>IF(CRONOGRAMA!F108="", "",CRONOGRAMA!F108)</f>
        <v/>
      </c>
      <c r="F109" s="132" t="str">
        <f>IF(CRONOGRAMA!G108="", "",CRONOGRAMA!G108)</f>
        <v/>
      </c>
      <c r="G109" s="128" t="str">
        <f>IF(CRONOGRAMA!H108="", "",CRONOGRAMA!H108)</f>
        <v/>
      </c>
      <c r="H109" s="128" t="str">
        <f>IF(CRONOGRAMA!I108="", "",CRONOGRAMA!I108)</f>
        <v/>
      </c>
      <c r="I109" s="84">
        <f t="shared" si="383"/>
        <v>0</v>
      </c>
      <c r="J109" s="160" t="str">
        <f>IF($P$6="Indique Fecha Seguimiento","",IF(CRONOGRAMA!$E108="No Aplica","NA",IF($G109="","",IF(YEAR($G109)&lt;YEAR($P$6)," A ",IF(YEAR($G109)=YEAR($P$6),IF(MONTH($G109)&lt;=4," A ","NA"),IF(YEAR($G109)&gt;YEAR($P$6),"NA"))))))</f>
        <v/>
      </c>
      <c r="K109" s="400"/>
      <c r="L109" s="402"/>
      <c r="M109" s="400"/>
      <c r="N109" s="348" t="str">
        <f t="shared" si="384"/>
        <v/>
      </c>
      <c r="O109" s="349"/>
      <c r="P109" s="44"/>
      <c r="Q109" s="84" t="str">
        <f t="shared" si="385"/>
        <v/>
      </c>
      <c r="R109" s="84" t="str">
        <f t="shared" si="317"/>
        <v/>
      </c>
      <c r="S109" s="84">
        <f t="shared" si="318"/>
        <v>0</v>
      </c>
      <c r="T109" s="160" t="str">
        <f>IF($Z$6="Indique Fecha Seguimiento","",IF(CRONOGRAMA!$E108="No Aplica","NA",IF($G109="","",IF(YEAR($G109)&lt;YEAR($Z$6)," A ",IF(YEAR($G109)=YEAR($Z$6),IF(MONTH($G109)&lt;=8," A ","NA"),IF(YEAR($G109)&gt;YEAR($Z$6),"NA"))))))</f>
        <v/>
      </c>
      <c r="U109" s="350"/>
      <c r="V109" s="44"/>
      <c r="W109" s="351"/>
      <c r="X109" s="348" t="str">
        <f t="shared" si="386"/>
        <v/>
      </c>
      <c r="Y109" s="349"/>
      <c r="Z109" s="44"/>
      <c r="AA109" s="84" t="str">
        <f t="shared" si="387"/>
        <v/>
      </c>
      <c r="AB109" s="84" t="str">
        <f t="shared" si="321"/>
        <v/>
      </c>
      <c r="AC109" s="84">
        <f t="shared" si="322"/>
        <v>0</v>
      </c>
      <c r="AD109" s="160" t="str">
        <f>IF($AJ$6="Indique Fecha Seguimiento","",IF(CRONOGRAMA!$E108="No Aplica","NA",IF($G109="","",IF(YEAR($G109)&lt;YEAR($AJ$6)," A ",IF(YEAR($G109)=YEAR($AJ$6),IF(MONTH($G109)&lt;=12," A ","NA"),IF(YEAR($G109)&gt;YEAR($AJ$6),"NA"))))))</f>
        <v/>
      </c>
      <c r="AE109" s="350"/>
      <c r="AF109" s="44"/>
      <c r="AG109" s="351"/>
      <c r="AH109" s="348" t="str">
        <f t="shared" si="388"/>
        <v/>
      </c>
      <c r="AI109" s="349"/>
      <c r="AJ109" s="44"/>
      <c r="AK109" s="81" t="str">
        <f t="shared" si="389"/>
        <v/>
      </c>
      <c r="AL109" s="84" t="str">
        <f t="shared" si="325"/>
        <v/>
      </c>
      <c r="AM109" s="84">
        <f t="shared" si="326"/>
        <v>0</v>
      </c>
      <c r="AN109" s="579"/>
      <c r="AO109" s="580"/>
      <c r="AP109" s="581"/>
      <c r="AQ109" s="581"/>
      <c r="AR109" s="582"/>
      <c r="AS109" s="582"/>
      <c r="AT109" s="582"/>
      <c r="AU109" s="572"/>
      <c r="AV109" s="573"/>
      <c r="AW109" s="574"/>
      <c r="AX109">
        <f t="shared" si="397"/>
        <v>0</v>
      </c>
    </row>
    <row r="110" spans="1:50" ht="128.25" thickTop="1" x14ac:dyDescent="0.25">
      <c r="A110" s="575" t="str">
        <f>CRONOGRAMA!A109</f>
        <v>6C</v>
      </c>
      <c r="B110" s="578" t="str">
        <f>CRONOGRAMA!B109</f>
        <v>Acreditación. Concentración de información de determinadas actividades o procesos en una persona</v>
      </c>
      <c r="C110" s="82" t="str">
        <f>IF('CONSOLIDACION DEL MAPA'!P109="","",'CONSOLIDACION DEL MAPA'!P109)</f>
        <v>Reducir</v>
      </c>
      <c r="D110" s="82" t="str">
        <f>CRONOGRAMA!D109</f>
        <v>Cumplimiento de metas acordes con el plan de trabajo.</v>
      </c>
      <c r="E110" s="132" t="str">
        <f>IF(CRONOGRAMA!F109="", "",CRONOGRAMA!F109)</f>
        <v>Comunicaciones</v>
      </c>
      <c r="F110" s="132">
        <f>IF(CRONOGRAMA!G109="", "",CRONOGRAMA!G109)</f>
        <v>1</v>
      </c>
      <c r="G110" s="128">
        <f>IF(CRONOGRAMA!H109="", "",CRONOGRAMA!H109)</f>
        <v>42383</v>
      </c>
      <c r="H110" s="128">
        <f>IF(CRONOGRAMA!I109="", "",CRONOGRAMA!I109)</f>
        <v>42720</v>
      </c>
      <c r="I110" s="84">
        <f t="shared" ref="I110:I148" si="398">IF(G110="",0,IF(H110="",0,(H110-G110)/7))</f>
        <v>48.142857142857146</v>
      </c>
      <c r="J110" s="160" t="str">
        <f>IF($P$6="Indique Fecha Seguimiento","",IF(CRONOGRAMA!$E109="No Aplica","NA",IF($G110="","",IF(YEAR($G110)&lt;YEAR($P$6)," A ",IF(YEAR($G110)=YEAR($P$6),IF(MONTH($G110)&lt;=4," A ","NA"),IF(YEAR($G110)&gt;YEAR($P$6),"NA"))))))</f>
        <v xml:space="preserve"> A </v>
      </c>
      <c r="K110" s="400">
        <v>1</v>
      </c>
      <c r="L110" s="402" t="s">
        <v>898</v>
      </c>
      <c r="M110" s="400">
        <v>1</v>
      </c>
      <c r="N110" s="348">
        <f t="shared" ref="N110:N148" si="399">IF(M110="","",IF($F110=0,0,M110/$F110))</f>
        <v>1</v>
      </c>
      <c r="O110" s="349" t="s">
        <v>11</v>
      </c>
      <c r="P110" s="44"/>
      <c r="Q110" s="84">
        <f t="shared" ref="Q110:Q148" si="400">IF(N110="","",($I110*N110))</f>
        <v>48.142857142857146</v>
      </c>
      <c r="R110" s="84">
        <f t="shared" ref="R110:R148" si="401">IF(O110="SI",Q110,IF($P$6&lt;=$H110,Q110,0))</f>
        <v>48.142857142857146</v>
      </c>
      <c r="S110" s="84">
        <f t="shared" si="318"/>
        <v>48.142857142857146</v>
      </c>
      <c r="T110" s="160" t="str">
        <f>IF($Z$6="Indique Fecha Seguimiento","",IF(CRONOGRAMA!$E109="No Aplica","NA",IF($G110="","",IF(YEAR($G110)&lt;YEAR($Z$6)," A ",IF(YEAR($G110)=YEAR($Z$6),IF(MONTH($G110)&lt;=8," A ","NA"),IF(YEAR($G110)&gt;YEAR($Z$6),"NA"))))))</f>
        <v xml:space="preserve"> A </v>
      </c>
      <c r="U110" s="350">
        <v>1</v>
      </c>
      <c r="V110" s="44" t="s">
        <v>939</v>
      </c>
      <c r="W110" s="351">
        <v>1</v>
      </c>
      <c r="X110" s="348">
        <f t="shared" ref="X110:X148" si="402">IF(W110="","",IF($F110=0,0,W110/$F110))</f>
        <v>1</v>
      </c>
      <c r="Y110" s="349" t="s">
        <v>11</v>
      </c>
      <c r="Z110" s="44" t="s">
        <v>940</v>
      </c>
      <c r="AA110" s="84">
        <f t="shared" ref="AA110:AA148" si="403">IF(X110="","",($I110*X110))</f>
        <v>48.142857142857146</v>
      </c>
      <c r="AB110" s="84">
        <f t="shared" ref="AB110:AB148" si="404">IF(N110=1,R110,IF(Y110="SI",AA110,IF($Z$6&lt;=$H110,AA110,0)))</f>
        <v>48.142857142857146</v>
      </c>
      <c r="AC110" s="84">
        <f t="shared" si="322"/>
        <v>48.142857142857146</v>
      </c>
      <c r="AD110" s="160" t="str">
        <f>IF($AJ$6="Indique Fecha Seguimiento","",IF(CRONOGRAMA!$E109="No Aplica","NA",IF($G110="","",IF(YEAR($G110)&lt;YEAR($AJ$6)," A ",IF(YEAR($G110)=YEAR($AJ$6),IF(MONTH($G110)&lt;=12," A ","NA"),IF(YEAR($G110)&gt;YEAR($AJ$6),"NA"))))))</f>
        <v xml:space="preserve"> A </v>
      </c>
      <c r="AE110" s="350">
        <v>1</v>
      </c>
      <c r="AF110" s="44" t="s">
        <v>939</v>
      </c>
      <c r="AG110" s="351">
        <v>1</v>
      </c>
      <c r="AH110" s="348">
        <f t="shared" ref="AH110:AH148" si="405">IF(AG110="","",IF($F110=0,0,AG110/$F110))</f>
        <v>1</v>
      </c>
      <c r="AI110" s="349" t="s">
        <v>11</v>
      </c>
      <c r="AJ110" s="44" t="str">
        <f>AF110</f>
        <v>El cumplimiento de la meta fue informado en primer seguimiento</v>
      </c>
      <c r="AK110" s="81">
        <f t="shared" ref="AK110:AK148" si="406">IF(AH110="","",($I110*AH110))</f>
        <v>48.142857142857146</v>
      </c>
      <c r="AL110" s="84">
        <f t="shared" ref="AL110:AL148" si="407">IF(X110=1,AB110,IF(AI110="SI",AK110,IF($AJ$6&lt;=$H110,AK110,0)))</f>
        <v>48.142857142857146</v>
      </c>
      <c r="AM110" s="84">
        <f t="shared" si="326"/>
        <v>48.142857142857146</v>
      </c>
      <c r="AN110" s="579">
        <f t="shared" ref="AN110" si="408">SUM(I110:I112)</f>
        <v>48.142857142857146</v>
      </c>
      <c r="AO110" s="580">
        <f t="shared" ref="AO110" si="409">IF(AND(Q110="",Q111="",Q112=""),"",SUM(Q110:Q112))</f>
        <v>48.142857142857146</v>
      </c>
      <c r="AP110" s="581">
        <f t="shared" ref="AP110" si="410">IF(AND(AA110="",AA111="",AA112=""),"",SUM(AA110:AA112))</f>
        <v>48.142857142857146</v>
      </c>
      <c r="AQ110" s="581">
        <f t="shared" ref="AQ110" si="411">IF(AND(AK110="",AK111="",AK112=""),"",SUM(AK110:AK112))</f>
        <v>48.142857142857146</v>
      </c>
      <c r="AR110" s="582">
        <f t="shared" si="331"/>
        <v>1</v>
      </c>
      <c r="AS110" s="582">
        <f t="shared" si="332"/>
        <v>1</v>
      </c>
      <c r="AT110" s="582">
        <f t="shared" ref="AT110" si="412">IF(AS110&gt;=AR110,AS110,AR110)</f>
        <v>1</v>
      </c>
      <c r="AU110" s="572">
        <f t="shared" si="334"/>
        <v>1</v>
      </c>
      <c r="AV110" s="573">
        <f t="shared" ref="AV110" si="413">IF($AU$6=1,AR110,IF($AU$6=2,AS110,IF($AU$6=3,AU110,"")))</f>
        <v>1</v>
      </c>
      <c r="AW110" s="574">
        <f t="shared" ref="AW110" si="414">AV110</f>
        <v>1</v>
      </c>
      <c r="AX110" t="str">
        <f t="shared" ref="AX110:AX148" si="415">IF($AU$6=1,P110,IF($AU$6=2,Z110,IF($AU$6=3,AJ110,"")))</f>
        <v>El cumplimiento de la meta fue informado en primer seguimiento</v>
      </c>
    </row>
    <row r="111" spans="1:50" ht="15.75" x14ac:dyDescent="0.25">
      <c r="A111" s="576"/>
      <c r="B111" s="578"/>
      <c r="C111" s="82" t="str">
        <f>IF('CONSOLIDACION DEL MAPA'!P110="","",'CONSOLIDACION DEL MAPA'!P110)</f>
        <v/>
      </c>
      <c r="D111" s="82" t="str">
        <f>CRONOGRAMA!D110</f>
        <v/>
      </c>
      <c r="E111" s="132" t="str">
        <f>IF(CRONOGRAMA!F110="", "",CRONOGRAMA!F110)</f>
        <v/>
      </c>
      <c r="F111" s="132" t="str">
        <f>IF(CRONOGRAMA!G110="", "",CRONOGRAMA!G110)</f>
        <v/>
      </c>
      <c r="G111" s="128" t="str">
        <f>IF(CRONOGRAMA!H110="", "",CRONOGRAMA!H110)</f>
        <v/>
      </c>
      <c r="H111" s="128" t="str">
        <f>IF(CRONOGRAMA!I110="", "",CRONOGRAMA!I110)</f>
        <v/>
      </c>
      <c r="I111" s="84">
        <f t="shared" si="398"/>
        <v>0</v>
      </c>
      <c r="J111" s="160" t="str">
        <f>IF($P$6="Indique Fecha Seguimiento","",IF(CRONOGRAMA!$E110="No Aplica","NA",IF($G111="","",IF(YEAR($G111)&lt;YEAR($P$6)," A ",IF(YEAR($G111)=YEAR($P$6),IF(MONTH($G111)&lt;=4," A ","NA"),IF(YEAR($G111)&gt;YEAR($P$6),"NA"))))))</f>
        <v/>
      </c>
      <c r="K111" s="400"/>
      <c r="L111" s="402"/>
      <c r="M111" s="400"/>
      <c r="N111" s="348" t="str">
        <f t="shared" si="399"/>
        <v/>
      </c>
      <c r="O111" s="349"/>
      <c r="P111" s="44"/>
      <c r="Q111" s="84" t="str">
        <f t="shared" si="400"/>
        <v/>
      </c>
      <c r="R111" s="84" t="str">
        <f t="shared" si="401"/>
        <v/>
      </c>
      <c r="S111" s="84">
        <f t="shared" si="318"/>
        <v>0</v>
      </c>
      <c r="T111" s="160" t="str">
        <f>IF($Z$6="Indique Fecha Seguimiento","",IF(CRONOGRAMA!$E110="No Aplica","NA",IF($G111="","",IF(YEAR($G111)&lt;YEAR($Z$6)," A ",IF(YEAR($G111)=YEAR($Z$6),IF(MONTH($G111)&lt;=8," A ","NA"),IF(YEAR($G111)&gt;YEAR($Z$6),"NA"))))))</f>
        <v/>
      </c>
      <c r="U111" s="350"/>
      <c r="V111" s="44"/>
      <c r="W111" s="351"/>
      <c r="X111" s="348" t="str">
        <f t="shared" si="402"/>
        <v/>
      </c>
      <c r="Y111" s="349"/>
      <c r="Z111" s="44"/>
      <c r="AA111" s="84" t="str">
        <f t="shared" si="403"/>
        <v/>
      </c>
      <c r="AB111" s="84" t="str">
        <f t="shared" si="404"/>
        <v/>
      </c>
      <c r="AC111" s="84">
        <f t="shared" si="322"/>
        <v>0</v>
      </c>
      <c r="AD111" s="160" t="str">
        <f>IF($AJ$6="Indique Fecha Seguimiento","",IF(CRONOGRAMA!$E110="No Aplica","NA",IF($G111="","",IF(YEAR($G111)&lt;YEAR($AJ$6)," A ",IF(YEAR($G111)=YEAR($AJ$6),IF(MONTH($G111)&lt;=12," A ","NA"),IF(YEAR($G111)&gt;YEAR($AJ$6),"NA"))))))</f>
        <v/>
      </c>
      <c r="AE111" s="350"/>
      <c r="AF111" s="44"/>
      <c r="AG111" s="351"/>
      <c r="AH111" s="348" t="str">
        <f t="shared" si="405"/>
        <v/>
      </c>
      <c r="AI111" s="349"/>
      <c r="AJ111" s="44"/>
      <c r="AK111" s="81" t="str">
        <f t="shared" si="406"/>
        <v/>
      </c>
      <c r="AL111" s="84" t="str">
        <f t="shared" si="407"/>
        <v/>
      </c>
      <c r="AM111" s="84">
        <f t="shared" si="326"/>
        <v>0</v>
      </c>
      <c r="AN111" s="579"/>
      <c r="AO111" s="580"/>
      <c r="AP111" s="581"/>
      <c r="AQ111" s="581"/>
      <c r="AR111" s="582"/>
      <c r="AS111" s="582"/>
      <c r="AT111" s="582"/>
      <c r="AU111" s="572"/>
      <c r="AV111" s="573"/>
      <c r="AW111" s="574"/>
      <c r="AX111">
        <f t="shared" si="415"/>
        <v>0</v>
      </c>
    </row>
    <row r="112" spans="1:50" ht="16.5" thickBot="1" x14ac:dyDescent="0.3">
      <c r="A112" s="577"/>
      <c r="B112" s="578"/>
      <c r="C112" s="82" t="str">
        <f>IF('CONSOLIDACION DEL MAPA'!P111="","",'CONSOLIDACION DEL MAPA'!P111)</f>
        <v/>
      </c>
      <c r="D112" s="82" t="str">
        <f>CRONOGRAMA!D111</f>
        <v/>
      </c>
      <c r="E112" s="132" t="str">
        <f>IF(CRONOGRAMA!F111="", "",CRONOGRAMA!F111)</f>
        <v/>
      </c>
      <c r="F112" s="132" t="str">
        <f>IF(CRONOGRAMA!G111="", "",CRONOGRAMA!G111)</f>
        <v/>
      </c>
      <c r="G112" s="128" t="str">
        <f>IF(CRONOGRAMA!H111="", "",CRONOGRAMA!H111)</f>
        <v/>
      </c>
      <c r="H112" s="128" t="str">
        <f>IF(CRONOGRAMA!I111="", "",CRONOGRAMA!I111)</f>
        <v/>
      </c>
      <c r="I112" s="84">
        <f t="shared" si="398"/>
        <v>0</v>
      </c>
      <c r="J112" s="160" t="str">
        <f>IF($P$6="Indique Fecha Seguimiento","",IF(CRONOGRAMA!$E111="No Aplica","NA",IF($G112="","",IF(YEAR($G112)&lt;YEAR($P$6)," A ",IF(YEAR($G112)=YEAR($P$6),IF(MONTH($G112)&lt;=4," A ","NA"),IF(YEAR($G112)&gt;YEAR($P$6),"NA"))))))</f>
        <v/>
      </c>
      <c r="K112" s="400"/>
      <c r="L112" s="402"/>
      <c r="M112" s="400"/>
      <c r="N112" s="348" t="str">
        <f t="shared" si="399"/>
        <v/>
      </c>
      <c r="O112" s="349"/>
      <c r="P112" s="44"/>
      <c r="Q112" s="84" t="str">
        <f t="shared" si="400"/>
        <v/>
      </c>
      <c r="R112" s="84" t="str">
        <f t="shared" si="401"/>
        <v/>
      </c>
      <c r="S112" s="84">
        <f t="shared" si="318"/>
        <v>0</v>
      </c>
      <c r="T112" s="160" t="str">
        <f>IF($Z$6="Indique Fecha Seguimiento","",IF(CRONOGRAMA!$E111="No Aplica","NA",IF($G112="","",IF(YEAR($G112)&lt;YEAR($Z$6)," A ",IF(YEAR($G112)=YEAR($Z$6),IF(MONTH($G112)&lt;=8," A ","NA"),IF(YEAR($G112)&gt;YEAR($Z$6),"NA"))))))</f>
        <v/>
      </c>
      <c r="U112" s="350"/>
      <c r="V112" s="44"/>
      <c r="W112" s="351"/>
      <c r="X112" s="348" t="str">
        <f t="shared" si="402"/>
        <v/>
      </c>
      <c r="Y112" s="349"/>
      <c r="Z112" s="44"/>
      <c r="AA112" s="84" t="str">
        <f t="shared" si="403"/>
        <v/>
      </c>
      <c r="AB112" s="84" t="str">
        <f t="shared" si="404"/>
        <v/>
      </c>
      <c r="AC112" s="84">
        <f t="shared" si="322"/>
        <v>0</v>
      </c>
      <c r="AD112" s="160" t="str">
        <f>IF($AJ$6="Indique Fecha Seguimiento","",IF(CRONOGRAMA!$E111="No Aplica","NA",IF($G112="","",IF(YEAR($G112)&lt;YEAR($AJ$6)," A ",IF(YEAR($G112)=YEAR($AJ$6),IF(MONTH($G112)&lt;=12," A ","NA"),IF(YEAR($G112)&gt;YEAR($AJ$6),"NA"))))))</f>
        <v/>
      </c>
      <c r="AE112" s="350"/>
      <c r="AF112" s="44"/>
      <c r="AG112" s="351"/>
      <c r="AH112" s="348" t="str">
        <f t="shared" si="405"/>
        <v/>
      </c>
      <c r="AI112" s="349"/>
      <c r="AJ112" s="44"/>
      <c r="AK112" s="81" t="str">
        <f t="shared" si="406"/>
        <v/>
      </c>
      <c r="AL112" s="84" t="str">
        <f t="shared" si="407"/>
        <v/>
      </c>
      <c r="AM112" s="84">
        <f t="shared" si="326"/>
        <v>0</v>
      </c>
      <c r="AN112" s="579"/>
      <c r="AO112" s="580"/>
      <c r="AP112" s="581"/>
      <c r="AQ112" s="581"/>
      <c r="AR112" s="582"/>
      <c r="AS112" s="582"/>
      <c r="AT112" s="582"/>
      <c r="AU112" s="572"/>
      <c r="AV112" s="573"/>
      <c r="AW112" s="574"/>
      <c r="AX112">
        <f t="shared" si="415"/>
        <v>0</v>
      </c>
    </row>
    <row r="113" spans="1:50" ht="39" thickTop="1" x14ac:dyDescent="0.25">
      <c r="A113" s="575" t="str">
        <f>CRONOGRAMA!A112</f>
        <v>7C</v>
      </c>
      <c r="B113" s="578" t="str">
        <f>CRONOGRAMA!B112</f>
        <v>Gestión de la Calidad. Concentración de información de determinadas actividades o procesos en una persona</v>
      </c>
      <c r="C113" s="82" t="str">
        <f>IF('CONSOLIDACION DEL MAPA'!P112="","",'CONSOLIDACION DEL MAPA'!P112)</f>
        <v>No Establecer</v>
      </c>
      <c r="D113" s="82" t="str">
        <f>CRONOGRAMA!D112</f>
        <v>Seguir ejecutando y monitoreando los controles existentes</v>
      </c>
      <c r="E113" s="132" t="str">
        <f>IF(CRONOGRAMA!F112="", "",CRONOGRAMA!F112)</f>
        <v/>
      </c>
      <c r="F113" s="132" t="str">
        <f>IF(CRONOGRAMA!G112="", "",CRONOGRAMA!G112)</f>
        <v/>
      </c>
      <c r="G113" s="128" t="str">
        <f>IF(CRONOGRAMA!H112="", "",CRONOGRAMA!H112)</f>
        <v/>
      </c>
      <c r="H113" s="128" t="str">
        <f>IF(CRONOGRAMA!I112="", "",CRONOGRAMA!I112)</f>
        <v/>
      </c>
      <c r="I113" s="84">
        <f t="shared" si="398"/>
        <v>0</v>
      </c>
      <c r="J113" s="160" t="str">
        <f>IF($P$6="Indique Fecha Seguimiento","",IF(CRONOGRAMA!$E112="No Aplica","NA",IF($G113="","",IF(YEAR($G113)&lt;YEAR($P$6)," A ",IF(YEAR($G113)=YEAR($P$6),IF(MONTH($G113)&lt;=4," A ","NA"),IF(YEAR($G113)&gt;YEAR($P$6),"NA"))))))</f>
        <v>NA</v>
      </c>
      <c r="K113" s="400"/>
      <c r="L113" s="402"/>
      <c r="M113" s="400"/>
      <c r="N113" s="348" t="str">
        <f t="shared" si="399"/>
        <v/>
      </c>
      <c r="O113" s="349"/>
      <c r="P113" s="44"/>
      <c r="Q113" s="84" t="str">
        <f t="shared" si="400"/>
        <v/>
      </c>
      <c r="R113" s="84" t="str">
        <f t="shared" si="401"/>
        <v/>
      </c>
      <c r="S113" s="84">
        <f t="shared" si="318"/>
        <v>0</v>
      </c>
      <c r="T113" s="160" t="str">
        <f>IF($Z$6="Indique Fecha Seguimiento","",IF(CRONOGRAMA!$E112="No Aplica","NA",IF($G113="","",IF(YEAR($G113)&lt;YEAR($Z$6)," A ",IF(YEAR($G113)=YEAR($Z$6),IF(MONTH($G113)&lt;=8," A ","NA"),IF(YEAR($G113)&gt;YEAR($Z$6),"NA"))))))</f>
        <v>NA</v>
      </c>
      <c r="U113" s="350"/>
      <c r="V113" s="44"/>
      <c r="W113" s="351"/>
      <c r="X113" s="348" t="str">
        <f t="shared" si="402"/>
        <v/>
      </c>
      <c r="Y113" s="349"/>
      <c r="Z113" s="44"/>
      <c r="AA113" s="84" t="str">
        <f t="shared" si="403"/>
        <v/>
      </c>
      <c r="AB113" s="84" t="str">
        <f t="shared" si="404"/>
        <v/>
      </c>
      <c r="AC113" s="84">
        <f t="shared" si="322"/>
        <v>0</v>
      </c>
      <c r="AD113" s="160" t="str">
        <f>IF($AJ$6="Indique Fecha Seguimiento","",IF(CRONOGRAMA!$E112="No Aplica","NA",IF($G113="","",IF(YEAR($G113)&lt;YEAR($AJ$6)," A ",IF(YEAR($G113)=YEAR($AJ$6),IF(MONTH($G113)&lt;=12," A ","NA"),IF(YEAR($G113)&gt;YEAR($AJ$6),"NA"))))))</f>
        <v>NA</v>
      </c>
      <c r="AE113" s="350"/>
      <c r="AF113" s="44"/>
      <c r="AG113" s="351"/>
      <c r="AH113" s="348" t="str">
        <f t="shared" si="405"/>
        <v/>
      </c>
      <c r="AI113" s="349"/>
      <c r="AJ113" s="44"/>
      <c r="AK113" s="81" t="str">
        <f t="shared" si="406"/>
        <v/>
      </c>
      <c r="AL113" s="84" t="str">
        <f t="shared" si="407"/>
        <v/>
      </c>
      <c r="AM113" s="84">
        <f t="shared" si="326"/>
        <v>0</v>
      </c>
      <c r="AN113" s="579">
        <f t="shared" ref="AN113" si="416">SUM(I113:I115)</f>
        <v>0</v>
      </c>
      <c r="AO113" s="580" t="str">
        <f t="shared" ref="AO113" si="417">IF(AND(Q113="",Q114="",Q115=""),"",SUM(Q113:Q115))</f>
        <v/>
      </c>
      <c r="AP113" s="581" t="str">
        <f t="shared" ref="AP113" si="418">IF(AND(AA113="",AA114="",AA115=""),"",SUM(AA113:AA115))</f>
        <v/>
      </c>
      <c r="AQ113" s="581" t="str">
        <f t="shared" ref="AQ113" si="419">IF(AND(AK113="",AK114="",AK115=""),"",SUM(AK113:AK115))</f>
        <v/>
      </c>
      <c r="AR113" s="582" t="str">
        <f t="shared" si="331"/>
        <v>NA</v>
      </c>
      <c r="AS113" s="582" t="str">
        <f t="shared" si="332"/>
        <v>NA</v>
      </c>
      <c r="AT113" s="582" t="str">
        <f t="shared" ref="AT113" si="420">IF(AS113&gt;=AR113,AS113,AR113)</f>
        <v>NA</v>
      </c>
      <c r="AU113" s="572" t="str">
        <f t="shared" si="334"/>
        <v>NA</v>
      </c>
      <c r="AV113" s="573" t="str">
        <f t="shared" ref="AV113" si="421">IF($AU$6=1,AR113,IF($AU$6=2,AS113,IF($AU$6=3,AU113,"")))</f>
        <v>NA</v>
      </c>
      <c r="AW113" s="574" t="str">
        <f t="shared" ref="AW113" si="422">AV113</f>
        <v>NA</v>
      </c>
      <c r="AX113">
        <f t="shared" si="415"/>
        <v>0</v>
      </c>
    </row>
    <row r="114" spans="1:50" ht="15.75" x14ac:dyDescent="0.25">
      <c r="A114" s="576"/>
      <c r="B114" s="578"/>
      <c r="C114" s="82" t="str">
        <f>IF('CONSOLIDACION DEL MAPA'!P113="","",'CONSOLIDACION DEL MAPA'!P113)</f>
        <v/>
      </c>
      <c r="D114" s="82" t="str">
        <f>CRONOGRAMA!D113</f>
        <v/>
      </c>
      <c r="E114" s="132" t="str">
        <f>IF(CRONOGRAMA!F113="", "",CRONOGRAMA!F113)</f>
        <v/>
      </c>
      <c r="F114" s="132" t="str">
        <f>IF(CRONOGRAMA!G113="", "",CRONOGRAMA!G113)</f>
        <v/>
      </c>
      <c r="G114" s="128" t="str">
        <f>IF(CRONOGRAMA!H113="", "",CRONOGRAMA!H113)</f>
        <v/>
      </c>
      <c r="H114" s="128" t="str">
        <f>IF(CRONOGRAMA!I113="", "",CRONOGRAMA!I113)</f>
        <v/>
      </c>
      <c r="I114" s="84">
        <f t="shared" si="398"/>
        <v>0</v>
      </c>
      <c r="J114" s="160" t="str">
        <f>IF($P$6="Indique Fecha Seguimiento","",IF(CRONOGRAMA!$E113="No Aplica","NA",IF($G114="","",IF(YEAR($G114)&lt;YEAR($P$6)," A ",IF(YEAR($G114)=YEAR($P$6),IF(MONTH($G114)&lt;=4," A ","NA"),IF(YEAR($G114)&gt;YEAR($P$6),"NA"))))))</f>
        <v/>
      </c>
      <c r="K114" s="400"/>
      <c r="L114" s="402"/>
      <c r="M114" s="400"/>
      <c r="N114" s="348" t="str">
        <f t="shared" si="399"/>
        <v/>
      </c>
      <c r="O114" s="349"/>
      <c r="P114" s="44"/>
      <c r="Q114" s="84" t="str">
        <f t="shared" si="400"/>
        <v/>
      </c>
      <c r="R114" s="84" t="str">
        <f t="shared" si="401"/>
        <v/>
      </c>
      <c r="S114" s="84">
        <f t="shared" si="318"/>
        <v>0</v>
      </c>
      <c r="T114" s="160" t="str">
        <f>IF($Z$6="Indique Fecha Seguimiento","",IF(CRONOGRAMA!$E113="No Aplica","NA",IF($G114="","",IF(YEAR($G114)&lt;YEAR($Z$6)," A ",IF(YEAR($G114)=YEAR($Z$6),IF(MONTH($G114)&lt;=8," A ","NA"),IF(YEAR($G114)&gt;YEAR($Z$6),"NA"))))))</f>
        <v/>
      </c>
      <c r="U114" s="350"/>
      <c r="V114" s="44"/>
      <c r="W114" s="351"/>
      <c r="X114" s="348" t="str">
        <f t="shared" si="402"/>
        <v/>
      </c>
      <c r="Y114" s="349"/>
      <c r="Z114" s="44"/>
      <c r="AA114" s="84" t="str">
        <f t="shared" si="403"/>
        <v/>
      </c>
      <c r="AB114" s="84" t="str">
        <f t="shared" si="404"/>
        <v/>
      </c>
      <c r="AC114" s="84">
        <f t="shared" si="322"/>
        <v>0</v>
      </c>
      <c r="AD114" s="160" t="str">
        <f>IF($AJ$6="Indique Fecha Seguimiento","",IF(CRONOGRAMA!$E113="No Aplica","NA",IF($G114="","",IF(YEAR($G114)&lt;YEAR($AJ$6)," A ",IF(YEAR($G114)=YEAR($AJ$6),IF(MONTH($G114)&lt;=12," A ","NA"),IF(YEAR($G114)&gt;YEAR($AJ$6),"NA"))))))</f>
        <v/>
      </c>
      <c r="AE114" s="350"/>
      <c r="AF114" s="44"/>
      <c r="AG114" s="351"/>
      <c r="AH114" s="348" t="str">
        <f t="shared" si="405"/>
        <v/>
      </c>
      <c r="AI114" s="349"/>
      <c r="AJ114" s="44"/>
      <c r="AK114" s="81" t="str">
        <f t="shared" si="406"/>
        <v/>
      </c>
      <c r="AL114" s="84" t="str">
        <f t="shared" si="407"/>
        <v/>
      </c>
      <c r="AM114" s="84">
        <f t="shared" si="326"/>
        <v>0</v>
      </c>
      <c r="AN114" s="579"/>
      <c r="AO114" s="580"/>
      <c r="AP114" s="581"/>
      <c r="AQ114" s="581"/>
      <c r="AR114" s="582"/>
      <c r="AS114" s="582"/>
      <c r="AT114" s="582"/>
      <c r="AU114" s="572"/>
      <c r="AV114" s="573"/>
      <c r="AW114" s="574"/>
      <c r="AX114">
        <f t="shared" si="415"/>
        <v>0</v>
      </c>
    </row>
    <row r="115" spans="1:50" ht="16.5" thickBot="1" x14ac:dyDescent="0.3">
      <c r="A115" s="577"/>
      <c r="B115" s="578"/>
      <c r="C115" s="82" t="str">
        <f>IF('CONSOLIDACION DEL MAPA'!P114="","",'CONSOLIDACION DEL MAPA'!P114)</f>
        <v/>
      </c>
      <c r="D115" s="82" t="str">
        <f>CRONOGRAMA!D114</f>
        <v/>
      </c>
      <c r="E115" s="132" t="str">
        <f>IF(CRONOGRAMA!F114="", "",CRONOGRAMA!F114)</f>
        <v/>
      </c>
      <c r="F115" s="132" t="str">
        <f>IF(CRONOGRAMA!G114="", "",CRONOGRAMA!G114)</f>
        <v/>
      </c>
      <c r="G115" s="128" t="str">
        <f>IF(CRONOGRAMA!H114="", "",CRONOGRAMA!H114)</f>
        <v/>
      </c>
      <c r="H115" s="128" t="str">
        <f>IF(CRONOGRAMA!I114="", "",CRONOGRAMA!I114)</f>
        <v/>
      </c>
      <c r="I115" s="84">
        <f t="shared" si="398"/>
        <v>0</v>
      </c>
      <c r="J115" s="160" t="str">
        <f>IF($P$6="Indique Fecha Seguimiento","",IF(CRONOGRAMA!$E114="No Aplica","NA",IF($G115="","",IF(YEAR($G115)&lt;YEAR($P$6)," A ",IF(YEAR($G115)=YEAR($P$6),IF(MONTH($G115)&lt;=4," A ","NA"),IF(YEAR($G115)&gt;YEAR($P$6),"NA"))))))</f>
        <v/>
      </c>
      <c r="K115" s="400"/>
      <c r="L115" s="402"/>
      <c r="M115" s="400"/>
      <c r="N115" s="348" t="str">
        <f t="shared" si="399"/>
        <v/>
      </c>
      <c r="O115" s="349"/>
      <c r="P115" s="44"/>
      <c r="Q115" s="84" t="str">
        <f t="shared" si="400"/>
        <v/>
      </c>
      <c r="R115" s="84" t="str">
        <f t="shared" si="401"/>
        <v/>
      </c>
      <c r="S115" s="84">
        <f t="shared" si="318"/>
        <v>0</v>
      </c>
      <c r="T115" s="160" t="str">
        <f>IF($Z$6="Indique Fecha Seguimiento","",IF(CRONOGRAMA!$E114="No Aplica","NA",IF($G115="","",IF(YEAR($G115)&lt;YEAR($Z$6)," A ",IF(YEAR($G115)=YEAR($Z$6),IF(MONTH($G115)&lt;=8," A ","NA"),IF(YEAR($G115)&gt;YEAR($Z$6),"NA"))))))</f>
        <v/>
      </c>
      <c r="U115" s="350"/>
      <c r="V115" s="44"/>
      <c r="W115" s="351"/>
      <c r="X115" s="348" t="str">
        <f t="shared" si="402"/>
        <v/>
      </c>
      <c r="Y115" s="349"/>
      <c r="Z115" s="44"/>
      <c r="AA115" s="84" t="str">
        <f t="shared" si="403"/>
        <v/>
      </c>
      <c r="AB115" s="84" t="str">
        <f t="shared" si="404"/>
        <v/>
      </c>
      <c r="AC115" s="84">
        <f t="shared" si="322"/>
        <v>0</v>
      </c>
      <c r="AD115" s="160" t="str">
        <f>IF($AJ$6="Indique Fecha Seguimiento","",IF(CRONOGRAMA!$E114="No Aplica","NA",IF($G115="","",IF(YEAR($G115)&lt;YEAR($AJ$6)," A ",IF(YEAR($G115)=YEAR($AJ$6),IF(MONTH($G115)&lt;=12," A ","NA"),IF(YEAR($G115)&gt;YEAR($AJ$6),"NA"))))))</f>
        <v/>
      </c>
      <c r="AE115" s="350"/>
      <c r="AF115" s="44"/>
      <c r="AG115" s="351"/>
      <c r="AH115" s="348" t="str">
        <f t="shared" si="405"/>
        <v/>
      </c>
      <c r="AI115" s="349"/>
      <c r="AJ115" s="44"/>
      <c r="AK115" s="81" t="str">
        <f t="shared" si="406"/>
        <v/>
      </c>
      <c r="AL115" s="84" t="str">
        <f t="shared" si="407"/>
        <v/>
      </c>
      <c r="AM115" s="84">
        <f t="shared" si="326"/>
        <v>0</v>
      </c>
      <c r="AN115" s="579"/>
      <c r="AO115" s="580"/>
      <c r="AP115" s="581"/>
      <c r="AQ115" s="581"/>
      <c r="AR115" s="582"/>
      <c r="AS115" s="582"/>
      <c r="AT115" s="582"/>
      <c r="AU115" s="572"/>
      <c r="AV115" s="573"/>
      <c r="AW115" s="574"/>
      <c r="AX115">
        <f t="shared" si="415"/>
        <v>0</v>
      </c>
    </row>
    <row r="116" spans="1:50" ht="39" thickTop="1" x14ac:dyDescent="0.25">
      <c r="A116" s="575" t="str">
        <f>CRONOGRAMA!A115</f>
        <v>8C</v>
      </c>
      <c r="B116" s="578" t="str">
        <f>CRONOGRAMA!B115</f>
        <v>Gestión de la Calidad. Deficiencias en el  manejo documental y de archivo</v>
      </c>
      <c r="C116" s="82" t="str">
        <f>IF('CONSOLIDACION DEL MAPA'!P115="","",'CONSOLIDACION DEL MAPA'!P115)</f>
        <v>No Establecer</v>
      </c>
      <c r="D116" s="82" t="str">
        <f>CRONOGRAMA!D115</f>
        <v>Seguir ejecutando y monitoreando los controles existentes</v>
      </c>
      <c r="E116" s="132" t="str">
        <f>IF(CRONOGRAMA!F115="", "",CRONOGRAMA!F115)</f>
        <v/>
      </c>
      <c r="F116" s="132" t="str">
        <f>IF(CRONOGRAMA!G115="", "",CRONOGRAMA!G115)</f>
        <v/>
      </c>
      <c r="G116" s="128" t="str">
        <f>IF(CRONOGRAMA!H115="", "",CRONOGRAMA!H115)</f>
        <v/>
      </c>
      <c r="H116" s="128" t="str">
        <f>IF(CRONOGRAMA!I115="", "",CRONOGRAMA!I115)</f>
        <v/>
      </c>
      <c r="I116" s="84">
        <f t="shared" si="398"/>
        <v>0</v>
      </c>
      <c r="J116" s="160" t="str">
        <f>IF($P$6="Indique Fecha Seguimiento","",IF(CRONOGRAMA!$E115="No Aplica","NA",IF($G116="","",IF(YEAR($G116)&lt;YEAR($P$6)," A ",IF(YEAR($G116)=YEAR($P$6),IF(MONTH($G116)&lt;=4," A ","NA"),IF(YEAR($G116)&gt;YEAR($P$6),"NA"))))))</f>
        <v>NA</v>
      </c>
      <c r="K116" s="400"/>
      <c r="L116" s="402"/>
      <c r="M116" s="400"/>
      <c r="N116" s="348" t="str">
        <f t="shared" si="399"/>
        <v/>
      </c>
      <c r="O116" s="349"/>
      <c r="P116" s="44"/>
      <c r="Q116" s="84" t="str">
        <f t="shared" si="400"/>
        <v/>
      </c>
      <c r="R116" s="84" t="str">
        <f t="shared" si="401"/>
        <v/>
      </c>
      <c r="S116" s="84">
        <f t="shared" si="318"/>
        <v>0</v>
      </c>
      <c r="T116" s="160" t="str">
        <f>IF($Z$6="Indique Fecha Seguimiento","",IF(CRONOGRAMA!$E115="No Aplica","NA",IF($G116="","",IF(YEAR($G116)&lt;YEAR($Z$6)," A ",IF(YEAR($G116)=YEAR($Z$6),IF(MONTH($G116)&lt;=8," A ","NA"),IF(YEAR($G116)&gt;YEAR($Z$6),"NA"))))))</f>
        <v>NA</v>
      </c>
      <c r="U116" s="350"/>
      <c r="V116" s="44"/>
      <c r="W116" s="351"/>
      <c r="X116" s="348" t="str">
        <f t="shared" si="402"/>
        <v/>
      </c>
      <c r="Y116" s="349"/>
      <c r="Z116" s="44"/>
      <c r="AA116" s="84" t="str">
        <f t="shared" si="403"/>
        <v/>
      </c>
      <c r="AB116" s="84" t="str">
        <f t="shared" si="404"/>
        <v/>
      </c>
      <c r="AC116" s="84">
        <f t="shared" si="322"/>
        <v>0</v>
      </c>
      <c r="AD116" s="160" t="str">
        <f>IF($AJ$6="Indique Fecha Seguimiento","",IF(CRONOGRAMA!$E115="No Aplica","NA",IF($G116="","",IF(YEAR($G116)&lt;YEAR($AJ$6)," A ",IF(YEAR($G116)=YEAR($AJ$6),IF(MONTH($G116)&lt;=12," A ","NA"),IF(YEAR($G116)&gt;YEAR($AJ$6),"NA"))))))</f>
        <v>NA</v>
      </c>
      <c r="AE116" s="350"/>
      <c r="AF116" s="44"/>
      <c r="AG116" s="351"/>
      <c r="AH116" s="348" t="str">
        <f t="shared" si="405"/>
        <v/>
      </c>
      <c r="AI116" s="349"/>
      <c r="AJ116" s="44"/>
      <c r="AK116" s="81" t="str">
        <f t="shared" si="406"/>
        <v/>
      </c>
      <c r="AL116" s="84" t="str">
        <f t="shared" si="407"/>
        <v/>
      </c>
      <c r="AM116" s="84">
        <f t="shared" si="326"/>
        <v>0</v>
      </c>
      <c r="AN116" s="579">
        <f t="shared" ref="AN116" si="423">SUM(I116:I118)</f>
        <v>0</v>
      </c>
      <c r="AO116" s="580" t="str">
        <f t="shared" ref="AO116" si="424">IF(AND(Q116="",Q117="",Q118=""),"",SUM(Q116:Q118))</f>
        <v/>
      </c>
      <c r="AP116" s="581" t="str">
        <f t="shared" ref="AP116" si="425">IF(AND(AA116="",AA117="",AA118=""),"",SUM(AA116:AA118))</f>
        <v/>
      </c>
      <c r="AQ116" s="581" t="str">
        <f t="shared" ref="AQ116" si="426">IF(AND(AK116="",AK117="",AK118=""),"",SUM(AK116:AK118))</f>
        <v/>
      </c>
      <c r="AR116" s="582" t="str">
        <f t="shared" si="331"/>
        <v>NA</v>
      </c>
      <c r="AS116" s="582" t="str">
        <f t="shared" si="332"/>
        <v>NA</v>
      </c>
      <c r="AT116" s="582" t="str">
        <f t="shared" ref="AT116" si="427">IF(AS116&gt;=AR116,AS116,AR116)</f>
        <v>NA</v>
      </c>
      <c r="AU116" s="572" t="str">
        <f t="shared" si="334"/>
        <v>NA</v>
      </c>
      <c r="AV116" s="573" t="str">
        <f t="shared" ref="AV116" si="428">IF($AU$6=1,AR116,IF($AU$6=2,AS116,IF($AU$6=3,AU116,"")))</f>
        <v>NA</v>
      </c>
      <c r="AW116" s="574" t="str">
        <f t="shared" ref="AW116" si="429">AV116</f>
        <v>NA</v>
      </c>
      <c r="AX116">
        <f t="shared" si="415"/>
        <v>0</v>
      </c>
    </row>
    <row r="117" spans="1:50" ht="15.75" x14ac:dyDescent="0.25">
      <c r="A117" s="576"/>
      <c r="B117" s="578"/>
      <c r="C117" s="82" t="str">
        <f>IF('CONSOLIDACION DEL MAPA'!P116="","",'CONSOLIDACION DEL MAPA'!P116)</f>
        <v/>
      </c>
      <c r="D117" s="82" t="str">
        <f>CRONOGRAMA!D116</f>
        <v/>
      </c>
      <c r="E117" s="132" t="str">
        <f>IF(CRONOGRAMA!F116="", "",CRONOGRAMA!F116)</f>
        <v/>
      </c>
      <c r="F117" s="132" t="str">
        <f>IF(CRONOGRAMA!G116="", "",CRONOGRAMA!G116)</f>
        <v/>
      </c>
      <c r="G117" s="128" t="str">
        <f>IF(CRONOGRAMA!H116="", "",CRONOGRAMA!H116)</f>
        <v/>
      </c>
      <c r="H117" s="128" t="str">
        <f>IF(CRONOGRAMA!I116="", "",CRONOGRAMA!I116)</f>
        <v/>
      </c>
      <c r="I117" s="84">
        <f t="shared" si="398"/>
        <v>0</v>
      </c>
      <c r="J117" s="160" t="str">
        <f>IF($P$6="Indique Fecha Seguimiento","",IF(CRONOGRAMA!$E116="No Aplica","NA",IF($G117="","",IF(YEAR($G117)&lt;YEAR($P$6)," A ",IF(YEAR($G117)=YEAR($P$6),IF(MONTH($G117)&lt;=4," A ","NA"),IF(YEAR($G117)&gt;YEAR($P$6),"NA"))))))</f>
        <v/>
      </c>
      <c r="K117" s="400"/>
      <c r="L117" s="402"/>
      <c r="M117" s="400"/>
      <c r="N117" s="348" t="str">
        <f t="shared" si="399"/>
        <v/>
      </c>
      <c r="O117" s="349"/>
      <c r="P117" s="44"/>
      <c r="Q117" s="84" t="str">
        <f t="shared" si="400"/>
        <v/>
      </c>
      <c r="R117" s="84" t="str">
        <f t="shared" si="401"/>
        <v/>
      </c>
      <c r="S117" s="84">
        <f t="shared" si="318"/>
        <v>0</v>
      </c>
      <c r="T117" s="160" t="str">
        <f>IF($Z$6="Indique Fecha Seguimiento","",IF(CRONOGRAMA!$E116="No Aplica","NA",IF($G117="","",IF(YEAR($G117)&lt;YEAR($Z$6)," A ",IF(YEAR($G117)=YEAR($Z$6),IF(MONTH($G117)&lt;=8," A ","NA"),IF(YEAR($G117)&gt;YEAR($Z$6),"NA"))))))</f>
        <v/>
      </c>
      <c r="U117" s="350"/>
      <c r="V117" s="44"/>
      <c r="W117" s="351"/>
      <c r="X117" s="348" t="str">
        <f t="shared" si="402"/>
        <v/>
      </c>
      <c r="Y117" s="349"/>
      <c r="Z117" s="44"/>
      <c r="AA117" s="84" t="str">
        <f t="shared" si="403"/>
        <v/>
      </c>
      <c r="AB117" s="84" t="str">
        <f t="shared" si="404"/>
        <v/>
      </c>
      <c r="AC117" s="84">
        <f t="shared" si="322"/>
        <v>0</v>
      </c>
      <c r="AD117" s="160" t="str">
        <f>IF($AJ$6="Indique Fecha Seguimiento","",IF(CRONOGRAMA!$E116="No Aplica","NA",IF($G117="","",IF(YEAR($G117)&lt;YEAR($AJ$6)," A ",IF(YEAR($G117)=YEAR($AJ$6),IF(MONTH($G117)&lt;=12," A ","NA"),IF(YEAR($G117)&gt;YEAR($AJ$6),"NA"))))))</f>
        <v/>
      </c>
      <c r="AE117" s="350"/>
      <c r="AF117" s="44"/>
      <c r="AG117" s="351"/>
      <c r="AH117" s="348" t="str">
        <f t="shared" si="405"/>
        <v/>
      </c>
      <c r="AI117" s="349"/>
      <c r="AJ117" s="44"/>
      <c r="AK117" s="81" t="str">
        <f t="shared" si="406"/>
        <v/>
      </c>
      <c r="AL117" s="84" t="str">
        <f t="shared" si="407"/>
        <v/>
      </c>
      <c r="AM117" s="84">
        <f t="shared" si="326"/>
        <v>0</v>
      </c>
      <c r="AN117" s="579"/>
      <c r="AO117" s="580"/>
      <c r="AP117" s="581"/>
      <c r="AQ117" s="581"/>
      <c r="AR117" s="582"/>
      <c r="AS117" s="582"/>
      <c r="AT117" s="582"/>
      <c r="AU117" s="572"/>
      <c r="AV117" s="573"/>
      <c r="AW117" s="574"/>
      <c r="AX117">
        <f t="shared" si="415"/>
        <v>0</v>
      </c>
    </row>
    <row r="118" spans="1:50" ht="16.5" thickBot="1" x14ac:dyDescent="0.3">
      <c r="A118" s="577"/>
      <c r="B118" s="578"/>
      <c r="C118" s="82" t="str">
        <f>IF('CONSOLIDACION DEL MAPA'!P117="","",'CONSOLIDACION DEL MAPA'!P117)</f>
        <v/>
      </c>
      <c r="D118" s="82" t="str">
        <f>CRONOGRAMA!D117</f>
        <v/>
      </c>
      <c r="E118" s="132" t="str">
        <f>IF(CRONOGRAMA!F117="", "",CRONOGRAMA!F117)</f>
        <v/>
      </c>
      <c r="F118" s="132" t="str">
        <f>IF(CRONOGRAMA!G117="", "",CRONOGRAMA!G117)</f>
        <v/>
      </c>
      <c r="G118" s="128" t="str">
        <f>IF(CRONOGRAMA!H117="", "",CRONOGRAMA!H117)</f>
        <v/>
      </c>
      <c r="H118" s="128" t="str">
        <f>IF(CRONOGRAMA!I117="", "",CRONOGRAMA!I117)</f>
        <v/>
      </c>
      <c r="I118" s="84">
        <f t="shared" si="398"/>
        <v>0</v>
      </c>
      <c r="J118" s="160" t="str">
        <f>IF($P$6="Indique Fecha Seguimiento","",IF(CRONOGRAMA!$E117="No Aplica","NA",IF($G118="","",IF(YEAR($G118)&lt;YEAR($P$6)," A ",IF(YEAR($G118)=YEAR($P$6),IF(MONTH($G118)&lt;=4," A ","NA"),IF(YEAR($G118)&gt;YEAR($P$6),"NA"))))))</f>
        <v/>
      </c>
      <c r="K118" s="400"/>
      <c r="L118" s="402"/>
      <c r="M118" s="400"/>
      <c r="N118" s="348" t="str">
        <f t="shared" si="399"/>
        <v/>
      </c>
      <c r="O118" s="349"/>
      <c r="P118" s="44"/>
      <c r="Q118" s="84" t="str">
        <f t="shared" si="400"/>
        <v/>
      </c>
      <c r="R118" s="84" t="str">
        <f t="shared" si="401"/>
        <v/>
      </c>
      <c r="S118" s="84">
        <f t="shared" si="318"/>
        <v>0</v>
      </c>
      <c r="T118" s="160" t="str">
        <f>IF($Z$6="Indique Fecha Seguimiento","",IF(CRONOGRAMA!$E117="No Aplica","NA",IF($G118="","",IF(YEAR($G118)&lt;YEAR($Z$6)," A ",IF(YEAR($G118)=YEAR($Z$6),IF(MONTH($G118)&lt;=8," A ","NA"),IF(YEAR($G118)&gt;YEAR($Z$6),"NA"))))))</f>
        <v/>
      </c>
      <c r="U118" s="350"/>
      <c r="V118" s="44"/>
      <c r="W118" s="351"/>
      <c r="X118" s="348" t="str">
        <f t="shared" si="402"/>
        <v/>
      </c>
      <c r="Y118" s="349"/>
      <c r="Z118" s="44"/>
      <c r="AA118" s="84" t="str">
        <f t="shared" si="403"/>
        <v/>
      </c>
      <c r="AB118" s="84" t="str">
        <f t="shared" si="404"/>
        <v/>
      </c>
      <c r="AC118" s="84">
        <f t="shared" si="322"/>
        <v>0</v>
      </c>
      <c r="AD118" s="160" t="str">
        <f>IF($AJ$6="Indique Fecha Seguimiento","",IF(CRONOGRAMA!$E117="No Aplica","NA",IF($G118="","",IF(YEAR($G118)&lt;YEAR($AJ$6)," A ",IF(YEAR($G118)=YEAR($AJ$6),IF(MONTH($G118)&lt;=12," A ","NA"),IF(YEAR($G118)&gt;YEAR($AJ$6),"NA"))))))</f>
        <v/>
      </c>
      <c r="AE118" s="350"/>
      <c r="AF118" s="44"/>
      <c r="AG118" s="351"/>
      <c r="AH118" s="348" t="str">
        <f t="shared" si="405"/>
        <v/>
      </c>
      <c r="AI118" s="349"/>
      <c r="AJ118" s="44"/>
      <c r="AK118" s="81" t="str">
        <f t="shared" si="406"/>
        <v/>
      </c>
      <c r="AL118" s="84" t="str">
        <f t="shared" si="407"/>
        <v/>
      </c>
      <c r="AM118" s="84">
        <f t="shared" si="326"/>
        <v>0</v>
      </c>
      <c r="AN118" s="579"/>
      <c r="AO118" s="580"/>
      <c r="AP118" s="581"/>
      <c r="AQ118" s="581"/>
      <c r="AR118" s="582"/>
      <c r="AS118" s="582"/>
      <c r="AT118" s="582"/>
      <c r="AU118" s="572"/>
      <c r="AV118" s="573"/>
      <c r="AW118" s="574"/>
      <c r="AX118">
        <f t="shared" si="415"/>
        <v>0</v>
      </c>
    </row>
    <row r="119" spans="1:50" ht="39" thickTop="1" x14ac:dyDescent="0.25">
      <c r="A119" s="575" t="str">
        <f>CRONOGRAMA!A118</f>
        <v>9C</v>
      </c>
      <c r="B119" s="578" t="str">
        <f>CRONOGRAMA!B118</f>
        <v>Comunicaciones Concentración de información de determinadas actividades o procesos en una persona</v>
      </c>
      <c r="C119" s="82" t="str">
        <f>IF('CONSOLIDACION DEL MAPA'!P118="","",'CONSOLIDACION DEL MAPA'!P118)</f>
        <v>No Establecer</v>
      </c>
      <c r="D119" s="82" t="str">
        <f>CRONOGRAMA!D118</f>
        <v>Seguir ejecutando y monitoreando los controles existentes</v>
      </c>
      <c r="E119" s="132" t="str">
        <f>IF(CRONOGRAMA!F118="", "",CRONOGRAMA!F118)</f>
        <v/>
      </c>
      <c r="F119" s="132" t="str">
        <f>IF(CRONOGRAMA!G118="", "",CRONOGRAMA!G118)</f>
        <v/>
      </c>
      <c r="G119" s="128" t="str">
        <f>IF(CRONOGRAMA!H118="", "",CRONOGRAMA!H118)</f>
        <v/>
      </c>
      <c r="H119" s="128" t="str">
        <f>IF(CRONOGRAMA!I118="", "",CRONOGRAMA!I118)</f>
        <v/>
      </c>
      <c r="I119" s="84">
        <f t="shared" si="398"/>
        <v>0</v>
      </c>
      <c r="J119" s="160" t="str">
        <f>IF($P$6="Indique Fecha Seguimiento","",IF(CRONOGRAMA!$E118="No Aplica","NA",IF($G119="","",IF(YEAR($G119)&lt;YEAR($P$6)," A ",IF(YEAR($G119)=YEAR($P$6),IF(MONTH($G119)&lt;=4," A ","NA"),IF(YEAR($G119)&gt;YEAR($P$6),"NA"))))))</f>
        <v>NA</v>
      </c>
      <c r="K119" s="400"/>
      <c r="L119" s="402"/>
      <c r="M119" s="400"/>
      <c r="N119" s="348" t="str">
        <f t="shared" si="399"/>
        <v/>
      </c>
      <c r="O119" s="349"/>
      <c r="P119" s="44"/>
      <c r="Q119" s="84" t="str">
        <f t="shared" si="400"/>
        <v/>
      </c>
      <c r="R119" s="84" t="str">
        <f t="shared" si="401"/>
        <v/>
      </c>
      <c r="S119" s="84">
        <f t="shared" si="318"/>
        <v>0</v>
      </c>
      <c r="T119" s="160" t="str">
        <f>IF($Z$6="Indique Fecha Seguimiento","",IF(CRONOGRAMA!$E118="No Aplica","NA",IF($G119="","",IF(YEAR($G119)&lt;YEAR($Z$6)," A ",IF(YEAR($G119)=YEAR($Z$6),IF(MONTH($G119)&lt;=8," A ","NA"),IF(YEAR($G119)&gt;YEAR($Z$6),"NA"))))))</f>
        <v>NA</v>
      </c>
      <c r="U119" s="350"/>
      <c r="V119" s="44"/>
      <c r="W119" s="351"/>
      <c r="X119" s="348" t="str">
        <f t="shared" si="402"/>
        <v/>
      </c>
      <c r="Y119" s="349"/>
      <c r="Z119" s="44"/>
      <c r="AA119" s="84" t="str">
        <f t="shared" si="403"/>
        <v/>
      </c>
      <c r="AB119" s="84" t="str">
        <f t="shared" si="404"/>
        <v/>
      </c>
      <c r="AC119" s="84">
        <f t="shared" si="322"/>
        <v>0</v>
      </c>
      <c r="AD119" s="160" t="str">
        <f>IF($AJ$6="Indique Fecha Seguimiento","",IF(CRONOGRAMA!$E118="No Aplica","NA",IF($G119="","",IF(YEAR($G119)&lt;YEAR($AJ$6)," A ",IF(YEAR($G119)=YEAR($AJ$6),IF(MONTH($G119)&lt;=12," A ","NA"),IF(YEAR($G119)&gt;YEAR($AJ$6),"NA"))))))</f>
        <v>NA</v>
      </c>
      <c r="AE119" s="350"/>
      <c r="AF119" s="44"/>
      <c r="AG119" s="351"/>
      <c r="AH119" s="348" t="str">
        <f t="shared" si="405"/>
        <v/>
      </c>
      <c r="AI119" s="349"/>
      <c r="AJ119" s="44"/>
      <c r="AK119" s="81" t="str">
        <f t="shared" si="406"/>
        <v/>
      </c>
      <c r="AL119" s="84" t="str">
        <f t="shared" si="407"/>
        <v/>
      </c>
      <c r="AM119" s="84">
        <f t="shared" si="326"/>
        <v>0</v>
      </c>
      <c r="AN119" s="579">
        <f t="shared" ref="AN119" si="430">SUM(I119:I121)</f>
        <v>0</v>
      </c>
      <c r="AO119" s="580" t="str">
        <f t="shared" ref="AO119" si="431">IF(AND(Q119="",Q120="",Q121=""),"",SUM(Q119:Q121))</f>
        <v/>
      </c>
      <c r="AP119" s="581" t="str">
        <f t="shared" ref="AP119" si="432">IF(AND(AA119="",AA120="",AA121=""),"",SUM(AA119:AA121))</f>
        <v/>
      </c>
      <c r="AQ119" s="581" t="str">
        <f t="shared" ref="AQ119" si="433">IF(AND(AK119="",AK120="",AK121=""),"",SUM(AK119:AK121))</f>
        <v/>
      </c>
      <c r="AR119" s="582" t="str">
        <f t="shared" si="331"/>
        <v>NA</v>
      </c>
      <c r="AS119" s="582" t="str">
        <f t="shared" si="332"/>
        <v>NA</v>
      </c>
      <c r="AT119" s="582" t="str">
        <f t="shared" ref="AT119" si="434">IF(AS119&gt;=AR119,AS119,AR119)</f>
        <v>NA</v>
      </c>
      <c r="AU119" s="572" t="str">
        <f t="shared" si="334"/>
        <v>NA</v>
      </c>
      <c r="AV119" s="573" t="str">
        <f t="shared" ref="AV119" si="435">IF($AU$6=1,AR119,IF($AU$6=2,AS119,IF($AU$6=3,AU119,"")))</f>
        <v>NA</v>
      </c>
      <c r="AW119" s="574" t="str">
        <f t="shared" ref="AW119" si="436">AV119</f>
        <v>NA</v>
      </c>
      <c r="AX119">
        <f t="shared" si="415"/>
        <v>0</v>
      </c>
    </row>
    <row r="120" spans="1:50" ht="15.75" x14ac:dyDescent="0.25">
      <c r="A120" s="576"/>
      <c r="B120" s="578"/>
      <c r="C120" s="82" t="str">
        <f>IF('CONSOLIDACION DEL MAPA'!P119="","",'CONSOLIDACION DEL MAPA'!P119)</f>
        <v/>
      </c>
      <c r="D120" s="82" t="str">
        <f>CRONOGRAMA!D119</f>
        <v/>
      </c>
      <c r="E120" s="132" t="str">
        <f>IF(CRONOGRAMA!F119="", "",CRONOGRAMA!F119)</f>
        <v/>
      </c>
      <c r="F120" s="132" t="str">
        <f>IF(CRONOGRAMA!G119="", "",CRONOGRAMA!G119)</f>
        <v/>
      </c>
      <c r="G120" s="128" t="str">
        <f>IF(CRONOGRAMA!H119="", "",CRONOGRAMA!H119)</f>
        <v/>
      </c>
      <c r="H120" s="128" t="str">
        <f>IF(CRONOGRAMA!I119="", "",CRONOGRAMA!I119)</f>
        <v/>
      </c>
      <c r="I120" s="84">
        <f t="shared" si="398"/>
        <v>0</v>
      </c>
      <c r="J120" s="160" t="str">
        <f>IF($P$6="Indique Fecha Seguimiento","",IF(CRONOGRAMA!$E119="No Aplica","NA",IF($G120="","",IF(YEAR($G120)&lt;YEAR($P$6)," A ",IF(YEAR($G120)=YEAR($P$6),IF(MONTH($G120)&lt;=4," A ","NA"),IF(YEAR($G120)&gt;YEAR($P$6),"NA"))))))</f>
        <v/>
      </c>
      <c r="K120" s="400"/>
      <c r="L120" s="402"/>
      <c r="M120" s="400"/>
      <c r="N120" s="348" t="str">
        <f t="shared" si="399"/>
        <v/>
      </c>
      <c r="O120" s="349"/>
      <c r="P120" s="44"/>
      <c r="Q120" s="84" t="str">
        <f t="shared" si="400"/>
        <v/>
      </c>
      <c r="R120" s="84" t="str">
        <f t="shared" si="401"/>
        <v/>
      </c>
      <c r="S120" s="84">
        <f t="shared" si="318"/>
        <v>0</v>
      </c>
      <c r="T120" s="160" t="str">
        <f>IF($Z$6="Indique Fecha Seguimiento","",IF(CRONOGRAMA!$E119="No Aplica","NA",IF($G120="","",IF(YEAR($G120)&lt;YEAR($Z$6)," A ",IF(YEAR($G120)=YEAR($Z$6),IF(MONTH($G120)&lt;=8," A ","NA"),IF(YEAR($G120)&gt;YEAR($Z$6),"NA"))))))</f>
        <v/>
      </c>
      <c r="U120" s="350"/>
      <c r="V120" s="44"/>
      <c r="W120" s="351"/>
      <c r="X120" s="348" t="str">
        <f t="shared" si="402"/>
        <v/>
      </c>
      <c r="Y120" s="349"/>
      <c r="Z120" s="44"/>
      <c r="AA120" s="84" t="str">
        <f t="shared" si="403"/>
        <v/>
      </c>
      <c r="AB120" s="84" t="str">
        <f t="shared" si="404"/>
        <v/>
      </c>
      <c r="AC120" s="84">
        <f t="shared" si="322"/>
        <v>0</v>
      </c>
      <c r="AD120" s="160" t="str">
        <f>IF($AJ$6="Indique Fecha Seguimiento","",IF(CRONOGRAMA!$E119="No Aplica","NA",IF($G120="","",IF(YEAR($G120)&lt;YEAR($AJ$6)," A ",IF(YEAR($G120)=YEAR($AJ$6),IF(MONTH($G120)&lt;=12," A ","NA"),IF(YEAR($G120)&gt;YEAR($AJ$6),"NA"))))))</f>
        <v/>
      </c>
      <c r="AE120" s="350"/>
      <c r="AF120" s="44"/>
      <c r="AG120" s="351"/>
      <c r="AH120" s="348" t="str">
        <f t="shared" si="405"/>
        <v/>
      </c>
      <c r="AI120" s="349"/>
      <c r="AJ120" s="44"/>
      <c r="AK120" s="81" t="str">
        <f t="shared" si="406"/>
        <v/>
      </c>
      <c r="AL120" s="84" t="str">
        <f t="shared" si="407"/>
        <v/>
      </c>
      <c r="AM120" s="84">
        <f t="shared" si="326"/>
        <v>0</v>
      </c>
      <c r="AN120" s="579"/>
      <c r="AO120" s="580"/>
      <c r="AP120" s="581"/>
      <c r="AQ120" s="581"/>
      <c r="AR120" s="582"/>
      <c r="AS120" s="582"/>
      <c r="AT120" s="582"/>
      <c r="AU120" s="572"/>
      <c r="AV120" s="573"/>
      <c r="AW120" s="574"/>
      <c r="AX120">
        <f t="shared" si="415"/>
        <v>0</v>
      </c>
    </row>
    <row r="121" spans="1:50" ht="16.5" thickBot="1" x14ac:dyDescent="0.3">
      <c r="A121" s="577"/>
      <c r="B121" s="578"/>
      <c r="C121" s="82" t="str">
        <f>IF('CONSOLIDACION DEL MAPA'!P120="","",'CONSOLIDACION DEL MAPA'!P120)</f>
        <v/>
      </c>
      <c r="D121" s="82" t="str">
        <f>CRONOGRAMA!D120</f>
        <v/>
      </c>
      <c r="E121" s="132" t="str">
        <f>IF(CRONOGRAMA!F120="", "",CRONOGRAMA!F120)</f>
        <v/>
      </c>
      <c r="F121" s="132" t="str">
        <f>IF(CRONOGRAMA!G120="", "",CRONOGRAMA!G120)</f>
        <v/>
      </c>
      <c r="G121" s="128" t="str">
        <f>IF(CRONOGRAMA!H120="", "",CRONOGRAMA!H120)</f>
        <v/>
      </c>
      <c r="H121" s="128" t="str">
        <f>IF(CRONOGRAMA!I120="", "",CRONOGRAMA!I120)</f>
        <v/>
      </c>
      <c r="I121" s="84">
        <f t="shared" si="398"/>
        <v>0</v>
      </c>
      <c r="J121" s="160" t="str">
        <f>IF($P$6="Indique Fecha Seguimiento","",IF(CRONOGRAMA!$E120="No Aplica","NA",IF($G121="","",IF(YEAR($G121)&lt;YEAR($P$6)," A ",IF(YEAR($G121)=YEAR($P$6),IF(MONTH($G121)&lt;=4," A ","NA"),IF(YEAR($G121)&gt;YEAR($P$6),"NA"))))))</f>
        <v/>
      </c>
      <c r="K121" s="400"/>
      <c r="L121" s="402"/>
      <c r="M121" s="400"/>
      <c r="N121" s="348" t="str">
        <f t="shared" si="399"/>
        <v/>
      </c>
      <c r="O121" s="349"/>
      <c r="P121" s="44"/>
      <c r="Q121" s="84" t="str">
        <f t="shared" si="400"/>
        <v/>
      </c>
      <c r="R121" s="84" t="str">
        <f t="shared" si="401"/>
        <v/>
      </c>
      <c r="S121" s="84">
        <f t="shared" si="318"/>
        <v>0</v>
      </c>
      <c r="T121" s="160" t="str">
        <f>IF($Z$6="Indique Fecha Seguimiento","",IF(CRONOGRAMA!$E120="No Aplica","NA",IF($G121="","",IF(YEAR($G121)&lt;YEAR($Z$6)," A ",IF(YEAR($G121)=YEAR($Z$6),IF(MONTH($G121)&lt;=8," A ","NA"),IF(YEAR($G121)&gt;YEAR($Z$6),"NA"))))))</f>
        <v/>
      </c>
      <c r="U121" s="350"/>
      <c r="V121" s="44"/>
      <c r="W121" s="351"/>
      <c r="X121" s="348" t="str">
        <f t="shared" si="402"/>
        <v/>
      </c>
      <c r="Y121" s="349"/>
      <c r="Z121" s="44"/>
      <c r="AA121" s="84" t="str">
        <f t="shared" si="403"/>
        <v/>
      </c>
      <c r="AB121" s="84" t="str">
        <f t="shared" si="404"/>
        <v/>
      </c>
      <c r="AC121" s="84">
        <f t="shared" si="322"/>
        <v>0</v>
      </c>
      <c r="AD121" s="160" t="str">
        <f>IF($AJ$6="Indique Fecha Seguimiento","",IF(CRONOGRAMA!$E120="No Aplica","NA",IF($G121="","",IF(YEAR($G121)&lt;YEAR($AJ$6)," A ",IF(YEAR($G121)=YEAR($AJ$6),IF(MONTH($G121)&lt;=12," A ","NA"),IF(YEAR($G121)&gt;YEAR($AJ$6),"NA"))))))</f>
        <v/>
      </c>
      <c r="AE121" s="350"/>
      <c r="AF121" s="44"/>
      <c r="AG121" s="351"/>
      <c r="AH121" s="348" t="str">
        <f t="shared" si="405"/>
        <v/>
      </c>
      <c r="AI121" s="349"/>
      <c r="AJ121" s="44"/>
      <c r="AK121" s="81" t="str">
        <f t="shared" si="406"/>
        <v/>
      </c>
      <c r="AL121" s="84" t="str">
        <f t="shared" si="407"/>
        <v/>
      </c>
      <c r="AM121" s="84">
        <f t="shared" si="326"/>
        <v>0</v>
      </c>
      <c r="AN121" s="579"/>
      <c r="AO121" s="580"/>
      <c r="AP121" s="581"/>
      <c r="AQ121" s="581"/>
      <c r="AR121" s="582"/>
      <c r="AS121" s="582"/>
      <c r="AT121" s="582"/>
      <c r="AU121" s="572"/>
      <c r="AV121" s="573"/>
      <c r="AW121" s="574"/>
      <c r="AX121">
        <f t="shared" si="415"/>
        <v>0</v>
      </c>
    </row>
    <row r="122" spans="1:50" ht="64.5" thickTop="1" x14ac:dyDescent="0.25">
      <c r="A122" s="575" t="str">
        <f>CRONOGRAMA!A121</f>
        <v>10C</v>
      </c>
      <c r="B122" s="578" t="str">
        <f>CRONOGRAMA!B121</f>
        <v xml:space="preserve">Gestión Academica. Ausencia de canales de comunicación
</v>
      </c>
      <c r="C122" s="82" t="str">
        <f>IF('CONSOLIDACION DEL MAPA'!P121="","",'CONSOLIDACION DEL MAPA'!P121)</f>
        <v>Reducir</v>
      </c>
      <c r="D122" s="82" t="str">
        <f>CRONOGRAMA!D121</f>
        <v>Mejorar la selección del personal para que su permanencia sea mayor en el desarrollo de su cargo.</v>
      </c>
      <c r="E122" s="132" t="str">
        <f>IF(CRONOGRAMA!F121="", "",CRONOGRAMA!F121)</f>
        <v>Revisión de procesos de selección de personal</v>
      </c>
      <c r="F122" s="132">
        <f>IF(CRONOGRAMA!G121="", "",CRONOGRAMA!G121)</f>
        <v>1</v>
      </c>
      <c r="G122" s="128">
        <f>IF(CRONOGRAMA!H121="", "",CRONOGRAMA!H121)</f>
        <v>42576</v>
      </c>
      <c r="H122" s="128">
        <f>IF(CRONOGRAMA!I121="", "",CRONOGRAMA!I121)</f>
        <v>42941</v>
      </c>
      <c r="I122" s="84">
        <f t="shared" si="398"/>
        <v>52.142857142857146</v>
      </c>
      <c r="J122" s="160" t="str">
        <f>IF($P$6="Indique Fecha Seguimiento","",IF(CRONOGRAMA!$E121="No Aplica","NA",IF($G122="","",IF(YEAR($G122)&lt;YEAR($P$6)," A ",IF(YEAR($G122)=YEAR($P$6),IF(MONTH($G122)&lt;=4," A ","NA"),IF(YEAR($G122)&gt;YEAR($P$6),"NA"))))))</f>
        <v>NA</v>
      </c>
      <c r="K122" s="400"/>
      <c r="L122" s="402"/>
      <c r="M122" s="400"/>
      <c r="N122" s="348" t="str">
        <f t="shared" si="399"/>
        <v/>
      </c>
      <c r="O122" s="349"/>
      <c r="P122" s="44"/>
      <c r="Q122" s="84" t="str">
        <f t="shared" si="400"/>
        <v/>
      </c>
      <c r="R122" s="84" t="str">
        <f t="shared" si="401"/>
        <v/>
      </c>
      <c r="S122" s="84">
        <f t="shared" si="318"/>
        <v>52.142857142857146</v>
      </c>
      <c r="T122" s="160" t="str">
        <f>IF($Z$6="Indique Fecha Seguimiento","",IF(CRONOGRAMA!$E121="No Aplica","NA",IF($G122="","",IF(YEAR($G122)&lt;YEAR($Z$6)," A ",IF(YEAR($G122)=YEAR($Z$6),IF(MONTH($G122)&lt;=8," A ","NA"),IF(YEAR($G122)&gt;YEAR($Z$6),"NA"))))))</f>
        <v xml:space="preserve"> A </v>
      </c>
      <c r="U122" s="419">
        <v>0.02</v>
      </c>
      <c r="V122" s="420" t="s">
        <v>965</v>
      </c>
      <c r="W122" s="351">
        <v>0.02</v>
      </c>
      <c r="X122" s="348">
        <f t="shared" si="402"/>
        <v>0.02</v>
      </c>
      <c r="Y122" s="349" t="s">
        <v>353</v>
      </c>
      <c r="Z122" s="44" t="str">
        <f>V122</f>
        <v>Reuniones internas para revisión de procesos de selección de personal</v>
      </c>
      <c r="AA122" s="84">
        <f t="shared" si="403"/>
        <v>1.0428571428571429</v>
      </c>
      <c r="AB122" s="84">
        <f t="shared" si="404"/>
        <v>1.0428571428571429</v>
      </c>
      <c r="AC122" s="84">
        <f t="shared" si="322"/>
        <v>52.142857142857146</v>
      </c>
      <c r="AD122" s="160" t="str">
        <f>IF($AJ$6="Indique Fecha Seguimiento","",IF(CRONOGRAMA!$E121="No Aplica","NA",IF($G122="","",IF(YEAR($G122)&lt;YEAR($AJ$6)," A ",IF(YEAR($G122)=YEAR($AJ$6),IF(MONTH($G122)&lt;=12," A ","NA"),IF(YEAR($G122)&gt;YEAR($AJ$6),"NA"))))))</f>
        <v xml:space="preserve"> A </v>
      </c>
      <c r="AE122" s="350">
        <v>0.02</v>
      </c>
      <c r="AF122" s="44" t="s">
        <v>997</v>
      </c>
      <c r="AG122" s="351">
        <v>0.02</v>
      </c>
      <c r="AH122" s="348">
        <f t="shared" si="405"/>
        <v>0.02</v>
      </c>
      <c r="AI122" s="349" t="s">
        <v>353</v>
      </c>
      <c r="AJ122" s="44" t="s">
        <v>998</v>
      </c>
      <c r="AK122" s="81">
        <f t="shared" si="406"/>
        <v>1.0428571428571429</v>
      </c>
      <c r="AL122" s="84">
        <f t="shared" si="407"/>
        <v>1.0428571428571429</v>
      </c>
      <c r="AM122" s="84">
        <f t="shared" si="326"/>
        <v>52.142857142857146</v>
      </c>
      <c r="AN122" s="579">
        <f t="shared" ref="AN122" si="437">SUM(I122:I124)</f>
        <v>52.142857142857146</v>
      </c>
      <c r="AO122" s="580" t="str">
        <f t="shared" ref="AO122" si="438">IF(AND(Q122="",Q123="",Q124=""),"",SUM(Q122:Q124))</f>
        <v/>
      </c>
      <c r="AP122" s="581">
        <f t="shared" ref="AP122" si="439">IF(AND(AA122="",AA123="",AA124=""),"",SUM(AA122:AA124))</f>
        <v>1.0428571428571429</v>
      </c>
      <c r="AQ122" s="581">
        <f t="shared" ref="AQ122" si="440">IF(AND(AK122="",AK123="",AK124=""),"",SUM(AK122:AK124))</f>
        <v>1.0428571428571429</v>
      </c>
      <c r="AR122" s="582" t="str">
        <f t="shared" si="331"/>
        <v>NA</v>
      </c>
      <c r="AS122" s="582">
        <f t="shared" si="332"/>
        <v>0.02</v>
      </c>
      <c r="AT122" s="582" t="str">
        <f t="shared" ref="AT122" si="441">IF(AS122&gt;=AR122,AS122,AR122)</f>
        <v>NA</v>
      </c>
      <c r="AU122" s="572">
        <f t="shared" si="334"/>
        <v>0.02</v>
      </c>
      <c r="AV122" s="573">
        <f t="shared" ref="AV122" si="442">IF($AU$6=1,AR122,IF($AU$6=2,AS122,IF($AU$6=3,AU122,"")))</f>
        <v>0.02</v>
      </c>
      <c r="AW122" s="574">
        <f t="shared" ref="AW122" si="443">AV122</f>
        <v>0.02</v>
      </c>
      <c r="AX122" t="str">
        <f t="shared" si="415"/>
        <v>No se logro mayor avance</v>
      </c>
    </row>
    <row r="123" spans="1:50" ht="15.75" x14ac:dyDescent="0.25">
      <c r="A123" s="576"/>
      <c r="B123" s="578"/>
      <c r="C123" s="82" t="str">
        <f>IF('CONSOLIDACION DEL MAPA'!P122="","",'CONSOLIDACION DEL MAPA'!P122)</f>
        <v/>
      </c>
      <c r="D123" s="82" t="str">
        <f>CRONOGRAMA!D122</f>
        <v/>
      </c>
      <c r="E123" s="132" t="str">
        <f>IF(CRONOGRAMA!F122="", "",CRONOGRAMA!F122)</f>
        <v/>
      </c>
      <c r="F123" s="132" t="str">
        <f>IF(CRONOGRAMA!G122="", "",CRONOGRAMA!G122)</f>
        <v/>
      </c>
      <c r="G123" s="128" t="str">
        <f>IF(CRONOGRAMA!H122="", "",CRONOGRAMA!H122)</f>
        <v/>
      </c>
      <c r="H123" s="128" t="str">
        <f>IF(CRONOGRAMA!I122="", "",CRONOGRAMA!I122)</f>
        <v/>
      </c>
      <c r="I123" s="84">
        <f t="shared" si="398"/>
        <v>0</v>
      </c>
      <c r="J123" s="160" t="str">
        <f>IF($P$6="Indique Fecha Seguimiento","",IF(CRONOGRAMA!$E122="No Aplica","NA",IF($G123="","",IF(YEAR($G123)&lt;YEAR($P$6)," A ",IF(YEAR($G123)=YEAR($P$6),IF(MONTH($G123)&lt;=4," A ","NA"),IF(YEAR($G123)&gt;YEAR($P$6),"NA"))))))</f>
        <v/>
      </c>
      <c r="K123" s="400"/>
      <c r="L123" s="402"/>
      <c r="M123" s="400"/>
      <c r="N123" s="348" t="str">
        <f t="shared" si="399"/>
        <v/>
      </c>
      <c r="O123" s="349"/>
      <c r="P123" s="44"/>
      <c r="Q123" s="84" t="str">
        <f t="shared" si="400"/>
        <v/>
      </c>
      <c r="R123" s="84" t="str">
        <f t="shared" si="401"/>
        <v/>
      </c>
      <c r="S123" s="84">
        <f t="shared" si="318"/>
        <v>0</v>
      </c>
      <c r="T123" s="160" t="str">
        <f>IF($Z$6="Indique Fecha Seguimiento","",IF(CRONOGRAMA!$E122="No Aplica","NA",IF($G123="","",IF(YEAR($G123)&lt;YEAR($Z$6)," A ",IF(YEAR($G123)=YEAR($Z$6),IF(MONTH($G123)&lt;=8," A ","NA"),IF(YEAR($G123)&gt;YEAR($Z$6),"NA"))))))</f>
        <v/>
      </c>
      <c r="U123" s="350"/>
      <c r="V123" s="44"/>
      <c r="W123" s="351"/>
      <c r="X123" s="348" t="str">
        <f t="shared" si="402"/>
        <v/>
      </c>
      <c r="Y123" s="349"/>
      <c r="Z123" s="44"/>
      <c r="AA123" s="84" t="str">
        <f t="shared" si="403"/>
        <v/>
      </c>
      <c r="AB123" s="84" t="str">
        <f t="shared" si="404"/>
        <v/>
      </c>
      <c r="AC123" s="84">
        <f t="shared" si="322"/>
        <v>0</v>
      </c>
      <c r="AD123" s="160" t="str">
        <f>IF($AJ$6="Indique Fecha Seguimiento","",IF(CRONOGRAMA!$E122="No Aplica","NA",IF($G123="","",IF(YEAR($G123)&lt;YEAR($AJ$6)," A ",IF(YEAR($G123)=YEAR($AJ$6),IF(MONTH($G123)&lt;=12," A ","NA"),IF(YEAR($G123)&gt;YEAR($AJ$6),"NA"))))))</f>
        <v/>
      </c>
      <c r="AE123" s="350"/>
      <c r="AF123" s="44"/>
      <c r="AG123" s="351"/>
      <c r="AH123" s="348" t="str">
        <f t="shared" si="405"/>
        <v/>
      </c>
      <c r="AI123" s="349"/>
      <c r="AJ123" s="44"/>
      <c r="AK123" s="81" t="str">
        <f t="shared" si="406"/>
        <v/>
      </c>
      <c r="AL123" s="84" t="str">
        <f t="shared" si="407"/>
        <v/>
      </c>
      <c r="AM123" s="84">
        <f t="shared" si="326"/>
        <v>0</v>
      </c>
      <c r="AN123" s="579"/>
      <c r="AO123" s="580"/>
      <c r="AP123" s="581"/>
      <c r="AQ123" s="581"/>
      <c r="AR123" s="582"/>
      <c r="AS123" s="582"/>
      <c r="AT123" s="582"/>
      <c r="AU123" s="572"/>
      <c r="AV123" s="573"/>
      <c r="AW123" s="574"/>
      <c r="AX123">
        <f t="shared" si="415"/>
        <v>0</v>
      </c>
    </row>
    <row r="124" spans="1:50" ht="16.5" thickBot="1" x14ac:dyDescent="0.3">
      <c r="A124" s="577"/>
      <c r="B124" s="578"/>
      <c r="C124" s="82" t="str">
        <f>IF('CONSOLIDACION DEL MAPA'!P123="","",'CONSOLIDACION DEL MAPA'!P123)</f>
        <v/>
      </c>
      <c r="D124" s="82" t="str">
        <f>CRONOGRAMA!D123</f>
        <v/>
      </c>
      <c r="E124" s="132" t="str">
        <f>IF(CRONOGRAMA!F123="", "",CRONOGRAMA!F123)</f>
        <v/>
      </c>
      <c r="F124" s="132" t="str">
        <f>IF(CRONOGRAMA!G123="", "",CRONOGRAMA!G123)</f>
        <v/>
      </c>
      <c r="G124" s="128" t="str">
        <f>IF(CRONOGRAMA!H123="", "",CRONOGRAMA!H123)</f>
        <v/>
      </c>
      <c r="H124" s="128" t="str">
        <f>IF(CRONOGRAMA!I123="", "",CRONOGRAMA!I123)</f>
        <v/>
      </c>
      <c r="I124" s="84">
        <f t="shared" si="398"/>
        <v>0</v>
      </c>
      <c r="J124" s="160" t="str">
        <f>IF($P$6="Indique Fecha Seguimiento","",IF(CRONOGRAMA!$E123="No Aplica","NA",IF($G124="","",IF(YEAR($G124)&lt;YEAR($P$6)," A ",IF(YEAR($G124)=YEAR($P$6),IF(MONTH($G124)&lt;=4," A ","NA"),IF(YEAR($G124)&gt;YEAR($P$6),"NA"))))))</f>
        <v/>
      </c>
      <c r="K124" s="400"/>
      <c r="L124" s="402"/>
      <c r="M124" s="400"/>
      <c r="N124" s="348" t="str">
        <f t="shared" si="399"/>
        <v/>
      </c>
      <c r="O124" s="349"/>
      <c r="P124" s="44"/>
      <c r="Q124" s="84" t="str">
        <f t="shared" si="400"/>
        <v/>
      </c>
      <c r="R124" s="84" t="str">
        <f t="shared" si="401"/>
        <v/>
      </c>
      <c r="S124" s="84">
        <f t="shared" si="318"/>
        <v>0</v>
      </c>
      <c r="T124" s="160" t="str">
        <f>IF($Z$6="Indique Fecha Seguimiento","",IF(CRONOGRAMA!$E123="No Aplica","NA",IF($G124="","",IF(YEAR($G124)&lt;YEAR($Z$6)," A ",IF(YEAR($G124)=YEAR($Z$6),IF(MONTH($G124)&lt;=8," A ","NA"),IF(YEAR($G124)&gt;YEAR($Z$6),"NA"))))))</f>
        <v/>
      </c>
      <c r="U124" s="350"/>
      <c r="V124" s="44"/>
      <c r="W124" s="351"/>
      <c r="X124" s="348" t="str">
        <f t="shared" si="402"/>
        <v/>
      </c>
      <c r="Y124" s="349"/>
      <c r="Z124" s="44"/>
      <c r="AA124" s="84" t="str">
        <f t="shared" si="403"/>
        <v/>
      </c>
      <c r="AB124" s="84" t="str">
        <f t="shared" si="404"/>
        <v/>
      </c>
      <c r="AC124" s="84">
        <f t="shared" si="322"/>
        <v>0</v>
      </c>
      <c r="AD124" s="160" t="str">
        <f>IF($AJ$6="Indique Fecha Seguimiento","",IF(CRONOGRAMA!$E123="No Aplica","NA",IF($G124="","",IF(YEAR($G124)&lt;YEAR($AJ$6)," A ",IF(YEAR($G124)=YEAR($AJ$6),IF(MONTH($G124)&lt;=12," A ","NA"),IF(YEAR($G124)&gt;YEAR($AJ$6),"NA"))))))</f>
        <v/>
      </c>
      <c r="AE124" s="350"/>
      <c r="AF124" s="44"/>
      <c r="AG124" s="351"/>
      <c r="AH124" s="348" t="str">
        <f t="shared" si="405"/>
        <v/>
      </c>
      <c r="AI124" s="349"/>
      <c r="AJ124" s="44"/>
      <c r="AK124" s="81" t="str">
        <f t="shared" si="406"/>
        <v/>
      </c>
      <c r="AL124" s="84" t="str">
        <f t="shared" si="407"/>
        <v/>
      </c>
      <c r="AM124" s="84">
        <f t="shared" si="326"/>
        <v>0</v>
      </c>
      <c r="AN124" s="579"/>
      <c r="AO124" s="580"/>
      <c r="AP124" s="581"/>
      <c r="AQ124" s="581"/>
      <c r="AR124" s="582"/>
      <c r="AS124" s="582"/>
      <c r="AT124" s="582"/>
      <c r="AU124" s="572"/>
      <c r="AV124" s="573"/>
      <c r="AW124" s="574"/>
      <c r="AX124">
        <f t="shared" si="415"/>
        <v>0</v>
      </c>
    </row>
    <row r="125" spans="1:50" ht="51.75" thickTop="1" x14ac:dyDescent="0.25">
      <c r="A125" s="575" t="str">
        <f>CRONOGRAMA!A124</f>
        <v>11C</v>
      </c>
      <c r="B125" s="578" t="str">
        <f>CRONOGRAMA!B124</f>
        <v>Gestión Academica. Concentración de información de determinadas actividades o procesos en una persona</v>
      </c>
      <c r="C125" s="82" t="str">
        <f>IF('CONSOLIDACION DEL MAPA'!P124="","",'CONSOLIDACION DEL MAPA'!P124)</f>
        <v>Reducir</v>
      </c>
      <c r="D125" s="82" t="str">
        <f>CRONOGRAMA!D124</f>
        <v>Desarrollar talleres de trabajo en equipo y gestión del conocimiento</v>
      </c>
      <c r="E125" s="132" t="str">
        <f>IF(CRONOGRAMA!F124="", "",CRONOGRAMA!F124)</f>
        <v>Acta de realización de talleres</v>
      </c>
      <c r="F125" s="132">
        <f>IF(CRONOGRAMA!G124="", "",CRONOGRAMA!G124)</f>
        <v>3</v>
      </c>
      <c r="G125" s="128">
        <f>IF(CRONOGRAMA!H124="", "",CRONOGRAMA!H124)</f>
        <v>42576</v>
      </c>
      <c r="H125" s="128">
        <f>IF(CRONOGRAMA!I124="", "",CRONOGRAMA!I124)</f>
        <v>42941</v>
      </c>
      <c r="I125" s="84">
        <f t="shared" si="398"/>
        <v>52.142857142857146</v>
      </c>
      <c r="J125" s="160" t="str">
        <f>IF($P$6="Indique Fecha Seguimiento","",IF(CRONOGRAMA!$E124="No Aplica","NA",IF($G125="","",IF(YEAR($G125)&lt;YEAR($P$6)," A ",IF(YEAR($G125)=YEAR($P$6),IF(MONTH($G125)&lt;=4," A ","NA"),IF(YEAR($G125)&gt;YEAR($P$6),"NA"))))))</f>
        <v>NA</v>
      </c>
      <c r="K125" s="400"/>
      <c r="L125" s="402"/>
      <c r="M125" s="400"/>
      <c r="N125" s="348" t="str">
        <f t="shared" si="399"/>
        <v/>
      </c>
      <c r="O125" s="349"/>
      <c r="P125" s="44"/>
      <c r="Q125" s="84" t="str">
        <f t="shared" si="400"/>
        <v/>
      </c>
      <c r="R125" s="84" t="str">
        <f t="shared" si="401"/>
        <v/>
      </c>
      <c r="S125" s="84">
        <f t="shared" si="318"/>
        <v>52.142857142857146</v>
      </c>
      <c r="T125" s="160" t="str">
        <f>IF($Z$6="Indique Fecha Seguimiento","",IF(CRONOGRAMA!$E124="No Aplica","NA",IF($G125="","",IF(YEAR($G125)&lt;YEAR($Z$6)," A ",IF(YEAR($G125)=YEAR($Z$6),IF(MONTH($G125)&lt;=8," A ","NA"),IF(YEAR($G125)&gt;YEAR($Z$6),"NA"))))))</f>
        <v xml:space="preserve"> A </v>
      </c>
      <c r="U125" s="419">
        <v>0.02</v>
      </c>
      <c r="V125" s="420" t="s">
        <v>966</v>
      </c>
      <c r="W125" s="351">
        <v>0.05</v>
      </c>
      <c r="X125" s="348">
        <f t="shared" si="402"/>
        <v>1.6666666666666666E-2</v>
      </c>
      <c r="Y125" s="349" t="s">
        <v>353</v>
      </c>
      <c r="Z125" s="44" t="str">
        <f>V125</f>
        <v>Reuniones internas del grupo de trabajo de la vicerrectoria para mejorar procesos internos</v>
      </c>
      <c r="AA125" s="84">
        <f t="shared" si="403"/>
        <v>0.86904761904761907</v>
      </c>
      <c r="AB125" s="84">
        <f t="shared" si="404"/>
        <v>0.86904761904761907</v>
      </c>
      <c r="AC125" s="84">
        <f t="shared" si="322"/>
        <v>52.142857142857146</v>
      </c>
      <c r="AD125" s="160" t="str">
        <f>IF($AJ$6="Indique Fecha Seguimiento","",IF(CRONOGRAMA!$E124="No Aplica","NA",IF($G125="","",IF(YEAR($G125)&lt;YEAR($AJ$6)," A ",IF(YEAR($G125)=YEAR($AJ$6),IF(MONTH($G125)&lt;=12," A ","NA"),IF(YEAR($G125)&gt;YEAR($AJ$6),"NA"))))))</f>
        <v xml:space="preserve"> A </v>
      </c>
      <c r="AE125" s="350">
        <v>0.02</v>
      </c>
      <c r="AF125" s="44" t="s">
        <v>997</v>
      </c>
      <c r="AG125" s="351">
        <v>0.05</v>
      </c>
      <c r="AH125" s="348">
        <f t="shared" si="405"/>
        <v>1.6666666666666666E-2</v>
      </c>
      <c r="AI125" s="349" t="s">
        <v>353</v>
      </c>
      <c r="AJ125" s="44" t="s">
        <v>998</v>
      </c>
      <c r="AK125" s="81">
        <f t="shared" si="406"/>
        <v>0.86904761904761907</v>
      </c>
      <c r="AL125" s="84">
        <f t="shared" si="407"/>
        <v>0.86904761904761907</v>
      </c>
      <c r="AM125" s="84">
        <f t="shared" si="326"/>
        <v>52.142857142857146</v>
      </c>
      <c r="AN125" s="579">
        <f t="shared" ref="AN125" si="444">SUM(I125:I127)</f>
        <v>52.142857142857146</v>
      </c>
      <c r="AO125" s="580" t="str">
        <f t="shared" ref="AO125" si="445">IF(AND(Q125="",Q126="",Q127=""),"",SUM(Q125:Q127))</f>
        <v/>
      </c>
      <c r="AP125" s="581">
        <f t="shared" ref="AP125" si="446">IF(AND(AA125="",AA126="",AA127=""),"",SUM(AA125:AA127))</f>
        <v>0.86904761904761907</v>
      </c>
      <c r="AQ125" s="581">
        <f t="shared" ref="AQ125" si="447">IF(AND(AK125="",AK126="",AK127=""),"",SUM(AK125:AK127))</f>
        <v>0.86904761904761907</v>
      </c>
      <c r="AR125" s="582" t="str">
        <f t="shared" si="331"/>
        <v>NA</v>
      </c>
      <c r="AS125" s="582">
        <f t="shared" si="332"/>
        <v>1.6666666666666666E-2</v>
      </c>
      <c r="AT125" s="582" t="str">
        <f t="shared" ref="AT125" si="448">IF(AS125&gt;=AR125,AS125,AR125)</f>
        <v>NA</v>
      </c>
      <c r="AU125" s="572">
        <f t="shared" si="334"/>
        <v>1.6666666666666666E-2</v>
      </c>
      <c r="AV125" s="573">
        <f t="shared" ref="AV125" si="449">IF($AU$6=1,AR125,IF($AU$6=2,AS125,IF($AU$6=3,AU125,"")))</f>
        <v>1.6666666666666666E-2</v>
      </c>
      <c r="AW125" s="574">
        <f t="shared" ref="AW125" si="450">AV125</f>
        <v>1.6666666666666666E-2</v>
      </c>
      <c r="AX125" t="str">
        <f t="shared" si="415"/>
        <v>No se logro mayor avance</v>
      </c>
    </row>
    <row r="126" spans="1:50" ht="15.75" x14ac:dyDescent="0.25">
      <c r="A126" s="576"/>
      <c r="B126" s="578"/>
      <c r="C126" s="82" t="str">
        <f>IF('CONSOLIDACION DEL MAPA'!P125="","",'CONSOLIDACION DEL MAPA'!P125)</f>
        <v/>
      </c>
      <c r="D126" s="82" t="str">
        <f>CRONOGRAMA!D125</f>
        <v/>
      </c>
      <c r="E126" s="132" t="str">
        <f>IF(CRONOGRAMA!F125="", "",CRONOGRAMA!F125)</f>
        <v/>
      </c>
      <c r="F126" s="132" t="str">
        <f>IF(CRONOGRAMA!G125="", "",CRONOGRAMA!G125)</f>
        <v/>
      </c>
      <c r="G126" s="128" t="str">
        <f>IF(CRONOGRAMA!H125="", "",CRONOGRAMA!H125)</f>
        <v/>
      </c>
      <c r="H126" s="128" t="str">
        <f>IF(CRONOGRAMA!I125="", "",CRONOGRAMA!I125)</f>
        <v/>
      </c>
      <c r="I126" s="84">
        <f t="shared" si="398"/>
        <v>0</v>
      </c>
      <c r="J126" s="160" t="str">
        <f>IF($P$6="Indique Fecha Seguimiento","",IF(CRONOGRAMA!$E125="No Aplica","NA",IF($G126="","",IF(YEAR($G126)&lt;YEAR($P$6)," A ",IF(YEAR($G126)=YEAR($P$6),IF(MONTH($G126)&lt;=4," A ","NA"),IF(YEAR($G126)&gt;YEAR($P$6),"NA"))))))</f>
        <v/>
      </c>
      <c r="K126" s="400"/>
      <c r="L126" s="402"/>
      <c r="M126" s="400"/>
      <c r="N126" s="348" t="str">
        <f t="shared" si="399"/>
        <v/>
      </c>
      <c r="O126" s="349"/>
      <c r="P126" s="44"/>
      <c r="Q126" s="84" t="str">
        <f t="shared" si="400"/>
        <v/>
      </c>
      <c r="R126" s="84" t="str">
        <f t="shared" si="401"/>
        <v/>
      </c>
      <c r="S126" s="84">
        <f t="shared" si="318"/>
        <v>0</v>
      </c>
      <c r="T126" s="160" t="str">
        <f>IF($Z$6="Indique Fecha Seguimiento","",IF(CRONOGRAMA!$E125="No Aplica","NA",IF($G126="","",IF(YEAR($G126)&lt;YEAR($Z$6)," A ",IF(YEAR($G126)=YEAR($Z$6),IF(MONTH($G126)&lt;=8," A ","NA"),IF(YEAR($G126)&gt;YEAR($Z$6),"NA"))))))</f>
        <v/>
      </c>
      <c r="U126" s="350"/>
      <c r="V126" s="44"/>
      <c r="W126" s="351"/>
      <c r="X126" s="348" t="str">
        <f t="shared" si="402"/>
        <v/>
      </c>
      <c r="Y126" s="349"/>
      <c r="Z126" s="44"/>
      <c r="AA126" s="84" t="str">
        <f t="shared" si="403"/>
        <v/>
      </c>
      <c r="AB126" s="84" t="str">
        <f t="shared" si="404"/>
        <v/>
      </c>
      <c r="AC126" s="84">
        <f t="shared" si="322"/>
        <v>0</v>
      </c>
      <c r="AD126" s="160" t="str">
        <f>IF($AJ$6="Indique Fecha Seguimiento","",IF(CRONOGRAMA!$E125="No Aplica","NA",IF($G126="","",IF(YEAR($G126)&lt;YEAR($AJ$6)," A ",IF(YEAR($G126)=YEAR($AJ$6),IF(MONTH($G126)&lt;=12," A ","NA"),IF(YEAR($G126)&gt;YEAR($AJ$6),"NA"))))))</f>
        <v/>
      </c>
      <c r="AE126" s="350"/>
      <c r="AF126" s="44"/>
      <c r="AG126" s="351"/>
      <c r="AH126" s="348" t="str">
        <f t="shared" si="405"/>
        <v/>
      </c>
      <c r="AI126" s="349"/>
      <c r="AJ126" s="44"/>
      <c r="AK126" s="81" t="str">
        <f t="shared" si="406"/>
        <v/>
      </c>
      <c r="AL126" s="84" t="str">
        <f t="shared" si="407"/>
        <v/>
      </c>
      <c r="AM126" s="84">
        <f t="shared" si="326"/>
        <v>0</v>
      </c>
      <c r="AN126" s="579"/>
      <c r="AO126" s="580"/>
      <c r="AP126" s="581"/>
      <c r="AQ126" s="581"/>
      <c r="AR126" s="582"/>
      <c r="AS126" s="582"/>
      <c r="AT126" s="582"/>
      <c r="AU126" s="572"/>
      <c r="AV126" s="573"/>
      <c r="AW126" s="574"/>
      <c r="AX126">
        <f t="shared" si="415"/>
        <v>0</v>
      </c>
    </row>
    <row r="127" spans="1:50" ht="16.5" thickBot="1" x14ac:dyDescent="0.3">
      <c r="A127" s="577"/>
      <c r="B127" s="578"/>
      <c r="C127" s="82" t="str">
        <f>IF('CONSOLIDACION DEL MAPA'!P126="","",'CONSOLIDACION DEL MAPA'!P126)</f>
        <v/>
      </c>
      <c r="D127" s="82" t="str">
        <f>CRONOGRAMA!D126</f>
        <v/>
      </c>
      <c r="E127" s="132" t="str">
        <f>IF(CRONOGRAMA!F126="", "",CRONOGRAMA!F126)</f>
        <v/>
      </c>
      <c r="F127" s="132" t="str">
        <f>IF(CRONOGRAMA!G126="", "",CRONOGRAMA!G126)</f>
        <v/>
      </c>
      <c r="G127" s="128" t="str">
        <f>IF(CRONOGRAMA!H126="", "",CRONOGRAMA!H126)</f>
        <v/>
      </c>
      <c r="H127" s="128" t="str">
        <f>IF(CRONOGRAMA!I126="", "",CRONOGRAMA!I126)</f>
        <v/>
      </c>
      <c r="I127" s="84">
        <f t="shared" si="398"/>
        <v>0</v>
      </c>
      <c r="J127" s="160" t="str">
        <f>IF($P$6="Indique Fecha Seguimiento","",IF(CRONOGRAMA!$E126="No Aplica","NA",IF($G127="","",IF(YEAR($G127)&lt;YEAR($P$6)," A ",IF(YEAR($G127)=YEAR($P$6),IF(MONTH($G127)&lt;=4," A ","NA"),IF(YEAR($G127)&gt;YEAR($P$6),"NA"))))))</f>
        <v/>
      </c>
      <c r="K127" s="400"/>
      <c r="L127" s="402"/>
      <c r="M127" s="400"/>
      <c r="N127" s="348" t="str">
        <f t="shared" si="399"/>
        <v/>
      </c>
      <c r="O127" s="349"/>
      <c r="P127" s="44"/>
      <c r="Q127" s="84" t="str">
        <f t="shared" si="400"/>
        <v/>
      </c>
      <c r="R127" s="84" t="str">
        <f t="shared" si="401"/>
        <v/>
      </c>
      <c r="S127" s="84">
        <f t="shared" si="318"/>
        <v>0</v>
      </c>
      <c r="T127" s="160" t="str">
        <f>IF($Z$6="Indique Fecha Seguimiento","",IF(CRONOGRAMA!$E126="No Aplica","NA",IF($G127="","",IF(YEAR($G127)&lt;YEAR($Z$6)," A ",IF(YEAR($G127)=YEAR($Z$6),IF(MONTH($G127)&lt;=8," A ","NA"),IF(YEAR($G127)&gt;YEAR($Z$6),"NA"))))))</f>
        <v/>
      </c>
      <c r="U127" s="350"/>
      <c r="V127" s="44"/>
      <c r="W127" s="351"/>
      <c r="X127" s="348" t="str">
        <f t="shared" si="402"/>
        <v/>
      </c>
      <c r="Y127" s="349"/>
      <c r="Z127" s="44"/>
      <c r="AA127" s="84" t="str">
        <f t="shared" si="403"/>
        <v/>
      </c>
      <c r="AB127" s="84" t="str">
        <f t="shared" si="404"/>
        <v/>
      </c>
      <c r="AC127" s="84">
        <f t="shared" si="322"/>
        <v>0</v>
      </c>
      <c r="AD127" s="160" t="str">
        <f>IF($AJ$6="Indique Fecha Seguimiento","",IF(CRONOGRAMA!$E126="No Aplica","NA",IF($G127="","",IF(YEAR($G127)&lt;YEAR($AJ$6)," A ",IF(YEAR($G127)=YEAR($AJ$6),IF(MONTH($G127)&lt;=12," A ","NA"),IF(YEAR($G127)&gt;YEAR($AJ$6),"NA"))))))</f>
        <v/>
      </c>
      <c r="AE127" s="350"/>
      <c r="AF127" s="44"/>
      <c r="AG127" s="351"/>
      <c r="AH127" s="348" t="str">
        <f t="shared" si="405"/>
        <v/>
      </c>
      <c r="AI127" s="349"/>
      <c r="AJ127" s="44"/>
      <c r="AK127" s="81" t="str">
        <f t="shared" si="406"/>
        <v/>
      </c>
      <c r="AL127" s="84" t="str">
        <f t="shared" si="407"/>
        <v/>
      </c>
      <c r="AM127" s="84">
        <f t="shared" si="326"/>
        <v>0</v>
      </c>
      <c r="AN127" s="579"/>
      <c r="AO127" s="580"/>
      <c r="AP127" s="581"/>
      <c r="AQ127" s="581"/>
      <c r="AR127" s="582"/>
      <c r="AS127" s="582"/>
      <c r="AT127" s="582"/>
      <c r="AU127" s="572"/>
      <c r="AV127" s="573"/>
      <c r="AW127" s="574"/>
      <c r="AX127">
        <f t="shared" si="415"/>
        <v>0</v>
      </c>
    </row>
    <row r="128" spans="1:50" ht="48" thickTop="1" x14ac:dyDescent="0.25">
      <c r="A128" s="575" t="str">
        <f>CRONOGRAMA!A127</f>
        <v>12C</v>
      </c>
      <c r="B128" s="578" t="str">
        <f>CRONOGRAMA!B127</f>
        <v>Gestión Academica. Deficiencias en el manejo documental y de archivo</v>
      </c>
      <c r="C128" s="82" t="str">
        <f>IF('CONSOLIDACION DEL MAPA'!P127="","",'CONSOLIDACION DEL MAPA'!P127)</f>
        <v>Reducir</v>
      </c>
      <c r="D128" s="82" t="str">
        <f>CRONOGRAMA!D127</f>
        <v>Desarrollar talleres gestión documental</v>
      </c>
      <c r="E128" s="132" t="str">
        <f>IF(CRONOGRAMA!F127="", "",CRONOGRAMA!F127)</f>
        <v>Acta de realización de talleres</v>
      </c>
      <c r="F128" s="132">
        <f>IF(CRONOGRAMA!G127="", "",CRONOGRAMA!G127)</f>
        <v>2</v>
      </c>
      <c r="G128" s="128">
        <f>IF(CRONOGRAMA!H127="", "",CRONOGRAMA!H127)</f>
        <v>42576</v>
      </c>
      <c r="H128" s="128">
        <f>IF(CRONOGRAMA!I127="", "",CRONOGRAMA!I127)</f>
        <v>42941</v>
      </c>
      <c r="I128" s="84">
        <f t="shared" si="398"/>
        <v>52.142857142857146</v>
      </c>
      <c r="J128" s="160" t="str">
        <f>IF($P$6="Indique Fecha Seguimiento","",IF(CRONOGRAMA!$E127="No Aplica","NA",IF($G128="","",IF(YEAR($G128)&lt;YEAR($P$6)," A ",IF(YEAR($G128)=YEAR($P$6),IF(MONTH($G128)&lt;=4," A ","NA"),IF(YEAR($G128)&gt;YEAR($P$6),"NA"))))))</f>
        <v>NA</v>
      </c>
      <c r="K128" s="400"/>
      <c r="L128" s="402"/>
      <c r="M128" s="400"/>
      <c r="N128" s="348" t="str">
        <f t="shared" si="399"/>
        <v/>
      </c>
      <c r="O128" s="349"/>
      <c r="P128" s="44"/>
      <c r="Q128" s="84" t="str">
        <f t="shared" si="400"/>
        <v/>
      </c>
      <c r="R128" s="84" t="str">
        <f t="shared" si="401"/>
        <v/>
      </c>
      <c r="S128" s="84">
        <f t="shared" si="318"/>
        <v>52.142857142857146</v>
      </c>
      <c r="T128" s="160" t="str">
        <f>IF($Z$6="Indique Fecha Seguimiento","",IF(CRONOGRAMA!$E127="No Aplica","NA",IF($G128="","",IF(YEAR($G128)&lt;YEAR($Z$6)," A ",IF(YEAR($G128)=YEAR($Z$6),IF(MONTH($G128)&lt;=8," A ","NA"),IF(YEAR($G128)&gt;YEAR($Z$6),"NA"))))))</f>
        <v xml:space="preserve"> A </v>
      </c>
      <c r="U128" s="419">
        <v>0.02</v>
      </c>
      <c r="V128" s="420" t="s">
        <v>967</v>
      </c>
      <c r="W128" s="351">
        <v>0.04</v>
      </c>
      <c r="X128" s="348">
        <f t="shared" si="402"/>
        <v>0.02</v>
      </c>
      <c r="Y128" s="349" t="s">
        <v>353</v>
      </c>
      <c r="Z128" s="44" t="str">
        <f>V128</f>
        <v>Reuniones internas para revisión de procesos de gestión documental</v>
      </c>
      <c r="AA128" s="84">
        <f t="shared" si="403"/>
        <v>1.0428571428571429</v>
      </c>
      <c r="AB128" s="84">
        <f t="shared" si="404"/>
        <v>1.0428571428571429</v>
      </c>
      <c r="AC128" s="84">
        <f t="shared" si="322"/>
        <v>52.142857142857146</v>
      </c>
      <c r="AD128" s="160" t="str">
        <f>IF($AJ$6="Indique Fecha Seguimiento","",IF(CRONOGRAMA!$E127="No Aplica","NA",IF($G128="","",IF(YEAR($G128)&lt;YEAR($AJ$6)," A ",IF(YEAR($G128)=YEAR($AJ$6),IF(MONTH($G128)&lt;=12," A ","NA"),IF(YEAR($G128)&gt;YEAR($AJ$6),"NA"))))))</f>
        <v xml:space="preserve"> A </v>
      </c>
      <c r="AE128" s="350">
        <v>0.02</v>
      </c>
      <c r="AF128" s="44" t="s">
        <v>997</v>
      </c>
      <c r="AG128" s="351">
        <v>0.04</v>
      </c>
      <c r="AH128" s="348">
        <f t="shared" si="405"/>
        <v>0.02</v>
      </c>
      <c r="AI128" s="349" t="s">
        <v>353</v>
      </c>
      <c r="AJ128" s="44" t="s">
        <v>998</v>
      </c>
      <c r="AK128" s="81">
        <f t="shared" si="406"/>
        <v>1.0428571428571429</v>
      </c>
      <c r="AL128" s="84">
        <f t="shared" si="407"/>
        <v>1.0428571428571429</v>
      </c>
      <c r="AM128" s="84">
        <f t="shared" si="326"/>
        <v>52.142857142857146</v>
      </c>
      <c r="AN128" s="579">
        <f t="shared" ref="AN128" si="451">SUM(I128:I130)</f>
        <v>52.142857142857146</v>
      </c>
      <c r="AO128" s="580" t="str">
        <f t="shared" ref="AO128" si="452">IF(AND(Q128="",Q129="",Q130=""),"",SUM(Q128:Q130))</f>
        <v/>
      </c>
      <c r="AP128" s="581">
        <f t="shared" ref="AP128" si="453">IF(AND(AA128="",AA129="",AA130=""),"",SUM(AA128:AA130))</f>
        <v>1.0428571428571429</v>
      </c>
      <c r="AQ128" s="581">
        <f t="shared" ref="AQ128" si="454">IF(AND(AK128="",AK129="",AK130=""),"",SUM(AK128:AK130))</f>
        <v>1.0428571428571429</v>
      </c>
      <c r="AR128" s="582" t="str">
        <f t="shared" si="331"/>
        <v>NA</v>
      </c>
      <c r="AS128" s="582">
        <f t="shared" si="332"/>
        <v>0.02</v>
      </c>
      <c r="AT128" s="582" t="str">
        <f t="shared" ref="AT128" si="455">IF(AS128&gt;=AR128,AS128,AR128)</f>
        <v>NA</v>
      </c>
      <c r="AU128" s="572">
        <f t="shared" si="334"/>
        <v>0.02</v>
      </c>
      <c r="AV128" s="573">
        <f t="shared" ref="AV128" si="456">IF($AU$6=1,AR128,IF($AU$6=2,AS128,IF($AU$6=3,AU128,"")))</f>
        <v>0.02</v>
      </c>
      <c r="AW128" s="574">
        <f t="shared" ref="AW128" si="457">AV128</f>
        <v>0.02</v>
      </c>
      <c r="AX128" t="str">
        <f t="shared" si="415"/>
        <v>No se logro mayor avance</v>
      </c>
    </row>
    <row r="129" spans="1:50" ht="15.75" x14ac:dyDescent="0.25">
      <c r="A129" s="576"/>
      <c r="B129" s="578"/>
      <c r="C129" s="82" t="str">
        <f>IF('CONSOLIDACION DEL MAPA'!P128="","",'CONSOLIDACION DEL MAPA'!P128)</f>
        <v/>
      </c>
      <c r="D129" s="82" t="str">
        <f>CRONOGRAMA!D128</f>
        <v/>
      </c>
      <c r="E129" s="132" t="str">
        <f>IF(CRONOGRAMA!F128="", "",CRONOGRAMA!F128)</f>
        <v/>
      </c>
      <c r="F129" s="132" t="str">
        <f>IF(CRONOGRAMA!G128="", "",CRONOGRAMA!G128)</f>
        <v/>
      </c>
      <c r="G129" s="128" t="str">
        <f>IF(CRONOGRAMA!H128="", "",CRONOGRAMA!H128)</f>
        <v/>
      </c>
      <c r="H129" s="128" t="str">
        <f>IF(CRONOGRAMA!I128="", "",CRONOGRAMA!I128)</f>
        <v/>
      </c>
      <c r="I129" s="84">
        <f t="shared" si="398"/>
        <v>0</v>
      </c>
      <c r="J129" s="160" t="str">
        <f>IF($P$6="Indique Fecha Seguimiento","",IF(CRONOGRAMA!$E128="No Aplica","NA",IF($G129="","",IF(YEAR($G129)&lt;YEAR($P$6)," A ",IF(YEAR($G129)=YEAR($P$6),IF(MONTH($G129)&lt;=4," A ","NA"),IF(YEAR($G129)&gt;YEAR($P$6),"NA"))))))</f>
        <v/>
      </c>
      <c r="K129" s="400"/>
      <c r="L129" s="402"/>
      <c r="M129" s="400"/>
      <c r="N129" s="348" t="str">
        <f t="shared" si="399"/>
        <v/>
      </c>
      <c r="O129" s="349"/>
      <c r="P129" s="44"/>
      <c r="Q129" s="84" t="str">
        <f t="shared" si="400"/>
        <v/>
      </c>
      <c r="R129" s="84" t="str">
        <f t="shared" si="401"/>
        <v/>
      </c>
      <c r="S129" s="84">
        <f t="shared" si="318"/>
        <v>0</v>
      </c>
      <c r="T129" s="160" t="str">
        <f>IF($Z$6="Indique Fecha Seguimiento","",IF(CRONOGRAMA!$E128="No Aplica","NA",IF($G129="","",IF(YEAR($G129)&lt;YEAR($Z$6)," A ",IF(YEAR($G129)=YEAR($Z$6),IF(MONTH($G129)&lt;=8," A ","NA"),IF(YEAR($G129)&gt;YEAR($Z$6),"NA"))))))</f>
        <v/>
      </c>
      <c r="U129" s="350"/>
      <c r="V129" s="44"/>
      <c r="W129" s="351"/>
      <c r="X129" s="348" t="str">
        <f t="shared" si="402"/>
        <v/>
      </c>
      <c r="Y129" s="349"/>
      <c r="Z129" s="44"/>
      <c r="AA129" s="84" t="str">
        <f t="shared" si="403"/>
        <v/>
      </c>
      <c r="AB129" s="84" t="str">
        <f t="shared" si="404"/>
        <v/>
      </c>
      <c r="AC129" s="84">
        <f t="shared" si="322"/>
        <v>0</v>
      </c>
      <c r="AD129" s="160" t="str">
        <f>IF($AJ$6="Indique Fecha Seguimiento","",IF(CRONOGRAMA!$E128="No Aplica","NA",IF($G129="","",IF(YEAR($G129)&lt;YEAR($AJ$6)," A ",IF(YEAR($G129)=YEAR($AJ$6),IF(MONTH($G129)&lt;=12," A ","NA"),IF(YEAR($G129)&gt;YEAR($AJ$6),"NA"))))))</f>
        <v/>
      </c>
      <c r="AE129" s="350"/>
      <c r="AF129" s="44"/>
      <c r="AG129" s="351"/>
      <c r="AH129" s="348" t="str">
        <f t="shared" si="405"/>
        <v/>
      </c>
      <c r="AI129" s="349"/>
      <c r="AJ129" s="44"/>
      <c r="AK129" s="81" t="str">
        <f t="shared" si="406"/>
        <v/>
      </c>
      <c r="AL129" s="84" t="str">
        <f t="shared" si="407"/>
        <v/>
      </c>
      <c r="AM129" s="84">
        <f t="shared" si="326"/>
        <v>0</v>
      </c>
      <c r="AN129" s="579"/>
      <c r="AO129" s="580"/>
      <c r="AP129" s="581"/>
      <c r="AQ129" s="581"/>
      <c r="AR129" s="582"/>
      <c r="AS129" s="582"/>
      <c r="AT129" s="582"/>
      <c r="AU129" s="572"/>
      <c r="AV129" s="573"/>
      <c r="AW129" s="574"/>
      <c r="AX129">
        <f t="shared" si="415"/>
        <v>0</v>
      </c>
    </row>
    <row r="130" spans="1:50" ht="16.5" thickBot="1" x14ac:dyDescent="0.3">
      <c r="A130" s="577"/>
      <c r="B130" s="578"/>
      <c r="C130" s="82" t="str">
        <f>IF('CONSOLIDACION DEL MAPA'!P129="","",'CONSOLIDACION DEL MAPA'!P129)</f>
        <v/>
      </c>
      <c r="D130" s="82" t="str">
        <f>CRONOGRAMA!D129</f>
        <v/>
      </c>
      <c r="E130" s="132" t="str">
        <f>IF(CRONOGRAMA!F129="", "",CRONOGRAMA!F129)</f>
        <v/>
      </c>
      <c r="F130" s="132" t="str">
        <f>IF(CRONOGRAMA!G129="", "",CRONOGRAMA!G129)</f>
        <v/>
      </c>
      <c r="G130" s="128" t="str">
        <f>IF(CRONOGRAMA!H129="", "",CRONOGRAMA!H129)</f>
        <v/>
      </c>
      <c r="H130" s="128" t="str">
        <f>IF(CRONOGRAMA!I129="", "",CRONOGRAMA!I129)</f>
        <v/>
      </c>
      <c r="I130" s="84">
        <f t="shared" si="398"/>
        <v>0</v>
      </c>
      <c r="J130" s="160" t="str">
        <f>IF($P$6="Indique Fecha Seguimiento","",IF(CRONOGRAMA!$E129="No Aplica","NA",IF($G130="","",IF(YEAR($G130)&lt;YEAR($P$6)," A ",IF(YEAR($G130)=YEAR($P$6),IF(MONTH($G130)&lt;=4," A ","NA"),IF(YEAR($G130)&gt;YEAR($P$6),"NA"))))))</f>
        <v/>
      </c>
      <c r="K130" s="400"/>
      <c r="L130" s="402"/>
      <c r="M130" s="400"/>
      <c r="N130" s="348" t="str">
        <f t="shared" si="399"/>
        <v/>
      </c>
      <c r="O130" s="349"/>
      <c r="P130" s="44"/>
      <c r="Q130" s="84" t="str">
        <f t="shared" si="400"/>
        <v/>
      </c>
      <c r="R130" s="84" t="str">
        <f t="shared" si="401"/>
        <v/>
      </c>
      <c r="S130" s="84">
        <f t="shared" si="318"/>
        <v>0</v>
      </c>
      <c r="T130" s="160" t="str">
        <f>IF($Z$6="Indique Fecha Seguimiento","",IF(CRONOGRAMA!$E129="No Aplica","NA",IF($G130="","",IF(YEAR($G130)&lt;YEAR($Z$6)," A ",IF(YEAR($G130)=YEAR($Z$6),IF(MONTH($G130)&lt;=8," A ","NA"),IF(YEAR($G130)&gt;YEAR($Z$6),"NA"))))))</f>
        <v/>
      </c>
      <c r="U130" s="350"/>
      <c r="V130" s="44"/>
      <c r="W130" s="351"/>
      <c r="X130" s="348" t="str">
        <f t="shared" si="402"/>
        <v/>
      </c>
      <c r="Y130" s="349"/>
      <c r="Z130" s="44"/>
      <c r="AA130" s="84" t="str">
        <f t="shared" si="403"/>
        <v/>
      </c>
      <c r="AB130" s="84" t="str">
        <f t="shared" si="404"/>
        <v/>
      </c>
      <c r="AC130" s="84">
        <f t="shared" si="322"/>
        <v>0</v>
      </c>
      <c r="AD130" s="160" t="str">
        <f>IF($AJ$6="Indique Fecha Seguimiento","",IF(CRONOGRAMA!$E129="No Aplica","NA",IF($G130="","",IF(YEAR($G130)&lt;YEAR($AJ$6)," A ",IF(YEAR($G130)=YEAR($AJ$6),IF(MONTH($G130)&lt;=12," A ","NA"),IF(YEAR($G130)&gt;YEAR($AJ$6),"NA"))))))</f>
        <v/>
      </c>
      <c r="AE130" s="350"/>
      <c r="AF130" s="44"/>
      <c r="AG130" s="351"/>
      <c r="AH130" s="348" t="str">
        <f t="shared" si="405"/>
        <v/>
      </c>
      <c r="AI130" s="349"/>
      <c r="AJ130" s="44"/>
      <c r="AK130" s="81" t="str">
        <f t="shared" si="406"/>
        <v/>
      </c>
      <c r="AL130" s="84" t="str">
        <f t="shared" si="407"/>
        <v/>
      </c>
      <c r="AM130" s="84">
        <f t="shared" si="326"/>
        <v>0</v>
      </c>
      <c r="AN130" s="579"/>
      <c r="AO130" s="580"/>
      <c r="AP130" s="581"/>
      <c r="AQ130" s="581"/>
      <c r="AR130" s="582"/>
      <c r="AS130" s="582"/>
      <c r="AT130" s="582"/>
      <c r="AU130" s="572"/>
      <c r="AV130" s="573"/>
      <c r="AW130" s="574"/>
      <c r="AX130">
        <f t="shared" si="415"/>
        <v>0</v>
      </c>
    </row>
    <row r="131" spans="1:50" ht="95.25" thickTop="1" x14ac:dyDescent="0.25">
      <c r="A131" s="575" t="str">
        <f>CRONOGRAMA!A130</f>
        <v>13C</v>
      </c>
      <c r="B131" s="578" t="str">
        <f>CRONOGRAMA!B130</f>
        <v>Gestión de Investigación. Vulnerabilidad en el manejo de la información de la actividad investigativa</v>
      </c>
      <c r="C131" s="82" t="str">
        <f>IF('CONSOLIDACION DEL MAPA'!P130="","",'CONSOLIDACION DEL MAPA'!P130)</f>
        <v>Reducir</v>
      </c>
      <c r="D131" s="82" t="str">
        <f>CRONOGRAMA!D130</f>
        <v>Desarrollo e Implementación del Sistema de Información de la Vicerrectoría de investigación</v>
      </c>
      <c r="E131" s="132" t="str">
        <f>IF(CRONOGRAMA!F130="", "",CRONOGRAMA!F130)</f>
        <v>Actas de entrega de claves a usuarios</v>
      </c>
      <c r="F131" s="132">
        <f>IF(CRONOGRAMA!G130="", "",CRONOGRAMA!G130)</f>
        <v>1</v>
      </c>
      <c r="G131" s="128">
        <f>IF(CRONOGRAMA!H130="", "",CRONOGRAMA!H130)</f>
        <v>42388</v>
      </c>
      <c r="H131" s="128">
        <f>IF(CRONOGRAMA!I130="", "",CRONOGRAMA!I130)</f>
        <v>42723</v>
      </c>
      <c r="I131" s="84">
        <f t="shared" si="398"/>
        <v>47.857142857142854</v>
      </c>
      <c r="J131" s="160" t="str">
        <f>IF($P$6="Indique Fecha Seguimiento","",IF(CRONOGRAMA!$E130="No Aplica","NA",IF($G131="","",IF(YEAR($G131)&lt;YEAR($P$6)," A ",IF(YEAR($G131)=YEAR($P$6),IF(MONTH($G131)&lt;=4," A ","NA"),IF(YEAR($G131)&gt;YEAR($P$6),"NA"))))))</f>
        <v xml:space="preserve"> A </v>
      </c>
      <c r="K131" s="400">
        <v>0.2</v>
      </c>
      <c r="L131" s="402" t="s">
        <v>899</v>
      </c>
      <c r="M131" s="400">
        <v>0.2</v>
      </c>
      <c r="N131" s="348">
        <f t="shared" si="399"/>
        <v>0.2</v>
      </c>
      <c r="O131" s="349" t="s">
        <v>353</v>
      </c>
      <c r="P131" s="44"/>
      <c r="Q131" s="84">
        <f t="shared" si="400"/>
        <v>9.5714285714285712</v>
      </c>
      <c r="R131" s="84">
        <f t="shared" si="401"/>
        <v>9.5714285714285712</v>
      </c>
      <c r="S131" s="84">
        <f t="shared" si="318"/>
        <v>47.857142857142854</v>
      </c>
      <c r="T131" s="160" t="str">
        <f>IF($Z$6="Indique Fecha Seguimiento","",IF(CRONOGRAMA!$E130="No Aplica","NA",IF($G131="","",IF(YEAR($G131)&lt;YEAR($Z$6)," A ",IF(YEAR($G131)=YEAR($Z$6),IF(MONTH($G131)&lt;=8," A ","NA"),IF(YEAR($G131)&gt;YEAR($Z$6),"NA"))))))</f>
        <v xml:space="preserve"> A </v>
      </c>
      <c r="U131" s="408">
        <v>0.25</v>
      </c>
      <c r="V131" s="44" t="s">
        <v>928</v>
      </c>
      <c r="W131" s="351">
        <v>0.25</v>
      </c>
      <c r="X131" s="348">
        <f t="shared" si="402"/>
        <v>0.25</v>
      </c>
      <c r="Y131" s="349" t="s">
        <v>353</v>
      </c>
      <c r="Z131" s="44" t="s">
        <v>925</v>
      </c>
      <c r="AA131" s="84">
        <f t="shared" si="403"/>
        <v>11.964285714285714</v>
      </c>
      <c r="AB131" s="84">
        <f t="shared" si="404"/>
        <v>11.964285714285714</v>
      </c>
      <c r="AC131" s="84">
        <f t="shared" si="322"/>
        <v>47.857142857142854</v>
      </c>
      <c r="AD131" s="160" t="str">
        <f>IF($AJ$6="Indique Fecha Seguimiento","",IF(CRONOGRAMA!$E130="No Aplica","NA",IF($G131="","",IF(YEAR($G131)&lt;YEAR($AJ$6)," A ",IF(YEAR($G131)=YEAR($AJ$6),IF(MONTH($G131)&lt;=12," A ","NA"),IF(YEAR($G131)&gt;YEAR($AJ$6),"NA"))))))</f>
        <v xml:space="preserve"> A </v>
      </c>
      <c r="AE131" s="721">
        <v>1</v>
      </c>
      <c r="AF131" s="44" t="s">
        <v>999</v>
      </c>
      <c r="AG131" s="351">
        <v>1</v>
      </c>
      <c r="AH131" s="348">
        <f t="shared" si="405"/>
        <v>1</v>
      </c>
      <c r="AI131" s="349" t="s">
        <v>11</v>
      </c>
      <c r="AJ131" s="44" t="s">
        <v>993</v>
      </c>
      <c r="AK131" s="81">
        <f t="shared" si="406"/>
        <v>47.857142857142854</v>
      </c>
      <c r="AL131" s="84">
        <f t="shared" si="407"/>
        <v>47.857142857142854</v>
      </c>
      <c r="AM131" s="84">
        <f t="shared" si="326"/>
        <v>47.857142857142854</v>
      </c>
      <c r="AN131" s="579">
        <f t="shared" ref="AN131" si="458">SUM(I131:I133)</f>
        <v>47.857142857142854</v>
      </c>
      <c r="AO131" s="580">
        <f t="shared" ref="AO131" si="459">IF(AND(Q131="",Q132="",Q133=""),"",SUM(Q131:Q133))</f>
        <v>9.5714285714285712</v>
      </c>
      <c r="AP131" s="581">
        <f t="shared" ref="AP131" si="460">IF(AND(AA131="",AA132="",AA133=""),"",SUM(AA131:AA133))</f>
        <v>11.964285714285714</v>
      </c>
      <c r="AQ131" s="581">
        <f t="shared" ref="AQ131" si="461">IF(AND(AK131="",AK132="",AK133=""),"",SUM(AK131:AK133))</f>
        <v>47.857142857142854</v>
      </c>
      <c r="AR131" s="582">
        <f t="shared" si="331"/>
        <v>0.2</v>
      </c>
      <c r="AS131" s="582">
        <f t="shared" si="332"/>
        <v>0.25</v>
      </c>
      <c r="AT131" s="582">
        <f t="shared" ref="AT131" si="462">IF(AS131&gt;=AR131,AS131,AR131)</f>
        <v>0.25</v>
      </c>
      <c r="AU131" s="572">
        <f t="shared" si="334"/>
        <v>1</v>
      </c>
      <c r="AV131" s="573">
        <f t="shared" ref="AV131" si="463">IF($AU$6=1,AR131,IF($AU$6=2,AS131,IF($AU$6=3,AU131,"")))</f>
        <v>1</v>
      </c>
      <c r="AW131" s="574">
        <f t="shared" ref="AW131" si="464">AV131</f>
        <v>1</v>
      </c>
      <c r="AX131" t="str">
        <f t="shared" si="415"/>
        <v>Actividades informadas</v>
      </c>
    </row>
    <row r="132" spans="1:50" ht="15.75" x14ac:dyDescent="0.25">
      <c r="A132" s="576"/>
      <c r="B132" s="578"/>
      <c r="C132" s="82" t="str">
        <f>IF('CONSOLIDACION DEL MAPA'!P131="","",'CONSOLIDACION DEL MAPA'!P131)</f>
        <v/>
      </c>
      <c r="D132" s="82" t="str">
        <f>CRONOGRAMA!D131</f>
        <v/>
      </c>
      <c r="E132" s="132" t="str">
        <f>IF(CRONOGRAMA!F131="", "",CRONOGRAMA!F131)</f>
        <v/>
      </c>
      <c r="F132" s="132" t="str">
        <f>IF(CRONOGRAMA!G131="", "",CRONOGRAMA!G131)</f>
        <v/>
      </c>
      <c r="G132" s="128" t="str">
        <f>IF(CRONOGRAMA!H131="", "",CRONOGRAMA!H131)</f>
        <v/>
      </c>
      <c r="H132" s="128" t="str">
        <f>IF(CRONOGRAMA!I131="", "",CRONOGRAMA!I131)</f>
        <v/>
      </c>
      <c r="I132" s="84">
        <f t="shared" si="398"/>
        <v>0</v>
      </c>
      <c r="J132" s="160" t="str">
        <f>IF($P$6="Indique Fecha Seguimiento","",IF(CRONOGRAMA!$E131="No Aplica","NA",IF($G132="","",IF(YEAR($G132)&lt;YEAR($P$6)," A ",IF(YEAR($G132)=YEAR($P$6),IF(MONTH($G132)&lt;=4," A ","NA"),IF(YEAR($G132)&gt;YEAR($P$6),"NA"))))))</f>
        <v/>
      </c>
      <c r="K132" s="400"/>
      <c r="L132" s="402"/>
      <c r="M132" s="400"/>
      <c r="N132" s="348" t="str">
        <f t="shared" si="399"/>
        <v/>
      </c>
      <c r="O132" s="349"/>
      <c r="P132" s="44"/>
      <c r="Q132" s="84" t="str">
        <f t="shared" si="400"/>
        <v/>
      </c>
      <c r="R132" s="84" t="str">
        <f t="shared" si="401"/>
        <v/>
      </c>
      <c r="S132" s="84">
        <f t="shared" si="318"/>
        <v>0</v>
      </c>
      <c r="T132" s="160" t="str">
        <f>IF($Z$6="Indique Fecha Seguimiento","",IF(CRONOGRAMA!$E131="No Aplica","NA",IF($G132="","",IF(YEAR($G132)&lt;YEAR($Z$6)," A ",IF(YEAR($G132)=YEAR($Z$6),IF(MONTH($G132)&lt;=8," A ","NA"),IF(YEAR($G132)&gt;YEAR($Z$6),"NA"))))))</f>
        <v/>
      </c>
      <c r="U132" s="346"/>
      <c r="V132" s="44"/>
      <c r="W132" s="351"/>
      <c r="X132" s="348" t="str">
        <f t="shared" si="402"/>
        <v/>
      </c>
      <c r="Y132" s="349"/>
      <c r="Z132" s="44"/>
      <c r="AA132" s="84" t="str">
        <f t="shared" si="403"/>
        <v/>
      </c>
      <c r="AB132" s="84" t="str">
        <f t="shared" si="404"/>
        <v/>
      </c>
      <c r="AC132" s="84">
        <f t="shared" si="322"/>
        <v>0</v>
      </c>
      <c r="AD132" s="160" t="str">
        <f>IF($AJ$6="Indique Fecha Seguimiento","",IF(CRONOGRAMA!$E131="No Aplica","NA",IF($G132="","",IF(YEAR($G132)&lt;YEAR($AJ$6)," A ",IF(YEAR($G132)=YEAR($AJ$6),IF(MONTH($G132)&lt;=12," A ","NA"),IF(YEAR($G132)&gt;YEAR($AJ$6),"NA"))))))</f>
        <v/>
      </c>
      <c r="AE132" s="350"/>
      <c r="AF132" s="44"/>
      <c r="AG132" s="351"/>
      <c r="AH132" s="348" t="str">
        <f t="shared" si="405"/>
        <v/>
      </c>
      <c r="AI132" s="349"/>
      <c r="AJ132" s="44"/>
      <c r="AK132" s="81" t="str">
        <f t="shared" si="406"/>
        <v/>
      </c>
      <c r="AL132" s="84" t="str">
        <f t="shared" si="407"/>
        <v/>
      </c>
      <c r="AM132" s="84">
        <f t="shared" si="326"/>
        <v>0</v>
      </c>
      <c r="AN132" s="579"/>
      <c r="AO132" s="580"/>
      <c r="AP132" s="581"/>
      <c r="AQ132" s="581"/>
      <c r="AR132" s="582"/>
      <c r="AS132" s="582"/>
      <c r="AT132" s="582"/>
      <c r="AU132" s="572"/>
      <c r="AV132" s="573"/>
      <c r="AW132" s="574"/>
      <c r="AX132">
        <f t="shared" si="415"/>
        <v>0</v>
      </c>
    </row>
    <row r="133" spans="1:50" ht="16.5" thickBot="1" x14ac:dyDescent="0.3">
      <c r="A133" s="577"/>
      <c r="B133" s="578"/>
      <c r="C133" s="82" t="str">
        <f>IF('CONSOLIDACION DEL MAPA'!P132="","",'CONSOLIDACION DEL MAPA'!P132)</f>
        <v/>
      </c>
      <c r="D133" s="82" t="str">
        <f>CRONOGRAMA!D132</f>
        <v/>
      </c>
      <c r="E133" s="132" t="str">
        <f>IF(CRONOGRAMA!F132="", "",CRONOGRAMA!F132)</f>
        <v/>
      </c>
      <c r="F133" s="132" t="str">
        <f>IF(CRONOGRAMA!G132="", "",CRONOGRAMA!G132)</f>
        <v/>
      </c>
      <c r="G133" s="128" t="str">
        <f>IF(CRONOGRAMA!H132="", "",CRONOGRAMA!H132)</f>
        <v/>
      </c>
      <c r="H133" s="128" t="str">
        <f>IF(CRONOGRAMA!I132="", "",CRONOGRAMA!I132)</f>
        <v/>
      </c>
      <c r="I133" s="84">
        <f t="shared" si="398"/>
        <v>0</v>
      </c>
      <c r="J133" s="160" t="str">
        <f>IF($P$6="Indique Fecha Seguimiento","",IF(CRONOGRAMA!$E132="No Aplica","NA",IF($G133="","",IF(YEAR($G133)&lt;YEAR($P$6)," A ",IF(YEAR($G133)=YEAR($P$6),IF(MONTH($G133)&lt;=4," A ","NA"),IF(YEAR($G133)&gt;YEAR($P$6),"NA"))))))</f>
        <v/>
      </c>
      <c r="K133" s="400"/>
      <c r="L133" s="402"/>
      <c r="M133" s="400"/>
      <c r="N133" s="348" t="str">
        <f t="shared" si="399"/>
        <v/>
      </c>
      <c r="O133" s="349"/>
      <c r="P133" s="44"/>
      <c r="Q133" s="84" t="str">
        <f t="shared" si="400"/>
        <v/>
      </c>
      <c r="R133" s="84" t="str">
        <f t="shared" si="401"/>
        <v/>
      </c>
      <c r="S133" s="84">
        <f t="shared" si="318"/>
        <v>0</v>
      </c>
      <c r="T133" s="160" t="str">
        <f>IF($Z$6="Indique Fecha Seguimiento","",IF(CRONOGRAMA!$E132="No Aplica","NA",IF($G133="","",IF(YEAR($G133)&lt;YEAR($Z$6)," A ",IF(YEAR($G133)=YEAR($Z$6),IF(MONTH($G133)&lt;=8," A ","NA"),IF(YEAR($G133)&gt;YEAR($Z$6),"NA"))))))</f>
        <v/>
      </c>
      <c r="U133" s="346"/>
      <c r="V133" s="44"/>
      <c r="W133" s="351"/>
      <c r="X133" s="348" t="str">
        <f t="shared" si="402"/>
        <v/>
      </c>
      <c r="Y133" s="349"/>
      <c r="Z133" s="44"/>
      <c r="AA133" s="84" t="str">
        <f t="shared" si="403"/>
        <v/>
      </c>
      <c r="AB133" s="84" t="str">
        <f t="shared" si="404"/>
        <v/>
      </c>
      <c r="AC133" s="84">
        <f t="shared" si="322"/>
        <v>0</v>
      </c>
      <c r="AD133" s="160" t="str">
        <f>IF($AJ$6="Indique Fecha Seguimiento","",IF(CRONOGRAMA!$E132="No Aplica","NA",IF($G133="","",IF(YEAR($G133)&lt;YEAR($AJ$6)," A ",IF(YEAR($G133)=YEAR($AJ$6),IF(MONTH($G133)&lt;=12," A ","NA"),IF(YEAR($G133)&gt;YEAR($AJ$6),"NA"))))))</f>
        <v/>
      </c>
      <c r="AE133" s="350"/>
      <c r="AF133" s="44"/>
      <c r="AG133" s="351"/>
      <c r="AH133" s="348" t="str">
        <f t="shared" si="405"/>
        <v/>
      </c>
      <c r="AI133" s="349"/>
      <c r="AJ133" s="44"/>
      <c r="AK133" s="81" t="str">
        <f t="shared" si="406"/>
        <v/>
      </c>
      <c r="AL133" s="84" t="str">
        <f t="shared" si="407"/>
        <v/>
      </c>
      <c r="AM133" s="84">
        <f t="shared" si="326"/>
        <v>0</v>
      </c>
      <c r="AN133" s="579"/>
      <c r="AO133" s="580"/>
      <c r="AP133" s="581"/>
      <c r="AQ133" s="581"/>
      <c r="AR133" s="582"/>
      <c r="AS133" s="582"/>
      <c r="AT133" s="582"/>
      <c r="AU133" s="572"/>
      <c r="AV133" s="573"/>
      <c r="AW133" s="574"/>
      <c r="AX133">
        <f t="shared" si="415"/>
        <v>0</v>
      </c>
    </row>
    <row r="134" spans="1:50" ht="95.25" thickTop="1" x14ac:dyDescent="0.25">
      <c r="A134" s="575" t="str">
        <f>CRONOGRAMA!A133</f>
        <v>14C</v>
      </c>
      <c r="B134" s="578" t="str">
        <f>CRONOGRAMA!B133</f>
        <v>Gestión de Investigación. Violación de la propiedad Intelectual.</v>
      </c>
      <c r="C134" s="82" t="str">
        <f>IF('CONSOLIDACION DEL MAPA'!P133="","",'CONSOLIDACION DEL MAPA'!P133)</f>
        <v>Reducir</v>
      </c>
      <c r="D134" s="82" t="str">
        <f>CRONOGRAMA!D133</f>
        <v>Programa de capacitación en Propiedad Intelectual</v>
      </c>
      <c r="E134" s="132" t="str">
        <f>IF(CRONOGRAMA!F133="", "",CRONOGRAMA!F133)</f>
        <v>Capacitaciones realizadas en Prop. Intelectual</v>
      </c>
      <c r="F134" s="132">
        <f>IF(CRONOGRAMA!G133="", "",CRONOGRAMA!G133)</f>
        <v>4</v>
      </c>
      <c r="G134" s="128">
        <f>IF(CRONOGRAMA!H133="", "",CRONOGRAMA!H133)</f>
        <v>42388</v>
      </c>
      <c r="H134" s="128">
        <f>IF(CRONOGRAMA!I133="", "",CRONOGRAMA!I133)</f>
        <v>42723</v>
      </c>
      <c r="I134" s="84">
        <f t="shared" si="398"/>
        <v>47.857142857142854</v>
      </c>
      <c r="J134" s="160" t="str">
        <f>IF($P$6="Indique Fecha Seguimiento","",IF(CRONOGRAMA!$E133="No Aplica","NA",IF($G134="","",IF(YEAR($G134)&lt;YEAR($P$6)," A ",IF(YEAR($G134)=YEAR($P$6),IF(MONTH($G134)&lt;=4," A ","NA"),IF(YEAR($G134)&gt;YEAR($P$6),"NA"))))))</f>
        <v xml:space="preserve"> A </v>
      </c>
      <c r="K134" s="400">
        <v>2</v>
      </c>
      <c r="L134" s="402" t="s">
        <v>900</v>
      </c>
      <c r="M134" s="400">
        <v>2</v>
      </c>
      <c r="N134" s="348">
        <f t="shared" si="399"/>
        <v>0.5</v>
      </c>
      <c r="O134" s="349" t="s">
        <v>353</v>
      </c>
      <c r="P134" s="44"/>
      <c r="Q134" s="84">
        <f t="shared" si="400"/>
        <v>23.928571428571427</v>
      </c>
      <c r="R134" s="84">
        <f t="shared" si="401"/>
        <v>23.928571428571427</v>
      </c>
      <c r="S134" s="84">
        <f t="shared" si="318"/>
        <v>47.857142857142854</v>
      </c>
      <c r="T134" s="160" t="str">
        <f>IF($Z$6="Indique Fecha Seguimiento","",IF(CRONOGRAMA!$E133="No Aplica","NA",IF($G134="","",IF(YEAR($G134)&lt;YEAR($Z$6)," A ",IF(YEAR($G134)=YEAR($Z$6),IF(MONTH($G134)&lt;=8," A ","NA"),IF(YEAR($G134)&gt;YEAR($Z$6),"NA"))))))</f>
        <v xml:space="preserve"> A </v>
      </c>
      <c r="U134" s="346">
        <v>2</v>
      </c>
      <c r="V134" s="44" t="s">
        <v>900</v>
      </c>
      <c r="W134" s="351">
        <v>2</v>
      </c>
      <c r="X134" s="348">
        <f t="shared" si="402"/>
        <v>0.5</v>
      </c>
      <c r="Y134" s="349" t="s">
        <v>353</v>
      </c>
      <c r="Z134" s="44" t="s">
        <v>926</v>
      </c>
      <c r="AA134" s="84">
        <f t="shared" si="403"/>
        <v>23.928571428571427</v>
      </c>
      <c r="AB134" s="84">
        <f t="shared" si="404"/>
        <v>23.928571428571427</v>
      </c>
      <c r="AC134" s="84">
        <f t="shared" si="322"/>
        <v>47.857142857142854</v>
      </c>
      <c r="AD134" s="160" t="str">
        <f>IF($AJ$6="Indique Fecha Seguimiento","",IF(CRONOGRAMA!$E133="No Aplica","NA",IF($G134="","",IF(YEAR($G134)&lt;YEAR($AJ$6)," A ",IF(YEAR($G134)=YEAR($AJ$6),IF(MONTH($G134)&lt;=12," A ","NA"),IF(YEAR($G134)&gt;YEAR($AJ$6),"NA"))))))</f>
        <v xml:space="preserve"> A </v>
      </c>
      <c r="AE134" s="351">
        <v>5</v>
      </c>
      <c r="AF134" s="44" t="s">
        <v>1000</v>
      </c>
      <c r="AG134" s="351">
        <v>5</v>
      </c>
      <c r="AH134" s="348">
        <f t="shared" si="405"/>
        <v>1.25</v>
      </c>
      <c r="AI134" s="349" t="s">
        <v>11</v>
      </c>
      <c r="AJ134" s="44" t="s">
        <v>993</v>
      </c>
      <c r="AK134" s="81">
        <f t="shared" si="406"/>
        <v>59.821428571428569</v>
      </c>
      <c r="AL134" s="84">
        <f t="shared" si="407"/>
        <v>59.821428571428569</v>
      </c>
      <c r="AM134" s="84">
        <f t="shared" si="326"/>
        <v>47.857142857142854</v>
      </c>
      <c r="AN134" s="579">
        <f t="shared" ref="AN134" si="465">SUM(I134:I136)</f>
        <v>95.714285714285708</v>
      </c>
      <c r="AO134" s="580">
        <f t="shared" ref="AO134" si="466">IF(AND(Q134="",Q135="",Q136=""),"",SUM(Q134:Q136))</f>
        <v>71.785714285714278</v>
      </c>
      <c r="AP134" s="581">
        <f t="shared" ref="AP134" si="467">IF(AND(AA134="",AA135="",AA136=""),"",SUM(AA134:AA136))</f>
        <v>71.785714285714278</v>
      </c>
      <c r="AQ134" s="581">
        <f t="shared" ref="AQ134" si="468">IF(AND(AK134="",AK135="",AK136=""),"",SUM(AK134:AK136))</f>
        <v>107.67857142857142</v>
      </c>
      <c r="AR134" s="582">
        <f t="shared" si="331"/>
        <v>0.75</v>
      </c>
      <c r="AS134" s="582">
        <f t="shared" si="332"/>
        <v>0.75</v>
      </c>
      <c r="AT134" s="582">
        <f t="shared" ref="AT134" si="469">IF(AS134&gt;=AR134,AS134,AR134)</f>
        <v>0.75</v>
      </c>
      <c r="AU134" s="572">
        <f t="shared" si="334"/>
        <v>1.125</v>
      </c>
      <c r="AV134" s="573">
        <f t="shared" ref="AV134" si="470">IF($AU$6=1,AR134,IF($AU$6=2,AS134,IF($AU$6=3,AU134,"")))</f>
        <v>1.125</v>
      </c>
      <c r="AW134" s="574">
        <f t="shared" ref="AW134" si="471">AV134</f>
        <v>1.125</v>
      </c>
      <c r="AX134" t="str">
        <f t="shared" si="415"/>
        <v>Actividades informadas</v>
      </c>
    </row>
    <row r="135" spans="1:50" ht="63" x14ac:dyDescent="0.25">
      <c r="A135" s="576"/>
      <c r="B135" s="578"/>
      <c r="C135" s="82" t="str">
        <f>IF('CONSOLIDACION DEL MAPA'!P134="","",'CONSOLIDACION DEL MAPA'!P134)</f>
        <v>Reducir</v>
      </c>
      <c r="D135" s="82" t="str">
        <f>CRONOGRAMA!D134</f>
        <v>Aprobación del Reglamento de PI</v>
      </c>
      <c r="E135" s="132" t="str">
        <f>IF(CRONOGRAMA!F134="", "",CRONOGRAMA!F134)</f>
        <v>Reglamento de PI enviado a Jurídica para revisión</v>
      </c>
      <c r="F135" s="132">
        <f>IF(CRONOGRAMA!G134="", "",CRONOGRAMA!G134)</f>
        <v>1</v>
      </c>
      <c r="G135" s="128">
        <f>IF(CRONOGRAMA!H134="", "",CRONOGRAMA!H134)</f>
        <v>42388</v>
      </c>
      <c r="H135" s="128">
        <f>IF(CRONOGRAMA!I134="", "",CRONOGRAMA!I134)</f>
        <v>42723</v>
      </c>
      <c r="I135" s="84">
        <f t="shared" si="398"/>
        <v>47.857142857142854</v>
      </c>
      <c r="J135" s="160" t="str">
        <f>IF($P$6="Indique Fecha Seguimiento","",IF(CRONOGRAMA!$E134="No Aplica","NA",IF($G135="","",IF(YEAR($G135)&lt;YEAR($P$6)," A ",IF(YEAR($G135)=YEAR($P$6),IF(MONTH($G135)&lt;=4," A ","NA"),IF(YEAR($G135)&gt;YEAR($P$6),"NA"))))))</f>
        <v xml:space="preserve"> A </v>
      </c>
      <c r="K135" s="400">
        <v>1</v>
      </c>
      <c r="L135" s="402" t="s">
        <v>901</v>
      </c>
      <c r="M135" s="400">
        <v>1</v>
      </c>
      <c r="N135" s="348">
        <f t="shared" si="399"/>
        <v>1</v>
      </c>
      <c r="O135" s="349" t="s">
        <v>11</v>
      </c>
      <c r="P135" s="44"/>
      <c r="Q135" s="84">
        <f t="shared" si="400"/>
        <v>47.857142857142854</v>
      </c>
      <c r="R135" s="84">
        <f t="shared" si="401"/>
        <v>47.857142857142854</v>
      </c>
      <c r="S135" s="84">
        <f t="shared" si="318"/>
        <v>47.857142857142854</v>
      </c>
      <c r="T135" s="160" t="str">
        <f>IF($Z$6="Indique Fecha Seguimiento","",IF(CRONOGRAMA!$E134="No Aplica","NA",IF($G135="","",IF(YEAR($G135)&lt;YEAR($Z$6)," A ",IF(YEAR($G135)=YEAR($Z$6),IF(MONTH($G135)&lt;=8," A ","NA"),IF(YEAR($G135)&gt;YEAR($Z$6),"NA"))))))</f>
        <v xml:space="preserve"> A </v>
      </c>
      <c r="U135" s="346">
        <v>1</v>
      </c>
      <c r="V135" s="44" t="s">
        <v>901</v>
      </c>
      <c r="W135" s="351">
        <v>1</v>
      </c>
      <c r="X135" s="348">
        <f t="shared" si="402"/>
        <v>1</v>
      </c>
      <c r="Y135" s="349" t="s">
        <v>11</v>
      </c>
      <c r="Z135" s="44" t="s">
        <v>927</v>
      </c>
      <c r="AA135" s="84">
        <f t="shared" si="403"/>
        <v>47.857142857142854</v>
      </c>
      <c r="AB135" s="84">
        <f t="shared" si="404"/>
        <v>47.857142857142854</v>
      </c>
      <c r="AC135" s="84">
        <f t="shared" si="322"/>
        <v>47.857142857142854</v>
      </c>
      <c r="AD135" s="160" t="str">
        <f>IF($AJ$6="Indique Fecha Seguimiento","",IF(CRONOGRAMA!$E134="No Aplica","NA",IF($G135="","",IF(YEAR($G135)&lt;YEAR($AJ$6)," A ",IF(YEAR($G135)=YEAR($AJ$6),IF(MONTH($G135)&lt;=12," A ","NA"),IF(YEAR($G135)&gt;YEAR($AJ$6),"NA"))))))</f>
        <v xml:space="preserve"> A </v>
      </c>
      <c r="AE135" s="346">
        <v>1</v>
      </c>
      <c r="AF135" s="44" t="s">
        <v>901</v>
      </c>
      <c r="AG135" s="351">
        <v>1</v>
      </c>
      <c r="AH135" s="348">
        <f t="shared" si="405"/>
        <v>1</v>
      </c>
      <c r="AI135" s="349" t="s">
        <v>11</v>
      </c>
      <c r="AJ135" s="44" t="s">
        <v>993</v>
      </c>
      <c r="AK135" s="81">
        <f t="shared" si="406"/>
        <v>47.857142857142854</v>
      </c>
      <c r="AL135" s="84">
        <f t="shared" si="407"/>
        <v>47.857142857142854</v>
      </c>
      <c r="AM135" s="84">
        <f t="shared" si="326"/>
        <v>47.857142857142854</v>
      </c>
      <c r="AN135" s="579"/>
      <c r="AO135" s="580"/>
      <c r="AP135" s="581"/>
      <c r="AQ135" s="581"/>
      <c r="AR135" s="582"/>
      <c r="AS135" s="582"/>
      <c r="AT135" s="582"/>
      <c r="AU135" s="572"/>
      <c r="AV135" s="573"/>
      <c r="AW135" s="574"/>
      <c r="AX135" t="str">
        <f t="shared" si="415"/>
        <v>Actividades informadas</v>
      </c>
    </row>
    <row r="136" spans="1:50" ht="16.5" thickBot="1" x14ac:dyDescent="0.3">
      <c r="A136" s="577"/>
      <c r="B136" s="578"/>
      <c r="C136" s="82" t="str">
        <f>IF('CONSOLIDACION DEL MAPA'!P135="","",'CONSOLIDACION DEL MAPA'!P135)</f>
        <v/>
      </c>
      <c r="D136" s="82" t="str">
        <f>CRONOGRAMA!D135</f>
        <v/>
      </c>
      <c r="E136" s="132" t="str">
        <f>IF(CRONOGRAMA!F135="", "",CRONOGRAMA!F135)</f>
        <v/>
      </c>
      <c r="F136" s="132" t="str">
        <f>IF(CRONOGRAMA!G135="", "",CRONOGRAMA!G135)</f>
        <v/>
      </c>
      <c r="G136" s="128" t="str">
        <f>IF(CRONOGRAMA!H135="", "",CRONOGRAMA!H135)</f>
        <v/>
      </c>
      <c r="H136" s="128" t="str">
        <f>IF(CRONOGRAMA!I135="", "",CRONOGRAMA!I135)</f>
        <v/>
      </c>
      <c r="I136" s="84">
        <f t="shared" si="398"/>
        <v>0</v>
      </c>
      <c r="J136" s="160" t="str">
        <f>IF($P$6="Indique Fecha Seguimiento","",IF(CRONOGRAMA!$E135="No Aplica","NA",IF($G136="","",IF(YEAR($G136)&lt;YEAR($P$6)," A ",IF(YEAR($G136)=YEAR($P$6),IF(MONTH($G136)&lt;=4," A ","NA"),IF(YEAR($G136)&gt;YEAR($P$6),"NA"))))))</f>
        <v/>
      </c>
      <c r="K136" s="400"/>
      <c r="L136" s="402"/>
      <c r="M136" s="400"/>
      <c r="N136" s="348" t="str">
        <f t="shared" si="399"/>
        <v/>
      </c>
      <c r="O136" s="349"/>
      <c r="P136" s="44"/>
      <c r="Q136" s="84" t="str">
        <f t="shared" si="400"/>
        <v/>
      </c>
      <c r="R136" s="84" t="str">
        <f t="shared" si="401"/>
        <v/>
      </c>
      <c r="S136" s="84">
        <f t="shared" si="318"/>
        <v>0</v>
      </c>
      <c r="T136" s="160" t="str">
        <f>IF($Z$6="Indique Fecha Seguimiento","",IF(CRONOGRAMA!$E135="No Aplica","NA",IF($G136="","",IF(YEAR($G136)&lt;YEAR($Z$6)," A ",IF(YEAR($G136)=YEAR($Z$6),IF(MONTH($G136)&lt;=8," A ","NA"),IF(YEAR($G136)&gt;YEAR($Z$6),"NA"))))))</f>
        <v/>
      </c>
      <c r="U136" s="350"/>
      <c r="V136" s="44"/>
      <c r="W136" s="351"/>
      <c r="X136" s="348" t="str">
        <f t="shared" si="402"/>
        <v/>
      </c>
      <c r="Y136" s="349"/>
      <c r="Z136" s="44"/>
      <c r="AA136" s="84" t="str">
        <f t="shared" si="403"/>
        <v/>
      </c>
      <c r="AB136" s="84" t="str">
        <f t="shared" si="404"/>
        <v/>
      </c>
      <c r="AC136" s="84">
        <f t="shared" si="322"/>
        <v>0</v>
      </c>
      <c r="AD136" s="160" t="str">
        <f>IF($AJ$6="Indique Fecha Seguimiento","",IF(CRONOGRAMA!$E135="No Aplica","NA",IF($G136="","",IF(YEAR($G136)&lt;YEAR($AJ$6)," A ",IF(YEAR($G136)=YEAR($AJ$6),IF(MONTH($G136)&lt;=12," A ","NA"),IF(YEAR($G136)&gt;YEAR($AJ$6),"NA"))))))</f>
        <v/>
      </c>
      <c r="AE136" s="350"/>
      <c r="AF136" s="44"/>
      <c r="AG136" s="351"/>
      <c r="AH136" s="348" t="str">
        <f t="shared" si="405"/>
        <v/>
      </c>
      <c r="AI136" s="349"/>
      <c r="AJ136" s="44"/>
      <c r="AK136" s="81" t="str">
        <f t="shared" si="406"/>
        <v/>
      </c>
      <c r="AL136" s="84" t="str">
        <f t="shared" si="407"/>
        <v/>
      </c>
      <c r="AM136" s="84">
        <f t="shared" si="326"/>
        <v>0</v>
      </c>
      <c r="AN136" s="579"/>
      <c r="AO136" s="580"/>
      <c r="AP136" s="581"/>
      <c r="AQ136" s="581"/>
      <c r="AR136" s="582"/>
      <c r="AS136" s="582"/>
      <c r="AT136" s="582"/>
      <c r="AU136" s="572"/>
      <c r="AV136" s="573"/>
      <c r="AW136" s="574"/>
      <c r="AX136">
        <f t="shared" si="415"/>
        <v>0</v>
      </c>
    </row>
    <row r="137" spans="1:50" ht="51.75" thickTop="1" x14ac:dyDescent="0.25">
      <c r="A137" s="575" t="str">
        <f>CRONOGRAMA!A136</f>
        <v>15C</v>
      </c>
      <c r="B137" s="578" t="str">
        <f>CRONOGRAMA!B136</f>
        <v>Gestión de Extensión y Proyección Social. Desviación o uso indebido de recursos, que impidan la ejecución de los proyectos y actividades misionales de la vicerrectoria de extensión y proyección social</v>
      </c>
      <c r="C137" s="82" t="str">
        <f>IF('CONSOLIDACION DEL MAPA'!P136="","",'CONSOLIDACION DEL MAPA'!P136)</f>
        <v>Reducir</v>
      </c>
      <c r="D137" s="82" t="str">
        <f>CRONOGRAMA!D136</f>
        <v>Implementación de sistema de información</v>
      </c>
      <c r="E137" s="132" t="str">
        <f>IF(CRONOGRAMA!F136="", "",CRONOGRAMA!F136)</f>
        <v>Informes</v>
      </c>
      <c r="F137" s="132">
        <f>IF(CRONOGRAMA!G136="", "",CRONOGRAMA!G136)</f>
        <v>1</v>
      </c>
      <c r="G137" s="128">
        <f>IF(CRONOGRAMA!H136="", "",CRONOGRAMA!H136)</f>
        <v>42430</v>
      </c>
      <c r="H137" s="128">
        <f>IF(CRONOGRAMA!I136="", "",CRONOGRAMA!I136)</f>
        <v>42531</v>
      </c>
      <c r="I137" s="84">
        <f t="shared" si="398"/>
        <v>14.428571428571429</v>
      </c>
      <c r="J137" s="160" t="str">
        <f>IF($P$6="Indique Fecha Seguimiento","",IF(CRONOGRAMA!$E136="No Aplica","NA",IF($G137="","",IF(YEAR($G137)&lt;YEAR($P$6)," A ",IF(YEAR($G137)=YEAR($P$6),IF(MONTH($G137)&lt;=4," A ","NA"),IF(YEAR($G137)&gt;YEAR($P$6),"NA"))))))</f>
        <v xml:space="preserve"> A </v>
      </c>
      <c r="K137" s="400">
        <v>33.299999999999997</v>
      </c>
      <c r="L137" s="402" t="s">
        <v>902</v>
      </c>
      <c r="M137" s="400">
        <v>0</v>
      </c>
      <c r="N137" s="348">
        <f t="shared" si="399"/>
        <v>0</v>
      </c>
      <c r="O137" s="349" t="s">
        <v>353</v>
      </c>
      <c r="P137" s="44" t="s">
        <v>918</v>
      </c>
      <c r="Q137" s="84">
        <f t="shared" si="400"/>
        <v>0</v>
      </c>
      <c r="R137" s="84">
        <f t="shared" si="401"/>
        <v>0</v>
      </c>
      <c r="S137" s="84">
        <f t="shared" si="318"/>
        <v>14.428571428571429</v>
      </c>
      <c r="T137" s="160" t="str">
        <f>IF($Z$6="Indique Fecha Seguimiento","",IF(CRONOGRAMA!$E136="No Aplica","NA",IF($G137="","",IF(YEAR($G137)&lt;YEAR($Z$6)," A ",IF(YEAR($G137)=YEAR($Z$6),IF(MONTH($G137)&lt;=8," A ","NA"),IF(YEAR($G137)&gt;YEAR($Z$6),"NA"))))))</f>
        <v xml:space="preserve"> A </v>
      </c>
      <c r="U137" s="400">
        <v>66.599999999999994</v>
      </c>
      <c r="V137" s="402" t="s">
        <v>934</v>
      </c>
      <c r="W137" s="351">
        <v>0.6</v>
      </c>
      <c r="X137" s="348">
        <f t="shared" si="402"/>
        <v>0.6</v>
      </c>
      <c r="Y137" s="349" t="s">
        <v>10</v>
      </c>
      <c r="Z137" s="402" t="s">
        <v>929</v>
      </c>
      <c r="AA137" s="84">
        <f t="shared" si="403"/>
        <v>8.6571428571428566</v>
      </c>
      <c r="AB137" s="84">
        <f t="shared" si="404"/>
        <v>0</v>
      </c>
      <c r="AC137" s="84">
        <f t="shared" si="322"/>
        <v>14.428571428571429</v>
      </c>
      <c r="AD137" s="160" t="str">
        <f>IF($AJ$6="Indique Fecha Seguimiento","",IF(CRONOGRAMA!$E136="No Aplica","NA",IF($G137="","",IF(YEAR($G137)&lt;YEAR($AJ$6)," A ",IF(YEAR($G137)=YEAR($AJ$6),IF(MONTH($G137)&lt;=12," A ","NA"),IF(YEAR($G137)&gt;YEAR($AJ$6),"NA"))))))</f>
        <v xml:space="preserve"> A </v>
      </c>
      <c r="AE137" s="413">
        <v>0.6</v>
      </c>
      <c r="AF137" s="420" t="s">
        <v>1001</v>
      </c>
      <c r="AG137" s="351">
        <v>0.6</v>
      </c>
      <c r="AH137" s="348">
        <f t="shared" si="405"/>
        <v>0.6</v>
      </c>
      <c r="AI137" s="349" t="s">
        <v>10</v>
      </c>
      <c r="AJ137" s="44" t="str">
        <f>AF137</f>
        <v>No se logro mayor avance pero se plantea para 2017</v>
      </c>
      <c r="AK137" s="81">
        <f t="shared" si="406"/>
        <v>8.6571428571428566</v>
      </c>
      <c r="AL137" s="84">
        <f t="shared" si="407"/>
        <v>0</v>
      </c>
      <c r="AM137" s="84">
        <f t="shared" si="326"/>
        <v>14.428571428571429</v>
      </c>
      <c r="AN137" s="579">
        <f t="shared" ref="AN137" si="472">SUM(I137:I139)</f>
        <v>14.428571428571429</v>
      </c>
      <c r="AO137" s="580">
        <f t="shared" ref="AO137" si="473">IF(AND(Q137="",Q138="",Q139=""),"",SUM(Q137:Q139))</f>
        <v>0</v>
      </c>
      <c r="AP137" s="581">
        <f t="shared" ref="AP137" si="474">IF(AND(AA137="",AA138="",AA139=""),"",SUM(AA137:AA139))</f>
        <v>8.6571428571428566</v>
      </c>
      <c r="AQ137" s="581">
        <f t="shared" ref="AQ137" si="475">IF(AND(AK137="",AK138="",AK139=""),"",SUM(AK137:AK139))</f>
        <v>8.6571428571428566</v>
      </c>
      <c r="AR137" s="582">
        <f t="shared" si="331"/>
        <v>0</v>
      </c>
      <c r="AS137" s="582">
        <f t="shared" si="332"/>
        <v>0.6</v>
      </c>
      <c r="AT137" s="582">
        <f t="shared" ref="AT137" si="476">IF(AS137&gt;=AR137,AS137,AR137)</f>
        <v>0.6</v>
      </c>
      <c r="AU137" s="572">
        <f t="shared" si="334"/>
        <v>0.6</v>
      </c>
      <c r="AV137" s="573">
        <f t="shared" ref="AV137" si="477">IF($AU$6=1,AR137,IF($AU$6=2,AS137,IF($AU$6=3,AU137,"")))</f>
        <v>0.6</v>
      </c>
      <c r="AW137" s="574">
        <f t="shared" ref="AW137" si="478">AV137</f>
        <v>0.6</v>
      </c>
      <c r="AX137" t="str">
        <f t="shared" si="415"/>
        <v>No se logro mayor avance pero se plantea para 2017</v>
      </c>
    </row>
    <row r="138" spans="1:50" ht="15.75" x14ac:dyDescent="0.25">
      <c r="A138" s="576"/>
      <c r="B138" s="578"/>
      <c r="C138" s="82" t="str">
        <f>IF('CONSOLIDACION DEL MAPA'!P137="","",'CONSOLIDACION DEL MAPA'!P137)</f>
        <v/>
      </c>
      <c r="D138" s="82" t="str">
        <f>CRONOGRAMA!D137</f>
        <v/>
      </c>
      <c r="E138" s="132" t="str">
        <f>IF(CRONOGRAMA!F137="", "",CRONOGRAMA!F137)</f>
        <v/>
      </c>
      <c r="F138" s="132" t="str">
        <f>IF(CRONOGRAMA!G137="", "",CRONOGRAMA!G137)</f>
        <v/>
      </c>
      <c r="G138" s="128" t="str">
        <f>IF(CRONOGRAMA!H137="", "",CRONOGRAMA!H137)</f>
        <v/>
      </c>
      <c r="H138" s="128" t="str">
        <f>IF(CRONOGRAMA!I137="", "",CRONOGRAMA!I137)</f>
        <v/>
      </c>
      <c r="I138" s="84">
        <f t="shared" si="398"/>
        <v>0</v>
      </c>
      <c r="J138" s="160" t="str">
        <f>IF($P$6="Indique Fecha Seguimiento","",IF(CRONOGRAMA!$E137="No Aplica","NA",IF($G138="","",IF(YEAR($G138)&lt;YEAR($P$6)," A ",IF(YEAR($G138)=YEAR($P$6),IF(MONTH($G138)&lt;=4," A ","NA"),IF(YEAR($G138)&gt;YEAR($P$6),"NA"))))))</f>
        <v/>
      </c>
      <c r="K138" s="400"/>
      <c r="L138" s="402"/>
      <c r="M138" s="400"/>
      <c r="N138" s="348" t="str">
        <f t="shared" si="399"/>
        <v/>
      </c>
      <c r="O138" s="349"/>
      <c r="P138" s="44"/>
      <c r="Q138" s="84" t="str">
        <f t="shared" si="400"/>
        <v/>
      </c>
      <c r="R138" s="84" t="str">
        <f t="shared" si="401"/>
        <v/>
      </c>
      <c r="S138" s="84">
        <f t="shared" si="318"/>
        <v>0</v>
      </c>
      <c r="T138" s="160" t="str">
        <f>IF($Z$6="Indique Fecha Seguimiento","",IF(CRONOGRAMA!$E137="No Aplica","NA",IF($G138="","",IF(YEAR($G138)&lt;YEAR($Z$6)," A ",IF(YEAR($G138)=YEAR($Z$6),IF(MONTH($G138)&lt;=8," A ","NA"),IF(YEAR($G138)&gt;YEAR($Z$6),"NA"))))))</f>
        <v/>
      </c>
      <c r="U138" s="400"/>
      <c r="V138" s="402"/>
      <c r="W138" s="351"/>
      <c r="X138" s="348" t="str">
        <f t="shared" si="402"/>
        <v/>
      </c>
      <c r="Y138" s="349"/>
      <c r="Z138" s="402"/>
      <c r="AA138" s="84" t="str">
        <f t="shared" si="403"/>
        <v/>
      </c>
      <c r="AB138" s="84" t="str">
        <f t="shared" si="404"/>
        <v/>
      </c>
      <c r="AC138" s="84">
        <f t="shared" si="322"/>
        <v>0</v>
      </c>
      <c r="AD138" s="160" t="str">
        <f>IF($AJ$6="Indique Fecha Seguimiento","",IF(CRONOGRAMA!$E137="No Aplica","NA",IF($G138="","",IF(YEAR($G138)&lt;YEAR($AJ$6)," A ",IF(YEAR($G138)=YEAR($AJ$6),IF(MONTH($G138)&lt;=12," A ","NA"),IF(YEAR($G138)&gt;YEAR($AJ$6),"NA"))))))</f>
        <v/>
      </c>
      <c r="AE138" s="350"/>
      <c r="AF138" s="44"/>
      <c r="AG138" s="351"/>
      <c r="AH138" s="348" t="str">
        <f t="shared" si="405"/>
        <v/>
      </c>
      <c r="AI138" s="349"/>
      <c r="AJ138" s="44"/>
      <c r="AK138" s="81" t="str">
        <f t="shared" si="406"/>
        <v/>
      </c>
      <c r="AL138" s="84" t="str">
        <f t="shared" si="407"/>
        <v/>
      </c>
      <c r="AM138" s="84">
        <f t="shared" si="326"/>
        <v>0</v>
      </c>
      <c r="AN138" s="579"/>
      <c r="AO138" s="580"/>
      <c r="AP138" s="581"/>
      <c r="AQ138" s="581"/>
      <c r="AR138" s="582"/>
      <c r="AS138" s="582"/>
      <c r="AT138" s="582"/>
      <c r="AU138" s="572"/>
      <c r="AV138" s="573"/>
      <c r="AW138" s="574"/>
      <c r="AX138">
        <f t="shared" si="415"/>
        <v>0</v>
      </c>
    </row>
    <row r="139" spans="1:50" ht="16.5" thickBot="1" x14ac:dyDescent="0.3">
      <c r="A139" s="577"/>
      <c r="B139" s="578"/>
      <c r="C139" s="82" t="str">
        <f>IF('CONSOLIDACION DEL MAPA'!P138="","",'CONSOLIDACION DEL MAPA'!P138)</f>
        <v/>
      </c>
      <c r="D139" s="82" t="str">
        <f>CRONOGRAMA!D138</f>
        <v/>
      </c>
      <c r="E139" s="132" t="str">
        <f>IF(CRONOGRAMA!F138="", "",CRONOGRAMA!F138)</f>
        <v/>
      </c>
      <c r="F139" s="132" t="str">
        <f>IF(CRONOGRAMA!G138="", "",CRONOGRAMA!G138)</f>
        <v/>
      </c>
      <c r="G139" s="128" t="str">
        <f>IF(CRONOGRAMA!H138="", "",CRONOGRAMA!H138)</f>
        <v/>
      </c>
      <c r="H139" s="128" t="str">
        <f>IF(CRONOGRAMA!I138="", "",CRONOGRAMA!I138)</f>
        <v/>
      </c>
      <c r="I139" s="84">
        <f t="shared" si="398"/>
        <v>0</v>
      </c>
      <c r="J139" s="160" t="str">
        <f>IF($P$6="Indique Fecha Seguimiento","",IF(CRONOGRAMA!$E138="No Aplica","NA",IF($G139="","",IF(YEAR($G139)&lt;YEAR($P$6)," A ",IF(YEAR($G139)=YEAR($P$6),IF(MONTH($G139)&lt;=4," A ","NA"),IF(YEAR($G139)&gt;YEAR($P$6),"NA"))))))</f>
        <v/>
      </c>
      <c r="K139" s="400"/>
      <c r="L139" s="402"/>
      <c r="M139" s="400"/>
      <c r="N139" s="348" t="str">
        <f t="shared" si="399"/>
        <v/>
      </c>
      <c r="O139" s="349"/>
      <c r="P139" s="44"/>
      <c r="Q139" s="84" t="str">
        <f t="shared" si="400"/>
        <v/>
      </c>
      <c r="R139" s="84" t="str">
        <f t="shared" si="401"/>
        <v/>
      </c>
      <c r="S139" s="84">
        <f t="shared" si="318"/>
        <v>0</v>
      </c>
      <c r="T139" s="160" t="str">
        <f>IF($Z$6="Indique Fecha Seguimiento","",IF(CRONOGRAMA!$E138="No Aplica","NA",IF($G139="","",IF(YEAR($G139)&lt;YEAR($Z$6)," A ",IF(YEAR($G139)=YEAR($Z$6),IF(MONTH($G139)&lt;=8," A ","NA"),IF(YEAR($G139)&gt;YEAR($Z$6),"NA"))))))</f>
        <v/>
      </c>
      <c r="U139" s="400"/>
      <c r="V139" s="402"/>
      <c r="W139" s="351"/>
      <c r="X139" s="348" t="str">
        <f t="shared" si="402"/>
        <v/>
      </c>
      <c r="Y139" s="349"/>
      <c r="Z139" s="402"/>
      <c r="AA139" s="84" t="str">
        <f t="shared" si="403"/>
        <v/>
      </c>
      <c r="AB139" s="84" t="str">
        <f t="shared" si="404"/>
        <v/>
      </c>
      <c r="AC139" s="84">
        <f t="shared" si="322"/>
        <v>0</v>
      </c>
      <c r="AD139" s="160" t="str">
        <f>IF($AJ$6="Indique Fecha Seguimiento","",IF(CRONOGRAMA!$E138="No Aplica","NA",IF($G139="","",IF(YEAR($G139)&lt;YEAR($AJ$6)," A ",IF(YEAR($G139)=YEAR($AJ$6),IF(MONTH($G139)&lt;=12," A ","NA"),IF(YEAR($G139)&gt;YEAR($AJ$6),"NA"))))))</f>
        <v/>
      </c>
      <c r="AE139" s="350"/>
      <c r="AF139" s="44"/>
      <c r="AG139" s="351"/>
      <c r="AH139" s="348" t="str">
        <f t="shared" si="405"/>
        <v/>
      </c>
      <c r="AI139" s="349"/>
      <c r="AJ139" s="44"/>
      <c r="AK139" s="81" t="str">
        <f t="shared" si="406"/>
        <v/>
      </c>
      <c r="AL139" s="84" t="str">
        <f t="shared" si="407"/>
        <v/>
      </c>
      <c r="AM139" s="84">
        <f t="shared" si="326"/>
        <v>0</v>
      </c>
      <c r="AN139" s="579"/>
      <c r="AO139" s="580"/>
      <c r="AP139" s="581"/>
      <c r="AQ139" s="581"/>
      <c r="AR139" s="582"/>
      <c r="AS139" s="582"/>
      <c r="AT139" s="582"/>
      <c r="AU139" s="572"/>
      <c r="AV139" s="573"/>
      <c r="AW139" s="574"/>
      <c r="AX139">
        <f t="shared" si="415"/>
        <v>0</v>
      </c>
    </row>
    <row r="140" spans="1:50" ht="64.5" customHeight="1" thickTop="1" x14ac:dyDescent="0.25">
      <c r="A140" s="575" t="str">
        <f>CRONOGRAMA!A139</f>
        <v>16C</v>
      </c>
      <c r="B140" s="578" t="str">
        <f>CRONOGRAMA!B139</f>
        <v xml:space="preserve">Gestión de Extensión y Proyección Social. Concentración de la información en una persona. </v>
      </c>
      <c r="C140" s="82" t="str">
        <f>IF('CONSOLIDACION DEL MAPA'!P139="","",'CONSOLIDACION DEL MAPA'!P139)</f>
        <v>Evitar</v>
      </c>
      <c r="D140" s="82" t="str">
        <f>CRONOGRAMA!D139</f>
        <v>Socialización de los resultados de las actividades realizadas y por realizar.</v>
      </c>
      <c r="E140" s="132" t="str">
        <f>IF(CRONOGRAMA!F139="", "",CRONOGRAMA!F139)</f>
        <v>Comunicados y registros</v>
      </c>
      <c r="F140" s="132">
        <f>IF(CRONOGRAMA!G139="", "",CRONOGRAMA!G139)</f>
        <v>1</v>
      </c>
      <c r="G140" s="128">
        <f>IF(CRONOGRAMA!H139="", "",CRONOGRAMA!H139)</f>
        <v>42398</v>
      </c>
      <c r="H140" s="128">
        <f>IF(CRONOGRAMA!I139="", "",CRONOGRAMA!I139)</f>
        <v>42704</v>
      </c>
      <c r="I140" s="84">
        <f t="shared" si="398"/>
        <v>43.714285714285715</v>
      </c>
      <c r="J140" s="160" t="str">
        <f>IF($P$6="Indique Fecha Seguimiento","",IF(CRONOGRAMA!$E139="No Aplica","NA",IF($G140="","",IF(YEAR($G140)&lt;YEAR($P$6)," A ",IF(YEAR($G140)=YEAR($P$6),IF(MONTH($G140)&lt;=4," A ","NA"),IF(YEAR($G140)&gt;YEAR($P$6),"NA"))))))</f>
        <v xml:space="preserve"> A </v>
      </c>
      <c r="K140" s="400">
        <v>0.33300000000000002</v>
      </c>
      <c r="L140" s="402" t="s">
        <v>903</v>
      </c>
      <c r="M140" s="400">
        <v>0</v>
      </c>
      <c r="N140" s="348">
        <f t="shared" si="399"/>
        <v>0</v>
      </c>
      <c r="O140" s="349" t="s">
        <v>353</v>
      </c>
      <c r="P140" s="44" t="s">
        <v>918</v>
      </c>
      <c r="Q140" s="84">
        <f t="shared" si="400"/>
        <v>0</v>
      </c>
      <c r="R140" s="84">
        <f t="shared" si="401"/>
        <v>0</v>
      </c>
      <c r="S140" s="84">
        <f t="shared" si="318"/>
        <v>43.714285714285715</v>
      </c>
      <c r="T140" s="160" t="str">
        <f>IF($Z$6="Indique Fecha Seguimiento","",IF(CRONOGRAMA!$E139="No Aplica","NA",IF($G140="","",IF(YEAR($G140)&lt;YEAR($Z$6)," A ",IF(YEAR($G140)=YEAR($Z$6),IF(MONTH($G140)&lt;=8," A ","NA"),IF(YEAR($G140)&gt;YEAR($Z$6),"NA"))))))</f>
        <v xml:space="preserve"> A </v>
      </c>
      <c r="U140" s="409">
        <v>0.66600000000000004</v>
      </c>
      <c r="V140" s="402" t="s">
        <v>903</v>
      </c>
      <c r="W140" s="351">
        <v>0.6</v>
      </c>
      <c r="X140" s="348">
        <f t="shared" si="402"/>
        <v>0.6</v>
      </c>
      <c r="Y140" s="349" t="s">
        <v>353</v>
      </c>
      <c r="Z140" s="402" t="s">
        <v>930</v>
      </c>
      <c r="AA140" s="84">
        <f t="shared" si="403"/>
        <v>26.228571428571428</v>
      </c>
      <c r="AB140" s="84">
        <f t="shared" si="404"/>
        <v>26.228571428571428</v>
      </c>
      <c r="AC140" s="84">
        <f t="shared" si="322"/>
        <v>43.714285714285715</v>
      </c>
      <c r="AD140" s="160" t="str">
        <f>IF($AJ$6="Indique Fecha Seguimiento","",IF(CRONOGRAMA!$E139="No Aplica","NA",IF($G140="","",IF(YEAR($G140)&lt;YEAR($AJ$6)," A ",IF(YEAR($G140)=YEAR($AJ$6),IF(MONTH($G140)&lt;=12," A ","NA"),IF(YEAR($G140)&gt;YEAR($AJ$6),"NA"))))))</f>
        <v xml:space="preserve"> A </v>
      </c>
      <c r="AE140" s="419">
        <v>0.9</v>
      </c>
      <c r="AF140" s="44" t="s">
        <v>1002</v>
      </c>
      <c r="AG140" s="351">
        <v>0.9</v>
      </c>
      <c r="AH140" s="348">
        <f t="shared" si="405"/>
        <v>0.9</v>
      </c>
      <c r="AI140" s="349" t="s">
        <v>10</v>
      </c>
      <c r="AJ140" s="44" t="str">
        <f>AF140</f>
        <v>se han hecho seguimiento y monitoreo permanente</v>
      </c>
      <c r="AK140" s="81">
        <f t="shared" si="406"/>
        <v>39.342857142857142</v>
      </c>
      <c r="AL140" s="84">
        <f t="shared" si="407"/>
        <v>0</v>
      </c>
      <c r="AM140" s="84">
        <f t="shared" si="326"/>
        <v>43.714285714285715</v>
      </c>
      <c r="AN140" s="579">
        <f t="shared" ref="AN140" si="479">SUM(I140:I142)</f>
        <v>43.714285714285715</v>
      </c>
      <c r="AO140" s="580">
        <f t="shared" ref="AO140" si="480">IF(AND(Q140="",Q141="",Q142=""),"",SUM(Q140:Q142))</f>
        <v>0</v>
      </c>
      <c r="AP140" s="581">
        <f t="shared" ref="AP140" si="481">IF(AND(AA140="",AA141="",AA142=""),"",SUM(AA140:AA142))</f>
        <v>26.228571428571428</v>
      </c>
      <c r="AQ140" s="581">
        <f t="shared" ref="AQ140" si="482">IF(AND(AK140="",AK141="",AK142=""),"",SUM(AK140:AK142))</f>
        <v>39.342857142857142</v>
      </c>
      <c r="AR140" s="582">
        <f t="shared" si="331"/>
        <v>0</v>
      </c>
      <c r="AS140" s="582">
        <f t="shared" si="332"/>
        <v>0.6</v>
      </c>
      <c r="AT140" s="582">
        <f t="shared" ref="AT140" si="483">IF(AS140&gt;=AR140,AS140,AR140)</f>
        <v>0.6</v>
      </c>
      <c r="AU140" s="572">
        <f t="shared" si="334"/>
        <v>0.89999999999999991</v>
      </c>
      <c r="AV140" s="573">
        <f t="shared" ref="AV140" si="484">IF($AU$6=1,AR140,IF($AU$6=2,AS140,IF($AU$6=3,AU140,"")))</f>
        <v>0.89999999999999991</v>
      </c>
      <c r="AW140" s="574">
        <f t="shared" ref="AW140" si="485">AV140</f>
        <v>0.89999999999999991</v>
      </c>
      <c r="AX140" t="str">
        <f t="shared" si="415"/>
        <v>se han hecho seguimiento y monitoreo permanente</v>
      </c>
    </row>
    <row r="141" spans="1:50" ht="15.75" x14ac:dyDescent="0.25">
      <c r="A141" s="576"/>
      <c r="B141" s="578"/>
      <c r="C141" s="82" t="str">
        <f>IF('CONSOLIDACION DEL MAPA'!P140="","",'CONSOLIDACION DEL MAPA'!P140)</f>
        <v/>
      </c>
      <c r="D141" s="82" t="str">
        <f>CRONOGRAMA!D140</f>
        <v/>
      </c>
      <c r="E141" s="132" t="str">
        <f>IF(CRONOGRAMA!F140="", "",CRONOGRAMA!F140)</f>
        <v/>
      </c>
      <c r="F141" s="132" t="str">
        <f>IF(CRONOGRAMA!G140="", "",CRONOGRAMA!G140)</f>
        <v/>
      </c>
      <c r="G141" s="128" t="str">
        <f>IF(CRONOGRAMA!H140="", "",CRONOGRAMA!H140)</f>
        <v/>
      </c>
      <c r="H141" s="128" t="str">
        <f>IF(CRONOGRAMA!I140="", "",CRONOGRAMA!I140)</f>
        <v/>
      </c>
      <c r="I141" s="84">
        <f t="shared" si="398"/>
        <v>0</v>
      </c>
      <c r="J141" s="160" t="str">
        <f>IF($P$6="Indique Fecha Seguimiento","",IF(CRONOGRAMA!$E140="No Aplica","NA",IF($G141="","",IF(YEAR($G141)&lt;YEAR($P$6)," A ",IF(YEAR($G141)=YEAR($P$6),IF(MONTH($G141)&lt;=4," A ","NA"),IF(YEAR($G141)&gt;YEAR($P$6),"NA"))))))</f>
        <v/>
      </c>
      <c r="K141" s="400"/>
      <c r="L141" s="402"/>
      <c r="M141" s="400"/>
      <c r="N141" s="348" t="str">
        <f t="shared" si="399"/>
        <v/>
      </c>
      <c r="O141" s="349"/>
      <c r="P141" s="44"/>
      <c r="Q141" s="84" t="str">
        <f t="shared" si="400"/>
        <v/>
      </c>
      <c r="R141" s="84" t="str">
        <f t="shared" si="401"/>
        <v/>
      </c>
      <c r="S141" s="84">
        <f t="shared" si="318"/>
        <v>0</v>
      </c>
      <c r="T141" s="160" t="str">
        <f>IF($Z$6="Indique Fecha Seguimiento","",IF(CRONOGRAMA!$E140="No Aplica","NA",IF($G141="","",IF(YEAR($G141)&lt;YEAR($Z$6)," A ",IF(YEAR($G141)=YEAR($Z$6),IF(MONTH($G141)&lt;=8," A ","NA"),IF(YEAR($G141)&gt;YEAR($Z$6),"NA"))))))</f>
        <v/>
      </c>
      <c r="U141" s="400"/>
      <c r="V141" s="402"/>
      <c r="W141" s="351"/>
      <c r="X141" s="348" t="str">
        <f t="shared" si="402"/>
        <v/>
      </c>
      <c r="Y141" s="349"/>
      <c r="Z141" s="402"/>
      <c r="AA141" s="84" t="str">
        <f t="shared" si="403"/>
        <v/>
      </c>
      <c r="AB141" s="84" t="str">
        <f t="shared" si="404"/>
        <v/>
      </c>
      <c r="AC141" s="84">
        <f t="shared" si="322"/>
        <v>0</v>
      </c>
      <c r="AD141" s="160" t="str">
        <f>IF($AJ$6="Indique Fecha Seguimiento","",IF(CRONOGRAMA!$E140="No Aplica","NA",IF($G141="","",IF(YEAR($G141)&lt;YEAR($AJ$6)," A ",IF(YEAR($G141)=YEAR($AJ$6),IF(MONTH($G141)&lt;=12," A ","NA"),IF(YEAR($G141)&gt;YEAR($AJ$6),"NA"))))))</f>
        <v/>
      </c>
      <c r="AE141" s="350"/>
      <c r="AF141" s="44"/>
      <c r="AG141" s="351"/>
      <c r="AH141" s="348" t="str">
        <f t="shared" si="405"/>
        <v/>
      </c>
      <c r="AI141" s="349"/>
      <c r="AJ141" s="44"/>
      <c r="AK141" s="81" t="str">
        <f t="shared" si="406"/>
        <v/>
      </c>
      <c r="AL141" s="84" t="str">
        <f t="shared" si="407"/>
        <v/>
      </c>
      <c r="AM141" s="84">
        <f t="shared" si="326"/>
        <v>0</v>
      </c>
      <c r="AN141" s="579"/>
      <c r="AO141" s="580"/>
      <c r="AP141" s="581"/>
      <c r="AQ141" s="581"/>
      <c r="AR141" s="582"/>
      <c r="AS141" s="582"/>
      <c r="AT141" s="582"/>
      <c r="AU141" s="572"/>
      <c r="AV141" s="573"/>
      <c r="AW141" s="574"/>
      <c r="AX141">
        <f t="shared" si="415"/>
        <v>0</v>
      </c>
    </row>
    <row r="142" spans="1:50" ht="16.5" thickBot="1" x14ac:dyDescent="0.3">
      <c r="A142" s="577"/>
      <c r="B142" s="578"/>
      <c r="C142" s="82" t="str">
        <f>IF('CONSOLIDACION DEL MAPA'!P141="","",'CONSOLIDACION DEL MAPA'!P141)</f>
        <v/>
      </c>
      <c r="D142" s="82" t="str">
        <f>CRONOGRAMA!D141</f>
        <v/>
      </c>
      <c r="E142" s="132" t="str">
        <f>IF(CRONOGRAMA!F141="", "",CRONOGRAMA!F141)</f>
        <v/>
      </c>
      <c r="F142" s="132" t="str">
        <f>IF(CRONOGRAMA!G141="", "",CRONOGRAMA!G141)</f>
        <v/>
      </c>
      <c r="G142" s="128" t="str">
        <f>IF(CRONOGRAMA!H141="", "",CRONOGRAMA!H141)</f>
        <v/>
      </c>
      <c r="H142" s="128" t="str">
        <f>IF(CRONOGRAMA!I141="", "",CRONOGRAMA!I141)</f>
        <v/>
      </c>
      <c r="I142" s="84">
        <f t="shared" si="398"/>
        <v>0</v>
      </c>
      <c r="J142" s="160" t="str">
        <f>IF($P$6="Indique Fecha Seguimiento","",IF(CRONOGRAMA!$E141="No Aplica","NA",IF($G142="","",IF(YEAR($G142)&lt;YEAR($P$6)," A ",IF(YEAR($G142)=YEAR($P$6),IF(MONTH($G142)&lt;=4," A ","NA"),IF(YEAR($G142)&gt;YEAR($P$6),"NA"))))))</f>
        <v/>
      </c>
      <c r="K142" s="400"/>
      <c r="L142" s="402"/>
      <c r="M142" s="400"/>
      <c r="N142" s="348" t="str">
        <f t="shared" si="399"/>
        <v/>
      </c>
      <c r="O142" s="349"/>
      <c r="P142" s="44"/>
      <c r="Q142" s="84" t="str">
        <f t="shared" si="400"/>
        <v/>
      </c>
      <c r="R142" s="84" t="str">
        <f t="shared" si="401"/>
        <v/>
      </c>
      <c r="S142" s="84">
        <f t="shared" si="318"/>
        <v>0</v>
      </c>
      <c r="T142" s="160" t="str">
        <f>IF($Z$6="Indique Fecha Seguimiento","",IF(CRONOGRAMA!$E141="No Aplica","NA",IF($G142="","",IF(YEAR($G142)&lt;YEAR($Z$6)," A ",IF(YEAR($G142)=YEAR($Z$6),IF(MONTH($G142)&lt;=8," A ","NA"),IF(YEAR($G142)&gt;YEAR($Z$6),"NA"))))))</f>
        <v/>
      </c>
      <c r="U142" s="400"/>
      <c r="V142" s="402"/>
      <c r="W142" s="351"/>
      <c r="X142" s="348" t="str">
        <f t="shared" si="402"/>
        <v/>
      </c>
      <c r="Y142" s="349"/>
      <c r="Z142" s="402"/>
      <c r="AA142" s="84" t="str">
        <f t="shared" si="403"/>
        <v/>
      </c>
      <c r="AB142" s="84" t="str">
        <f t="shared" si="404"/>
        <v/>
      </c>
      <c r="AC142" s="84">
        <f t="shared" si="322"/>
        <v>0</v>
      </c>
      <c r="AD142" s="160" t="str">
        <f>IF($AJ$6="Indique Fecha Seguimiento","",IF(CRONOGRAMA!$E141="No Aplica","NA",IF($G142="","",IF(YEAR($G142)&lt;YEAR($AJ$6)," A ",IF(YEAR($G142)=YEAR($AJ$6),IF(MONTH($G142)&lt;=12," A ","NA"),IF(YEAR($G142)&gt;YEAR($AJ$6),"NA"))))))</f>
        <v/>
      </c>
      <c r="AE142" s="350"/>
      <c r="AF142" s="44"/>
      <c r="AG142" s="351"/>
      <c r="AH142" s="348" t="str">
        <f t="shared" si="405"/>
        <v/>
      </c>
      <c r="AI142" s="349"/>
      <c r="AJ142" s="44"/>
      <c r="AK142" s="81" t="str">
        <f t="shared" si="406"/>
        <v/>
      </c>
      <c r="AL142" s="84" t="str">
        <f t="shared" si="407"/>
        <v/>
      </c>
      <c r="AM142" s="84">
        <f t="shared" si="326"/>
        <v>0</v>
      </c>
      <c r="AN142" s="579"/>
      <c r="AO142" s="580"/>
      <c r="AP142" s="581"/>
      <c r="AQ142" s="581"/>
      <c r="AR142" s="582"/>
      <c r="AS142" s="582"/>
      <c r="AT142" s="582"/>
      <c r="AU142" s="572"/>
      <c r="AV142" s="573"/>
      <c r="AW142" s="574"/>
      <c r="AX142">
        <f t="shared" si="415"/>
        <v>0</v>
      </c>
    </row>
    <row r="143" spans="1:50" ht="63.75" thickTop="1" x14ac:dyDescent="0.25">
      <c r="A143" s="575" t="str">
        <f>CRONOGRAMA!A142</f>
        <v>17C</v>
      </c>
      <c r="B143" s="578" t="str">
        <f>CRONOGRAMA!B142</f>
        <v xml:space="preserve">Gestión de Extensión y Proyección Social. Inadecuada ejecución de los recursos asignados </v>
      </c>
      <c r="C143" s="82" t="str">
        <f>IF('CONSOLIDACION DEL MAPA'!P142="","",'CONSOLIDACION DEL MAPA'!P142)</f>
        <v>Evitar</v>
      </c>
      <c r="D143" s="82" t="str">
        <f>CRONOGRAMA!D142</f>
        <v>Divulgación de los resultados de los proyectos</v>
      </c>
      <c r="E143" s="132" t="str">
        <f>IF(CRONOGRAMA!F142="", "",CRONOGRAMA!F142)</f>
        <v>Informes
Encuestas de satisfacción del usuario</v>
      </c>
      <c r="F143" s="132">
        <f>IF(CRONOGRAMA!G142="", "",CRONOGRAMA!G142)</f>
        <v>1</v>
      </c>
      <c r="G143" s="128">
        <f>IF(CRONOGRAMA!H142="", "",CRONOGRAMA!H142)</f>
        <v>42398</v>
      </c>
      <c r="H143" s="128">
        <f>IF(CRONOGRAMA!I142="", "",CRONOGRAMA!I142)</f>
        <v>42704</v>
      </c>
      <c r="I143" s="84">
        <f t="shared" si="398"/>
        <v>43.714285714285715</v>
      </c>
      <c r="J143" s="160" t="str">
        <f>IF($P$6="Indique Fecha Seguimiento","",IF(CRONOGRAMA!$E142="No Aplica","NA",IF($G143="","",IF(YEAR($G143)&lt;YEAR($P$6)," A ",IF(YEAR($G143)=YEAR($P$6),IF(MONTH($G143)&lt;=4," A ","NA"),IF(YEAR($G143)&gt;YEAR($P$6),"NA"))))))</f>
        <v xml:space="preserve"> A </v>
      </c>
      <c r="K143" s="400">
        <v>0.33300000000000002</v>
      </c>
      <c r="L143" s="402" t="s">
        <v>904</v>
      </c>
      <c r="M143" s="400">
        <v>0</v>
      </c>
      <c r="N143" s="348">
        <f t="shared" si="399"/>
        <v>0</v>
      </c>
      <c r="O143" s="349" t="s">
        <v>353</v>
      </c>
      <c r="P143" s="44" t="s">
        <v>918</v>
      </c>
      <c r="Q143" s="84">
        <f t="shared" si="400"/>
        <v>0</v>
      </c>
      <c r="R143" s="84">
        <f t="shared" si="401"/>
        <v>0</v>
      </c>
      <c r="S143" s="84">
        <f t="shared" si="318"/>
        <v>43.714285714285715</v>
      </c>
      <c r="T143" s="160" t="str">
        <f>IF($Z$6="Indique Fecha Seguimiento","",IF(CRONOGRAMA!$E142="No Aplica","NA",IF($G143="","",IF(YEAR($G143)&lt;YEAR($Z$6)," A ",IF(YEAR($G143)=YEAR($Z$6),IF(MONTH($G143)&lt;=8," A ","NA"),IF(YEAR($G143)&gt;YEAR($Z$6),"NA"))))))</f>
        <v xml:space="preserve"> A </v>
      </c>
      <c r="U143" s="409">
        <v>0.66600000000000004</v>
      </c>
      <c r="V143" s="402" t="s">
        <v>904</v>
      </c>
      <c r="W143" s="351">
        <v>0.6</v>
      </c>
      <c r="X143" s="348">
        <f t="shared" si="402"/>
        <v>0.6</v>
      </c>
      <c r="Y143" s="349" t="s">
        <v>353</v>
      </c>
      <c r="Z143" s="402" t="s">
        <v>931</v>
      </c>
      <c r="AA143" s="84">
        <f t="shared" si="403"/>
        <v>26.228571428571428</v>
      </c>
      <c r="AB143" s="84">
        <f t="shared" si="404"/>
        <v>26.228571428571428</v>
      </c>
      <c r="AC143" s="84">
        <f t="shared" si="322"/>
        <v>43.714285714285715</v>
      </c>
      <c r="AD143" s="160" t="str">
        <f>IF($AJ$6="Indique Fecha Seguimiento","",IF(CRONOGRAMA!$E142="No Aplica","NA",IF($G143="","",IF(YEAR($G143)&lt;YEAR($AJ$6)," A ",IF(YEAR($G143)=YEAR($AJ$6),IF(MONTH($G143)&lt;=12," A ","NA"),IF(YEAR($G143)&gt;YEAR($AJ$6),"NA"))))))</f>
        <v xml:space="preserve"> A </v>
      </c>
      <c r="AE143" s="419">
        <v>0.9</v>
      </c>
      <c r="AF143" s="44" t="s">
        <v>1003</v>
      </c>
      <c r="AG143" s="351">
        <v>0.9</v>
      </c>
      <c r="AH143" s="348">
        <f t="shared" si="405"/>
        <v>0.9</v>
      </c>
      <c r="AI143" s="349" t="s">
        <v>10</v>
      </c>
      <c r="AJ143" s="44" t="str">
        <f>AF143</f>
        <v>se han hecho las divulgaciones y se han aplicado los instrumentos de evaluacion pertinentes</v>
      </c>
      <c r="AK143" s="81">
        <f t="shared" si="406"/>
        <v>39.342857142857142</v>
      </c>
      <c r="AL143" s="84">
        <f t="shared" si="407"/>
        <v>0</v>
      </c>
      <c r="AM143" s="84">
        <f t="shared" si="326"/>
        <v>43.714285714285715</v>
      </c>
      <c r="AN143" s="579">
        <f t="shared" ref="AN143" si="486">SUM(I143:I145)</f>
        <v>43.714285714285715</v>
      </c>
      <c r="AO143" s="580">
        <f t="shared" ref="AO143" si="487">IF(AND(Q143="",Q144="",Q145=""),"",SUM(Q143:Q145))</f>
        <v>0</v>
      </c>
      <c r="AP143" s="581">
        <f t="shared" ref="AP143" si="488">IF(AND(AA143="",AA144="",AA145=""),"",SUM(AA143:AA145))</f>
        <v>26.228571428571428</v>
      </c>
      <c r="AQ143" s="581">
        <f t="shared" ref="AQ143" si="489">IF(AND(AK143="",AK144="",AK145=""),"",SUM(AK143:AK145))</f>
        <v>39.342857142857142</v>
      </c>
      <c r="AR143" s="582">
        <f t="shared" si="331"/>
        <v>0</v>
      </c>
      <c r="AS143" s="582">
        <f t="shared" si="332"/>
        <v>0.6</v>
      </c>
      <c r="AT143" s="582">
        <f t="shared" ref="AT143" si="490">IF(AS143&gt;=AR143,AS143,AR143)</f>
        <v>0.6</v>
      </c>
      <c r="AU143" s="572">
        <f t="shared" si="334"/>
        <v>0.89999999999999991</v>
      </c>
      <c r="AV143" s="573">
        <f t="shared" ref="AV143" si="491">IF($AU$6=1,AR143,IF($AU$6=2,AS143,IF($AU$6=3,AU143,"")))</f>
        <v>0.89999999999999991</v>
      </c>
      <c r="AW143" s="574">
        <f t="shared" ref="AW143" si="492">AV143</f>
        <v>0.89999999999999991</v>
      </c>
      <c r="AX143" t="str">
        <f t="shared" si="415"/>
        <v>se han hecho las divulgaciones y se han aplicado los instrumentos de evaluacion pertinentes</v>
      </c>
    </row>
    <row r="144" spans="1:50" ht="15.75" x14ac:dyDescent="0.25">
      <c r="A144" s="576"/>
      <c r="B144" s="578"/>
      <c r="C144" s="82" t="str">
        <f>IF('CONSOLIDACION DEL MAPA'!P143="","",'CONSOLIDACION DEL MAPA'!P143)</f>
        <v/>
      </c>
      <c r="D144" s="82" t="str">
        <f>CRONOGRAMA!D143</f>
        <v/>
      </c>
      <c r="E144" s="132" t="str">
        <f>IF(CRONOGRAMA!F143="", "",CRONOGRAMA!F143)</f>
        <v/>
      </c>
      <c r="F144" s="132" t="str">
        <f>IF(CRONOGRAMA!G143="", "",CRONOGRAMA!G143)</f>
        <v/>
      </c>
      <c r="G144" s="128" t="str">
        <f>IF(CRONOGRAMA!H143="", "",CRONOGRAMA!H143)</f>
        <v/>
      </c>
      <c r="H144" s="128" t="str">
        <f>IF(CRONOGRAMA!I143="", "",CRONOGRAMA!I143)</f>
        <v/>
      </c>
      <c r="I144" s="84">
        <f t="shared" si="398"/>
        <v>0</v>
      </c>
      <c r="J144" s="160" t="str">
        <f>IF($P$6="Indique Fecha Seguimiento","",IF(CRONOGRAMA!$E143="No Aplica","NA",IF($G144="","",IF(YEAR($G144)&lt;YEAR($P$6)," A ",IF(YEAR($G144)=YEAR($P$6),IF(MONTH($G144)&lt;=4," A ","NA"),IF(YEAR($G144)&gt;YEAR($P$6),"NA"))))))</f>
        <v/>
      </c>
      <c r="K144" s="400"/>
      <c r="L144" s="402"/>
      <c r="M144" s="400"/>
      <c r="N144" s="348" t="str">
        <f t="shared" si="399"/>
        <v/>
      </c>
      <c r="O144" s="349"/>
      <c r="P144" s="44"/>
      <c r="Q144" s="84" t="str">
        <f t="shared" si="400"/>
        <v/>
      </c>
      <c r="R144" s="84" t="str">
        <f t="shared" si="401"/>
        <v/>
      </c>
      <c r="S144" s="84">
        <f t="shared" si="318"/>
        <v>0</v>
      </c>
      <c r="T144" s="160" t="str">
        <f>IF($Z$6="Indique Fecha Seguimiento","",IF(CRONOGRAMA!$E143="No Aplica","NA",IF($G144="","",IF(YEAR($G144)&lt;YEAR($Z$6)," A ",IF(YEAR($G144)=YEAR($Z$6),IF(MONTH($G144)&lt;=8," A ","NA"),IF(YEAR($G144)&gt;YEAR($Z$6),"NA"))))))</f>
        <v/>
      </c>
      <c r="U144" s="409"/>
      <c r="V144" s="402"/>
      <c r="W144" s="351"/>
      <c r="X144" s="348" t="str">
        <f t="shared" si="402"/>
        <v/>
      </c>
      <c r="Y144" s="349"/>
      <c r="Z144" s="402"/>
      <c r="AA144" s="84" t="str">
        <f t="shared" si="403"/>
        <v/>
      </c>
      <c r="AB144" s="84" t="str">
        <f t="shared" si="404"/>
        <v/>
      </c>
      <c r="AC144" s="84">
        <f t="shared" si="322"/>
        <v>0</v>
      </c>
      <c r="AD144" s="160" t="str">
        <f>IF($AJ$6="Indique Fecha Seguimiento","",IF(CRONOGRAMA!$E143="No Aplica","NA",IF($G144="","",IF(YEAR($G144)&lt;YEAR($AJ$6)," A ",IF(YEAR($G144)=YEAR($AJ$6),IF(MONTH($G144)&lt;=12," A ","NA"),IF(YEAR($G144)&gt;YEAR($AJ$6),"NA"))))))</f>
        <v/>
      </c>
      <c r="AE144" s="350"/>
      <c r="AF144" s="44"/>
      <c r="AG144" s="351"/>
      <c r="AH144" s="348" t="str">
        <f t="shared" si="405"/>
        <v/>
      </c>
      <c r="AI144" s="349"/>
      <c r="AJ144" s="44"/>
      <c r="AK144" s="81" t="str">
        <f t="shared" si="406"/>
        <v/>
      </c>
      <c r="AL144" s="84" t="str">
        <f t="shared" si="407"/>
        <v/>
      </c>
      <c r="AM144" s="84">
        <f t="shared" si="326"/>
        <v>0</v>
      </c>
      <c r="AN144" s="579"/>
      <c r="AO144" s="580"/>
      <c r="AP144" s="581"/>
      <c r="AQ144" s="581"/>
      <c r="AR144" s="582"/>
      <c r="AS144" s="582"/>
      <c r="AT144" s="582"/>
      <c r="AU144" s="572"/>
      <c r="AV144" s="573"/>
      <c r="AW144" s="574"/>
      <c r="AX144">
        <f t="shared" si="415"/>
        <v>0</v>
      </c>
    </row>
    <row r="145" spans="1:50" ht="16.5" thickBot="1" x14ac:dyDescent="0.3">
      <c r="A145" s="577"/>
      <c r="B145" s="578"/>
      <c r="C145" s="82" t="str">
        <f>IF('CONSOLIDACION DEL MAPA'!P144="","",'CONSOLIDACION DEL MAPA'!P144)</f>
        <v/>
      </c>
      <c r="D145" s="82" t="str">
        <f>CRONOGRAMA!D144</f>
        <v/>
      </c>
      <c r="E145" s="132" t="str">
        <f>IF(CRONOGRAMA!F144="", "",CRONOGRAMA!F144)</f>
        <v/>
      </c>
      <c r="F145" s="132" t="str">
        <f>IF(CRONOGRAMA!G144="", "",CRONOGRAMA!G144)</f>
        <v/>
      </c>
      <c r="G145" s="128" t="str">
        <f>IF(CRONOGRAMA!H144="", "",CRONOGRAMA!H144)</f>
        <v/>
      </c>
      <c r="H145" s="128" t="str">
        <f>IF(CRONOGRAMA!I144="", "",CRONOGRAMA!I144)</f>
        <v/>
      </c>
      <c r="I145" s="84">
        <f t="shared" si="398"/>
        <v>0</v>
      </c>
      <c r="J145" s="160" t="str">
        <f>IF($P$6="Indique Fecha Seguimiento","",IF(CRONOGRAMA!$E144="No Aplica","NA",IF($G145="","",IF(YEAR($G145)&lt;YEAR($P$6)," A ",IF(YEAR($G145)=YEAR($P$6),IF(MONTH($G145)&lt;=4," A ","NA"),IF(YEAR($G145)&gt;YEAR($P$6),"NA"))))))</f>
        <v/>
      </c>
      <c r="K145" s="400"/>
      <c r="L145" s="402"/>
      <c r="M145" s="400"/>
      <c r="N145" s="348" t="str">
        <f t="shared" si="399"/>
        <v/>
      </c>
      <c r="O145" s="349"/>
      <c r="P145" s="44"/>
      <c r="Q145" s="84" t="str">
        <f t="shared" si="400"/>
        <v/>
      </c>
      <c r="R145" s="84" t="str">
        <f t="shared" si="401"/>
        <v/>
      </c>
      <c r="S145" s="84">
        <f t="shared" si="318"/>
        <v>0</v>
      </c>
      <c r="T145" s="160" t="str">
        <f>IF($Z$6="Indique Fecha Seguimiento","",IF(CRONOGRAMA!$E144="No Aplica","NA",IF($G145="","",IF(YEAR($G145)&lt;YEAR($Z$6)," A ",IF(YEAR($G145)=YEAR($Z$6),IF(MONTH($G145)&lt;=8," A ","NA"),IF(YEAR($G145)&gt;YEAR($Z$6),"NA"))))))</f>
        <v/>
      </c>
      <c r="U145" s="409"/>
      <c r="V145" s="402"/>
      <c r="W145" s="351"/>
      <c r="X145" s="348" t="str">
        <f t="shared" si="402"/>
        <v/>
      </c>
      <c r="Y145" s="349"/>
      <c r="Z145" s="402"/>
      <c r="AA145" s="84" t="str">
        <f t="shared" si="403"/>
        <v/>
      </c>
      <c r="AB145" s="84" t="str">
        <f t="shared" si="404"/>
        <v/>
      </c>
      <c r="AC145" s="84">
        <f t="shared" si="322"/>
        <v>0</v>
      </c>
      <c r="AD145" s="160" t="str">
        <f>IF($AJ$6="Indique Fecha Seguimiento","",IF(CRONOGRAMA!$E144="No Aplica","NA",IF($G145="","",IF(YEAR($G145)&lt;YEAR($AJ$6)," A ",IF(YEAR($G145)=YEAR($AJ$6),IF(MONTH($G145)&lt;=12," A ","NA"),IF(YEAR($G145)&gt;YEAR($AJ$6),"NA"))))))</f>
        <v/>
      </c>
      <c r="AE145" s="350"/>
      <c r="AF145" s="44"/>
      <c r="AG145" s="351"/>
      <c r="AH145" s="348" t="str">
        <f t="shared" si="405"/>
        <v/>
      </c>
      <c r="AI145" s="349"/>
      <c r="AJ145" s="44"/>
      <c r="AK145" s="81" t="str">
        <f t="shared" si="406"/>
        <v/>
      </c>
      <c r="AL145" s="84" t="str">
        <f t="shared" si="407"/>
        <v/>
      </c>
      <c r="AM145" s="84">
        <f t="shared" si="326"/>
        <v>0</v>
      </c>
      <c r="AN145" s="579"/>
      <c r="AO145" s="580"/>
      <c r="AP145" s="581"/>
      <c r="AQ145" s="581"/>
      <c r="AR145" s="582"/>
      <c r="AS145" s="582"/>
      <c r="AT145" s="582"/>
      <c r="AU145" s="572"/>
      <c r="AV145" s="573"/>
      <c r="AW145" s="574"/>
      <c r="AX145">
        <f t="shared" si="415"/>
        <v>0</v>
      </c>
    </row>
    <row r="146" spans="1:50" ht="48" thickTop="1" x14ac:dyDescent="0.25">
      <c r="A146" s="575" t="str">
        <f>CRONOGRAMA!A145</f>
        <v>18C</v>
      </c>
      <c r="B146" s="578" t="str">
        <f>CRONOGRAMA!B145</f>
        <v>Gestión de Extensión y Proyección Social. Extralimitación de funciones.</v>
      </c>
      <c r="C146" s="82" t="str">
        <f>IF('CONSOLIDACION DEL MAPA'!P145="","",'CONSOLIDACION DEL MAPA'!P145)</f>
        <v>Evitar</v>
      </c>
      <c r="D146" s="82" t="str">
        <f>CRONOGRAMA!D145</f>
        <v>Establecer mecanismos eficientes de control.</v>
      </c>
      <c r="E146" s="132" t="str">
        <f>IF(CRONOGRAMA!F145="", "",CRONOGRAMA!F145)</f>
        <v>Informes</v>
      </c>
      <c r="F146" s="132">
        <f>IF(CRONOGRAMA!G145="", "",CRONOGRAMA!G145)</f>
        <v>1</v>
      </c>
      <c r="G146" s="128">
        <f>IF(CRONOGRAMA!H145="", "",CRONOGRAMA!H145)</f>
        <v>42398</v>
      </c>
      <c r="H146" s="128">
        <f>IF(CRONOGRAMA!I145="", "",CRONOGRAMA!I145)</f>
        <v>42704</v>
      </c>
      <c r="I146" s="84">
        <f t="shared" si="398"/>
        <v>43.714285714285715</v>
      </c>
      <c r="J146" s="160" t="str">
        <f>IF($P$6="Indique Fecha Seguimiento","",IF(CRONOGRAMA!$E145="No Aplica","NA",IF($G146="","",IF(YEAR($G146)&lt;YEAR($P$6)," A ",IF(YEAR($G146)=YEAR($P$6),IF(MONTH($G146)&lt;=4," A ","NA"),IF(YEAR($G146)&gt;YEAR($P$6),"NA"))))))</f>
        <v xml:space="preserve"> A </v>
      </c>
      <c r="K146" s="400">
        <v>0.33300000000000002</v>
      </c>
      <c r="L146" s="402" t="s">
        <v>890</v>
      </c>
      <c r="M146" s="400">
        <v>0</v>
      </c>
      <c r="N146" s="348">
        <f t="shared" si="399"/>
        <v>0</v>
      </c>
      <c r="O146" s="349" t="s">
        <v>353</v>
      </c>
      <c r="P146" s="44" t="s">
        <v>918</v>
      </c>
      <c r="Q146" s="84">
        <f t="shared" si="400"/>
        <v>0</v>
      </c>
      <c r="R146" s="84">
        <f t="shared" si="401"/>
        <v>0</v>
      </c>
      <c r="S146" s="84">
        <f t="shared" si="318"/>
        <v>43.714285714285715</v>
      </c>
      <c r="T146" s="160" t="str">
        <f>IF($Z$6="Indique Fecha Seguimiento","",IF(CRONOGRAMA!$E145="No Aplica","NA",IF($G146="","",IF(YEAR($G146)&lt;YEAR($Z$6)," A ",IF(YEAR($G146)=YEAR($Z$6),IF(MONTH($G146)&lt;=8," A ","NA"),IF(YEAR($G146)&gt;YEAR($Z$6),"NA"))))))</f>
        <v xml:space="preserve"> A </v>
      </c>
      <c r="U146" s="409">
        <v>0.66600000000000004</v>
      </c>
      <c r="V146" s="402" t="s">
        <v>890</v>
      </c>
      <c r="W146" s="351">
        <v>0.6</v>
      </c>
      <c r="X146" s="348">
        <f t="shared" si="402"/>
        <v>0.6</v>
      </c>
      <c r="Y146" s="349" t="s">
        <v>353</v>
      </c>
      <c r="Z146" s="402" t="s">
        <v>932</v>
      </c>
      <c r="AA146" s="84">
        <f t="shared" si="403"/>
        <v>26.228571428571428</v>
      </c>
      <c r="AB146" s="84">
        <f t="shared" si="404"/>
        <v>26.228571428571428</v>
      </c>
      <c r="AC146" s="84">
        <f t="shared" si="322"/>
        <v>43.714285714285715</v>
      </c>
      <c r="AD146" s="160" t="str">
        <f>IF($AJ$6="Indique Fecha Seguimiento","",IF(CRONOGRAMA!$E145="No Aplica","NA",IF($G146="","",IF(YEAR($G146)&lt;YEAR($AJ$6)," A ",IF(YEAR($G146)=YEAR($AJ$6),IF(MONTH($G146)&lt;=12," A ","NA"),IF(YEAR($G146)&gt;YEAR($AJ$6),"NA"))))))</f>
        <v xml:space="preserve"> A </v>
      </c>
      <c r="AE146" s="350">
        <v>90</v>
      </c>
      <c r="AF146" s="44" t="s">
        <v>1004</v>
      </c>
      <c r="AG146" s="351">
        <v>0.9</v>
      </c>
      <c r="AH146" s="348">
        <f t="shared" si="405"/>
        <v>0.9</v>
      </c>
      <c r="AI146" s="349" t="s">
        <v>10</v>
      </c>
      <c r="AJ146" s="44" t="str">
        <f>AF146</f>
        <v xml:space="preserve">se han socializacion de roles y responsabilidades </v>
      </c>
      <c r="AK146" s="81">
        <f t="shared" si="406"/>
        <v>39.342857142857142</v>
      </c>
      <c r="AL146" s="84">
        <f t="shared" si="407"/>
        <v>0</v>
      </c>
      <c r="AM146" s="84">
        <f t="shared" si="326"/>
        <v>43.714285714285715</v>
      </c>
      <c r="AN146" s="579">
        <f t="shared" ref="AN146" si="493">SUM(I146:I148)</f>
        <v>43.714285714285715</v>
      </c>
      <c r="AO146" s="580">
        <f t="shared" ref="AO146" si="494">IF(AND(Q146="",Q147="",Q148=""),"",SUM(Q146:Q148))</f>
        <v>0</v>
      </c>
      <c r="AP146" s="581">
        <f t="shared" ref="AP146" si="495">IF(AND(AA146="",AA147="",AA148=""),"",SUM(AA146:AA148))</f>
        <v>26.228571428571428</v>
      </c>
      <c r="AQ146" s="581">
        <f t="shared" ref="AQ146" si="496">IF(AND(AK146="",AK147="",AK148=""),"",SUM(AK146:AK148))</f>
        <v>39.342857142857142</v>
      </c>
      <c r="AR146" s="582">
        <f t="shared" si="331"/>
        <v>0</v>
      </c>
      <c r="AS146" s="582">
        <f t="shared" si="332"/>
        <v>0.6</v>
      </c>
      <c r="AT146" s="582">
        <f t="shared" ref="AT146" si="497">IF(AS146&gt;=AR146,AS146,AR146)</f>
        <v>0.6</v>
      </c>
      <c r="AU146" s="572">
        <f t="shared" si="334"/>
        <v>0.89999999999999991</v>
      </c>
      <c r="AV146" s="573">
        <f t="shared" ref="AV146" si="498">IF($AU$6=1,AR146,IF($AU$6=2,AS146,IF($AU$6=3,AU146,"")))</f>
        <v>0.89999999999999991</v>
      </c>
      <c r="AW146" s="574">
        <f t="shared" ref="AW146" si="499">AV146</f>
        <v>0.89999999999999991</v>
      </c>
      <c r="AX146" t="str">
        <f t="shared" si="415"/>
        <v xml:space="preserve">se han socializacion de roles y responsabilidades </v>
      </c>
    </row>
    <row r="147" spans="1:50" ht="15.75" x14ac:dyDescent="0.25">
      <c r="A147" s="576"/>
      <c r="B147" s="578"/>
      <c r="C147" s="82" t="str">
        <f>IF('CONSOLIDACION DEL MAPA'!P146="","",'CONSOLIDACION DEL MAPA'!P146)</f>
        <v/>
      </c>
      <c r="D147" s="82" t="str">
        <f>CRONOGRAMA!D146</f>
        <v/>
      </c>
      <c r="E147" s="132" t="str">
        <f>IF(CRONOGRAMA!F146="", "",CRONOGRAMA!F146)</f>
        <v/>
      </c>
      <c r="F147" s="132" t="str">
        <f>IF(CRONOGRAMA!G146="", "",CRONOGRAMA!G146)</f>
        <v/>
      </c>
      <c r="G147" s="128" t="str">
        <f>IF(CRONOGRAMA!H146="", "",CRONOGRAMA!H146)</f>
        <v/>
      </c>
      <c r="H147" s="128" t="str">
        <f>IF(CRONOGRAMA!I146="", "",CRONOGRAMA!I146)</f>
        <v/>
      </c>
      <c r="I147" s="84">
        <f t="shared" si="398"/>
        <v>0</v>
      </c>
      <c r="J147" s="160" t="str">
        <f>IF($P$6="Indique Fecha Seguimiento","",IF(CRONOGRAMA!$E146="No Aplica","NA",IF($G147="","",IF(YEAR($G147)&lt;YEAR($P$6)," A ",IF(YEAR($G147)=YEAR($P$6),IF(MONTH($G147)&lt;=4," A ","NA"),IF(YEAR($G147)&gt;YEAR($P$6),"NA"))))))</f>
        <v/>
      </c>
      <c r="K147" s="400"/>
      <c r="L147" s="402"/>
      <c r="M147" s="400"/>
      <c r="N147" s="348" t="str">
        <f t="shared" si="399"/>
        <v/>
      </c>
      <c r="O147" s="349"/>
      <c r="P147" s="44"/>
      <c r="Q147" s="84" t="str">
        <f t="shared" si="400"/>
        <v/>
      </c>
      <c r="R147" s="84" t="str">
        <f t="shared" si="401"/>
        <v/>
      </c>
      <c r="S147" s="84">
        <f t="shared" si="318"/>
        <v>0</v>
      </c>
      <c r="T147" s="160" t="str">
        <f>IF($Z$6="Indique Fecha Seguimiento","",IF(CRONOGRAMA!$E146="No Aplica","NA",IF($G147="","",IF(YEAR($G147)&lt;YEAR($Z$6)," A ",IF(YEAR($G147)=YEAR($Z$6),IF(MONTH($G147)&lt;=8," A ","NA"),IF(YEAR($G147)&gt;YEAR($Z$6),"NA"))))))</f>
        <v/>
      </c>
      <c r="U147" s="409"/>
      <c r="V147" s="402"/>
      <c r="W147" s="351"/>
      <c r="X147" s="348" t="str">
        <f t="shared" si="402"/>
        <v/>
      </c>
      <c r="Y147" s="349"/>
      <c r="Z147" s="402"/>
      <c r="AA147" s="84" t="str">
        <f t="shared" si="403"/>
        <v/>
      </c>
      <c r="AB147" s="84" t="str">
        <f t="shared" si="404"/>
        <v/>
      </c>
      <c r="AC147" s="84">
        <f t="shared" si="322"/>
        <v>0</v>
      </c>
      <c r="AD147" s="160" t="str">
        <f>IF($AJ$6="Indique Fecha Seguimiento","",IF(CRONOGRAMA!$E146="No Aplica","NA",IF($G147="","",IF(YEAR($G147)&lt;YEAR($AJ$6)," A ",IF(YEAR($G147)=YEAR($AJ$6),IF(MONTH($G147)&lt;=12," A ","NA"),IF(YEAR($G147)&gt;YEAR($AJ$6),"NA"))))))</f>
        <v/>
      </c>
      <c r="AE147" s="350"/>
      <c r="AF147" s="44"/>
      <c r="AG147" s="351"/>
      <c r="AH147" s="348" t="str">
        <f t="shared" si="405"/>
        <v/>
      </c>
      <c r="AI147" s="349"/>
      <c r="AJ147" s="44"/>
      <c r="AK147" s="81" t="str">
        <f t="shared" si="406"/>
        <v/>
      </c>
      <c r="AL147" s="84" t="str">
        <f t="shared" si="407"/>
        <v/>
      </c>
      <c r="AM147" s="84">
        <f t="shared" si="326"/>
        <v>0</v>
      </c>
      <c r="AN147" s="579"/>
      <c r="AO147" s="580"/>
      <c r="AP147" s="581"/>
      <c r="AQ147" s="581"/>
      <c r="AR147" s="582"/>
      <c r="AS147" s="582"/>
      <c r="AT147" s="582"/>
      <c r="AU147" s="572"/>
      <c r="AV147" s="573"/>
      <c r="AW147" s="574"/>
      <c r="AX147">
        <f t="shared" si="415"/>
        <v>0</v>
      </c>
    </row>
    <row r="148" spans="1:50" ht="16.5" thickBot="1" x14ac:dyDescent="0.3">
      <c r="A148" s="577"/>
      <c r="B148" s="578"/>
      <c r="C148" s="82" t="str">
        <f>IF('CONSOLIDACION DEL MAPA'!P147="","",'CONSOLIDACION DEL MAPA'!P147)</f>
        <v/>
      </c>
      <c r="D148" s="82" t="str">
        <f>CRONOGRAMA!D147</f>
        <v/>
      </c>
      <c r="E148" s="132" t="str">
        <f>IF(CRONOGRAMA!F147="", "",CRONOGRAMA!F147)</f>
        <v/>
      </c>
      <c r="F148" s="132" t="str">
        <f>IF(CRONOGRAMA!G147="", "",CRONOGRAMA!G147)</f>
        <v/>
      </c>
      <c r="G148" s="128" t="str">
        <f>IF(CRONOGRAMA!H147="", "",CRONOGRAMA!H147)</f>
        <v/>
      </c>
      <c r="H148" s="128" t="str">
        <f>IF(CRONOGRAMA!I147="", "",CRONOGRAMA!I147)</f>
        <v/>
      </c>
      <c r="I148" s="84">
        <f t="shared" si="398"/>
        <v>0</v>
      </c>
      <c r="J148" s="160" t="str">
        <f>IF($P$6="Indique Fecha Seguimiento","",IF(CRONOGRAMA!$E147="No Aplica","NA",IF($G148="","",IF(YEAR($G148)&lt;YEAR($P$6)," A ",IF(YEAR($G148)=YEAR($P$6),IF(MONTH($G148)&lt;=4," A ","NA"),IF(YEAR($G148)&gt;YEAR($P$6),"NA"))))))</f>
        <v/>
      </c>
      <c r="K148" s="400"/>
      <c r="L148" s="402"/>
      <c r="M148" s="400"/>
      <c r="N148" s="348" t="str">
        <f t="shared" si="399"/>
        <v/>
      </c>
      <c r="O148" s="349"/>
      <c r="P148" s="44"/>
      <c r="Q148" s="84" t="str">
        <f t="shared" si="400"/>
        <v/>
      </c>
      <c r="R148" s="84" t="str">
        <f t="shared" si="401"/>
        <v/>
      </c>
      <c r="S148" s="84">
        <f t="shared" si="318"/>
        <v>0</v>
      </c>
      <c r="T148" s="160" t="str">
        <f>IF($Z$6="Indique Fecha Seguimiento","",IF(CRONOGRAMA!$E147="No Aplica","NA",IF($G148="","",IF(YEAR($G148)&lt;YEAR($Z$6)," A ",IF(YEAR($G148)=YEAR($Z$6),IF(MONTH($G148)&lt;=8," A ","NA"),IF(YEAR($G148)&gt;YEAR($Z$6),"NA"))))))</f>
        <v/>
      </c>
      <c r="U148" s="409"/>
      <c r="V148" s="402"/>
      <c r="W148" s="351"/>
      <c r="X148" s="348" t="str">
        <f t="shared" si="402"/>
        <v/>
      </c>
      <c r="Y148" s="349"/>
      <c r="Z148" s="402"/>
      <c r="AA148" s="84" t="str">
        <f t="shared" si="403"/>
        <v/>
      </c>
      <c r="AB148" s="84" t="str">
        <f t="shared" si="404"/>
        <v/>
      </c>
      <c r="AC148" s="84">
        <f t="shared" si="322"/>
        <v>0</v>
      </c>
      <c r="AD148" s="160" t="str">
        <f>IF($AJ$6="Indique Fecha Seguimiento","",IF(CRONOGRAMA!$E147="No Aplica","NA",IF($G148="","",IF(YEAR($G148)&lt;YEAR($AJ$6)," A ",IF(YEAR($G148)=YEAR($AJ$6),IF(MONTH($G148)&lt;=12," A ","NA"),IF(YEAR($G148)&gt;YEAR($AJ$6),"NA"))))))</f>
        <v/>
      </c>
      <c r="AE148" s="350"/>
      <c r="AF148" s="44"/>
      <c r="AG148" s="351"/>
      <c r="AH148" s="348" t="str">
        <f t="shared" si="405"/>
        <v/>
      </c>
      <c r="AI148" s="349"/>
      <c r="AJ148" s="44"/>
      <c r="AK148" s="81" t="str">
        <f t="shared" si="406"/>
        <v/>
      </c>
      <c r="AL148" s="84" t="str">
        <f t="shared" si="407"/>
        <v/>
      </c>
      <c r="AM148" s="84">
        <f t="shared" si="326"/>
        <v>0</v>
      </c>
      <c r="AN148" s="579"/>
      <c r="AO148" s="580"/>
      <c r="AP148" s="581"/>
      <c r="AQ148" s="581"/>
      <c r="AR148" s="582"/>
      <c r="AS148" s="582"/>
      <c r="AT148" s="582"/>
      <c r="AU148" s="572"/>
      <c r="AV148" s="573"/>
      <c r="AW148" s="574"/>
      <c r="AX148">
        <f t="shared" si="415"/>
        <v>0</v>
      </c>
    </row>
    <row r="149" spans="1:50" ht="63.75" thickTop="1" x14ac:dyDescent="0.25">
      <c r="A149" s="575" t="str">
        <f>CRONOGRAMA!A148</f>
        <v>19C</v>
      </c>
      <c r="B149" s="578" t="str">
        <f>CRONOGRAMA!B148</f>
        <v>Gestión de Extensión y Proyección Social. Omisión de la ley para beneficio propio.</v>
      </c>
      <c r="C149" s="82" t="str">
        <f>IF('CONSOLIDACION DEL MAPA'!P148="","",'CONSOLIDACION DEL MAPA'!P148)</f>
        <v>Evitar</v>
      </c>
      <c r="D149" s="82" t="str">
        <f>CRONOGRAMA!D148</f>
        <v>Solicitud de asesoría legal suficiente.</v>
      </c>
      <c r="E149" s="132" t="str">
        <f>IF(CRONOGRAMA!F148="", "",CRONOGRAMA!F148)</f>
        <v>Comunicados y registros</v>
      </c>
      <c r="F149" s="132">
        <f>IF(CRONOGRAMA!G148="", "",CRONOGRAMA!G148)</f>
        <v>1</v>
      </c>
      <c r="G149" s="128">
        <f>IF(CRONOGRAMA!H148="", "",CRONOGRAMA!H148)</f>
        <v>42398</v>
      </c>
      <c r="H149" s="128">
        <f>IF(CRONOGRAMA!I148="", "",CRONOGRAMA!I148)</f>
        <v>42704</v>
      </c>
      <c r="I149" s="84">
        <f t="shared" ref="I149:I196" si="500">IF(G149="",0,IF(H149="",0,(H149-G149)/7))</f>
        <v>43.714285714285715</v>
      </c>
      <c r="J149" s="160" t="str">
        <f>IF($P$6="Indique Fecha Seguimiento","",IF(CRONOGRAMA!$E148="No Aplica","NA",IF($G149="","",IF(YEAR($G149)&lt;YEAR($P$6)," A ",IF(YEAR($G149)=YEAR($P$6),IF(MONTH($G149)&lt;=4," A ","NA"),IF(YEAR($G149)&gt;YEAR($P$6),"NA"))))))</f>
        <v xml:space="preserve"> A </v>
      </c>
      <c r="K149" s="400">
        <v>0.33300000000000002</v>
      </c>
      <c r="L149" s="402" t="s">
        <v>905</v>
      </c>
      <c r="M149" s="400">
        <v>0</v>
      </c>
      <c r="N149" s="348">
        <f t="shared" ref="N149:N196" si="501">IF(M149="","",IF($F149=0,0,M149/$F149))</f>
        <v>0</v>
      </c>
      <c r="O149" s="349" t="s">
        <v>353</v>
      </c>
      <c r="P149" s="44" t="s">
        <v>918</v>
      </c>
      <c r="Q149" s="84">
        <f t="shared" ref="Q149:Q196" si="502">IF(N149="","",($I149*N149))</f>
        <v>0</v>
      </c>
      <c r="R149" s="84">
        <f t="shared" ref="R149:R196" si="503">IF(O149="SI",Q149,IF($P$6&lt;=$H149,Q149,0))</f>
        <v>0</v>
      </c>
      <c r="S149" s="84">
        <f t="shared" si="318"/>
        <v>43.714285714285715</v>
      </c>
      <c r="T149" s="160" t="str">
        <f>IF($Z$6="Indique Fecha Seguimiento","",IF(CRONOGRAMA!$E148="No Aplica","NA",IF($G149="","",IF(YEAR($G149)&lt;YEAR($Z$6)," A ",IF(YEAR($G149)=YEAR($Z$6),IF(MONTH($G149)&lt;=8," A ","NA"),IF(YEAR($G149)&gt;YEAR($Z$6),"NA"))))))</f>
        <v xml:space="preserve"> A </v>
      </c>
      <c r="U149" s="409">
        <v>0.66600000000000004</v>
      </c>
      <c r="V149" s="402" t="s">
        <v>905</v>
      </c>
      <c r="W149" s="351">
        <v>0.6</v>
      </c>
      <c r="X149" s="348">
        <f t="shared" ref="X149:X196" si="504">IF(W149="","",IF($F149=0,0,W149/$F149))</f>
        <v>0.6</v>
      </c>
      <c r="Y149" s="349" t="s">
        <v>353</v>
      </c>
      <c r="Z149" s="402" t="s">
        <v>933</v>
      </c>
      <c r="AA149" s="84">
        <f t="shared" ref="AA149:AA196" si="505">IF(X149="","",($I149*X149))</f>
        <v>26.228571428571428</v>
      </c>
      <c r="AB149" s="84">
        <f t="shared" ref="AB149:AB196" si="506">IF(N149=1,R149,IF(Y149="SI",AA149,IF($Z$6&lt;=$H149,AA149,0)))</f>
        <v>26.228571428571428</v>
      </c>
      <c r="AC149" s="84">
        <f t="shared" si="322"/>
        <v>43.714285714285715</v>
      </c>
      <c r="AD149" s="160" t="str">
        <f>IF($AJ$6="Indique Fecha Seguimiento","",IF(CRONOGRAMA!$E148="No Aplica","NA",IF($G149="","",IF(YEAR($G149)&lt;YEAR($AJ$6)," A ",IF(YEAR($G149)=YEAR($AJ$6),IF(MONTH($G149)&lt;=12," A ","NA"),IF(YEAR($G149)&gt;YEAR($AJ$6),"NA"))))))</f>
        <v xml:space="preserve"> A </v>
      </c>
      <c r="AE149" s="413">
        <v>0.8</v>
      </c>
      <c r="AF149" s="44" t="s">
        <v>1005</v>
      </c>
      <c r="AG149" s="351">
        <v>0.8</v>
      </c>
      <c r="AH149" s="348">
        <f t="shared" ref="AH149:AH196" si="507">IF(AG149="","",IF($F149=0,0,AG149/$F149))</f>
        <v>0.8</v>
      </c>
      <c r="AI149" s="349" t="s">
        <v>10</v>
      </c>
      <c r="AJ149" s="44" t="str">
        <f>AF149</f>
        <v>se  han establecidos acompañamiento a traves de personal del area juridica (Abogados)</v>
      </c>
      <c r="AK149" s="81">
        <f t="shared" ref="AK149:AK196" si="508">IF(AH149="","",($I149*AH149))</f>
        <v>34.971428571428575</v>
      </c>
      <c r="AL149" s="84">
        <f t="shared" ref="AL149:AL196" si="509">IF(X149=1,AB149,IF(AI149="SI",AK149,IF($AJ$6&lt;=$H149,AK149,0)))</f>
        <v>0</v>
      </c>
      <c r="AM149" s="84">
        <f t="shared" si="326"/>
        <v>43.714285714285715</v>
      </c>
      <c r="AN149" s="579">
        <f t="shared" ref="AN149" si="510">SUM(I149:I151)</f>
        <v>43.714285714285715</v>
      </c>
      <c r="AO149" s="580">
        <f t="shared" ref="AO149" si="511">IF(AND(Q149="",Q150="",Q151=""),"",SUM(Q149:Q151))</f>
        <v>0</v>
      </c>
      <c r="AP149" s="581">
        <f t="shared" ref="AP149" si="512">IF(AND(AA149="",AA150="",AA151=""),"",SUM(AA149:AA151))</f>
        <v>26.228571428571428</v>
      </c>
      <c r="AQ149" s="581">
        <f t="shared" ref="AQ149" si="513">IF(AND(AK149="",AK150="",AK151=""),"",SUM(AK149:AK151))</f>
        <v>34.971428571428575</v>
      </c>
      <c r="AR149" s="582">
        <f t="shared" si="331"/>
        <v>0</v>
      </c>
      <c r="AS149" s="582">
        <f t="shared" si="332"/>
        <v>0.6</v>
      </c>
      <c r="AT149" s="582">
        <f t="shared" ref="AT149" si="514">IF(AS149&gt;=AR149,AS149,AR149)</f>
        <v>0.6</v>
      </c>
      <c r="AU149" s="572">
        <f t="shared" si="334"/>
        <v>0.8</v>
      </c>
      <c r="AV149" s="573">
        <f t="shared" ref="AV149" si="515">IF($AU$6=1,AR149,IF($AU$6=2,AS149,IF($AU$6=3,AU149,"")))</f>
        <v>0.8</v>
      </c>
      <c r="AW149" s="574">
        <f t="shared" ref="AW149" si="516">AV149</f>
        <v>0.8</v>
      </c>
      <c r="AX149" t="str">
        <f t="shared" ref="AX149:AX196" si="517">IF($AU$6=1,P149,IF($AU$6=2,Z149,IF($AU$6=3,AJ149,"")))</f>
        <v>se  han establecidos acompañamiento a traves de personal del area juridica (Abogados)</v>
      </c>
    </row>
    <row r="150" spans="1:50" ht="15.75" x14ac:dyDescent="0.25">
      <c r="A150" s="576"/>
      <c r="B150" s="578"/>
      <c r="C150" s="82" t="str">
        <f>IF('CONSOLIDACION DEL MAPA'!P149="","",'CONSOLIDACION DEL MAPA'!P149)</f>
        <v/>
      </c>
      <c r="D150" s="82" t="str">
        <f>CRONOGRAMA!D149</f>
        <v/>
      </c>
      <c r="E150" s="132" t="str">
        <f>IF(CRONOGRAMA!F149="", "",CRONOGRAMA!F149)</f>
        <v/>
      </c>
      <c r="F150" s="132" t="str">
        <f>IF(CRONOGRAMA!G149="", "",CRONOGRAMA!G149)</f>
        <v/>
      </c>
      <c r="G150" s="128" t="str">
        <f>IF(CRONOGRAMA!H149="", "",CRONOGRAMA!H149)</f>
        <v/>
      </c>
      <c r="H150" s="128" t="str">
        <f>IF(CRONOGRAMA!I149="", "",CRONOGRAMA!I149)</f>
        <v/>
      </c>
      <c r="I150" s="84">
        <f t="shared" si="500"/>
        <v>0</v>
      </c>
      <c r="J150" s="160" t="str">
        <f>IF($P$6="Indique Fecha Seguimiento","",IF(CRONOGRAMA!$E149="No Aplica","NA",IF($G150="","",IF(YEAR($G150)&lt;YEAR($P$6)," A ",IF(YEAR($G150)=YEAR($P$6),IF(MONTH($G150)&lt;=4," A ","NA"),IF(YEAR($G150)&gt;YEAR($P$6),"NA"))))))</f>
        <v/>
      </c>
      <c r="K150" s="400"/>
      <c r="L150" s="402"/>
      <c r="M150" s="400"/>
      <c r="N150" s="348" t="str">
        <f t="shared" si="501"/>
        <v/>
      </c>
      <c r="O150" s="349"/>
      <c r="P150" s="44"/>
      <c r="Q150" s="84" t="str">
        <f t="shared" si="502"/>
        <v/>
      </c>
      <c r="R150" s="84" t="str">
        <f t="shared" si="503"/>
        <v/>
      </c>
      <c r="S150" s="84">
        <f t="shared" si="318"/>
        <v>0</v>
      </c>
      <c r="T150" s="160" t="str">
        <f>IF($Z$6="Indique Fecha Seguimiento","",IF(CRONOGRAMA!$E149="No Aplica","NA",IF($G150="","",IF(YEAR($G150)&lt;YEAR($Z$6)," A ",IF(YEAR($G150)=YEAR($Z$6),IF(MONTH($G150)&lt;=8," A ","NA"),IF(YEAR($G150)&gt;YEAR($Z$6),"NA"))))))</f>
        <v/>
      </c>
      <c r="U150" s="350"/>
      <c r="V150" s="44"/>
      <c r="W150" s="351"/>
      <c r="X150" s="348" t="str">
        <f t="shared" si="504"/>
        <v/>
      </c>
      <c r="Y150" s="349"/>
      <c r="Z150" s="44"/>
      <c r="AA150" s="84" t="str">
        <f t="shared" si="505"/>
        <v/>
      </c>
      <c r="AB150" s="84" t="str">
        <f t="shared" si="506"/>
        <v/>
      </c>
      <c r="AC150" s="84">
        <f t="shared" si="322"/>
        <v>0</v>
      </c>
      <c r="AD150" s="160" t="str">
        <f>IF($AJ$6="Indique Fecha Seguimiento","",IF(CRONOGRAMA!$E149="No Aplica","NA",IF($G150="","",IF(YEAR($G150)&lt;YEAR($AJ$6)," A ",IF(YEAR($G150)=YEAR($AJ$6),IF(MONTH($G150)&lt;=12," A ","NA"),IF(YEAR($G150)&gt;YEAR($AJ$6),"NA"))))))</f>
        <v/>
      </c>
      <c r="AE150" s="350"/>
      <c r="AF150" s="44"/>
      <c r="AG150" s="351"/>
      <c r="AH150" s="348" t="str">
        <f t="shared" si="507"/>
        <v/>
      </c>
      <c r="AI150" s="349"/>
      <c r="AJ150" s="44"/>
      <c r="AK150" s="81" t="str">
        <f t="shared" si="508"/>
        <v/>
      </c>
      <c r="AL150" s="84" t="str">
        <f t="shared" si="509"/>
        <v/>
      </c>
      <c r="AM150" s="84">
        <f t="shared" si="326"/>
        <v>0</v>
      </c>
      <c r="AN150" s="579"/>
      <c r="AO150" s="580"/>
      <c r="AP150" s="581"/>
      <c r="AQ150" s="581"/>
      <c r="AR150" s="582"/>
      <c r="AS150" s="582"/>
      <c r="AT150" s="582"/>
      <c r="AU150" s="572"/>
      <c r="AV150" s="573"/>
      <c r="AW150" s="574"/>
      <c r="AX150">
        <f t="shared" si="517"/>
        <v>0</v>
      </c>
    </row>
    <row r="151" spans="1:50" ht="16.5" thickBot="1" x14ac:dyDescent="0.3">
      <c r="A151" s="577"/>
      <c r="B151" s="578"/>
      <c r="C151" s="82" t="str">
        <f>IF('CONSOLIDACION DEL MAPA'!P150="","",'CONSOLIDACION DEL MAPA'!P150)</f>
        <v/>
      </c>
      <c r="D151" s="82" t="str">
        <f>CRONOGRAMA!D150</f>
        <v/>
      </c>
      <c r="E151" s="132" t="str">
        <f>IF(CRONOGRAMA!F150="", "",CRONOGRAMA!F150)</f>
        <v/>
      </c>
      <c r="F151" s="132" t="str">
        <f>IF(CRONOGRAMA!G150="", "",CRONOGRAMA!G150)</f>
        <v/>
      </c>
      <c r="G151" s="128" t="str">
        <f>IF(CRONOGRAMA!H150="", "",CRONOGRAMA!H150)</f>
        <v/>
      </c>
      <c r="H151" s="128" t="str">
        <f>IF(CRONOGRAMA!I150="", "",CRONOGRAMA!I150)</f>
        <v/>
      </c>
      <c r="I151" s="84">
        <f t="shared" si="500"/>
        <v>0</v>
      </c>
      <c r="J151" s="160" t="str">
        <f>IF($P$6="Indique Fecha Seguimiento","",IF(CRONOGRAMA!$E150="No Aplica","NA",IF($G151="","",IF(YEAR($G151)&lt;YEAR($P$6)," A ",IF(YEAR($G151)=YEAR($P$6),IF(MONTH($G151)&lt;=4," A ","NA"),IF(YEAR($G151)&gt;YEAR($P$6),"NA"))))))</f>
        <v/>
      </c>
      <c r="K151" s="400"/>
      <c r="L151" s="402"/>
      <c r="M151" s="400"/>
      <c r="N151" s="348" t="str">
        <f t="shared" si="501"/>
        <v/>
      </c>
      <c r="O151" s="349"/>
      <c r="P151" s="44"/>
      <c r="Q151" s="84" t="str">
        <f t="shared" si="502"/>
        <v/>
      </c>
      <c r="R151" s="84" t="str">
        <f t="shared" si="503"/>
        <v/>
      </c>
      <c r="S151" s="84">
        <f t="shared" si="318"/>
        <v>0</v>
      </c>
      <c r="T151" s="160" t="str">
        <f>IF($Z$6="Indique Fecha Seguimiento","",IF(CRONOGRAMA!$E150="No Aplica","NA",IF($G151="","",IF(YEAR($G151)&lt;YEAR($Z$6)," A ",IF(YEAR($G151)=YEAR($Z$6),IF(MONTH($G151)&lt;=8," A ","NA"),IF(YEAR($G151)&gt;YEAR($Z$6),"NA"))))))</f>
        <v/>
      </c>
      <c r="U151" s="350"/>
      <c r="V151" s="44"/>
      <c r="W151" s="351"/>
      <c r="X151" s="348" t="str">
        <f t="shared" si="504"/>
        <v/>
      </c>
      <c r="Y151" s="349"/>
      <c r="Z151" s="44"/>
      <c r="AA151" s="84" t="str">
        <f t="shared" si="505"/>
        <v/>
      </c>
      <c r="AB151" s="84" t="str">
        <f t="shared" si="506"/>
        <v/>
      </c>
      <c r="AC151" s="84">
        <f t="shared" si="322"/>
        <v>0</v>
      </c>
      <c r="AD151" s="160" t="str">
        <f>IF($AJ$6="Indique Fecha Seguimiento","",IF(CRONOGRAMA!$E150="No Aplica","NA",IF($G151="","",IF(YEAR($G151)&lt;YEAR($AJ$6)," A ",IF(YEAR($G151)=YEAR($AJ$6),IF(MONTH($G151)&lt;=12," A ","NA"),IF(YEAR($G151)&gt;YEAR($AJ$6),"NA"))))))</f>
        <v/>
      </c>
      <c r="AE151" s="350"/>
      <c r="AF151" s="44"/>
      <c r="AG151" s="351"/>
      <c r="AH151" s="348" t="str">
        <f t="shared" si="507"/>
        <v/>
      </c>
      <c r="AI151" s="349"/>
      <c r="AJ151" s="44"/>
      <c r="AK151" s="81" t="str">
        <f t="shared" si="508"/>
        <v/>
      </c>
      <c r="AL151" s="84" t="str">
        <f t="shared" si="509"/>
        <v/>
      </c>
      <c r="AM151" s="84">
        <f t="shared" si="326"/>
        <v>0</v>
      </c>
      <c r="AN151" s="579"/>
      <c r="AO151" s="580"/>
      <c r="AP151" s="581"/>
      <c r="AQ151" s="581"/>
      <c r="AR151" s="582"/>
      <c r="AS151" s="582"/>
      <c r="AT151" s="582"/>
      <c r="AU151" s="572"/>
      <c r="AV151" s="573"/>
      <c r="AW151" s="574"/>
      <c r="AX151">
        <f t="shared" si="517"/>
        <v>0</v>
      </c>
    </row>
    <row r="152" spans="1:50" ht="39" thickTop="1" x14ac:dyDescent="0.25">
      <c r="A152" s="575" t="str">
        <f>CRONOGRAMA!A151</f>
        <v>20C</v>
      </c>
      <c r="B152" s="578" t="str">
        <f>CRONOGRAMA!B151</f>
        <v>Gestión de Contratación. Pliegos de condiciones hechos a la medida de una firma en particular.</v>
      </c>
      <c r="C152" s="82" t="str">
        <f>IF('CONSOLIDACION DEL MAPA'!P151="","",'CONSOLIDACION DEL MAPA'!P151)</f>
        <v>No Establecer</v>
      </c>
      <c r="D152" s="82" t="str">
        <f>CRONOGRAMA!D151</f>
        <v>Seguir ejecutando y monitoreando los controles existentes</v>
      </c>
      <c r="E152" s="132" t="str">
        <f>IF(CRONOGRAMA!F151="", "",CRONOGRAMA!F151)</f>
        <v/>
      </c>
      <c r="F152" s="132" t="str">
        <f>IF(CRONOGRAMA!G151="", "",CRONOGRAMA!G151)</f>
        <v/>
      </c>
      <c r="G152" s="128" t="str">
        <f>IF(CRONOGRAMA!H151="", "",CRONOGRAMA!H151)</f>
        <v/>
      </c>
      <c r="H152" s="128" t="str">
        <f>IF(CRONOGRAMA!I151="", "",CRONOGRAMA!I151)</f>
        <v/>
      </c>
      <c r="I152" s="84">
        <f t="shared" si="500"/>
        <v>0</v>
      </c>
      <c r="J152" s="160" t="str">
        <f>IF($P$6="Indique Fecha Seguimiento","",IF(CRONOGRAMA!$E151="No Aplica","NA",IF($G152="","",IF(YEAR($G152)&lt;YEAR($P$6)," A ",IF(YEAR($G152)=YEAR($P$6),IF(MONTH($G152)&lt;=4," A ","NA"),IF(YEAR($G152)&gt;YEAR($P$6),"NA"))))))</f>
        <v>NA</v>
      </c>
      <c r="K152" s="400"/>
      <c r="L152" s="402"/>
      <c r="M152" s="400"/>
      <c r="N152" s="348" t="str">
        <f t="shared" si="501"/>
        <v/>
      </c>
      <c r="O152" s="349"/>
      <c r="P152" s="44"/>
      <c r="Q152" s="84" t="str">
        <f t="shared" si="502"/>
        <v/>
      </c>
      <c r="R152" s="84" t="str">
        <f t="shared" si="503"/>
        <v/>
      </c>
      <c r="S152" s="84">
        <f t="shared" si="318"/>
        <v>0</v>
      </c>
      <c r="T152" s="160" t="str">
        <f>IF($Z$6="Indique Fecha Seguimiento","",IF(CRONOGRAMA!$E151="No Aplica","NA",IF($G152="","",IF(YEAR($G152)&lt;YEAR($Z$6)," A ",IF(YEAR($G152)=YEAR($Z$6),IF(MONTH($G152)&lt;=8," A ","NA"),IF(YEAR($G152)&gt;YEAR($Z$6),"NA"))))))</f>
        <v>NA</v>
      </c>
      <c r="U152" s="350"/>
      <c r="V152" s="44"/>
      <c r="W152" s="351"/>
      <c r="X152" s="348" t="str">
        <f t="shared" si="504"/>
        <v/>
      </c>
      <c r="Y152" s="349"/>
      <c r="Z152" s="44"/>
      <c r="AA152" s="84" t="str">
        <f t="shared" si="505"/>
        <v/>
      </c>
      <c r="AB152" s="84" t="str">
        <f t="shared" si="506"/>
        <v/>
      </c>
      <c r="AC152" s="84">
        <f t="shared" si="322"/>
        <v>0</v>
      </c>
      <c r="AD152" s="160" t="str">
        <f>IF($AJ$6="Indique Fecha Seguimiento","",IF(CRONOGRAMA!$E151="No Aplica","NA",IF($G152="","",IF(YEAR($G152)&lt;YEAR($AJ$6)," A ",IF(YEAR($G152)=YEAR($AJ$6),IF(MONTH($G152)&lt;=12," A ","NA"),IF(YEAR($G152)&gt;YEAR($AJ$6),"NA"))))))</f>
        <v>NA</v>
      </c>
      <c r="AE152" s="350"/>
      <c r="AF152" s="44"/>
      <c r="AG152" s="351"/>
      <c r="AH152" s="348" t="str">
        <f t="shared" si="507"/>
        <v/>
      </c>
      <c r="AI152" s="349"/>
      <c r="AJ152" s="44"/>
      <c r="AK152" s="81" t="str">
        <f t="shared" si="508"/>
        <v/>
      </c>
      <c r="AL152" s="84" t="str">
        <f t="shared" si="509"/>
        <v/>
      </c>
      <c r="AM152" s="84">
        <f t="shared" si="326"/>
        <v>0</v>
      </c>
      <c r="AN152" s="579">
        <f t="shared" ref="AN152" si="518">SUM(I152:I154)</f>
        <v>0</v>
      </c>
      <c r="AO152" s="580" t="str">
        <f t="shared" ref="AO152" si="519">IF(AND(Q152="",Q153="",Q154=""),"",SUM(Q152:Q154))</f>
        <v/>
      </c>
      <c r="AP152" s="581" t="str">
        <f t="shared" ref="AP152" si="520">IF(AND(AA152="",AA153="",AA154=""),"",SUM(AA152:AA154))</f>
        <v/>
      </c>
      <c r="AQ152" s="581" t="str">
        <f t="shared" ref="AQ152" si="521">IF(AND(AK152="",AK153="",AK154=""),"",SUM(AK152:AK154))</f>
        <v/>
      </c>
      <c r="AR152" s="582" t="str">
        <f t="shared" si="331"/>
        <v>NA</v>
      </c>
      <c r="AS152" s="582" t="str">
        <f t="shared" si="332"/>
        <v>NA</v>
      </c>
      <c r="AT152" s="582" t="str">
        <f t="shared" ref="AT152" si="522">IF(AS152&gt;=AR152,AS152,AR152)</f>
        <v>NA</v>
      </c>
      <c r="AU152" s="572" t="str">
        <f t="shared" si="334"/>
        <v>NA</v>
      </c>
      <c r="AV152" s="573" t="str">
        <f t="shared" ref="AV152" si="523">IF($AU$6=1,AR152,IF($AU$6=2,AS152,IF($AU$6=3,AU152,"")))</f>
        <v>NA</v>
      </c>
      <c r="AW152" s="574" t="str">
        <f t="shared" ref="AW152" si="524">AV152</f>
        <v>NA</v>
      </c>
      <c r="AX152">
        <f t="shared" si="517"/>
        <v>0</v>
      </c>
    </row>
    <row r="153" spans="1:50" ht="15.75" x14ac:dyDescent="0.25">
      <c r="A153" s="576"/>
      <c r="B153" s="578"/>
      <c r="C153" s="82" t="str">
        <f>IF('CONSOLIDACION DEL MAPA'!P152="","",'CONSOLIDACION DEL MAPA'!P152)</f>
        <v/>
      </c>
      <c r="D153" s="82" t="str">
        <f>CRONOGRAMA!D152</f>
        <v/>
      </c>
      <c r="E153" s="132" t="str">
        <f>IF(CRONOGRAMA!F152="", "",CRONOGRAMA!F152)</f>
        <v/>
      </c>
      <c r="F153" s="132" t="str">
        <f>IF(CRONOGRAMA!G152="", "",CRONOGRAMA!G152)</f>
        <v/>
      </c>
      <c r="G153" s="128" t="str">
        <f>IF(CRONOGRAMA!H152="", "",CRONOGRAMA!H152)</f>
        <v/>
      </c>
      <c r="H153" s="128" t="str">
        <f>IF(CRONOGRAMA!I152="", "",CRONOGRAMA!I152)</f>
        <v/>
      </c>
      <c r="I153" s="84">
        <f t="shared" si="500"/>
        <v>0</v>
      </c>
      <c r="J153" s="160" t="str">
        <f>IF($P$6="Indique Fecha Seguimiento","",IF(CRONOGRAMA!$E152="No Aplica","NA",IF($G153="","",IF(YEAR($G153)&lt;YEAR($P$6)," A ",IF(YEAR($G153)=YEAR($P$6),IF(MONTH($G153)&lt;=4," A ","NA"),IF(YEAR($G153)&gt;YEAR($P$6),"NA"))))))</f>
        <v/>
      </c>
      <c r="K153" s="400"/>
      <c r="L153" s="402"/>
      <c r="M153" s="400"/>
      <c r="N153" s="348" t="str">
        <f t="shared" si="501"/>
        <v/>
      </c>
      <c r="O153" s="349"/>
      <c r="P153" s="44"/>
      <c r="Q153" s="84" t="str">
        <f t="shared" si="502"/>
        <v/>
      </c>
      <c r="R153" s="84" t="str">
        <f t="shared" si="503"/>
        <v/>
      </c>
      <c r="S153" s="84">
        <f t="shared" si="318"/>
        <v>0</v>
      </c>
      <c r="T153" s="160" t="str">
        <f>IF($Z$6="Indique Fecha Seguimiento","",IF(CRONOGRAMA!$E152="No Aplica","NA",IF($G153="","",IF(YEAR($G153)&lt;YEAR($Z$6)," A ",IF(YEAR($G153)=YEAR($Z$6),IF(MONTH($G153)&lt;=8," A ","NA"),IF(YEAR($G153)&gt;YEAR($Z$6),"NA"))))))</f>
        <v/>
      </c>
      <c r="U153" s="350"/>
      <c r="V153" s="44"/>
      <c r="W153" s="351"/>
      <c r="X153" s="348" t="str">
        <f t="shared" si="504"/>
        <v/>
      </c>
      <c r="Y153" s="349"/>
      <c r="Z153" s="44"/>
      <c r="AA153" s="84" t="str">
        <f t="shared" si="505"/>
        <v/>
      </c>
      <c r="AB153" s="84" t="str">
        <f t="shared" si="506"/>
        <v/>
      </c>
      <c r="AC153" s="84">
        <f t="shared" si="322"/>
        <v>0</v>
      </c>
      <c r="AD153" s="160" t="str">
        <f>IF($AJ$6="Indique Fecha Seguimiento","",IF(CRONOGRAMA!$E152="No Aplica","NA",IF($G153="","",IF(YEAR($G153)&lt;YEAR($AJ$6)," A ",IF(YEAR($G153)=YEAR($AJ$6),IF(MONTH($G153)&lt;=12," A ","NA"),IF(YEAR($G153)&gt;YEAR($AJ$6),"NA"))))))</f>
        <v/>
      </c>
      <c r="AE153" s="350"/>
      <c r="AF153" s="44"/>
      <c r="AG153" s="351"/>
      <c r="AH153" s="348" t="str">
        <f t="shared" si="507"/>
        <v/>
      </c>
      <c r="AI153" s="349"/>
      <c r="AJ153" s="44"/>
      <c r="AK153" s="81" t="str">
        <f t="shared" si="508"/>
        <v/>
      </c>
      <c r="AL153" s="84" t="str">
        <f t="shared" si="509"/>
        <v/>
      </c>
      <c r="AM153" s="84">
        <f t="shared" si="326"/>
        <v>0</v>
      </c>
      <c r="AN153" s="579"/>
      <c r="AO153" s="580"/>
      <c r="AP153" s="581"/>
      <c r="AQ153" s="581"/>
      <c r="AR153" s="582"/>
      <c r="AS153" s="582"/>
      <c r="AT153" s="582"/>
      <c r="AU153" s="572"/>
      <c r="AV153" s="573"/>
      <c r="AW153" s="574"/>
      <c r="AX153">
        <f t="shared" si="517"/>
        <v>0</v>
      </c>
    </row>
    <row r="154" spans="1:50" ht="16.5" thickBot="1" x14ac:dyDescent="0.3">
      <c r="A154" s="577"/>
      <c r="B154" s="578"/>
      <c r="C154" s="82" t="str">
        <f>IF('CONSOLIDACION DEL MAPA'!P153="","",'CONSOLIDACION DEL MAPA'!P153)</f>
        <v/>
      </c>
      <c r="D154" s="82" t="str">
        <f>CRONOGRAMA!D153</f>
        <v/>
      </c>
      <c r="E154" s="132" t="str">
        <f>IF(CRONOGRAMA!F153="", "",CRONOGRAMA!F153)</f>
        <v/>
      </c>
      <c r="F154" s="132" t="str">
        <f>IF(CRONOGRAMA!G153="", "",CRONOGRAMA!G153)</f>
        <v/>
      </c>
      <c r="G154" s="128" t="str">
        <f>IF(CRONOGRAMA!H153="", "",CRONOGRAMA!H153)</f>
        <v/>
      </c>
      <c r="H154" s="128" t="str">
        <f>IF(CRONOGRAMA!I153="", "",CRONOGRAMA!I153)</f>
        <v/>
      </c>
      <c r="I154" s="84">
        <f t="shared" si="500"/>
        <v>0</v>
      </c>
      <c r="J154" s="160" t="str">
        <f>IF($P$6="Indique Fecha Seguimiento","",IF(CRONOGRAMA!$E153="No Aplica","NA",IF($G154="","",IF(YEAR($G154)&lt;YEAR($P$6)," A ",IF(YEAR($G154)=YEAR($P$6),IF(MONTH($G154)&lt;=4," A ","NA"),IF(YEAR($G154)&gt;YEAR($P$6),"NA"))))))</f>
        <v/>
      </c>
      <c r="K154" s="400"/>
      <c r="L154" s="402"/>
      <c r="M154" s="400"/>
      <c r="N154" s="348" t="str">
        <f t="shared" si="501"/>
        <v/>
      </c>
      <c r="O154" s="349"/>
      <c r="P154" s="44"/>
      <c r="Q154" s="84" t="str">
        <f t="shared" si="502"/>
        <v/>
      </c>
      <c r="R154" s="84" t="str">
        <f t="shared" si="503"/>
        <v/>
      </c>
      <c r="S154" s="84">
        <f t="shared" si="318"/>
        <v>0</v>
      </c>
      <c r="T154" s="160" t="str">
        <f>IF($Z$6="Indique Fecha Seguimiento","",IF(CRONOGRAMA!$E153="No Aplica","NA",IF($G154="","",IF(YEAR($G154)&lt;YEAR($Z$6)," A ",IF(YEAR($G154)=YEAR($Z$6),IF(MONTH($G154)&lt;=8," A ","NA"),IF(YEAR($G154)&gt;YEAR($Z$6),"NA"))))))</f>
        <v/>
      </c>
      <c r="U154" s="350"/>
      <c r="V154" s="44"/>
      <c r="W154" s="351"/>
      <c r="X154" s="348" t="str">
        <f t="shared" si="504"/>
        <v/>
      </c>
      <c r="Y154" s="349"/>
      <c r="Z154" s="44"/>
      <c r="AA154" s="84" t="str">
        <f t="shared" si="505"/>
        <v/>
      </c>
      <c r="AB154" s="84" t="str">
        <f t="shared" si="506"/>
        <v/>
      </c>
      <c r="AC154" s="84">
        <f t="shared" si="322"/>
        <v>0</v>
      </c>
      <c r="AD154" s="160" t="str">
        <f>IF($AJ$6="Indique Fecha Seguimiento","",IF(CRONOGRAMA!$E153="No Aplica","NA",IF($G154="","",IF(YEAR($G154)&lt;YEAR($AJ$6)," A ",IF(YEAR($G154)=YEAR($AJ$6),IF(MONTH($G154)&lt;=12," A ","NA"),IF(YEAR($G154)&gt;YEAR($AJ$6),"NA"))))))</f>
        <v/>
      </c>
      <c r="AE154" s="350"/>
      <c r="AF154" s="44"/>
      <c r="AG154" s="351"/>
      <c r="AH154" s="348" t="str">
        <f t="shared" si="507"/>
        <v/>
      </c>
      <c r="AI154" s="349"/>
      <c r="AJ154" s="44"/>
      <c r="AK154" s="81" t="str">
        <f t="shared" si="508"/>
        <v/>
      </c>
      <c r="AL154" s="84" t="str">
        <f t="shared" si="509"/>
        <v/>
      </c>
      <c r="AM154" s="84">
        <f t="shared" si="326"/>
        <v>0</v>
      </c>
      <c r="AN154" s="579"/>
      <c r="AO154" s="580"/>
      <c r="AP154" s="581"/>
      <c r="AQ154" s="581"/>
      <c r="AR154" s="582"/>
      <c r="AS154" s="582"/>
      <c r="AT154" s="582"/>
      <c r="AU154" s="572"/>
      <c r="AV154" s="573"/>
      <c r="AW154" s="574"/>
      <c r="AX154">
        <f t="shared" si="517"/>
        <v>0</v>
      </c>
    </row>
    <row r="155" spans="1:50" ht="51.75" customHeight="1" thickTop="1" x14ac:dyDescent="0.25">
      <c r="A155" s="575" t="str">
        <f>CRONOGRAMA!A154</f>
        <v>21C</v>
      </c>
      <c r="B155" s="578" t="str">
        <f>CRONOGRAMA!B154</f>
        <v xml:space="preserve">Gestión Financiera. Pago de obligaciones sin el lleno de requisitos. </v>
      </c>
      <c r="C155" s="82" t="str">
        <f>IF('CONSOLIDACION DEL MAPA'!P154="","",'CONSOLIDACION DEL MAPA'!P154)</f>
        <v>Reducir</v>
      </c>
      <c r="D155" s="82" t="str">
        <f>CRONOGRAMA!D154</f>
        <v>Verificación de los requisitos legales, contables, tributarios y administrativos</v>
      </c>
      <c r="E155" s="132" t="str">
        <f>IF(CRONOGRAMA!F154="", "",CRONOGRAMA!F154)</f>
        <v>Ordenes de Pago con los respectivos soportes</v>
      </c>
      <c r="F155" s="132">
        <f>IF(CRONOGRAMA!G154="", "",CRONOGRAMA!G154)</f>
        <v>1</v>
      </c>
      <c r="G155" s="128">
        <f>IF(CRONOGRAMA!H154="", "",CRONOGRAMA!H154)</f>
        <v>42373</v>
      </c>
      <c r="H155" s="128">
        <f>IF(CRONOGRAMA!I154="", "",CRONOGRAMA!I154)</f>
        <v>42735</v>
      </c>
      <c r="I155" s="84">
        <f t="shared" si="500"/>
        <v>51.714285714285715</v>
      </c>
      <c r="J155" s="160" t="str">
        <f>IF($P$6="Indique Fecha Seguimiento","",IF(CRONOGRAMA!$E154="No Aplica","NA",IF($G155="","",IF(YEAR($G155)&lt;YEAR($P$6)," A ",IF(YEAR($G155)=YEAR($P$6),IF(MONTH($G155)&lt;=4," A ","NA"),IF(YEAR($G155)&gt;YEAR($P$6),"NA"))))))</f>
        <v xml:space="preserve"> A </v>
      </c>
      <c r="K155" s="400">
        <v>0.25</v>
      </c>
      <c r="L155" s="402" t="s">
        <v>906</v>
      </c>
      <c r="M155" s="400">
        <v>0.25</v>
      </c>
      <c r="N155" s="348">
        <f t="shared" si="501"/>
        <v>0.25</v>
      </c>
      <c r="O155" s="349" t="s">
        <v>353</v>
      </c>
      <c r="P155" s="44"/>
      <c r="Q155" s="84">
        <f t="shared" si="502"/>
        <v>12.928571428571429</v>
      </c>
      <c r="R155" s="84">
        <f t="shared" si="503"/>
        <v>12.928571428571429</v>
      </c>
      <c r="S155" s="84">
        <f t="shared" si="318"/>
        <v>51.714285714285715</v>
      </c>
      <c r="T155" s="160" t="str">
        <f>IF($Z$6="Indique Fecha Seguimiento","",IF(CRONOGRAMA!$E154="No Aplica","NA",IF($G155="","",IF(YEAR($G155)&lt;YEAR($Z$6)," A ",IF(YEAR($G155)=YEAR($Z$6),IF(MONTH($G155)&lt;=8," A ","NA"),IF(YEAR($G155)&gt;YEAR($Z$6),"NA"))))))</f>
        <v xml:space="preserve"> A </v>
      </c>
      <c r="U155" s="413">
        <v>0.6</v>
      </c>
      <c r="V155" s="44" t="s">
        <v>906</v>
      </c>
      <c r="W155" s="351">
        <v>0.6</v>
      </c>
      <c r="X155" s="348">
        <f t="shared" si="504"/>
        <v>0.6</v>
      </c>
      <c r="Y155" s="349" t="s">
        <v>353</v>
      </c>
      <c r="Z155" s="44" t="s">
        <v>941</v>
      </c>
      <c r="AA155" s="84">
        <f t="shared" si="505"/>
        <v>31.028571428571428</v>
      </c>
      <c r="AB155" s="84">
        <f t="shared" si="506"/>
        <v>31.028571428571428</v>
      </c>
      <c r="AC155" s="84">
        <f t="shared" si="322"/>
        <v>51.714285714285715</v>
      </c>
      <c r="AD155" s="160" t="str">
        <f>IF($AJ$6="Indique Fecha Seguimiento","",IF(CRONOGRAMA!$E154="No Aplica","NA",IF($G155="","",IF(YEAR($G155)&lt;YEAR($AJ$6)," A ",IF(YEAR($G155)=YEAR($AJ$6),IF(MONTH($G155)&lt;=12," A ","NA"),IF(YEAR($G155)&gt;YEAR($AJ$6),"NA"))))))</f>
        <v xml:space="preserve"> A </v>
      </c>
      <c r="AE155" s="413">
        <v>1</v>
      </c>
      <c r="AF155" s="44" t="s">
        <v>1006</v>
      </c>
      <c r="AG155" s="351">
        <v>1</v>
      </c>
      <c r="AH155" s="348">
        <f t="shared" si="507"/>
        <v>1</v>
      </c>
      <c r="AI155" s="349" t="s">
        <v>11</v>
      </c>
      <c r="AJ155" s="44" t="s">
        <v>993</v>
      </c>
      <c r="AK155" s="81">
        <f t="shared" si="508"/>
        <v>51.714285714285715</v>
      </c>
      <c r="AL155" s="84">
        <f t="shared" si="509"/>
        <v>51.714285714285715</v>
      </c>
      <c r="AM155" s="84">
        <f t="shared" si="326"/>
        <v>51.714285714285715</v>
      </c>
      <c r="AN155" s="579">
        <f t="shared" ref="AN155" si="525">SUM(I155:I157)</f>
        <v>51.714285714285715</v>
      </c>
      <c r="AO155" s="580">
        <f t="shared" ref="AO155" si="526">IF(AND(Q155="",Q156="",Q157=""),"",SUM(Q155:Q157))</f>
        <v>12.928571428571429</v>
      </c>
      <c r="AP155" s="581">
        <f t="shared" ref="AP155" si="527">IF(AND(AA155="",AA156="",AA157=""),"",SUM(AA155:AA157))</f>
        <v>31.028571428571428</v>
      </c>
      <c r="AQ155" s="581">
        <f t="shared" ref="AQ155" si="528">IF(AND(AK155="",AK156="",AK157=""),"",SUM(AK155:AK157))</f>
        <v>51.714285714285715</v>
      </c>
      <c r="AR155" s="582">
        <f t="shared" si="331"/>
        <v>0.25</v>
      </c>
      <c r="AS155" s="582">
        <f t="shared" si="332"/>
        <v>0.6</v>
      </c>
      <c r="AT155" s="582">
        <f t="shared" ref="AT155" si="529">IF(AS155&gt;=AR155,AS155,AR155)</f>
        <v>0.6</v>
      </c>
      <c r="AU155" s="572">
        <f t="shared" si="334"/>
        <v>1</v>
      </c>
      <c r="AV155" s="573">
        <f t="shared" ref="AV155" si="530">IF($AU$6=1,AR155,IF($AU$6=2,AS155,IF($AU$6=3,AU155,"")))</f>
        <v>1</v>
      </c>
      <c r="AW155" s="574">
        <f t="shared" ref="AW155" si="531">AV155</f>
        <v>1</v>
      </c>
      <c r="AX155" t="str">
        <f t="shared" si="517"/>
        <v>Actividades informadas</v>
      </c>
    </row>
    <row r="156" spans="1:50" ht="15.75" x14ac:dyDescent="0.25">
      <c r="A156" s="576"/>
      <c r="B156" s="578"/>
      <c r="C156" s="82" t="str">
        <f>IF('CONSOLIDACION DEL MAPA'!P155="","",'CONSOLIDACION DEL MAPA'!P155)</f>
        <v/>
      </c>
      <c r="D156" s="82" t="str">
        <f>CRONOGRAMA!D155</f>
        <v/>
      </c>
      <c r="E156" s="132" t="str">
        <f>IF(CRONOGRAMA!F155="", "",CRONOGRAMA!F155)</f>
        <v/>
      </c>
      <c r="F156" s="132" t="str">
        <f>IF(CRONOGRAMA!G155="", "",CRONOGRAMA!G155)</f>
        <v/>
      </c>
      <c r="G156" s="128" t="str">
        <f>IF(CRONOGRAMA!H155="", "",CRONOGRAMA!H155)</f>
        <v/>
      </c>
      <c r="H156" s="128" t="str">
        <f>IF(CRONOGRAMA!I155="", "",CRONOGRAMA!I155)</f>
        <v/>
      </c>
      <c r="I156" s="84">
        <f t="shared" si="500"/>
        <v>0</v>
      </c>
      <c r="J156" s="160" t="str">
        <f>IF($P$6="Indique Fecha Seguimiento","",IF(CRONOGRAMA!$E155="No Aplica","NA",IF($G156="","",IF(YEAR($G156)&lt;YEAR($P$6)," A ",IF(YEAR($G156)=YEAR($P$6),IF(MONTH($G156)&lt;=4," A ","NA"),IF(YEAR($G156)&gt;YEAR($P$6),"NA"))))))</f>
        <v/>
      </c>
      <c r="K156" s="400"/>
      <c r="L156" s="402"/>
      <c r="M156" s="400"/>
      <c r="N156" s="348" t="str">
        <f t="shared" si="501"/>
        <v/>
      </c>
      <c r="O156" s="349"/>
      <c r="P156" s="44"/>
      <c r="Q156" s="84" t="str">
        <f t="shared" si="502"/>
        <v/>
      </c>
      <c r="R156" s="84" t="str">
        <f t="shared" si="503"/>
        <v/>
      </c>
      <c r="S156" s="84">
        <f t="shared" si="318"/>
        <v>0</v>
      </c>
      <c r="T156" s="160" t="str">
        <f>IF($Z$6="Indique Fecha Seguimiento","",IF(CRONOGRAMA!$E155="No Aplica","NA",IF($G156="","",IF(YEAR($G156)&lt;YEAR($Z$6)," A ",IF(YEAR($G156)=YEAR($Z$6),IF(MONTH($G156)&lt;=8," A ","NA"),IF(YEAR($G156)&gt;YEAR($Z$6),"NA"))))))</f>
        <v/>
      </c>
      <c r="U156" s="350"/>
      <c r="V156" s="44"/>
      <c r="W156" s="351"/>
      <c r="X156" s="348" t="str">
        <f t="shared" si="504"/>
        <v/>
      </c>
      <c r="Y156" s="349"/>
      <c r="Z156" s="44"/>
      <c r="AA156" s="84" t="str">
        <f t="shared" si="505"/>
        <v/>
      </c>
      <c r="AB156" s="84" t="str">
        <f t="shared" si="506"/>
        <v/>
      </c>
      <c r="AC156" s="84">
        <f t="shared" si="322"/>
        <v>0</v>
      </c>
      <c r="AD156" s="160" t="str">
        <f>IF($AJ$6="Indique Fecha Seguimiento","",IF(CRONOGRAMA!$E155="No Aplica","NA",IF($G156="","",IF(YEAR($G156)&lt;YEAR($AJ$6)," A ",IF(YEAR($G156)=YEAR($AJ$6),IF(MONTH($G156)&lt;=12," A ","NA"),IF(YEAR($G156)&gt;YEAR($AJ$6),"NA"))))))</f>
        <v/>
      </c>
      <c r="AE156" s="350"/>
      <c r="AF156" s="44"/>
      <c r="AG156" s="351"/>
      <c r="AH156" s="348" t="str">
        <f t="shared" si="507"/>
        <v/>
      </c>
      <c r="AI156" s="349"/>
      <c r="AJ156" s="44"/>
      <c r="AK156" s="81" t="str">
        <f t="shared" si="508"/>
        <v/>
      </c>
      <c r="AL156" s="84" t="str">
        <f t="shared" si="509"/>
        <v/>
      </c>
      <c r="AM156" s="84">
        <f t="shared" si="326"/>
        <v>0</v>
      </c>
      <c r="AN156" s="579"/>
      <c r="AO156" s="580"/>
      <c r="AP156" s="581"/>
      <c r="AQ156" s="581"/>
      <c r="AR156" s="582"/>
      <c r="AS156" s="582"/>
      <c r="AT156" s="582"/>
      <c r="AU156" s="572"/>
      <c r="AV156" s="573"/>
      <c r="AW156" s="574"/>
      <c r="AX156">
        <f t="shared" si="517"/>
        <v>0</v>
      </c>
    </row>
    <row r="157" spans="1:50" ht="16.5" thickBot="1" x14ac:dyDescent="0.3">
      <c r="A157" s="577"/>
      <c r="B157" s="578"/>
      <c r="C157" s="82" t="str">
        <f>IF('CONSOLIDACION DEL MAPA'!P156="","",'CONSOLIDACION DEL MAPA'!P156)</f>
        <v/>
      </c>
      <c r="D157" s="82" t="str">
        <f>CRONOGRAMA!D156</f>
        <v/>
      </c>
      <c r="E157" s="132" t="str">
        <f>IF(CRONOGRAMA!F156="", "",CRONOGRAMA!F156)</f>
        <v/>
      </c>
      <c r="F157" s="132" t="str">
        <f>IF(CRONOGRAMA!G156="", "",CRONOGRAMA!G156)</f>
        <v/>
      </c>
      <c r="G157" s="128" t="str">
        <f>IF(CRONOGRAMA!H156="", "",CRONOGRAMA!H156)</f>
        <v/>
      </c>
      <c r="H157" s="128" t="str">
        <f>IF(CRONOGRAMA!I156="", "",CRONOGRAMA!I156)</f>
        <v/>
      </c>
      <c r="I157" s="84">
        <f t="shared" si="500"/>
        <v>0</v>
      </c>
      <c r="J157" s="160" t="str">
        <f>IF($P$6="Indique Fecha Seguimiento","",IF(CRONOGRAMA!$E156="No Aplica","NA",IF($G157="","",IF(YEAR($G157)&lt;YEAR($P$6)," A ",IF(YEAR($G157)=YEAR($P$6),IF(MONTH($G157)&lt;=4," A ","NA"),IF(YEAR($G157)&gt;YEAR($P$6),"NA"))))))</f>
        <v/>
      </c>
      <c r="K157" s="400"/>
      <c r="L157" s="402"/>
      <c r="M157" s="400"/>
      <c r="N157" s="348" t="str">
        <f t="shared" si="501"/>
        <v/>
      </c>
      <c r="O157" s="349"/>
      <c r="P157" s="44"/>
      <c r="Q157" s="84" t="str">
        <f t="shared" si="502"/>
        <v/>
      </c>
      <c r="R157" s="84" t="str">
        <f t="shared" si="503"/>
        <v/>
      </c>
      <c r="S157" s="84">
        <f t="shared" si="318"/>
        <v>0</v>
      </c>
      <c r="T157" s="160" t="str">
        <f>IF($Z$6="Indique Fecha Seguimiento","",IF(CRONOGRAMA!$E156="No Aplica","NA",IF($G157="","",IF(YEAR($G157)&lt;YEAR($Z$6)," A ",IF(YEAR($G157)=YEAR($Z$6),IF(MONTH($G157)&lt;=8," A ","NA"),IF(YEAR($G157)&gt;YEAR($Z$6),"NA"))))))</f>
        <v/>
      </c>
      <c r="U157" s="350"/>
      <c r="V157" s="44"/>
      <c r="W157" s="351"/>
      <c r="X157" s="348" t="str">
        <f t="shared" si="504"/>
        <v/>
      </c>
      <c r="Y157" s="349"/>
      <c r="Z157" s="44"/>
      <c r="AA157" s="84" t="str">
        <f t="shared" si="505"/>
        <v/>
      </c>
      <c r="AB157" s="84" t="str">
        <f t="shared" si="506"/>
        <v/>
      </c>
      <c r="AC157" s="84">
        <f t="shared" si="322"/>
        <v>0</v>
      </c>
      <c r="AD157" s="160" t="str">
        <f>IF($AJ$6="Indique Fecha Seguimiento","",IF(CRONOGRAMA!$E156="No Aplica","NA",IF($G157="","",IF(YEAR($G157)&lt;YEAR($AJ$6)," A ",IF(YEAR($G157)=YEAR($AJ$6),IF(MONTH($G157)&lt;=12," A ","NA"),IF(YEAR($G157)&gt;YEAR($AJ$6),"NA"))))))</f>
        <v/>
      </c>
      <c r="AE157" s="350"/>
      <c r="AF157" s="44"/>
      <c r="AG157" s="351"/>
      <c r="AH157" s="348" t="str">
        <f t="shared" si="507"/>
        <v/>
      </c>
      <c r="AI157" s="349"/>
      <c r="AJ157" s="44"/>
      <c r="AK157" s="81" t="str">
        <f t="shared" si="508"/>
        <v/>
      </c>
      <c r="AL157" s="84" t="str">
        <f t="shared" si="509"/>
        <v/>
      </c>
      <c r="AM157" s="84">
        <f t="shared" si="326"/>
        <v>0</v>
      </c>
      <c r="AN157" s="579"/>
      <c r="AO157" s="580"/>
      <c r="AP157" s="581"/>
      <c r="AQ157" s="581"/>
      <c r="AR157" s="582"/>
      <c r="AS157" s="582"/>
      <c r="AT157" s="582"/>
      <c r="AU157" s="572"/>
      <c r="AV157" s="573"/>
      <c r="AW157" s="574"/>
      <c r="AX157">
        <f t="shared" si="517"/>
        <v>0</v>
      </c>
    </row>
    <row r="158" spans="1:50" ht="95.25" thickTop="1" x14ac:dyDescent="0.25">
      <c r="A158" s="575" t="str">
        <f>CRONOGRAMA!A157</f>
        <v>22C</v>
      </c>
      <c r="B158" s="578" t="str">
        <f>CRONOGRAMA!B157</f>
        <v>Gestión Financiera. Perdida de titulos valores</v>
      </c>
      <c r="C158" s="82" t="str">
        <f>IF('CONSOLIDACION DEL MAPA'!P157="","",'CONSOLIDACION DEL MAPA'!P157)</f>
        <v>Evitar</v>
      </c>
      <c r="D158" s="82" t="str">
        <f>CRONOGRAMA!D157</f>
        <v>Verificar los títulos valores custodiados.</v>
      </c>
      <c r="E158" s="132" t="str">
        <f>IF(CRONOGRAMA!F157="", "",CRONOGRAMA!F157)</f>
        <v>Arqueo Titulos valores de la caja fuerte</v>
      </c>
      <c r="F158" s="132">
        <f>IF(CRONOGRAMA!G157="", "",CRONOGRAMA!G157)</f>
        <v>4</v>
      </c>
      <c r="G158" s="128">
        <f>IF(CRONOGRAMA!H157="", "",CRONOGRAMA!H157)</f>
        <v>42373</v>
      </c>
      <c r="H158" s="128">
        <f>IF(CRONOGRAMA!I157="", "",CRONOGRAMA!I157)</f>
        <v>42735</v>
      </c>
      <c r="I158" s="84">
        <f t="shared" si="500"/>
        <v>51.714285714285715</v>
      </c>
      <c r="J158" s="160" t="str">
        <f>IF($P$6="Indique Fecha Seguimiento","",IF(CRONOGRAMA!$E157="No Aplica","NA",IF($G158="","",IF(YEAR($G158)&lt;YEAR($P$6)," A ",IF(YEAR($G158)=YEAR($P$6),IF(MONTH($G158)&lt;=4," A ","NA"),IF(YEAR($G158)&gt;YEAR($P$6),"NA"))))))</f>
        <v xml:space="preserve"> A </v>
      </c>
      <c r="K158" s="400">
        <v>0.25</v>
      </c>
      <c r="L158" s="402" t="s">
        <v>907</v>
      </c>
      <c r="M158" s="400">
        <v>1</v>
      </c>
      <c r="N158" s="348">
        <f t="shared" si="501"/>
        <v>0.25</v>
      </c>
      <c r="O158" s="349" t="s">
        <v>353</v>
      </c>
      <c r="P158" s="44"/>
      <c r="Q158" s="84">
        <f t="shared" si="502"/>
        <v>12.928571428571429</v>
      </c>
      <c r="R158" s="84">
        <f t="shared" si="503"/>
        <v>12.928571428571429</v>
      </c>
      <c r="S158" s="84">
        <f t="shared" si="318"/>
        <v>51.714285714285715</v>
      </c>
      <c r="T158" s="160" t="str">
        <f>IF($Z$6="Indique Fecha Seguimiento","",IF(CRONOGRAMA!$E157="No Aplica","NA",IF($G158="","",IF(YEAR($G158)&lt;YEAR($Z$6)," A ",IF(YEAR($G158)=YEAR($Z$6),IF(MONTH($G158)&lt;=8," A ","NA"),IF(YEAR($G158)&gt;YEAR($Z$6),"NA"))))))</f>
        <v xml:space="preserve"> A </v>
      </c>
      <c r="U158" s="413">
        <v>0.6</v>
      </c>
      <c r="V158" s="44" t="s">
        <v>907</v>
      </c>
      <c r="W158" s="351">
        <v>2.4</v>
      </c>
      <c r="X158" s="348">
        <f t="shared" si="504"/>
        <v>0.6</v>
      </c>
      <c r="Y158" s="349" t="s">
        <v>353</v>
      </c>
      <c r="Z158" s="44" t="s">
        <v>942</v>
      </c>
      <c r="AA158" s="84">
        <f t="shared" si="505"/>
        <v>31.028571428571428</v>
      </c>
      <c r="AB158" s="84">
        <f t="shared" si="506"/>
        <v>31.028571428571428</v>
      </c>
      <c r="AC158" s="84">
        <f t="shared" si="322"/>
        <v>51.714285714285715</v>
      </c>
      <c r="AD158" s="160" t="str">
        <f>IF($AJ$6="Indique Fecha Seguimiento","",IF(CRONOGRAMA!$E157="No Aplica","NA",IF($G158="","",IF(YEAR($G158)&lt;YEAR($AJ$6)," A ",IF(YEAR($G158)=YEAR($AJ$6),IF(MONTH($G158)&lt;=12," A ","NA"),IF(YEAR($G158)&gt;YEAR($AJ$6),"NA"))))))</f>
        <v xml:space="preserve"> A </v>
      </c>
      <c r="AE158" s="413">
        <v>1</v>
      </c>
      <c r="AF158" s="44" t="s">
        <v>907</v>
      </c>
      <c r="AG158" s="351">
        <v>4</v>
      </c>
      <c r="AH158" s="348">
        <f t="shared" si="507"/>
        <v>1</v>
      </c>
      <c r="AI158" s="349" t="s">
        <v>11</v>
      </c>
      <c r="AJ158" s="44" t="s">
        <v>993</v>
      </c>
      <c r="AK158" s="81">
        <f t="shared" si="508"/>
        <v>51.714285714285715</v>
      </c>
      <c r="AL158" s="84">
        <f t="shared" si="509"/>
        <v>51.714285714285715</v>
      </c>
      <c r="AM158" s="84">
        <f t="shared" si="326"/>
        <v>51.714285714285715</v>
      </c>
      <c r="AN158" s="579">
        <f t="shared" ref="AN158" si="532">SUM(I158:I160)</f>
        <v>51.714285714285715</v>
      </c>
      <c r="AO158" s="580">
        <f t="shared" ref="AO158" si="533">IF(AND(Q158="",Q159="",Q160=""),"",SUM(Q158:Q160))</f>
        <v>12.928571428571429</v>
      </c>
      <c r="AP158" s="581">
        <f t="shared" ref="AP158" si="534">IF(AND(AA158="",AA159="",AA160=""),"",SUM(AA158:AA160))</f>
        <v>31.028571428571428</v>
      </c>
      <c r="AQ158" s="581">
        <f t="shared" ref="AQ158" si="535">IF(AND(AK158="",AK159="",AK160=""),"",SUM(AK158:AK160))</f>
        <v>51.714285714285715</v>
      </c>
      <c r="AR158" s="582">
        <f t="shared" si="331"/>
        <v>0.25</v>
      </c>
      <c r="AS158" s="582">
        <f t="shared" si="332"/>
        <v>0.6</v>
      </c>
      <c r="AT158" s="582">
        <f t="shared" ref="AT158" si="536">IF(AS158&gt;=AR158,AS158,AR158)</f>
        <v>0.6</v>
      </c>
      <c r="AU158" s="572">
        <f t="shared" si="334"/>
        <v>1</v>
      </c>
      <c r="AV158" s="573">
        <f t="shared" ref="AV158" si="537">IF($AU$6=1,AR158,IF($AU$6=2,AS158,IF($AU$6=3,AU158,"")))</f>
        <v>1</v>
      </c>
      <c r="AW158" s="574">
        <f t="shared" ref="AW158" si="538">AV158</f>
        <v>1</v>
      </c>
      <c r="AX158" t="str">
        <f t="shared" si="517"/>
        <v>Actividades informadas</v>
      </c>
    </row>
    <row r="159" spans="1:50" ht="15.75" x14ac:dyDescent="0.25">
      <c r="A159" s="576"/>
      <c r="B159" s="578"/>
      <c r="C159" s="82" t="str">
        <f>IF('CONSOLIDACION DEL MAPA'!P158="","",'CONSOLIDACION DEL MAPA'!P158)</f>
        <v/>
      </c>
      <c r="D159" s="82" t="str">
        <f>CRONOGRAMA!D158</f>
        <v/>
      </c>
      <c r="E159" s="132" t="str">
        <f>IF(CRONOGRAMA!F158="", "",CRONOGRAMA!F158)</f>
        <v/>
      </c>
      <c r="F159" s="132" t="str">
        <f>IF(CRONOGRAMA!G158="", "",CRONOGRAMA!G158)</f>
        <v/>
      </c>
      <c r="G159" s="128" t="str">
        <f>IF(CRONOGRAMA!H158="", "",CRONOGRAMA!H158)</f>
        <v/>
      </c>
      <c r="H159" s="128" t="str">
        <f>IF(CRONOGRAMA!I158="", "",CRONOGRAMA!I158)</f>
        <v/>
      </c>
      <c r="I159" s="84">
        <f t="shared" si="500"/>
        <v>0</v>
      </c>
      <c r="J159" s="160" t="str">
        <f>IF($P$6="Indique Fecha Seguimiento","",IF(CRONOGRAMA!$E158="No Aplica","NA",IF($G159="","",IF(YEAR($G159)&lt;YEAR($P$6)," A ",IF(YEAR($G159)=YEAR($P$6),IF(MONTH($G159)&lt;=4," A ","NA"),IF(YEAR($G159)&gt;YEAR($P$6),"NA"))))))</f>
        <v/>
      </c>
      <c r="K159" s="400"/>
      <c r="L159" s="402"/>
      <c r="M159" s="400"/>
      <c r="N159" s="348" t="str">
        <f t="shared" si="501"/>
        <v/>
      </c>
      <c r="O159" s="349"/>
      <c r="P159" s="44"/>
      <c r="Q159" s="84" t="str">
        <f t="shared" si="502"/>
        <v/>
      </c>
      <c r="R159" s="84" t="str">
        <f t="shared" si="503"/>
        <v/>
      </c>
      <c r="S159" s="84">
        <f t="shared" ref="S159:S196" si="539">$I159</f>
        <v>0</v>
      </c>
      <c r="T159" s="160" t="str">
        <f>IF($Z$6="Indique Fecha Seguimiento","",IF(CRONOGRAMA!$E158="No Aplica","NA",IF($G159="","",IF(YEAR($G159)&lt;YEAR($Z$6)," A ",IF(YEAR($G159)=YEAR($Z$6),IF(MONTH($G159)&lt;=8," A ","NA"),IF(YEAR($G159)&gt;YEAR($Z$6),"NA"))))))</f>
        <v/>
      </c>
      <c r="U159" s="350"/>
      <c r="V159" s="44"/>
      <c r="W159" s="351"/>
      <c r="X159" s="348" t="str">
        <f t="shared" si="504"/>
        <v/>
      </c>
      <c r="Y159" s="349"/>
      <c r="Z159" s="44"/>
      <c r="AA159" s="84" t="str">
        <f t="shared" si="505"/>
        <v/>
      </c>
      <c r="AB159" s="84" t="str">
        <f t="shared" si="506"/>
        <v/>
      </c>
      <c r="AC159" s="84">
        <f t="shared" ref="AC159:AC196" si="540">$I159</f>
        <v>0</v>
      </c>
      <c r="AD159" s="160" t="str">
        <f>IF($AJ$6="Indique Fecha Seguimiento","",IF(CRONOGRAMA!$E158="No Aplica","NA",IF($G159="","",IF(YEAR($G159)&lt;YEAR($AJ$6)," A ",IF(YEAR($G159)=YEAR($AJ$6),IF(MONTH($G159)&lt;=12," A ","NA"),IF(YEAR($G159)&gt;YEAR($AJ$6),"NA"))))))</f>
        <v/>
      </c>
      <c r="AE159" s="350"/>
      <c r="AF159" s="44"/>
      <c r="AG159" s="351"/>
      <c r="AH159" s="348" t="str">
        <f t="shared" si="507"/>
        <v/>
      </c>
      <c r="AI159" s="349"/>
      <c r="AJ159" s="44"/>
      <c r="AK159" s="81" t="str">
        <f t="shared" si="508"/>
        <v/>
      </c>
      <c r="AL159" s="84" t="str">
        <f t="shared" si="509"/>
        <v/>
      </c>
      <c r="AM159" s="84">
        <f t="shared" ref="AM159:AM196" si="541">$I159</f>
        <v>0</v>
      </c>
      <c r="AN159" s="579"/>
      <c r="AO159" s="580"/>
      <c r="AP159" s="581"/>
      <c r="AQ159" s="581"/>
      <c r="AR159" s="582"/>
      <c r="AS159" s="582"/>
      <c r="AT159" s="582"/>
      <c r="AU159" s="572"/>
      <c r="AV159" s="573"/>
      <c r="AW159" s="574"/>
      <c r="AX159">
        <f t="shared" si="517"/>
        <v>0</v>
      </c>
    </row>
    <row r="160" spans="1:50" ht="16.5" thickBot="1" x14ac:dyDescent="0.3">
      <c r="A160" s="577"/>
      <c r="B160" s="578"/>
      <c r="C160" s="82" t="str">
        <f>IF('CONSOLIDACION DEL MAPA'!P159="","",'CONSOLIDACION DEL MAPA'!P159)</f>
        <v/>
      </c>
      <c r="D160" s="82" t="str">
        <f>CRONOGRAMA!D159</f>
        <v/>
      </c>
      <c r="E160" s="132" t="str">
        <f>IF(CRONOGRAMA!F159="", "",CRONOGRAMA!F159)</f>
        <v/>
      </c>
      <c r="F160" s="132" t="str">
        <f>IF(CRONOGRAMA!G159="", "",CRONOGRAMA!G159)</f>
        <v/>
      </c>
      <c r="G160" s="128" t="str">
        <f>IF(CRONOGRAMA!H159="", "",CRONOGRAMA!H159)</f>
        <v/>
      </c>
      <c r="H160" s="128" t="str">
        <f>IF(CRONOGRAMA!I159="", "",CRONOGRAMA!I159)</f>
        <v/>
      </c>
      <c r="I160" s="84">
        <f t="shared" si="500"/>
        <v>0</v>
      </c>
      <c r="J160" s="160" t="str">
        <f>IF($P$6="Indique Fecha Seguimiento","",IF(CRONOGRAMA!$E159="No Aplica","NA",IF($G160="","",IF(YEAR($G160)&lt;YEAR($P$6)," A ",IF(YEAR($G160)=YEAR($P$6),IF(MONTH($G160)&lt;=4," A ","NA"),IF(YEAR($G160)&gt;YEAR($P$6),"NA"))))))</f>
        <v/>
      </c>
      <c r="K160" s="400"/>
      <c r="L160" s="402"/>
      <c r="M160" s="400"/>
      <c r="N160" s="348" t="str">
        <f t="shared" si="501"/>
        <v/>
      </c>
      <c r="O160" s="349"/>
      <c r="P160" s="44"/>
      <c r="Q160" s="84" t="str">
        <f t="shared" si="502"/>
        <v/>
      </c>
      <c r="R160" s="84" t="str">
        <f t="shared" si="503"/>
        <v/>
      </c>
      <c r="S160" s="84">
        <f t="shared" si="539"/>
        <v>0</v>
      </c>
      <c r="T160" s="160" t="str">
        <f>IF($Z$6="Indique Fecha Seguimiento","",IF(CRONOGRAMA!$E159="No Aplica","NA",IF($G160="","",IF(YEAR($G160)&lt;YEAR($Z$6)," A ",IF(YEAR($G160)=YEAR($Z$6),IF(MONTH($G160)&lt;=8," A ","NA"),IF(YEAR($G160)&gt;YEAR($Z$6),"NA"))))))</f>
        <v/>
      </c>
      <c r="U160" s="350"/>
      <c r="V160" s="44"/>
      <c r="W160" s="351"/>
      <c r="X160" s="348" t="str">
        <f t="shared" si="504"/>
        <v/>
      </c>
      <c r="Y160" s="349"/>
      <c r="Z160" s="44"/>
      <c r="AA160" s="84" t="str">
        <f t="shared" si="505"/>
        <v/>
      </c>
      <c r="AB160" s="84" t="str">
        <f t="shared" si="506"/>
        <v/>
      </c>
      <c r="AC160" s="84">
        <f t="shared" si="540"/>
        <v>0</v>
      </c>
      <c r="AD160" s="160" t="str">
        <f>IF($AJ$6="Indique Fecha Seguimiento","",IF(CRONOGRAMA!$E159="No Aplica","NA",IF($G160="","",IF(YEAR($G160)&lt;YEAR($AJ$6)," A ",IF(YEAR($G160)=YEAR($AJ$6),IF(MONTH($G160)&lt;=12," A ","NA"),IF(YEAR($G160)&gt;YEAR($AJ$6),"NA"))))))</f>
        <v/>
      </c>
      <c r="AE160" s="350"/>
      <c r="AF160" s="44"/>
      <c r="AG160" s="351"/>
      <c r="AH160" s="348" t="str">
        <f t="shared" si="507"/>
        <v/>
      </c>
      <c r="AI160" s="349"/>
      <c r="AJ160" s="44"/>
      <c r="AK160" s="81" t="str">
        <f t="shared" si="508"/>
        <v/>
      </c>
      <c r="AL160" s="84" t="str">
        <f t="shared" si="509"/>
        <v/>
      </c>
      <c r="AM160" s="84">
        <f t="shared" si="541"/>
        <v>0</v>
      </c>
      <c r="AN160" s="579"/>
      <c r="AO160" s="580"/>
      <c r="AP160" s="581"/>
      <c r="AQ160" s="581"/>
      <c r="AR160" s="582"/>
      <c r="AS160" s="582"/>
      <c r="AT160" s="582"/>
      <c r="AU160" s="572"/>
      <c r="AV160" s="573"/>
      <c r="AW160" s="574"/>
      <c r="AX160">
        <f t="shared" si="517"/>
        <v>0</v>
      </c>
    </row>
    <row r="161" spans="1:50" ht="79.5" thickTop="1" x14ac:dyDescent="0.25">
      <c r="A161" s="575" t="str">
        <f>CRONOGRAMA!A160</f>
        <v>23C</v>
      </c>
      <c r="B161" s="578" t="str">
        <f>CRONOGRAMA!B160</f>
        <v>Gestión Financiera. Omisión en la aplicación  de la normatividad vigente en los procesos de la Gestión Financiera</v>
      </c>
      <c r="C161" s="82" t="str">
        <f>IF('CONSOLIDACION DEL MAPA'!P160="","",'CONSOLIDACION DEL MAPA'!P160)</f>
        <v>Reducir</v>
      </c>
      <c r="D161" s="82" t="str">
        <f>CRONOGRAMA!D160</f>
        <v>Realizar reuniones con equipo financiero para unificación de criterios</v>
      </c>
      <c r="E161" s="132" t="str">
        <f>IF(CRONOGRAMA!F160="", "",CRONOGRAMA!F160)</f>
        <v>Actas de reunion trimestral</v>
      </c>
      <c r="F161" s="132">
        <f>IF(CRONOGRAMA!G160="", "",CRONOGRAMA!G160)</f>
        <v>4</v>
      </c>
      <c r="G161" s="128">
        <f>IF(CRONOGRAMA!H160="", "",CRONOGRAMA!H160)</f>
        <v>42373</v>
      </c>
      <c r="H161" s="128">
        <f>IF(CRONOGRAMA!I160="", "",CRONOGRAMA!I160)</f>
        <v>42735</v>
      </c>
      <c r="I161" s="84">
        <f t="shared" si="500"/>
        <v>51.714285714285715</v>
      </c>
      <c r="J161" s="160" t="str">
        <f>IF($P$6="Indique Fecha Seguimiento","",IF(CRONOGRAMA!$E160="No Aplica","NA",IF($G161="","",IF(YEAR($G161)&lt;YEAR($P$6)," A ",IF(YEAR($G161)=YEAR($P$6),IF(MONTH($G161)&lt;=4," A ","NA"),IF(YEAR($G161)&gt;YEAR($P$6),"NA"))))))</f>
        <v xml:space="preserve"> A </v>
      </c>
      <c r="K161" s="400">
        <v>0.25</v>
      </c>
      <c r="L161" s="402" t="s">
        <v>908</v>
      </c>
      <c r="M161" s="400">
        <v>1</v>
      </c>
      <c r="N161" s="348">
        <f t="shared" si="501"/>
        <v>0.25</v>
      </c>
      <c r="O161" s="349" t="s">
        <v>353</v>
      </c>
      <c r="P161" s="44"/>
      <c r="Q161" s="84">
        <f t="shared" si="502"/>
        <v>12.928571428571429</v>
      </c>
      <c r="R161" s="84">
        <f t="shared" si="503"/>
        <v>12.928571428571429</v>
      </c>
      <c r="S161" s="84">
        <f t="shared" si="539"/>
        <v>51.714285714285715</v>
      </c>
      <c r="T161" s="160" t="str">
        <f>IF($Z$6="Indique Fecha Seguimiento","",IF(CRONOGRAMA!$E160="No Aplica","NA",IF($G161="","",IF(YEAR($G161)&lt;YEAR($Z$6)," A ",IF(YEAR($G161)=YEAR($Z$6),IF(MONTH($G161)&lt;=8," A ","NA"),IF(YEAR($G161)&gt;YEAR($Z$6),"NA"))))))</f>
        <v xml:space="preserve"> A </v>
      </c>
      <c r="U161" s="413">
        <v>0.6</v>
      </c>
      <c r="V161" s="44" t="s">
        <v>943</v>
      </c>
      <c r="W161" s="351">
        <v>2.4</v>
      </c>
      <c r="X161" s="348">
        <f t="shared" si="504"/>
        <v>0.6</v>
      </c>
      <c r="Y161" s="349" t="s">
        <v>353</v>
      </c>
      <c r="Z161" s="44" t="s">
        <v>944</v>
      </c>
      <c r="AA161" s="84">
        <f t="shared" si="505"/>
        <v>31.028571428571428</v>
      </c>
      <c r="AB161" s="84">
        <f t="shared" si="506"/>
        <v>31.028571428571428</v>
      </c>
      <c r="AC161" s="84">
        <f t="shared" si="540"/>
        <v>51.714285714285715</v>
      </c>
      <c r="AD161" s="160" t="str">
        <f>IF($AJ$6="Indique Fecha Seguimiento","",IF(CRONOGRAMA!$E160="No Aplica","NA",IF($G161="","",IF(YEAR($G161)&lt;YEAR($AJ$6)," A ",IF(YEAR($G161)=YEAR($AJ$6),IF(MONTH($G161)&lt;=12," A ","NA"),IF(YEAR($G161)&gt;YEAR($AJ$6),"NA"))))))</f>
        <v xml:space="preserve"> A </v>
      </c>
      <c r="AE161" s="413">
        <v>0.95</v>
      </c>
      <c r="AF161" s="44" t="s">
        <v>1007</v>
      </c>
      <c r="AG161" s="351">
        <v>3.8</v>
      </c>
      <c r="AH161" s="348">
        <f t="shared" si="507"/>
        <v>0.95</v>
      </c>
      <c r="AI161" s="349" t="s">
        <v>10</v>
      </c>
      <c r="AJ161" s="44" t="s">
        <v>993</v>
      </c>
      <c r="AK161" s="81">
        <f t="shared" si="508"/>
        <v>49.128571428571426</v>
      </c>
      <c r="AL161" s="84">
        <f t="shared" si="509"/>
        <v>49.128571428571426</v>
      </c>
      <c r="AM161" s="84">
        <f t="shared" si="541"/>
        <v>51.714285714285715</v>
      </c>
      <c r="AN161" s="579">
        <f t="shared" ref="AN161" si="542">SUM(I161:I163)</f>
        <v>51.714285714285715</v>
      </c>
      <c r="AO161" s="580">
        <f t="shared" ref="AO161" si="543">IF(AND(Q161="",Q162="",Q163=""),"",SUM(Q161:Q163))</f>
        <v>12.928571428571429</v>
      </c>
      <c r="AP161" s="581">
        <f t="shared" ref="AP161" si="544">IF(AND(AA161="",AA162="",AA163=""),"",SUM(AA161:AA163))</f>
        <v>31.028571428571428</v>
      </c>
      <c r="AQ161" s="581">
        <f t="shared" ref="AQ161" si="545">IF(AND(AK161="",AK162="",AK163=""),"",SUM(AK161:AK163))</f>
        <v>49.128571428571426</v>
      </c>
      <c r="AR161" s="582">
        <f t="shared" ref="AR161:AR194" si="546">IF(AO161="",IF($AU$6&lt;1,"",IF($AU$6&gt;=1,"NA")),IF(AO161=0,0,AO161/$AN161))</f>
        <v>0.25</v>
      </c>
      <c r="AS161" s="582">
        <f t="shared" ref="AS161:AS194" si="547">IF(AP161="",IF($AU$6&lt;2,"",IF($AU$6&gt;=2,"NA")),IF(AP161=0,0,AP161/$AN161))</f>
        <v>0.6</v>
      </c>
      <c r="AT161" s="582">
        <f t="shared" ref="AT161" si="548">IF(AS161&gt;=AR161,AS161,AR161)</f>
        <v>0.6</v>
      </c>
      <c r="AU161" s="572">
        <f t="shared" ref="AU161:AU194" si="549">IF(AQ161="",IF($AU$6&lt;3,"",IF($AU$6&gt;=3,"NA")),IF(AQ161=0,0,AQ161/$AN161))</f>
        <v>0.95</v>
      </c>
      <c r="AV161" s="573">
        <f t="shared" ref="AV161" si="550">IF($AU$6=1,AR161,IF($AU$6=2,AS161,IF($AU$6=3,AU161,"")))</f>
        <v>0.95</v>
      </c>
      <c r="AW161" s="574">
        <f t="shared" ref="AW161" si="551">AV161</f>
        <v>0.95</v>
      </c>
      <c r="AX161" t="str">
        <f t="shared" si="517"/>
        <v>Actividades informadas</v>
      </c>
    </row>
    <row r="162" spans="1:50" ht="15.75" x14ac:dyDescent="0.25">
      <c r="A162" s="576"/>
      <c r="B162" s="578"/>
      <c r="C162" s="82" t="str">
        <f>IF('CONSOLIDACION DEL MAPA'!P161="","",'CONSOLIDACION DEL MAPA'!P161)</f>
        <v/>
      </c>
      <c r="D162" s="82" t="str">
        <f>CRONOGRAMA!D161</f>
        <v/>
      </c>
      <c r="E162" s="132" t="str">
        <f>IF(CRONOGRAMA!F161="", "",CRONOGRAMA!F161)</f>
        <v/>
      </c>
      <c r="F162" s="132" t="str">
        <f>IF(CRONOGRAMA!G161="", "",CRONOGRAMA!G161)</f>
        <v/>
      </c>
      <c r="G162" s="128" t="str">
        <f>IF(CRONOGRAMA!H161="", "",CRONOGRAMA!H161)</f>
        <v/>
      </c>
      <c r="H162" s="128" t="str">
        <f>IF(CRONOGRAMA!I161="", "",CRONOGRAMA!I161)</f>
        <v/>
      </c>
      <c r="I162" s="84">
        <f t="shared" si="500"/>
        <v>0</v>
      </c>
      <c r="J162" s="160" t="str">
        <f>IF($P$6="Indique Fecha Seguimiento","",IF(CRONOGRAMA!$E161="No Aplica","NA",IF($G162="","",IF(YEAR($G162)&lt;YEAR($P$6)," A ",IF(YEAR($G162)=YEAR($P$6),IF(MONTH($G162)&lt;=4," A ","NA"),IF(YEAR($G162)&gt;YEAR($P$6),"NA"))))))</f>
        <v/>
      </c>
      <c r="K162" s="400"/>
      <c r="L162" s="402"/>
      <c r="M162" s="400"/>
      <c r="N162" s="348" t="str">
        <f t="shared" si="501"/>
        <v/>
      </c>
      <c r="O162" s="349"/>
      <c r="P162" s="44"/>
      <c r="Q162" s="84" t="str">
        <f t="shared" si="502"/>
        <v/>
      </c>
      <c r="R162" s="84" t="str">
        <f t="shared" si="503"/>
        <v/>
      </c>
      <c r="S162" s="84">
        <f t="shared" si="539"/>
        <v>0</v>
      </c>
      <c r="T162" s="160" t="str">
        <f>IF($Z$6="Indique Fecha Seguimiento","",IF(CRONOGRAMA!$E161="No Aplica","NA",IF($G162="","",IF(YEAR($G162)&lt;YEAR($Z$6)," A ",IF(YEAR($G162)=YEAR($Z$6),IF(MONTH($G162)&lt;=8," A ","NA"),IF(YEAR($G162)&gt;YEAR($Z$6),"NA"))))))</f>
        <v/>
      </c>
      <c r="U162" s="350"/>
      <c r="V162" s="44"/>
      <c r="W162" s="351"/>
      <c r="X162" s="348" t="str">
        <f t="shared" si="504"/>
        <v/>
      </c>
      <c r="Y162" s="349"/>
      <c r="Z162" s="44"/>
      <c r="AA162" s="84" t="str">
        <f t="shared" si="505"/>
        <v/>
      </c>
      <c r="AB162" s="84" t="str">
        <f t="shared" si="506"/>
        <v/>
      </c>
      <c r="AC162" s="84">
        <f t="shared" si="540"/>
        <v>0</v>
      </c>
      <c r="AD162" s="160" t="str">
        <f>IF($AJ$6="Indique Fecha Seguimiento","",IF(CRONOGRAMA!$E161="No Aplica","NA",IF($G162="","",IF(YEAR($G162)&lt;YEAR($AJ$6)," A ",IF(YEAR($G162)=YEAR($AJ$6),IF(MONTH($G162)&lt;=12," A ","NA"),IF(YEAR($G162)&gt;YEAR($AJ$6),"NA"))))))</f>
        <v/>
      </c>
      <c r="AE162" s="350"/>
      <c r="AF162" s="44"/>
      <c r="AG162" s="351"/>
      <c r="AH162" s="348" t="str">
        <f t="shared" si="507"/>
        <v/>
      </c>
      <c r="AI162" s="349"/>
      <c r="AJ162" s="44"/>
      <c r="AK162" s="81" t="str">
        <f t="shared" si="508"/>
        <v/>
      </c>
      <c r="AL162" s="84" t="str">
        <f t="shared" si="509"/>
        <v/>
      </c>
      <c r="AM162" s="84">
        <f t="shared" si="541"/>
        <v>0</v>
      </c>
      <c r="AN162" s="579"/>
      <c r="AO162" s="580"/>
      <c r="AP162" s="581"/>
      <c r="AQ162" s="581"/>
      <c r="AR162" s="582"/>
      <c r="AS162" s="582"/>
      <c r="AT162" s="582"/>
      <c r="AU162" s="572"/>
      <c r="AV162" s="573"/>
      <c r="AW162" s="574"/>
      <c r="AX162">
        <f t="shared" si="517"/>
        <v>0</v>
      </c>
    </row>
    <row r="163" spans="1:50" ht="16.5" thickBot="1" x14ac:dyDescent="0.3">
      <c r="A163" s="577"/>
      <c r="B163" s="578"/>
      <c r="C163" s="82" t="str">
        <f>IF('CONSOLIDACION DEL MAPA'!P162="","",'CONSOLIDACION DEL MAPA'!P162)</f>
        <v/>
      </c>
      <c r="D163" s="82" t="str">
        <f>CRONOGRAMA!D162</f>
        <v/>
      </c>
      <c r="E163" s="132" t="str">
        <f>IF(CRONOGRAMA!F162="", "",CRONOGRAMA!F162)</f>
        <v/>
      </c>
      <c r="F163" s="132" t="str">
        <f>IF(CRONOGRAMA!G162="", "",CRONOGRAMA!G162)</f>
        <v/>
      </c>
      <c r="G163" s="128" t="str">
        <f>IF(CRONOGRAMA!H162="", "",CRONOGRAMA!H162)</f>
        <v/>
      </c>
      <c r="H163" s="128" t="str">
        <f>IF(CRONOGRAMA!I162="", "",CRONOGRAMA!I162)</f>
        <v/>
      </c>
      <c r="I163" s="84">
        <f t="shared" si="500"/>
        <v>0</v>
      </c>
      <c r="J163" s="160" t="str">
        <f>IF($P$6="Indique Fecha Seguimiento","",IF(CRONOGRAMA!$E162="No Aplica","NA",IF($G163="","",IF(YEAR($G163)&lt;YEAR($P$6)," A ",IF(YEAR($G163)=YEAR($P$6),IF(MONTH($G163)&lt;=4," A ","NA"),IF(YEAR($G163)&gt;YEAR($P$6),"NA"))))))</f>
        <v/>
      </c>
      <c r="K163" s="400"/>
      <c r="L163" s="402"/>
      <c r="M163" s="400"/>
      <c r="N163" s="348" t="str">
        <f t="shared" si="501"/>
        <v/>
      </c>
      <c r="O163" s="349"/>
      <c r="P163" s="44"/>
      <c r="Q163" s="84" t="str">
        <f t="shared" si="502"/>
        <v/>
      </c>
      <c r="R163" s="84" t="str">
        <f t="shared" si="503"/>
        <v/>
      </c>
      <c r="S163" s="84">
        <f t="shared" si="539"/>
        <v>0</v>
      </c>
      <c r="T163" s="160" t="str">
        <f>IF($Z$6="Indique Fecha Seguimiento","",IF(CRONOGRAMA!$E162="No Aplica","NA",IF($G163="","",IF(YEAR($G163)&lt;YEAR($Z$6)," A ",IF(YEAR($G163)=YEAR($Z$6),IF(MONTH($G163)&lt;=8," A ","NA"),IF(YEAR($G163)&gt;YEAR($Z$6),"NA"))))))</f>
        <v/>
      </c>
      <c r="U163" s="350"/>
      <c r="V163" s="44"/>
      <c r="W163" s="351"/>
      <c r="X163" s="348" t="str">
        <f t="shared" si="504"/>
        <v/>
      </c>
      <c r="Y163" s="349"/>
      <c r="Z163" s="44"/>
      <c r="AA163" s="84" t="str">
        <f t="shared" si="505"/>
        <v/>
      </c>
      <c r="AB163" s="84" t="str">
        <f t="shared" si="506"/>
        <v/>
      </c>
      <c r="AC163" s="84">
        <f t="shared" si="540"/>
        <v>0</v>
      </c>
      <c r="AD163" s="160" t="str">
        <f>IF($AJ$6="Indique Fecha Seguimiento","",IF(CRONOGRAMA!$E162="No Aplica","NA",IF($G163="","",IF(YEAR($G163)&lt;YEAR($AJ$6)," A ",IF(YEAR($G163)=YEAR($AJ$6),IF(MONTH($G163)&lt;=12," A ","NA"),IF(YEAR($G163)&gt;YEAR($AJ$6),"NA"))))))</f>
        <v/>
      </c>
      <c r="AE163" s="350"/>
      <c r="AF163" s="44"/>
      <c r="AG163" s="351"/>
      <c r="AH163" s="348" t="str">
        <f t="shared" si="507"/>
        <v/>
      </c>
      <c r="AI163" s="349"/>
      <c r="AJ163" s="44"/>
      <c r="AK163" s="81" t="str">
        <f t="shared" si="508"/>
        <v/>
      </c>
      <c r="AL163" s="84" t="str">
        <f t="shared" si="509"/>
        <v/>
      </c>
      <c r="AM163" s="84">
        <f t="shared" si="541"/>
        <v>0</v>
      </c>
      <c r="AN163" s="579"/>
      <c r="AO163" s="580"/>
      <c r="AP163" s="581"/>
      <c r="AQ163" s="581"/>
      <c r="AR163" s="582"/>
      <c r="AS163" s="582"/>
      <c r="AT163" s="582"/>
      <c r="AU163" s="572"/>
      <c r="AV163" s="573"/>
      <c r="AW163" s="574"/>
      <c r="AX163">
        <f t="shared" si="517"/>
        <v>0</v>
      </c>
    </row>
    <row r="164" spans="1:50" ht="85.5" customHeight="1" thickTop="1" x14ac:dyDescent="0.25">
      <c r="A164" s="575" t="str">
        <f>CRONOGRAMA!A163</f>
        <v>24C</v>
      </c>
      <c r="B164" s="578" t="str">
        <f>CRONOGRAMA!B163</f>
        <v xml:space="preserve">Apoyo Tecnológico TIC. Vulnerabilidad de la Información </v>
      </c>
      <c r="C164" s="82" t="str">
        <f>IF('CONSOLIDACION DEL MAPA'!P163="","",'CONSOLIDACION DEL MAPA'!P163)</f>
        <v>Reducir</v>
      </c>
      <c r="D164" s="82" t="str">
        <f>CRONOGRAMA!D163</f>
        <v>Contratar la seguridad gestionada a través de firewall perimetral</v>
      </c>
      <c r="E164" s="132" t="str">
        <f>IF(CRONOGRAMA!F163="", "",CRONOGRAMA!F163)</f>
        <v>Contrato</v>
      </c>
      <c r="F164" s="132">
        <f>IF(CRONOGRAMA!G163="", "",CRONOGRAMA!G163)</f>
        <v>1</v>
      </c>
      <c r="G164" s="128">
        <f>IF(CRONOGRAMA!H163="", "",CRONOGRAMA!H163)</f>
        <v>42495</v>
      </c>
      <c r="H164" s="128">
        <f>IF(CRONOGRAMA!I163="", "",CRONOGRAMA!I163)</f>
        <v>42735</v>
      </c>
      <c r="I164" s="84">
        <f t="shared" si="500"/>
        <v>34.285714285714285</v>
      </c>
      <c r="J164" s="160" t="str">
        <f>IF($P$6="Indique Fecha Seguimiento","",IF(CRONOGRAMA!$E163="No Aplica","NA",IF($G164="","",IF(YEAR($G164)&lt;YEAR($P$6)," A ",IF(YEAR($G164)=YEAR($P$6),IF(MONTH($G164)&lt;=4," A ","NA"),IF(YEAR($G164)&gt;YEAR($P$6),"NA"))))))</f>
        <v>NA</v>
      </c>
      <c r="K164" s="400"/>
      <c r="L164" s="402"/>
      <c r="M164" s="400"/>
      <c r="N164" s="348" t="str">
        <f t="shared" si="501"/>
        <v/>
      </c>
      <c r="O164" s="349"/>
      <c r="P164" s="44"/>
      <c r="Q164" s="84" t="str">
        <f t="shared" si="502"/>
        <v/>
      </c>
      <c r="R164" s="84" t="str">
        <f t="shared" si="503"/>
        <v/>
      </c>
      <c r="S164" s="84">
        <f t="shared" si="539"/>
        <v>34.285714285714285</v>
      </c>
      <c r="T164" s="160" t="str">
        <f>IF($Z$6="Indique Fecha Seguimiento","",IF(CRONOGRAMA!$E163="No Aplica","NA",IF($G164="","",IF(YEAR($G164)&lt;YEAR($Z$6)," A ",IF(YEAR($G164)=YEAR($Z$6),IF(MONTH($G164)&lt;=8," A ","NA"),IF(YEAR($G164)&gt;YEAR($Z$6),"NA"))))))</f>
        <v xml:space="preserve"> A </v>
      </c>
      <c r="U164" s="350">
        <v>0</v>
      </c>
      <c r="V164" s="44" t="s">
        <v>979</v>
      </c>
      <c r="W164" s="351">
        <v>0</v>
      </c>
      <c r="X164" s="348">
        <f t="shared" si="504"/>
        <v>0</v>
      </c>
      <c r="Y164" s="349" t="s">
        <v>353</v>
      </c>
      <c r="Z164" s="44" t="s">
        <v>981</v>
      </c>
      <c r="AA164" s="84">
        <f t="shared" si="505"/>
        <v>0</v>
      </c>
      <c r="AB164" s="84">
        <f t="shared" si="506"/>
        <v>0</v>
      </c>
      <c r="AC164" s="84">
        <f t="shared" si="540"/>
        <v>34.285714285714285</v>
      </c>
      <c r="AD164" s="160" t="str">
        <f>IF($AJ$6="Indique Fecha Seguimiento","",IF(CRONOGRAMA!$E163="No Aplica","NA",IF($G164="","",IF(YEAR($G164)&lt;YEAR($AJ$6)," A ",IF(YEAR($G164)=YEAR($AJ$6),IF(MONTH($G164)&lt;=12," A ","NA"),IF(YEAR($G164)&gt;YEAR($AJ$6),"NA"))))))</f>
        <v xml:space="preserve"> A </v>
      </c>
      <c r="AE164" s="350">
        <v>0</v>
      </c>
      <c r="AF164" s="44" t="s">
        <v>979</v>
      </c>
      <c r="AG164" s="351">
        <v>0</v>
      </c>
      <c r="AH164" s="348">
        <f t="shared" si="507"/>
        <v>0</v>
      </c>
      <c r="AI164" s="349" t="s">
        <v>10</v>
      </c>
      <c r="AJ164" s="44" t="s">
        <v>1008</v>
      </c>
      <c r="AK164" s="81">
        <f t="shared" si="508"/>
        <v>0</v>
      </c>
      <c r="AL164" s="84">
        <f t="shared" si="509"/>
        <v>0</v>
      </c>
      <c r="AM164" s="84">
        <f t="shared" si="541"/>
        <v>34.285714285714285</v>
      </c>
      <c r="AN164" s="579">
        <f t="shared" ref="AN164" si="552">SUM(I164:I166)</f>
        <v>102.85714285714286</v>
      </c>
      <c r="AO164" s="580" t="str">
        <f t="shared" ref="AO164" si="553">IF(AND(Q164="",Q165="",Q166=""),"",SUM(Q164:Q166))</f>
        <v/>
      </c>
      <c r="AP164" s="581">
        <f t="shared" ref="AP164" si="554">IF(AND(AA164="",AA165="",AA166=""),"",SUM(AA164:AA166))</f>
        <v>34.285714285714285</v>
      </c>
      <c r="AQ164" s="581">
        <f t="shared" ref="AQ164" si="555">IF(AND(AK164="",AK165="",AK166=""),"",SUM(AK164:AK166))</f>
        <v>34.285714285714285</v>
      </c>
      <c r="AR164" s="582" t="str">
        <f t="shared" si="546"/>
        <v>NA</v>
      </c>
      <c r="AS164" s="582">
        <f t="shared" si="547"/>
        <v>0.33333333333333331</v>
      </c>
      <c r="AT164" s="582" t="str">
        <f t="shared" ref="AT164" si="556">IF(AS164&gt;=AR164,AS164,AR164)</f>
        <v>NA</v>
      </c>
      <c r="AU164" s="572">
        <f t="shared" si="549"/>
        <v>0.33333333333333331</v>
      </c>
      <c r="AV164" s="573">
        <f t="shared" ref="AV164" si="557">IF($AU$6=1,AR164,IF($AU$6=2,AS164,IF($AU$6=3,AU164,"")))</f>
        <v>0.33333333333333331</v>
      </c>
      <c r="AW164" s="574">
        <f t="shared" ref="AW164" si="558">AV164</f>
        <v>0.33333333333333331</v>
      </c>
      <c r="AX164" t="str">
        <f t="shared" si="517"/>
        <v>No se presento avance</v>
      </c>
    </row>
    <row r="165" spans="1:50" ht="25.5" x14ac:dyDescent="0.25">
      <c r="A165" s="576"/>
      <c r="B165" s="578"/>
      <c r="C165" s="82" t="str">
        <f>IF('CONSOLIDACION DEL MAPA'!P164="","",'CONSOLIDACION DEL MAPA'!P164)</f>
        <v>Reducir</v>
      </c>
      <c r="D165" s="82" t="str">
        <f>CRONOGRAMA!D164</f>
        <v>Documentar los controles existentes</v>
      </c>
      <c r="E165" s="132" t="str">
        <f>IF(CRONOGRAMA!F164="", "",CRONOGRAMA!F164)</f>
        <v>Controles documentados</v>
      </c>
      <c r="F165" s="132">
        <f>IF(CRONOGRAMA!G164="", "",CRONOGRAMA!G164)</f>
        <v>2</v>
      </c>
      <c r="G165" s="128">
        <f>IF(CRONOGRAMA!H164="", "",CRONOGRAMA!H164)</f>
        <v>42495</v>
      </c>
      <c r="H165" s="128">
        <f>IF(CRONOGRAMA!I164="", "",CRONOGRAMA!I164)</f>
        <v>42735</v>
      </c>
      <c r="I165" s="84">
        <f t="shared" si="500"/>
        <v>34.285714285714285</v>
      </c>
      <c r="J165" s="160" t="str">
        <f>IF($P$6="Indique Fecha Seguimiento","",IF(CRONOGRAMA!$E164="No Aplica","NA",IF($G165="","",IF(YEAR($G165)&lt;YEAR($P$6)," A ",IF(YEAR($G165)=YEAR($P$6),IF(MONTH($G165)&lt;=4," A ","NA"),IF(YEAR($G165)&gt;YEAR($P$6),"NA"))))))</f>
        <v>NA</v>
      </c>
      <c r="K165" s="400"/>
      <c r="L165" s="402"/>
      <c r="M165" s="400"/>
      <c r="N165" s="348" t="str">
        <f t="shared" si="501"/>
        <v/>
      </c>
      <c r="O165" s="349"/>
      <c r="P165" s="44"/>
      <c r="Q165" s="84" t="str">
        <f t="shared" si="502"/>
        <v/>
      </c>
      <c r="R165" s="84" t="str">
        <f t="shared" si="503"/>
        <v/>
      </c>
      <c r="S165" s="84">
        <f t="shared" si="539"/>
        <v>34.285714285714285</v>
      </c>
      <c r="T165" s="160" t="str">
        <f>IF($Z$6="Indique Fecha Seguimiento","",IF(CRONOGRAMA!$E164="No Aplica","NA",IF($G165="","",IF(YEAR($G165)&lt;YEAR($Z$6)," A ",IF(YEAR($G165)=YEAR($Z$6),IF(MONTH($G165)&lt;=8," A ","NA"),IF(YEAR($G165)&gt;YEAR($Z$6),"NA"))))))</f>
        <v xml:space="preserve"> A </v>
      </c>
      <c r="U165" s="350">
        <v>0</v>
      </c>
      <c r="V165" s="44" t="s">
        <v>979</v>
      </c>
      <c r="W165" s="351">
        <v>0</v>
      </c>
      <c r="X165" s="348">
        <f t="shared" si="504"/>
        <v>0</v>
      </c>
      <c r="Y165" s="349" t="s">
        <v>353</v>
      </c>
      <c r="Z165" s="44" t="s">
        <v>981</v>
      </c>
      <c r="AA165" s="84">
        <f t="shared" si="505"/>
        <v>0</v>
      </c>
      <c r="AB165" s="84">
        <f t="shared" si="506"/>
        <v>0</v>
      </c>
      <c r="AC165" s="84">
        <f t="shared" si="540"/>
        <v>34.285714285714285</v>
      </c>
      <c r="AD165" s="160" t="str">
        <f>IF($AJ$6="Indique Fecha Seguimiento","",IF(CRONOGRAMA!$E164="No Aplica","NA",IF($G165="","",IF(YEAR($G165)&lt;YEAR($AJ$6)," A ",IF(YEAR($G165)=YEAR($AJ$6),IF(MONTH($G165)&lt;=12," A ","NA"),IF(YEAR($G165)&gt;YEAR($AJ$6),"NA"))))))</f>
        <v xml:space="preserve"> A </v>
      </c>
      <c r="AE165" s="350">
        <v>0</v>
      </c>
      <c r="AF165" s="44" t="s">
        <v>979</v>
      </c>
      <c r="AG165" s="351">
        <v>0</v>
      </c>
      <c r="AH165" s="348">
        <f t="shared" si="507"/>
        <v>0</v>
      </c>
      <c r="AI165" s="349" t="s">
        <v>10</v>
      </c>
      <c r="AJ165" s="44" t="s">
        <v>1008</v>
      </c>
      <c r="AK165" s="81">
        <f t="shared" si="508"/>
        <v>0</v>
      </c>
      <c r="AL165" s="84">
        <f t="shared" si="509"/>
        <v>0</v>
      </c>
      <c r="AM165" s="84">
        <f t="shared" si="541"/>
        <v>34.285714285714285</v>
      </c>
      <c r="AN165" s="579"/>
      <c r="AO165" s="580"/>
      <c r="AP165" s="581"/>
      <c r="AQ165" s="581"/>
      <c r="AR165" s="582"/>
      <c r="AS165" s="582"/>
      <c r="AT165" s="582"/>
      <c r="AU165" s="572"/>
      <c r="AV165" s="573"/>
      <c r="AW165" s="574"/>
      <c r="AX165" t="str">
        <f t="shared" si="517"/>
        <v>No se presento avance</v>
      </c>
    </row>
    <row r="166" spans="1:50" ht="51.75" thickBot="1" x14ac:dyDescent="0.3">
      <c r="A166" s="577"/>
      <c r="B166" s="578"/>
      <c r="C166" s="82" t="str">
        <f>IF('CONSOLIDACION DEL MAPA'!P165="","",'CONSOLIDACION DEL MAPA'!P165)</f>
        <v>Reducir</v>
      </c>
      <c r="D166" s="82" t="str">
        <f>CRONOGRAMA!D165</f>
        <v>Realización de un Plan de Manejo y uso de la Información Institucional</v>
      </c>
      <c r="E166" s="132" t="str">
        <f>IF(CRONOGRAMA!F165="", "",CRONOGRAMA!F165)</f>
        <v>Plan</v>
      </c>
      <c r="F166" s="132">
        <f>IF(CRONOGRAMA!G165="", "",CRONOGRAMA!G165)</f>
        <v>1</v>
      </c>
      <c r="G166" s="128">
        <f>IF(CRONOGRAMA!H165="", "",CRONOGRAMA!H165)</f>
        <v>42495</v>
      </c>
      <c r="H166" s="128">
        <f>IF(CRONOGRAMA!I165="", "",CRONOGRAMA!I165)</f>
        <v>42735</v>
      </c>
      <c r="I166" s="84">
        <f t="shared" si="500"/>
        <v>34.285714285714285</v>
      </c>
      <c r="J166" s="160" t="str">
        <f>IF($P$6="Indique Fecha Seguimiento","",IF(CRONOGRAMA!$E165="No Aplica","NA",IF($G166="","",IF(YEAR($G166)&lt;YEAR($P$6)," A ",IF(YEAR($G166)=YEAR($P$6),IF(MONTH($G166)&lt;=4," A ","NA"),IF(YEAR($G166)&gt;YEAR($P$6),"NA"))))))</f>
        <v>NA</v>
      </c>
      <c r="K166" s="400"/>
      <c r="L166" s="402"/>
      <c r="M166" s="400"/>
      <c r="N166" s="348" t="str">
        <f t="shared" si="501"/>
        <v/>
      </c>
      <c r="O166" s="349"/>
      <c r="P166" s="44"/>
      <c r="Q166" s="84" t="str">
        <f t="shared" si="502"/>
        <v/>
      </c>
      <c r="R166" s="84" t="str">
        <f t="shared" si="503"/>
        <v/>
      </c>
      <c r="S166" s="84">
        <f t="shared" si="539"/>
        <v>34.285714285714285</v>
      </c>
      <c r="T166" s="160" t="str">
        <f>IF($Z$6="Indique Fecha Seguimiento","",IF(CRONOGRAMA!$E165="No Aplica","NA",IF($G166="","",IF(YEAR($G166)&lt;YEAR($Z$6)," A ",IF(YEAR($G166)=YEAR($Z$6),IF(MONTH($G166)&lt;=8," A ","NA"),IF(YEAR($G166)&gt;YEAR($Z$6),"NA"))))))</f>
        <v xml:space="preserve"> A </v>
      </c>
      <c r="U166" s="350">
        <v>1</v>
      </c>
      <c r="V166" s="44" t="s">
        <v>980</v>
      </c>
      <c r="W166" s="351">
        <v>1</v>
      </c>
      <c r="X166" s="348">
        <f t="shared" si="504"/>
        <v>1</v>
      </c>
      <c r="Y166" s="349" t="s">
        <v>11</v>
      </c>
      <c r="Z166" s="44" t="str">
        <f>V166</f>
        <v>Guía disponible en el Sistema  formato TI-G04 y procedimiento  TI- P08</v>
      </c>
      <c r="AA166" s="84">
        <f t="shared" si="505"/>
        <v>34.285714285714285</v>
      </c>
      <c r="AB166" s="84">
        <f t="shared" si="506"/>
        <v>34.285714285714285</v>
      </c>
      <c r="AC166" s="84">
        <f t="shared" si="540"/>
        <v>34.285714285714285</v>
      </c>
      <c r="AD166" s="160" t="str">
        <f>IF($AJ$6="Indique Fecha Seguimiento","",IF(CRONOGRAMA!$E165="No Aplica","NA",IF($G166="","",IF(YEAR($G166)&lt;YEAR($AJ$6)," A ",IF(YEAR($G166)=YEAR($AJ$6),IF(MONTH($G166)&lt;=12," A ","NA"),IF(YEAR($G166)&gt;YEAR($AJ$6),"NA"))))))</f>
        <v xml:space="preserve"> A </v>
      </c>
      <c r="AE166" s="350">
        <v>1</v>
      </c>
      <c r="AF166" s="44" t="s">
        <v>980</v>
      </c>
      <c r="AG166" s="351">
        <v>1</v>
      </c>
      <c r="AH166" s="348">
        <f t="shared" si="507"/>
        <v>1</v>
      </c>
      <c r="AI166" s="349" t="s">
        <v>11</v>
      </c>
      <c r="AJ166" s="44" t="str">
        <f>AF166</f>
        <v>Guía disponible en el Sistema  formato TI-G04 y procedimiento  TI- P08</v>
      </c>
      <c r="AK166" s="81">
        <f t="shared" si="508"/>
        <v>34.285714285714285</v>
      </c>
      <c r="AL166" s="84">
        <f t="shared" si="509"/>
        <v>34.285714285714285</v>
      </c>
      <c r="AM166" s="84">
        <f t="shared" si="541"/>
        <v>34.285714285714285</v>
      </c>
      <c r="AN166" s="579"/>
      <c r="AO166" s="580"/>
      <c r="AP166" s="581"/>
      <c r="AQ166" s="581"/>
      <c r="AR166" s="582"/>
      <c r="AS166" s="582"/>
      <c r="AT166" s="582"/>
      <c r="AU166" s="572"/>
      <c r="AV166" s="573"/>
      <c r="AW166" s="574"/>
      <c r="AX166" t="str">
        <f t="shared" si="517"/>
        <v>Guía disponible en el Sistema  formato TI-G04 y procedimiento  TI- P08</v>
      </c>
    </row>
    <row r="167" spans="1:50" ht="39" thickTop="1" x14ac:dyDescent="0.25">
      <c r="A167" s="575" t="str">
        <f>CRONOGRAMA!A166</f>
        <v>25C</v>
      </c>
      <c r="B167" s="578" t="str">
        <f>CRONOGRAMA!B166</f>
        <v xml:space="preserve">Gestión Documental. Entregar un título o certificado sin los requisitos para ello </v>
      </c>
      <c r="C167" s="82" t="str">
        <f>IF('CONSOLIDACION DEL MAPA'!P166="","",'CONSOLIDACION DEL MAPA'!P166)</f>
        <v>No Establecer</v>
      </c>
      <c r="D167" s="82" t="str">
        <f>CRONOGRAMA!D166</f>
        <v xml:space="preserve">Seguir ejecutando y monitoreando los controles existentes </v>
      </c>
      <c r="E167" s="132" t="str">
        <f>IF(CRONOGRAMA!F166="", "",CRONOGRAMA!F166)</f>
        <v/>
      </c>
      <c r="F167" s="132" t="str">
        <f>IF(CRONOGRAMA!G166="", "",CRONOGRAMA!G166)</f>
        <v/>
      </c>
      <c r="G167" s="128" t="str">
        <f>IF(CRONOGRAMA!H166="", "",CRONOGRAMA!H166)</f>
        <v/>
      </c>
      <c r="H167" s="128" t="str">
        <f>IF(CRONOGRAMA!I166="", "",CRONOGRAMA!I166)</f>
        <v/>
      </c>
      <c r="I167" s="84">
        <f t="shared" si="500"/>
        <v>0</v>
      </c>
      <c r="J167" s="160" t="str">
        <f>IF($P$6="Indique Fecha Seguimiento","",IF(CRONOGRAMA!$E166="No Aplica","NA",IF($G167="","",IF(YEAR($G167)&lt;YEAR($P$6)," A ",IF(YEAR($G167)=YEAR($P$6),IF(MONTH($G167)&lt;=4," A ","NA"),IF(YEAR($G167)&gt;YEAR($P$6),"NA"))))))</f>
        <v>NA</v>
      </c>
      <c r="K167" s="400"/>
      <c r="L167" s="402"/>
      <c r="M167" s="400"/>
      <c r="N167" s="348" t="str">
        <f t="shared" si="501"/>
        <v/>
      </c>
      <c r="O167" s="349"/>
      <c r="P167" s="44"/>
      <c r="Q167" s="84" t="str">
        <f t="shared" si="502"/>
        <v/>
      </c>
      <c r="R167" s="84" t="str">
        <f t="shared" si="503"/>
        <v/>
      </c>
      <c r="S167" s="84">
        <f t="shared" si="539"/>
        <v>0</v>
      </c>
      <c r="T167" s="160" t="str">
        <f>IF($Z$6="Indique Fecha Seguimiento","",IF(CRONOGRAMA!$E166="No Aplica","NA",IF($G167="","",IF(YEAR($G167)&lt;YEAR($Z$6)," A ",IF(YEAR($G167)=YEAR($Z$6),IF(MONTH($G167)&lt;=8," A ","NA"),IF(YEAR($G167)&gt;YEAR($Z$6),"NA"))))))</f>
        <v>NA</v>
      </c>
      <c r="U167" s="350"/>
      <c r="V167" s="44"/>
      <c r="W167" s="351"/>
      <c r="X167" s="348" t="str">
        <f t="shared" si="504"/>
        <v/>
      </c>
      <c r="Y167" s="349"/>
      <c r="Z167" s="44"/>
      <c r="AA167" s="84" t="str">
        <f t="shared" si="505"/>
        <v/>
      </c>
      <c r="AB167" s="84" t="str">
        <f t="shared" si="506"/>
        <v/>
      </c>
      <c r="AC167" s="84">
        <f t="shared" si="540"/>
        <v>0</v>
      </c>
      <c r="AD167" s="160" t="str">
        <f>IF($AJ$6="Indique Fecha Seguimiento","",IF(CRONOGRAMA!$E166="No Aplica","NA",IF($G167="","",IF(YEAR($G167)&lt;YEAR($AJ$6)," A ",IF(YEAR($G167)=YEAR($AJ$6),IF(MONTH($G167)&lt;=12," A ","NA"),IF(YEAR($G167)&gt;YEAR($AJ$6),"NA"))))))</f>
        <v>NA</v>
      </c>
      <c r="AE167" s="350"/>
      <c r="AF167" s="44"/>
      <c r="AG167" s="351"/>
      <c r="AH167" s="348" t="str">
        <f t="shared" si="507"/>
        <v/>
      </c>
      <c r="AI167" s="349"/>
      <c r="AJ167" s="44"/>
      <c r="AK167" s="81" t="str">
        <f t="shared" si="508"/>
        <v/>
      </c>
      <c r="AL167" s="84" t="str">
        <f t="shared" si="509"/>
        <v/>
      </c>
      <c r="AM167" s="84">
        <f t="shared" si="541"/>
        <v>0</v>
      </c>
      <c r="AN167" s="579">
        <f t="shared" ref="AN167" si="559">SUM(I167:I169)</f>
        <v>0</v>
      </c>
      <c r="AO167" s="580" t="str">
        <f t="shared" ref="AO167" si="560">IF(AND(Q167="",Q168="",Q169=""),"",SUM(Q167:Q169))</f>
        <v/>
      </c>
      <c r="AP167" s="581" t="str">
        <f t="shared" ref="AP167" si="561">IF(AND(AA167="",AA168="",AA169=""),"",SUM(AA167:AA169))</f>
        <v/>
      </c>
      <c r="AQ167" s="581" t="str">
        <f t="shared" ref="AQ167" si="562">IF(AND(AK167="",AK168="",AK169=""),"",SUM(AK167:AK169))</f>
        <v/>
      </c>
      <c r="AR167" s="582" t="str">
        <f t="shared" si="546"/>
        <v>NA</v>
      </c>
      <c r="AS167" s="582" t="str">
        <f t="shared" si="547"/>
        <v>NA</v>
      </c>
      <c r="AT167" s="582" t="str">
        <f t="shared" ref="AT167" si="563">IF(AS167&gt;=AR167,AS167,AR167)</f>
        <v>NA</v>
      </c>
      <c r="AU167" s="572" t="str">
        <f t="shared" si="549"/>
        <v>NA</v>
      </c>
      <c r="AV167" s="573" t="str">
        <f t="shared" ref="AV167" si="564">IF($AU$6=1,AR167,IF($AU$6=2,AS167,IF($AU$6=3,AU167,"")))</f>
        <v>NA</v>
      </c>
      <c r="AW167" s="574" t="str">
        <f t="shared" ref="AW167" si="565">AV167</f>
        <v>NA</v>
      </c>
      <c r="AX167">
        <f t="shared" si="517"/>
        <v>0</v>
      </c>
    </row>
    <row r="168" spans="1:50" ht="15.75" x14ac:dyDescent="0.25">
      <c r="A168" s="576"/>
      <c r="B168" s="578"/>
      <c r="C168" s="82" t="str">
        <f>IF('CONSOLIDACION DEL MAPA'!P167="","",'CONSOLIDACION DEL MAPA'!P167)</f>
        <v/>
      </c>
      <c r="D168" s="82" t="str">
        <f>CRONOGRAMA!D167</f>
        <v/>
      </c>
      <c r="E168" s="132" t="str">
        <f>IF(CRONOGRAMA!F167="", "",CRONOGRAMA!F167)</f>
        <v/>
      </c>
      <c r="F168" s="132" t="str">
        <f>IF(CRONOGRAMA!G167="", "",CRONOGRAMA!G167)</f>
        <v/>
      </c>
      <c r="G168" s="128" t="str">
        <f>IF(CRONOGRAMA!H167="", "",CRONOGRAMA!H167)</f>
        <v/>
      </c>
      <c r="H168" s="128" t="str">
        <f>IF(CRONOGRAMA!I167="", "",CRONOGRAMA!I167)</f>
        <v/>
      </c>
      <c r="I168" s="84">
        <f t="shared" si="500"/>
        <v>0</v>
      </c>
      <c r="J168" s="160" t="str">
        <f>IF($P$6="Indique Fecha Seguimiento","",IF(CRONOGRAMA!$E167="No Aplica","NA",IF($G168="","",IF(YEAR($G168)&lt;YEAR($P$6)," A ",IF(YEAR($G168)=YEAR($P$6),IF(MONTH($G168)&lt;=4," A ","NA"),IF(YEAR($G168)&gt;YEAR($P$6),"NA"))))))</f>
        <v/>
      </c>
      <c r="K168" s="400"/>
      <c r="L168" s="402"/>
      <c r="M168" s="400"/>
      <c r="N168" s="348" t="str">
        <f t="shared" si="501"/>
        <v/>
      </c>
      <c r="O168" s="349"/>
      <c r="P168" s="44"/>
      <c r="Q168" s="84" t="str">
        <f t="shared" si="502"/>
        <v/>
      </c>
      <c r="R168" s="84" t="str">
        <f t="shared" si="503"/>
        <v/>
      </c>
      <c r="S168" s="84">
        <f t="shared" si="539"/>
        <v>0</v>
      </c>
      <c r="T168" s="160" t="str">
        <f>IF($Z$6="Indique Fecha Seguimiento","",IF(CRONOGRAMA!$E167="No Aplica","NA",IF($G168="","",IF(YEAR($G168)&lt;YEAR($Z$6)," A ",IF(YEAR($G168)=YEAR($Z$6),IF(MONTH($G168)&lt;=8," A ","NA"),IF(YEAR($G168)&gt;YEAR($Z$6),"NA"))))))</f>
        <v/>
      </c>
      <c r="U168" s="350"/>
      <c r="V168" s="44"/>
      <c r="W168" s="351"/>
      <c r="X168" s="348" t="str">
        <f t="shared" si="504"/>
        <v/>
      </c>
      <c r="Y168" s="349"/>
      <c r="Z168" s="44"/>
      <c r="AA168" s="84" t="str">
        <f t="shared" si="505"/>
        <v/>
      </c>
      <c r="AB168" s="84" t="str">
        <f t="shared" si="506"/>
        <v/>
      </c>
      <c r="AC168" s="84">
        <f t="shared" si="540"/>
        <v>0</v>
      </c>
      <c r="AD168" s="160" t="str">
        <f>IF($AJ$6="Indique Fecha Seguimiento","",IF(CRONOGRAMA!$E167="No Aplica","NA",IF($G168="","",IF(YEAR($G168)&lt;YEAR($AJ$6)," A ",IF(YEAR($G168)=YEAR($AJ$6),IF(MONTH($G168)&lt;=12," A ","NA"),IF(YEAR($G168)&gt;YEAR($AJ$6),"NA"))))))</f>
        <v/>
      </c>
      <c r="AE168" s="350"/>
      <c r="AF168" s="44"/>
      <c r="AG168" s="351"/>
      <c r="AH168" s="348" t="str">
        <f t="shared" si="507"/>
        <v/>
      </c>
      <c r="AI168" s="349"/>
      <c r="AJ168" s="44"/>
      <c r="AK168" s="81" t="str">
        <f t="shared" si="508"/>
        <v/>
      </c>
      <c r="AL168" s="84" t="str">
        <f t="shared" si="509"/>
        <v/>
      </c>
      <c r="AM168" s="84">
        <f t="shared" si="541"/>
        <v>0</v>
      </c>
      <c r="AN168" s="579"/>
      <c r="AO168" s="580"/>
      <c r="AP168" s="581"/>
      <c r="AQ168" s="581"/>
      <c r="AR168" s="582"/>
      <c r="AS168" s="582"/>
      <c r="AT168" s="582"/>
      <c r="AU168" s="572"/>
      <c r="AV168" s="573"/>
      <c r="AW168" s="574"/>
      <c r="AX168">
        <f t="shared" si="517"/>
        <v>0</v>
      </c>
    </row>
    <row r="169" spans="1:50" ht="16.5" thickBot="1" x14ac:dyDescent="0.3">
      <c r="A169" s="577"/>
      <c r="B169" s="578"/>
      <c r="C169" s="82" t="str">
        <f>IF('CONSOLIDACION DEL MAPA'!P168="","",'CONSOLIDACION DEL MAPA'!P168)</f>
        <v/>
      </c>
      <c r="D169" s="82" t="str">
        <f>CRONOGRAMA!D168</f>
        <v/>
      </c>
      <c r="E169" s="132" t="str">
        <f>IF(CRONOGRAMA!F168="", "",CRONOGRAMA!F168)</f>
        <v/>
      </c>
      <c r="F169" s="132" t="str">
        <f>IF(CRONOGRAMA!G168="", "",CRONOGRAMA!G168)</f>
        <v/>
      </c>
      <c r="G169" s="128" t="str">
        <f>IF(CRONOGRAMA!H168="", "",CRONOGRAMA!H168)</f>
        <v/>
      </c>
      <c r="H169" s="128" t="str">
        <f>IF(CRONOGRAMA!I168="", "",CRONOGRAMA!I168)</f>
        <v/>
      </c>
      <c r="I169" s="84">
        <f t="shared" si="500"/>
        <v>0</v>
      </c>
      <c r="J169" s="160" t="str">
        <f>IF($P$6="Indique Fecha Seguimiento","",IF(CRONOGRAMA!$E168="No Aplica","NA",IF($G169="","",IF(YEAR($G169)&lt;YEAR($P$6)," A ",IF(YEAR($G169)=YEAR($P$6),IF(MONTH($G169)&lt;=4," A ","NA"),IF(YEAR($G169)&gt;YEAR($P$6),"NA"))))))</f>
        <v/>
      </c>
      <c r="K169" s="400"/>
      <c r="L169" s="402"/>
      <c r="M169" s="400"/>
      <c r="N169" s="348" t="str">
        <f t="shared" si="501"/>
        <v/>
      </c>
      <c r="O169" s="349"/>
      <c r="P169" s="44"/>
      <c r="Q169" s="84" t="str">
        <f t="shared" si="502"/>
        <v/>
      </c>
      <c r="R169" s="84" t="str">
        <f t="shared" si="503"/>
        <v/>
      </c>
      <c r="S169" s="84">
        <f t="shared" si="539"/>
        <v>0</v>
      </c>
      <c r="T169" s="160" t="str">
        <f>IF($Z$6="Indique Fecha Seguimiento","",IF(CRONOGRAMA!$E168="No Aplica","NA",IF($G169="","",IF(YEAR($G169)&lt;YEAR($Z$6)," A ",IF(YEAR($G169)=YEAR($Z$6),IF(MONTH($G169)&lt;=8," A ","NA"),IF(YEAR($G169)&gt;YEAR($Z$6),"NA"))))))</f>
        <v/>
      </c>
      <c r="U169" s="350"/>
      <c r="V169" s="44"/>
      <c r="W169" s="351"/>
      <c r="X169" s="348" t="str">
        <f t="shared" si="504"/>
        <v/>
      </c>
      <c r="Y169" s="349"/>
      <c r="Z169" s="44"/>
      <c r="AA169" s="84" t="str">
        <f t="shared" si="505"/>
        <v/>
      </c>
      <c r="AB169" s="84" t="str">
        <f t="shared" si="506"/>
        <v/>
      </c>
      <c r="AC169" s="84">
        <f t="shared" si="540"/>
        <v>0</v>
      </c>
      <c r="AD169" s="160" t="str">
        <f>IF($AJ$6="Indique Fecha Seguimiento","",IF(CRONOGRAMA!$E168="No Aplica","NA",IF($G169="","",IF(YEAR($G169)&lt;YEAR($AJ$6)," A ",IF(YEAR($G169)=YEAR($AJ$6),IF(MONTH($G169)&lt;=12," A ","NA"),IF(YEAR($G169)&gt;YEAR($AJ$6),"NA"))))))</f>
        <v/>
      </c>
      <c r="AE169" s="350"/>
      <c r="AF169" s="44"/>
      <c r="AG169" s="351"/>
      <c r="AH169" s="348" t="str">
        <f t="shared" si="507"/>
        <v/>
      </c>
      <c r="AI169" s="349"/>
      <c r="AJ169" s="44"/>
      <c r="AK169" s="81" t="str">
        <f t="shared" si="508"/>
        <v/>
      </c>
      <c r="AL169" s="84" t="str">
        <f t="shared" si="509"/>
        <v/>
      </c>
      <c r="AM169" s="84">
        <f t="shared" si="541"/>
        <v>0</v>
      </c>
      <c r="AN169" s="579"/>
      <c r="AO169" s="580"/>
      <c r="AP169" s="581"/>
      <c r="AQ169" s="581"/>
      <c r="AR169" s="582"/>
      <c r="AS169" s="582"/>
      <c r="AT169" s="582"/>
      <c r="AU169" s="572"/>
      <c r="AV169" s="573"/>
      <c r="AW169" s="574"/>
      <c r="AX169">
        <f t="shared" si="517"/>
        <v>0</v>
      </c>
    </row>
    <row r="170" spans="1:50" ht="39" thickTop="1" x14ac:dyDescent="0.25">
      <c r="A170" s="575" t="str">
        <f>CRONOGRAMA!A169</f>
        <v>26C</v>
      </c>
      <c r="B170" s="578" t="str">
        <f>CRONOGRAMA!B169</f>
        <v>Gestión Documental. Expedición de un certificado de título falso</v>
      </c>
      <c r="C170" s="82" t="str">
        <f>IF('CONSOLIDACION DEL MAPA'!P169="","",'CONSOLIDACION DEL MAPA'!P169)</f>
        <v>No Establecer</v>
      </c>
      <c r="D170" s="82" t="str">
        <f>CRONOGRAMA!D169</f>
        <v xml:space="preserve">Seguir ejecutando y monitoreando los controles existentes </v>
      </c>
      <c r="E170" s="132" t="str">
        <f>IF(CRONOGRAMA!F169="", "",CRONOGRAMA!F169)</f>
        <v/>
      </c>
      <c r="F170" s="132" t="str">
        <f>IF(CRONOGRAMA!G169="", "",CRONOGRAMA!G169)</f>
        <v/>
      </c>
      <c r="G170" s="128" t="str">
        <f>IF(CRONOGRAMA!H169="", "",CRONOGRAMA!H169)</f>
        <v/>
      </c>
      <c r="H170" s="128" t="str">
        <f>IF(CRONOGRAMA!I169="", "",CRONOGRAMA!I169)</f>
        <v/>
      </c>
      <c r="I170" s="84">
        <f t="shared" si="500"/>
        <v>0</v>
      </c>
      <c r="J170" s="160" t="str">
        <f>IF($P$6="Indique Fecha Seguimiento","",IF(CRONOGRAMA!$E169="No Aplica","NA",IF($G170="","",IF(YEAR($G170)&lt;YEAR($P$6)," A ",IF(YEAR($G170)=YEAR($P$6),IF(MONTH($G170)&lt;=4," A ","NA"),IF(YEAR($G170)&gt;YEAR($P$6),"NA"))))))</f>
        <v>NA</v>
      </c>
      <c r="K170" s="400"/>
      <c r="L170" s="402"/>
      <c r="M170" s="400"/>
      <c r="N170" s="348" t="str">
        <f t="shared" si="501"/>
        <v/>
      </c>
      <c r="O170" s="349"/>
      <c r="P170" s="44"/>
      <c r="Q170" s="84" t="str">
        <f t="shared" si="502"/>
        <v/>
      </c>
      <c r="R170" s="84" t="str">
        <f t="shared" si="503"/>
        <v/>
      </c>
      <c r="S170" s="84">
        <f t="shared" si="539"/>
        <v>0</v>
      </c>
      <c r="T170" s="160" t="str">
        <f>IF($Z$6="Indique Fecha Seguimiento","",IF(CRONOGRAMA!$E169="No Aplica","NA",IF($G170="","",IF(YEAR($G170)&lt;YEAR($Z$6)," A ",IF(YEAR($G170)=YEAR($Z$6),IF(MONTH($G170)&lt;=8," A ","NA"),IF(YEAR($G170)&gt;YEAR($Z$6),"NA"))))))</f>
        <v>NA</v>
      </c>
      <c r="U170" s="350"/>
      <c r="V170" s="44"/>
      <c r="W170" s="351"/>
      <c r="X170" s="348" t="str">
        <f t="shared" si="504"/>
        <v/>
      </c>
      <c r="Y170" s="349"/>
      <c r="Z170" s="44"/>
      <c r="AA170" s="84" t="str">
        <f t="shared" si="505"/>
        <v/>
      </c>
      <c r="AB170" s="84" t="str">
        <f t="shared" si="506"/>
        <v/>
      </c>
      <c r="AC170" s="84">
        <f t="shared" si="540"/>
        <v>0</v>
      </c>
      <c r="AD170" s="160" t="str">
        <f>IF($AJ$6="Indique Fecha Seguimiento","",IF(CRONOGRAMA!$E169="No Aplica","NA",IF($G170="","",IF(YEAR($G170)&lt;YEAR($AJ$6)," A ",IF(YEAR($G170)=YEAR($AJ$6),IF(MONTH($G170)&lt;=12," A ","NA"),IF(YEAR($G170)&gt;YEAR($AJ$6),"NA"))))))</f>
        <v>NA</v>
      </c>
      <c r="AE170" s="350"/>
      <c r="AF170" s="44"/>
      <c r="AG170" s="351"/>
      <c r="AH170" s="348" t="str">
        <f t="shared" si="507"/>
        <v/>
      </c>
      <c r="AI170" s="349"/>
      <c r="AJ170" s="44"/>
      <c r="AK170" s="81" t="str">
        <f t="shared" si="508"/>
        <v/>
      </c>
      <c r="AL170" s="84" t="str">
        <f t="shared" si="509"/>
        <v/>
      </c>
      <c r="AM170" s="84">
        <f t="shared" si="541"/>
        <v>0</v>
      </c>
      <c r="AN170" s="579">
        <f t="shared" ref="AN170" si="566">SUM(I170:I172)</f>
        <v>0</v>
      </c>
      <c r="AO170" s="580" t="str">
        <f t="shared" ref="AO170" si="567">IF(AND(Q170="",Q171="",Q172=""),"",SUM(Q170:Q172))</f>
        <v/>
      </c>
      <c r="AP170" s="581" t="str">
        <f t="shared" ref="AP170" si="568">IF(AND(AA170="",AA171="",AA172=""),"",SUM(AA170:AA172))</f>
        <v/>
      </c>
      <c r="AQ170" s="581" t="str">
        <f t="shared" ref="AQ170" si="569">IF(AND(AK170="",AK171="",AK172=""),"",SUM(AK170:AK172))</f>
        <v/>
      </c>
      <c r="AR170" s="582" t="str">
        <f t="shared" si="546"/>
        <v>NA</v>
      </c>
      <c r="AS170" s="582" t="str">
        <f t="shared" si="547"/>
        <v>NA</v>
      </c>
      <c r="AT170" s="582" t="str">
        <f t="shared" ref="AT170" si="570">IF(AS170&gt;=AR170,AS170,AR170)</f>
        <v>NA</v>
      </c>
      <c r="AU170" s="572" t="str">
        <f t="shared" si="549"/>
        <v>NA</v>
      </c>
      <c r="AV170" s="573" t="str">
        <f t="shared" ref="AV170" si="571">IF($AU$6=1,AR170,IF($AU$6=2,AS170,IF($AU$6=3,AU170,"")))</f>
        <v>NA</v>
      </c>
      <c r="AW170" s="574" t="str">
        <f t="shared" ref="AW170" si="572">AV170</f>
        <v>NA</v>
      </c>
      <c r="AX170">
        <f t="shared" si="517"/>
        <v>0</v>
      </c>
    </row>
    <row r="171" spans="1:50" ht="15.75" x14ac:dyDescent="0.25">
      <c r="A171" s="576"/>
      <c r="B171" s="578"/>
      <c r="C171" s="82" t="str">
        <f>IF('CONSOLIDACION DEL MAPA'!P170="","",'CONSOLIDACION DEL MAPA'!P170)</f>
        <v/>
      </c>
      <c r="D171" s="82" t="str">
        <f>CRONOGRAMA!D170</f>
        <v/>
      </c>
      <c r="E171" s="132" t="str">
        <f>IF(CRONOGRAMA!F170="", "",CRONOGRAMA!F170)</f>
        <v/>
      </c>
      <c r="F171" s="132" t="str">
        <f>IF(CRONOGRAMA!G170="", "",CRONOGRAMA!G170)</f>
        <v/>
      </c>
      <c r="G171" s="128" t="str">
        <f>IF(CRONOGRAMA!H170="", "",CRONOGRAMA!H170)</f>
        <v/>
      </c>
      <c r="H171" s="128" t="str">
        <f>IF(CRONOGRAMA!I170="", "",CRONOGRAMA!I170)</f>
        <v/>
      </c>
      <c r="I171" s="84">
        <f t="shared" si="500"/>
        <v>0</v>
      </c>
      <c r="J171" s="160" t="str">
        <f>IF($P$6="Indique Fecha Seguimiento","",IF(CRONOGRAMA!$E170="No Aplica","NA",IF($G171="","",IF(YEAR($G171)&lt;YEAR($P$6)," A ",IF(YEAR($G171)=YEAR($P$6),IF(MONTH($G171)&lt;=4," A ","NA"),IF(YEAR($G171)&gt;YEAR($P$6),"NA"))))))</f>
        <v/>
      </c>
      <c r="K171" s="400"/>
      <c r="L171" s="402"/>
      <c r="M171" s="400"/>
      <c r="N171" s="348" t="str">
        <f t="shared" si="501"/>
        <v/>
      </c>
      <c r="O171" s="349"/>
      <c r="P171" s="44"/>
      <c r="Q171" s="84" t="str">
        <f t="shared" si="502"/>
        <v/>
      </c>
      <c r="R171" s="84" t="str">
        <f t="shared" si="503"/>
        <v/>
      </c>
      <c r="S171" s="84">
        <f t="shared" si="539"/>
        <v>0</v>
      </c>
      <c r="T171" s="160" t="str">
        <f>IF($Z$6="Indique Fecha Seguimiento","",IF(CRONOGRAMA!$E170="No Aplica","NA",IF($G171="","",IF(YEAR($G171)&lt;YEAR($Z$6)," A ",IF(YEAR($G171)=YEAR($Z$6),IF(MONTH($G171)&lt;=8," A ","NA"),IF(YEAR($G171)&gt;YEAR($Z$6),"NA"))))))</f>
        <v/>
      </c>
      <c r="U171" s="350"/>
      <c r="V171" s="44"/>
      <c r="W171" s="351"/>
      <c r="X171" s="348" t="str">
        <f t="shared" si="504"/>
        <v/>
      </c>
      <c r="Y171" s="349"/>
      <c r="Z171" s="44"/>
      <c r="AA171" s="84" t="str">
        <f t="shared" si="505"/>
        <v/>
      </c>
      <c r="AB171" s="84" t="str">
        <f t="shared" si="506"/>
        <v/>
      </c>
      <c r="AC171" s="84">
        <f t="shared" si="540"/>
        <v>0</v>
      </c>
      <c r="AD171" s="160" t="str">
        <f>IF($AJ$6="Indique Fecha Seguimiento","",IF(CRONOGRAMA!$E170="No Aplica","NA",IF($G171="","",IF(YEAR($G171)&lt;YEAR($AJ$6)," A ",IF(YEAR($G171)=YEAR($AJ$6),IF(MONTH($G171)&lt;=12," A ","NA"),IF(YEAR($G171)&gt;YEAR($AJ$6),"NA"))))))</f>
        <v/>
      </c>
      <c r="AE171" s="350"/>
      <c r="AF171" s="44"/>
      <c r="AG171" s="351"/>
      <c r="AH171" s="348" t="str">
        <f t="shared" si="507"/>
        <v/>
      </c>
      <c r="AI171" s="349"/>
      <c r="AJ171" s="44"/>
      <c r="AK171" s="81" t="str">
        <f t="shared" si="508"/>
        <v/>
      </c>
      <c r="AL171" s="84" t="str">
        <f t="shared" si="509"/>
        <v/>
      </c>
      <c r="AM171" s="84">
        <f t="shared" si="541"/>
        <v>0</v>
      </c>
      <c r="AN171" s="579"/>
      <c r="AO171" s="580"/>
      <c r="AP171" s="581"/>
      <c r="AQ171" s="581"/>
      <c r="AR171" s="582"/>
      <c r="AS171" s="582"/>
      <c r="AT171" s="582"/>
      <c r="AU171" s="572"/>
      <c r="AV171" s="573"/>
      <c r="AW171" s="574"/>
      <c r="AX171">
        <f t="shared" si="517"/>
        <v>0</v>
      </c>
    </row>
    <row r="172" spans="1:50" ht="16.5" thickBot="1" x14ac:dyDescent="0.3">
      <c r="A172" s="577"/>
      <c r="B172" s="578"/>
      <c r="C172" s="82" t="str">
        <f>IF('CONSOLIDACION DEL MAPA'!P171="","",'CONSOLIDACION DEL MAPA'!P171)</f>
        <v/>
      </c>
      <c r="D172" s="82" t="str">
        <f>CRONOGRAMA!D171</f>
        <v/>
      </c>
      <c r="E172" s="132" t="str">
        <f>IF(CRONOGRAMA!F171="", "",CRONOGRAMA!F171)</f>
        <v/>
      </c>
      <c r="F172" s="132" t="str">
        <f>IF(CRONOGRAMA!G171="", "",CRONOGRAMA!G171)</f>
        <v/>
      </c>
      <c r="G172" s="128" t="str">
        <f>IF(CRONOGRAMA!H171="", "",CRONOGRAMA!H171)</f>
        <v/>
      </c>
      <c r="H172" s="128" t="str">
        <f>IF(CRONOGRAMA!I171="", "",CRONOGRAMA!I171)</f>
        <v/>
      </c>
      <c r="I172" s="84">
        <f t="shared" si="500"/>
        <v>0</v>
      </c>
      <c r="J172" s="160" t="str">
        <f>IF($P$6="Indique Fecha Seguimiento","",IF(CRONOGRAMA!$E171="No Aplica","NA",IF($G172="","",IF(YEAR($G172)&lt;YEAR($P$6)," A ",IF(YEAR($G172)=YEAR($P$6),IF(MONTH($G172)&lt;=4," A ","NA"),IF(YEAR($G172)&gt;YEAR($P$6),"NA"))))))</f>
        <v/>
      </c>
      <c r="K172" s="400"/>
      <c r="L172" s="402"/>
      <c r="M172" s="400"/>
      <c r="N172" s="348" t="str">
        <f t="shared" si="501"/>
        <v/>
      </c>
      <c r="O172" s="349"/>
      <c r="P172" s="44"/>
      <c r="Q172" s="84" t="str">
        <f t="shared" si="502"/>
        <v/>
      </c>
      <c r="R172" s="84" t="str">
        <f t="shared" si="503"/>
        <v/>
      </c>
      <c r="S172" s="84">
        <f t="shared" si="539"/>
        <v>0</v>
      </c>
      <c r="T172" s="160" t="str">
        <f>IF($Z$6="Indique Fecha Seguimiento","",IF(CRONOGRAMA!$E171="No Aplica","NA",IF($G172="","",IF(YEAR($G172)&lt;YEAR($Z$6)," A ",IF(YEAR($G172)=YEAR($Z$6),IF(MONTH($G172)&lt;=8," A ","NA"),IF(YEAR($G172)&gt;YEAR($Z$6),"NA"))))))</f>
        <v/>
      </c>
      <c r="U172" s="350"/>
      <c r="V172" s="44"/>
      <c r="W172" s="351"/>
      <c r="X172" s="348" t="str">
        <f t="shared" si="504"/>
        <v/>
      </c>
      <c r="Y172" s="349"/>
      <c r="Z172" s="44"/>
      <c r="AA172" s="84" t="str">
        <f t="shared" si="505"/>
        <v/>
      </c>
      <c r="AB172" s="84" t="str">
        <f t="shared" si="506"/>
        <v/>
      </c>
      <c r="AC172" s="84">
        <f t="shared" si="540"/>
        <v>0</v>
      </c>
      <c r="AD172" s="160" t="str">
        <f>IF($AJ$6="Indique Fecha Seguimiento","",IF(CRONOGRAMA!$E171="No Aplica","NA",IF($G172="","",IF(YEAR($G172)&lt;YEAR($AJ$6)," A ",IF(YEAR($G172)=YEAR($AJ$6),IF(MONTH($G172)&lt;=12," A ","NA"),IF(YEAR($G172)&gt;YEAR($AJ$6),"NA"))))))</f>
        <v/>
      </c>
      <c r="AE172" s="350"/>
      <c r="AF172" s="44"/>
      <c r="AG172" s="351"/>
      <c r="AH172" s="348" t="str">
        <f t="shared" si="507"/>
        <v/>
      </c>
      <c r="AI172" s="349"/>
      <c r="AJ172" s="44"/>
      <c r="AK172" s="81" t="str">
        <f t="shared" si="508"/>
        <v/>
      </c>
      <c r="AL172" s="84" t="str">
        <f t="shared" si="509"/>
        <v/>
      </c>
      <c r="AM172" s="84">
        <f t="shared" si="541"/>
        <v>0</v>
      </c>
      <c r="AN172" s="579"/>
      <c r="AO172" s="580"/>
      <c r="AP172" s="581"/>
      <c r="AQ172" s="581"/>
      <c r="AR172" s="582"/>
      <c r="AS172" s="582"/>
      <c r="AT172" s="582"/>
      <c r="AU172" s="572"/>
      <c r="AV172" s="573"/>
      <c r="AW172" s="574"/>
      <c r="AX172">
        <f t="shared" si="517"/>
        <v>0</v>
      </c>
    </row>
    <row r="173" spans="1:50" ht="141" thickTop="1" x14ac:dyDescent="0.25">
      <c r="A173" s="575" t="str">
        <f>CRONOGRAMA!A172</f>
        <v>27C</v>
      </c>
      <c r="B173" s="578" t="str">
        <f>CRONOGRAMA!B172</f>
        <v>Gestión del Talento Humano. Concentración de información de determinadas actividades o procesos en una persona.</v>
      </c>
      <c r="C173" s="82" t="str">
        <f>IF('CONSOLIDACION DEL MAPA'!P172="","",'CONSOLIDACION DEL MAPA'!P172)</f>
        <v>Reducir</v>
      </c>
      <c r="D173" s="82" t="str">
        <f>CRONOGRAMA!D172</f>
        <v>Revisión y actualización de los procedimientos de la Gestión del Talento Humano</v>
      </c>
      <c r="E173" s="132" t="str">
        <f>IF(CRONOGRAMA!F172="", "",CRONOGRAMA!F172)</f>
        <v>Procedimientos actualizados</v>
      </c>
      <c r="F173" s="132">
        <f>IF(CRONOGRAMA!G172="", "",CRONOGRAMA!G172)</f>
        <v>1</v>
      </c>
      <c r="G173" s="128">
        <f>IF(CRONOGRAMA!H172="", "",CRONOGRAMA!H172)</f>
        <v>42430</v>
      </c>
      <c r="H173" s="128">
        <f>IF(CRONOGRAMA!I172="", "",CRONOGRAMA!I172)</f>
        <v>42735</v>
      </c>
      <c r="I173" s="84">
        <f t="shared" si="500"/>
        <v>43.571428571428569</v>
      </c>
      <c r="J173" s="160" t="str">
        <f>IF($P$6="Indique Fecha Seguimiento","",IF(CRONOGRAMA!$E172="No Aplica","NA",IF($G173="","",IF(YEAR($G173)&lt;YEAR($P$6)," A ",IF(YEAR($G173)=YEAR($P$6),IF(MONTH($G173)&lt;=4," A ","NA"),IF(YEAR($G173)&gt;YEAR($P$6),"NA"))))))</f>
        <v xml:space="preserve"> A </v>
      </c>
      <c r="K173" s="400">
        <v>0.05</v>
      </c>
      <c r="L173" s="402" t="s">
        <v>896</v>
      </c>
      <c r="M173" s="400">
        <v>0.05</v>
      </c>
      <c r="N173" s="348">
        <f t="shared" si="501"/>
        <v>0.05</v>
      </c>
      <c r="O173" s="349" t="s">
        <v>353</v>
      </c>
      <c r="P173" s="44"/>
      <c r="Q173" s="84">
        <f t="shared" si="502"/>
        <v>2.1785714285714284</v>
      </c>
      <c r="R173" s="84">
        <f t="shared" si="503"/>
        <v>2.1785714285714284</v>
      </c>
      <c r="S173" s="84">
        <f t="shared" si="539"/>
        <v>43.571428571428569</v>
      </c>
      <c r="T173" s="160" t="str">
        <f>IF($Z$6="Indique Fecha Seguimiento","",IF(CRONOGRAMA!$E172="No Aplica","NA",IF($G173="","",IF(YEAR($G173)&lt;YEAR($Z$6)," A ",IF(YEAR($G173)=YEAR($Z$6),IF(MONTH($G173)&lt;=8," A ","NA"),IF(YEAR($G173)&gt;YEAR($Z$6),"NA"))))))</f>
        <v xml:space="preserve"> A </v>
      </c>
      <c r="U173" s="416">
        <v>0.05</v>
      </c>
      <c r="V173" s="415" t="s">
        <v>953</v>
      </c>
      <c r="W173" s="351">
        <v>0.05</v>
      </c>
      <c r="X173" s="348">
        <f t="shared" si="504"/>
        <v>0.05</v>
      </c>
      <c r="Y173" s="349" t="s">
        <v>353</v>
      </c>
      <c r="Z173" s="44" t="s">
        <v>954</v>
      </c>
      <c r="AA173" s="84">
        <f t="shared" si="505"/>
        <v>2.1785714285714284</v>
      </c>
      <c r="AB173" s="84">
        <f t="shared" si="506"/>
        <v>2.1785714285714284</v>
      </c>
      <c r="AC173" s="84">
        <f t="shared" si="540"/>
        <v>43.571428571428569</v>
      </c>
      <c r="AD173" s="160" t="str">
        <f>IF($AJ$6="Indique Fecha Seguimiento","",IF(CRONOGRAMA!$E172="No Aplica","NA",IF($G173="","",IF(YEAR($G173)&lt;YEAR($AJ$6)," A ",IF(YEAR($G173)=YEAR($AJ$6),IF(MONTH($G173)&lt;=12," A ","NA"),IF(YEAR($G173)&gt;YEAR($AJ$6),"NA"))))))</f>
        <v xml:space="preserve"> A </v>
      </c>
      <c r="AE173" s="720">
        <v>0.2</v>
      </c>
      <c r="AF173" s="420" t="s">
        <v>1009</v>
      </c>
      <c r="AG173" s="351">
        <v>0.2</v>
      </c>
      <c r="AH173" s="348">
        <f t="shared" si="507"/>
        <v>0.2</v>
      </c>
      <c r="AI173" s="349" t="s">
        <v>10</v>
      </c>
      <c r="AJ173" s="44" t="s">
        <v>993</v>
      </c>
      <c r="AK173" s="81">
        <f t="shared" si="508"/>
        <v>8.7142857142857135</v>
      </c>
      <c r="AL173" s="84">
        <f t="shared" si="509"/>
        <v>8.7142857142857135</v>
      </c>
      <c r="AM173" s="84">
        <f t="shared" si="541"/>
        <v>43.571428571428569</v>
      </c>
      <c r="AN173" s="579">
        <f t="shared" ref="AN173" si="573">SUM(I173:I175)</f>
        <v>43.571428571428569</v>
      </c>
      <c r="AO173" s="580">
        <f t="shared" ref="AO173" si="574">IF(AND(Q173="",Q174="",Q175=""),"",SUM(Q173:Q175))</f>
        <v>2.1785714285714284</v>
      </c>
      <c r="AP173" s="581">
        <f t="shared" ref="AP173" si="575">IF(AND(AA173="",AA174="",AA175=""),"",SUM(AA173:AA175))</f>
        <v>2.1785714285714284</v>
      </c>
      <c r="AQ173" s="581">
        <f t="shared" ref="AQ173" si="576">IF(AND(AK173="",AK174="",AK175=""),"",SUM(AK173:AK175))</f>
        <v>8.7142857142857135</v>
      </c>
      <c r="AR173" s="582">
        <f t="shared" si="546"/>
        <v>4.9999999999999996E-2</v>
      </c>
      <c r="AS173" s="582">
        <f t="shared" si="547"/>
        <v>4.9999999999999996E-2</v>
      </c>
      <c r="AT173" s="582">
        <f t="shared" ref="AT173" si="577">IF(AS173&gt;=AR173,AS173,AR173)</f>
        <v>4.9999999999999996E-2</v>
      </c>
      <c r="AU173" s="572">
        <f t="shared" si="549"/>
        <v>0.19999999999999998</v>
      </c>
      <c r="AV173" s="573">
        <f t="shared" ref="AV173" si="578">IF($AU$6=1,AR173,IF($AU$6=2,AS173,IF($AU$6=3,AU173,"")))</f>
        <v>0.19999999999999998</v>
      </c>
      <c r="AW173" s="574">
        <f t="shared" ref="AW173" si="579">AV173</f>
        <v>0.19999999999999998</v>
      </c>
      <c r="AX173" t="str">
        <f t="shared" si="517"/>
        <v>Actividades informadas</v>
      </c>
    </row>
    <row r="174" spans="1:50" ht="15.75" x14ac:dyDescent="0.25">
      <c r="A174" s="576"/>
      <c r="B174" s="578"/>
      <c r="C174" s="82" t="str">
        <f>IF('CONSOLIDACION DEL MAPA'!P173="","",'CONSOLIDACION DEL MAPA'!P173)</f>
        <v/>
      </c>
      <c r="D174" s="82" t="str">
        <f>CRONOGRAMA!D173</f>
        <v/>
      </c>
      <c r="E174" s="132" t="str">
        <f>IF(CRONOGRAMA!F173="", "",CRONOGRAMA!F173)</f>
        <v/>
      </c>
      <c r="F174" s="132" t="str">
        <f>IF(CRONOGRAMA!G173="", "",CRONOGRAMA!G173)</f>
        <v/>
      </c>
      <c r="G174" s="128" t="str">
        <f>IF(CRONOGRAMA!H173="", "",CRONOGRAMA!H173)</f>
        <v/>
      </c>
      <c r="H174" s="128" t="str">
        <f>IF(CRONOGRAMA!I173="", "",CRONOGRAMA!I173)</f>
        <v/>
      </c>
      <c r="I174" s="84">
        <f t="shared" si="500"/>
        <v>0</v>
      </c>
      <c r="J174" s="160" t="str">
        <f>IF($P$6="Indique Fecha Seguimiento","",IF(CRONOGRAMA!$E173="No Aplica","NA",IF($G174="","",IF(YEAR($G174)&lt;YEAR($P$6)," A ",IF(YEAR($G174)=YEAR($P$6),IF(MONTH($G174)&lt;=4," A ","NA"),IF(YEAR($G174)&gt;YEAR($P$6),"NA"))))))</f>
        <v/>
      </c>
      <c r="K174" s="400"/>
      <c r="L174" s="402"/>
      <c r="M174" s="400"/>
      <c r="N174" s="348" t="str">
        <f t="shared" si="501"/>
        <v/>
      </c>
      <c r="O174" s="349"/>
      <c r="P174" s="44"/>
      <c r="Q174" s="84" t="str">
        <f t="shared" si="502"/>
        <v/>
      </c>
      <c r="R174" s="84" t="str">
        <f t="shared" si="503"/>
        <v/>
      </c>
      <c r="S174" s="84">
        <f t="shared" si="539"/>
        <v>0</v>
      </c>
      <c r="T174" s="160" t="str">
        <f>IF($Z$6="Indique Fecha Seguimiento","",IF(CRONOGRAMA!$E173="No Aplica","NA",IF($G174="","",IF(YEAR($G174)&lt;YEAR($Z$6)," A ",IF(YEAR($G174)=YEAR($Z$6),IF(MONTH($G174)&lt;=8," A ","NA"),IF(YEAR($G174)&gt;YEAR($Z$6),"NA"))))))</f>
        <v/>
      </c>
      <c r="U174" s="350"/>
      <c r="V174" s="44"/>
      <c r="W174" s="351"/>
      <c r="X174" s="348" t="str">
        <f t="shared" si="504"/>
        <v/>
      </c>
      <c r="Y174" s="349"/>
      <c r="Z174" s="44"/>
      <c r="AA174" s="84" t="str">
        <f t="shared" si="505"/>
        <v/>
      </c>
      <c r="AB174" s="84" t="str">
        <f t="shared" si="506"/>
        <v/>
      </c>
      <c r="AC174" s="84">
        <f t="shared" si="540"/>
        <v>0</v>
      </c>
      <c r="AD174" s="160" t="str">
        <f>IF($AJ$6="Indique Fecha Seguimiento","",IF(CRONOGRAMA!$E173="No Aplica","NA",IF($G174="","",IF(YEAR($G174)&lt;YEAR($AJ$6)," A ",IF(YEAR($G174)=YEAR($AJ$6),IF(MONTH($G174)&lt;=12," A ","NA"),IF(YEAR($G174)&gt;YEAR($AJ$6),"NA"))))))</f>
        <v/>
      </c>
      <c r="AE174" s="350"/>
      <c r="AF174" s="420"/>
      <c r="AG174" s="351"/>
      <c r="AH174" s="348" t="str">
        <f t="shared" si="507"/>
        <v/>
      </c>
      <c r="AI174" s="349"/>
      <c r="AJ174" s="44"/>
      <c r="AK174" s="81" t="str">
        <f t="shared" si="508"/>
        <v/>
      </c>
      <c r="AL174" s="84" t="str">
        <f t="shared" si="509"/>
        <v/>
      </c>
      <c r="AM174" s="84">
        <f t="shared" si="541"/>
        <v>0</v>
      </c>
      <c r="AN174" s="579"/>
      <c r="AO174" s="580"/>
      <c r="AP174" s="581"/>
      <c r="AQ174" s="581"/>
      <c r="AR174" s="582"/>
      <c r="AS174" s="582"/>
      <c r="AT174" s="582"/>
      <c r="AU174" s="572"/>
      <c r="AV174" s="573"/>
      <c r="AW174" s="574"/>
      <c r="AX174">
        <f t="shared" si="517"/>
        <v>0</v>
      </c>
    </row>
    <row r="175" spans="1:50" ht="16.5" thickBot="1" x14ac:dyDescent="0.3">
      <c r="A175" s="577"/>
      <c r="B175" s="578"/>
      <c r="C175" s="82" t="str">
        <f>IF('CONSOLIDACION DEL MAPA'!P174="","",'CONSOLIDACION DEL MAPA'!P174)</f>
        <v/>
      </c>
      <c r="D175" s="82" t="str">
        <f>CRONOGRAMA!D174</f>
        <v/>
      </c>
      <c r="E175" s="132" t="str">
        <f>IF(CRONOGRAMA!F174="", "",CRONOGRAMA!F174)</f>
        <v/>
      </c>
      <c r="F175" s="132" t="str">
        <f>IF(CRONOGRAMA!G174="", "",CRONOGRAMA!G174)</f>
        <v/>
      </c>
      <c r="G175" s="128" t="str">
        <f>IF(CRONOGRAMA!H174="", "",CRONOGRAMA!H174)</f>
        <v/>
      </c>
      <c r="H175" s="128" t="str">
        <f>IF(CRONOGRAMA!I174="", "",CRONOGRAMA!I174)</f>
        <v/>
      </c>
      <c r="I175" s="84">
        <f t="shared" si="500"/>
        <v>0</v>
      </c>
      <c r="J175" s="160" t="str">
        <f>IF($P$6="Indique Fecha Seguimiento","",IF(CRONOGRAMA!$E174="No Aplica","NA",IF($G175="","",IF(YEAR($G175)&lt;YEAR($P$6)," A ",IF(YEAR($G175)=YEAR($P$6),IF(MONTH($G175)&lt;=4," A ","NA"),IF(YEAR($G175)&gt;YEAR($P$6),"NA"))))))</f>
        <v/>
      </c>
      <c r="K175" s="400"/>
      <c r="L175" s="402"/>
      <c r="M175" s="400"/>
      <c r="N175" s="348" t="str">
        <f t="shared" si="501"/>
        <v/>
      </c>
      <c r="O175" s="349"/>
      <c r="P175" s="44"/>
      <c r="Q175" s="84" t="str">
        <f t="shared" si="502"/>
        <v/>
      </c>
      <c r="R175" s="84" t="str">
        <f t="shared" si="503"/>
        <v/>
      </c>
      <c r="S175" s="84">
        <f t="shared" si="539"/>
        <v>0</v>
      </c>
      <c r="T175" s="160" t="str">
        <f>IF($Z$6="Indique Fecha Seguimiento","",IF(CRONOGRAMA!$E174="No Aplica","NA",IF($G175="","",IF(YEAR($G175)&lt;YEAR($Z$6)," A ",IF(YEAR($G175)=YEAR($Z$6),IF(MONTH($G175)&lt;=8," A ","NA"),IF(YEAR($G175)&gt;YEAR($Z$6),"NA"))))))</f>
        <v/>
      </c>
      <c r="U175" s="350"/>
      <c r="V175" s="44"/>
      <c r="W175" s="351"/>
      <c r="X175" s="348" t="str">
        <f t="shared" si="504"/>
        <v/>
      </c>
      <c r="Y175" s="349"/>
      <c r="Z175" s="44"/>
      <c r="AA175" s="84" t="str">
        <f t="shared" si="505"/>
        <v/>
      </c>
      <c r="AB175" s="84" t="str">
        <f t="shared" si="506"/>
        <v/>
      </c>
      <c r="AC175" s="84">
        <f t="shared" si="540"/>
        <v>0</v>
      </c>
      <c r="AD175" s="160" t="str">
        <f>IF($AJ$6="Indique Fecha Seguimiento","",IF(CRONOGRAMA!$E174="No Aplica","NA",IF($G175="","",IF(YEAR($G175)&lt;YEAR($AJ$6)," A ",IF(YEAR($G175)=YEAR($AJ$6),IF(MONTH($G175)&lt;=12," A ","NA"),IF(YEAR($G175)&gt;YEAR($AJ$6),"NA"))))))</f>
        <v/>
      </c>
      <c r="AE175" s="350"/>
      <c r="AF175" s="420"/>
      <c r="AG175" s="351"/>
      <c r="AH175" s="348" t="str">
        <f t="shared" si="507"/>
        <v/>
      </c>
      <c r="AI175" s="349"/>
      <c r="AJ175" s="44"/>
      <c r="AK175" s="81" t="str">
        <f t="shared" si="508"/>
        <v/>
      </c>
      <c r="AL175" s="84" t="str">
        <f t="shared" si="509"/>
        <v/>
      </c>
      <c r="AM175" s="84">
        <f t="shared" si="541"/>
        <v>0</v>
      </c>
      <c r="AN175" s="579"/>
      <c r="AO175" s="580"/>
      <c r="AP175" s="581"/>
      <c r="AQ175" s="581"/>
      <c r="AR175" s="582"/>
      <c r="AS175" s="582"/>
      <c r="AT175" s="582"/>
      <c r="AU175" s="572"/>
      <c r="AV175" s="573"/>
      <c r="AW175" s="574"/>
      <c r="AX175">
        <f t="shared" si="517"/>
        <v>0</v>
      </c>
    </row>
    <row r="176" spans="1:50" ht="77.25" thickTop="1" x14ac:dyDescent="0.25">
      <c r="A176" s="575" t="str">
        <f>CRONOGRAMA!A175</f>
        <v>28C</v>
      </c>
      <c r="B176" s="578" t="str">
        <f>CRONOGRAMA!B175</f>
        <v>Gestión del Talento Humano. Decisiones no ajustadas a la normatividad legal.</v>
      </c>
      <c r="C176" s="82" t="str">
        <f>IF('CONSOLIDACION DEL MAPA'!P175="","",'CONSOLIDACION DEL MAPA'!P175)</f>
        <v>Reducir</v>
      </c>
      <c r="D176" s="82" t="str">
        <f>CRONOGRAMA!D175</f>
        <v>Revisión y actualización el Normograma y los procedimientos de la Gestión del Talento Humano</v>
      </c>
      <c r="E176" s="132" t="str">
        <f>IF(CRONOGRAMA!F175="", "",CRONOGRAMA!F175)</f>
        <v>Normograma actualizado</v>
      </c>
      <c r="F176" s="132">
        <f>IF(CRONOGRAMA!G175="", "",CRONOGRAMA!G175)</f>
        <v>1</v>
      </c>
      <c r="G176" s="128">
        <f>IF(CRONOGRAMA!H175="", "",CRONOGRAMA!H175)</f>
        <v>42430</v>
      </c>
      <c r="H176" s="128">
        <f>IF(CRONOGRAMA!I175="", "",CRONOGRAMA!I175)</f>
        <v>42735</v>
      </c>
      <c r="I176" s="84">
        <f t="shared" si="500"/>
        <v>43.571428571428569</v>
      </c>
      <c r="J176" s="160" t="str">
        <f>IF($P$6="Indique Fecha Seguimiento","",IF(CRONOGRAMA!$E175="No Aplica","NA",IF($G176="","",IF(YEAR($G176)&lt;YEAR($P$6)," A ",IF(YEAR($G176)=YEAR($P$6),IF(MONTH($G176)&lt;=4," A ","NA"),IF(YEAR($G176)&gt;YEAR($P$6),"NA"))))))</f>
        <v xml:space="preserve"> A </v>
      </c>
      <c r="K176" s="400">
        <v>0.85</v>
      </c>
      <c r="L176" s="402" t="s">
        <v>909</v>
      </c>
      <c r="M176" s="400">
        <v>0.85</v>
      </c>
      <c r="N176" s="348">
        <f t="shared" si="501"/>
        <v>0.85</v>
      </c>
      <c r="O176" s="349" t="s">
        <v>353</v>
      </c>
      <c r="P176" s="44"/>
      <c r="Q176" s="84">
        <f t="shared" si="502"/>
        <v>37.035714285714285</v>
      </c>
      <c r="R176" s="84">
        <f t="shared" si="503"/>
        <v>37.035714285714285</v>
      </c>
      <c r="S176" s="84">
        <f t="shared" si="539"/>
        <v>43.571428571428569</v>
      </c>
      <c r="T176" s="160" t="str">
        <f>IF($Z$6="Indique Fecha Seguimiento","",IF(CRONOGRAMA!$E175="No Aplica","NA",IF($G176="","",IF(YEAR($G176)&lt;YEAR($Z$6)," A ",IF(YEAR($G176)=YEAR($Z$6),IF(MONTH($G176)&lt;=8," A ","NA"),IF(YEAR($G176)&gt;YEAR($Z$6),"NA"))))))</f>
        <v xml:space="preserve"> A </v>
      </c>
      <c r="U176" s="416">
        <v>0.85</v>
      </c>
      <c r="V176" s="415" t="s">
        <v>955</v>
      </c>
      <c r="W176" s="351">
        <v>0.85</v>
      </c>
      <c r="X176" s="348">
        <f t="shared" si="504"/>
        <v>0.85</v>
      </c>
      <c r="Y176" s="349" t="s">
        <v>353</v>
      </c>
      <c r="Z176" s="44" t="str">
        <f>V176</f>
        <v xml:space="preserve">Se solicitó una actualización con corte a 30/03/2016.
</v>
      </c>
      <c r="AA176" s="84">
        <f t="shared" si="505"/>
        <v>37.035714285714285</v>
      </c>
      <c r="AB176" s="84">
        <f t="shared" si="506"/>
        <v>37.035714285714285</v>
      </c>
      <c r="AC176" s="84">
        <f t="shared" si="540"/>
        <v>43.571428571428569</v>
      </c>
      <c r="AD176" s="160" t="str">
        <f>IF($AJ$6="Indique Fecha Seguimiento","",IF(CRONOGRAMA!$E175="No Aplica","NA",IF($G176="","",IF(YEAR($G176)&lt;YEAR($AJ$6)," A ",IF(YEAR($G176)=YEAR($AJ$6),IF(MONTH($G176)&lt;=12," A ","NA"),IF(YEAR($G176)&gt;YEAR($AJ$6),"NA"))))))</f>
        <v xml:space="preserve"> A </v>
      </c>
      <c r="AE176" s="720">
        <v>0.85</v>
      </c>
      <c r="AF176" s="420" t="s">
        <v>955</v>
      </c>
      <c r="AG176" s="351">
        <v>0.85</v>
      </c>
      <c r="AH176" s="348">
        <f t="shared" si="507"/>
        <v>0.85</v>
      </c>
      <c r="AI176" s="349" t="s">
        <v>10</v>
      </c>
      <c r="AJ176" s="44" t="str">
        <f>AF176</f>
        <v xml:space="preserve">Se solicitó una actualización con corte a 30/03/2016.
</v>
      </c>
      <c r="AK176" s="81">
        <f t="shared" si="508"/>
        <v>37.035714285714285</v>
      </c>
      <c r="AL176" s="84">
        <f t="shared" si="509"/>
        <v>37.035714285714285</v>
      </c>
      <c r="AM176" s="84">
        <f t="shared" si="541"/>
        <v>43.571428571428569</v>
      </c>
      <c r="AN176" s="579">
        <f t="shared" ref="AN176" si="580">SUM(I176:I178)</f>
        <v>43.571428571428569</v>
      </c>
      <c r="AO176" s="580">
        <f t="shared" ref="AO176" si="581">IF(AND(Q176="",Q177="",Q178=""),"",SUM(Q176:Q178))</f>
        <v>37.035714285714285</v>
      </c>
      <c r="AP176" s="581">
        <f t="shared" ref="AP176" si="582">IF(AND(AA176="",AA177="",AA178=""),"",SUM(AA176:AA178))</f>
        <v>37.035714285714285</v>
      </c>
      <c r="AQ176" s="581">
        <f t="shared" ref="AQ176" si="583">IF(AND(AK176="",AK177="",AK178=""),"",SUM(AK176:AK178))</f>
        <v>37.035714285714285</v>
      </c>
      <c r="AR176" s="582">
        <f t="shared" si="546"/>
        <v>0.85</v>
      </c>
      <c r="AS176" s="582">
        <f t="shared" si="547"/>
        <v>0.85</v>
      </c>
      <c r="AT176" s="582">
        <f t="shared" ref="AT176" si="584">IF(AS176&gt;=AR176,AS176,AR176)</f>
        <v>0.85</v>
      </c>
      <c r="AU176" s="572">
        <f t="shared" si="549"/>
        <v>0.85</v>
      </c>
      <c r="AV176" s="573">
        <f t="shared" ref="AV176" si="585">IF($AU$6=1,AR176,IF($AU$6=2,AS176,IF($AU$6=3,AU176,"")))</f>
        <v>0.85</v>
      </c>
      <c r="AW176" s="574">
        <f t="shared" ref="AW176" si="586">AV176</f>
        <v>0.85</v>
      </c>
      <c r="AX176" t="str">
        <f t="shared" si="517"/>
        <v xml:space="preserve">Se solicitó una actualización con corte a 30/03/2016.
</v>
      </c>
    </row>
    <row r="177" spans="1:50" ht="15.75" x14ac:dyDescent="0.25">
      <c r="A177" s="576"/>
      <c r="B177" s="578"/>
      <c r="C177" s="82" t="str">
        <f>IF('CONSOLIDACION DEL MAPA'!P176="","",'CONSOLIDACION DEL MAPA'!P176)</f>
        <v/>
      </c>
      <c r="D177" s="82" t="str">
        <f>CRONOGRAMA!D176</f>
        <v/>
      </c>
      <c r="E177" s="132" t="str">
        <f>IF(CRONOGRAMA!F176="", "",CRONOGRAMA!F176)</f>
        <v/>
      </c>
      <c r="F177" s="132" t="str">
        <f>IF(CRONOGRAMA!G176="", "",CRONOGRAMA!G176)</f>
        <v/>
      </c>
      <c r="G177" s="128" t="str">
        <f>IF(CRONOGRAMA!H176="", "",CRONOGRAMA!H176)</f>
        <v/>
      </c>
      <c r="H177" s="128" t="str">
        <f>IF(CRONOGRAMA!I176="", "",CRONOGRAMA!I176)</f>
        <v/>
      </c>
      <c r="I177" s="84">
        <f t="shared" si="500"/>
        <v>0</v>
      </c>
      <c r="J177" s="160" t="str">
        <f>IF($P$6="Indique Fecha Seguimiento","",IF(CRONOGRAMA!$E176="No Aplica","NA",IF($G177="","",IF(YEAR($G177)&lt;YEAR($P$6)," A ",IF(YEAR($G177)=YEAR($P$6),IF(MONTH($G177)&lt;=4," A ","NA"),IF(YEAR($G177)&gt;YEAR($P$6),"NA"))))))</f>
        <v/>
      </c>
      <c r="K177" s="400"/>
      <c r="L177" s="402"/>
      <c r="M177" s="400"/>
      <c r="N177" s="348" t="str">
        <f t="shared" si="501"/>
        <v/>
      </c>
      <c r="O177" s="349"/>
      <c r="P177" s="44"/>
      <c r="Q177" s="84" t="str">
        <f t="shared" si="502"/>
        <v/>
      </c>
      <c r="R177" s="84" t="str">
        <f t="shared" si="503"/>
        <v/>
      </c>
      <c r="S177" s="84">
        <f t="shared" si="539"/>
        <v>0</v>
      </c>
      <c r="T177" s="160" t="str">
        <f>IF($Z$6="Indique Fecha Seguimiento","",IF(CRONOGRAMA!$E176="No Aplica","NA",IF($G177="","",IF(YEAR($G177)&lt;YEAR($Z$6)," A ",IF(YEAR($G177)=YEAR($Z$6),IF(MONTH($G177)&lt;=8," A ","NA"),IF(YEAR($G177)&gt;YEAR($Z$6),"NA"))))))</f>
        <v/>
      </c>
      <c r="U177" s="350"/>
      <c r="V177" s="44"/>
      <c r="W177" s="351"/>
      <c r="X177" s="348" t="str">
        <f t="shared" si="504"/>
        <v/>
      </c>
      <c r="Y177" s="349"/>
      <c r="Z177" s="44"/>
      <c r="AA177" s="84" t="str">
        <f t="shared" si="505"/>
        <v/>
      </c>
      <c r="AB177" s="84" t="str">
        <f t="shared" si="506"/>
        <v/>
      </c>
      <c r="AC177" s="84">
        <f t="shared" si="540"/>
        <v>0</v>
      </c>
      <c r="AD177" s="160" t="str">
        <f>IF($AJ$6="Indique Fecha Seguimiento","",IF(CRONOGRAMA!$E176="No Aplica","NA",IF($G177="","",IF(YEAR($G177)&lt;YEAR($AJ$6)," A ",IF(YEAR($G177)=YEAR($AJ$6),IF(MONTH($G177)&lt;=12," A ","NA"),IF(YEAR($G177)&gt;YEAR($AJ$6),"NA"))))))</f>
        <v/>
      </c>
      <c r="AE177" s="350"/>
      <c r="AF177" s="44"/>
      <c r="AG177" s="351"/>
      <c r="AH177" s="348" t="str">
        <f t="shared" si="507"/>
        <v/>
      </c>
      <c r="AI177" s="349"/>
      <c r="AJ177" s="44"/>
      <c r="AK177" s="81" t="str">
        <f t="shared" si="508"/>
        <v/>
      </c>
      <c r="AL177" s="84" t="str">
        <f t="shared" si="509"/>
        <v/>
      </c>
      <c r="AM177" s="84">
        <f t="shared" si="541"/>
        <v>0</v>
      </c>
      <c r="AN177" s="579"/>
      <c r="AO177" s="580"/>
      <c r="AP177" s="581"/>
      <c r="AQ177" s="581"/>
      <c r="AR177" s="582"/>
      <c r="AS177" s="582"/>
      <c r="AT177" s="582"/>
      <c r="AU177" s="572"/>
      <c r="AV177" s="573"/>
      <c r="AW177" s="574"/>
      <c r="AX177">
        <f t="shared" si="517"/>
        <v>0</v>
      </c>
    </row>
    <row r="178" spans="1:50" ht="16.5" thickBot="1" x14ac:dyDescent="0.3">
      <c r="A178" s="577"/>
      <c r="B178" s="578"/>
      <c r="C178" s="82" t="str">
        <f>IF('CONSOLIDACION DEL MAPA'!P177="","",'CONSOLIDACION DEL MAPA'!P177)</f>
        <v/>
      </c>
      <c r="D178" s="82" t="str">
        <f>CRONOGRAMA!D177</f>
        <v/>
      </c>
      <c r="E178" s="132" t="str">
        <f>IF(CRONOGRAMA!F177="", "",CRONOGRAMA!F177)</f>
        <v/>
      </c>
      <c r="F178" s="132" t="str">
        <f>IF(CRONOGRAMA!G177="", "",CRONOGRAMA!G177)</f>
        <v/>
      </c>
      <c r="G178" s="128" t="str">
        <f>IF(CRONOGRAMA!H177="", "",CRONOGRAMA!H177)</f>
        <v/>
      </c>
      <c r="H178" s="128" t="str">
        <f>IF(CRONOGRAMA!I177="", "",CRONOGRAMA!I177)</f>
        <v/>
      </c>
      <c r="I178" s="84">
        <f t="shared" si="500"/>
        <v>0</v>
      </c>
      <c r="J178" s="160" t="str">
        <f>IF($P$6="Indique Fecha Seguimiento","",IF(CRONOGRAMA!$E177="No Aplica","NA",IF($G178="","",IF(YEAR($G178)&lt;YEAR($P$6)," A ",IF(YEAR($G178)=YEAR($P$6),IF(MONTH($G178)&lt;=4," A ","NA"),IF(YEAR($G178)&gt;YEAR($P$6),"NA"))))))</f>
        <v/>
      </c>
      <c r="K178" s="400"/>
      <c r="L178" s="402"/>
      <c r="M178" s="400"/>
      <c r="N178" s="348" t="str">
        <f t="shared" si="501"/>
        <v/>
      </c>
      <c r="O178" s="349"/>
      <c r="P178" s="44"/>
      <c r="Q178" s="84" t="str">
        <f t="shared" si="502"/>
        <v/>
      </c>
      <c r="R178" s="84" t="str">
        <f t="shared" si="503"/>
        <v/>
      </c>
      <c r="S178" s="84">
        <f t="shared" si="539"/>
        <v>0</v>
      </c>
      <c r="T178" s="160" t="str">
        <f>IF($Z$6="Indique Fecha Seguimiento","",IF(CRONOGRAMA!$E177="No Aplica","NA",IF($G178="","",IF(YEAR($G178)&lt;YEAR($Z$6)," A ",IF(YEAR($G178)=YEAR($Z$6),IF(MONTH($G178)&lt;=8," A ","NA"),IF(YEAR($G178)&gt;YEAR($Z$6),"NA"))))))</f>
        <v/>
      </c>
      <c r="U178" s="350"/>
      <c r="V178" s="44"/>
      <c r="W178" s="351"/>
      <c r="X178" s="348" t="str">
        <f t="shared" si="504"/>
        <v/>
      </c>
      <c r="Y178" s="349"/>
      <c r="Z178" s="44"/>
      <c r="AA178" s="84" t="str">
        <f t="shared" si="505"/>
        <v/>
      </c>
      <c r="AB178" s="84" t="str">
        <f t="shared" si="506"/>
        <v/>
      </c>
      <c r="AC178" s="84">
        <f t="shared" si="540"/>
        <v>0</v>
      </c>
      <c r="AD178" s="160" t="str">
        <f>IF($AJ$6="Indique Fecha Seguimiento","",IF(CRONOGRAMA!$E177="No Aplica","NA",IF($G178="","",IF(YEAR($G178)&lt;YEAR($AJ$6)," A ",IF(YEAR($G178)=YEAR($AJ$6),IF(MONTH($G178)&lt;=12," A ","NA"),IF(YEAR($G178)&gt;YEAR($AJ$6),"NA"))))))</f>
        <v/>
      </c>
      <c r="AE178" s="350"/>
      <c r="AF178" s="44"/>
      <c r="AG178" s="351"/>
      <c r="AH178" s="348" t="str">
        <f t="shared" si="507"/>
        <v/>
      </c>
      <c r="AI178" s="349"/>
      <c r="AJ178" s="44"/>
      <c r="AK178" s="81" t="str">
        <f t="shared" si="508"/>
        <v/>
      </c>
      <c r="AL178" s="84" t="str">
        <f t="shared" si="509"/>
        <v/>
      </c>
      <c r="AM178" s="84">
        <f t="shared" si="541"/>
        <v>0</v>
      </c>
      <c r="AN178" s="579"/>
      <c r="AO178" s="580"/>
      <c r="AP178" s="581"/>
      <c r="AQ178" s="581"/>
      <c r="AR178" s="582"/>
      <c r="AS178" s="582"/>
      <c r="AT178" s="582"/>
      <c r="AU178" s="572"/>
      <c r="AV178" s="573"/>
      <c r="AW178" s="574"/>
      <c r="AX178">
        <f t="shared" si="517"/>
        <v>0</v>
      </c>
    </row>
    <row r="179" spans="1:50" ht="39" thickTop="1" x14ac:dyDescent="0.25">
      <c r="A179" s="575" t="str">
        <f>CRONOGRAMA!A178</f>
        <v>29C</v>
      </c>
      <c r="B179" s="578" t="str">
        <f>CRONOGRAMA!B178</f>
        <v>Gestión de Admisiones y Registro. Manipulación de resultados del examen  de admisión.</v>
      </c>
      <c r="C179" s="82" t="str">
        <f>IF('CONSOLIDACION DEL MAPA'!P178="","",'CONSOLIDACION DEL MAPA'!P178)</f>
        <v>No Establecer</v>
      </c>
      <c r="D179" s="82" t="str">
        <f>CRONOGRAMA!D178</f>
        <v>Seguir ejecutando y monitoreando los controles existentes.</v>
      </c>
      <c r="E179" s="132" t="str">
        <f>IF(CRONOGRAMA!F178="", "",CRONOGRAMA!F178)</f>
        <v/>
      </c>
      <c r="F179" s="132" t="str">
        <f>IF(CRONOGRAMA!G178="", "",CRONOGRAMA!G178)</f>
        <v/>
      </c>
      <c r="G179" s="128" t="str">
        <f>IF(CRONOGRAMA!H178="", "",CRONOGRAMA!H178)</f>
        <v/>
      </c>
      <c r="H179" s="128" t="str">
        <f>IF(CRONOGRAMA!I178="", "",CRONOGRAMA!I178)</f>
        <v/>
      </c>
      <c r="I179" s="84">
        <f t="shared" si="500"/>
        <v>0</v>
      </c>
      <c r="J179" s="160" t="str">
        <f>IF($P$6="Indique Fecha Seguimiento","",IF(CRONOGRAMA!$E178="No Aplica","NA",IF($G179="","",IF(YEAR($G179)&lt;YEAR($P$6)," A ",IF(YEAR($G179)=YEAR($P$6),IF(MONTH($G179)&lt;=4," A ","NA"),IF(YEAR($G179)&gt;YEAR($P$6),"NA"))))))</f>
        <v>NA</v>
      </c>
      <c r="K179" s="400"/>
      <c r="L179" s="402"/>
      <c r="M179" s="400"/>
      <c r="N179" s="348" t="str">
        <f t="shared" si="501"/>
        <v/>
      </c>
      <c r="O179" s="349"/>
      <c r="P179" s="44"/>
      <c r="Q179" s="84" t="str">
        <f t="shared" si="502"/>
        <v/>
      </c>
      <c r="R179" s="84" t="str">
        <f t="shared" si="503"/>
        <v/>
      </c>
      <c r="S179" s="84">
        <f t="shared" si="539"/>
        <v>0</v>
      </c>
      <c r="T179" s="160" t="str">
        <f>IF($Z$6="Indique Fecha Seguimiento","",IF(CRONOGRAMA!$E178="No Aplica","NA",IF($G179="","",IF(YEAR($G179)&lt;YEAR($Z$6)," A ",IF(YEAR($G179)=YEAR($Z$6),IF(MONTH($G179)&lt;=8," A ","NA"),IF(YEAR($G179)&gt;YEAR($Z$6),"NA"))))))</f>
        <v>NA</v>
      </c>
      <c r="U179" s="350"/>
      <c r="V179" s="44"/>
      <c r="W179" s="351"/>
      <c r="X179" s="348" t="str">
        <f t="shared" si="504"/>
        <v/>
      </c>
      <c r="Y179" s="349"/>
      <c r="Z179" s="44"/>
      <c r="AA179" s="84" t="str">
        <f t="shared" si="505"/>
        <v/>
      </c>
      <c r="AB179" s="84" t="str">
        <f t="shared" si="506"/>
        <v/>
      </c>
      <c r="AC179" s="84">
        <f t="shared" si="540"/>
        <v>0</v>
      </c>
      <c r="AD179" s="160" t="str">
        <f>IF($AJ$6="Indique Fecha Seguimiento","",IF(CRONOGRAMA!$E178="No Aplica","NA",IF($G179="","",IF(YEAR($G179)&lt;YEAR($AJ$6)," A ",IF(YEAR($G179)=YEAR($AJ$6),IF(MONTH($G179)&lt;=12," A ","NA"),IF(YEAR($G179)&gt;YEAR($AJ$6),"NA"))))))</f>
        <v>NA</v>
      </c>
      <c r="AE179" s="350"/>
      <c r="AF179" s="44"/>
      <c r="AG179" s="351"/>
      <c r="AH179" s="348" t="str">
        <f t="shared" si="507"/>
        <v/>
      </c>
      <c r="AI179" s="349"/>
      <c r="AJ179" s="44"/>
      <c r="AK179" s="81" t="str">
        <f t="shared" si="508"/>
        <v/>
      </c>
      <c r="AL179" s="84" t="str">
        <f t="shared" si="509"/>
        <v/>
      </c>
      <c r="AM179" s="84">
        <f t="shared" si="541"/>
        <v>0</v>
      </c>
      <c r="AN179" s="579">
        <f t="shared" ref="AN179" si="587">SUM(I179:I181)</f>
        <v>0</v>
      </c>
      <c r="AO179" s="580" t="str">
        <f t="shared" ref="AO179" si="588">IF(AND(Q179="",Q180="",Q181=""),"",SUM(Q179:Q181))</f>
        <v/>
      </c>
      <c r="AP179" s="581" t="str">
        <f t="shared" ref="AP179" si="589">IF(AND(AA179="",AA180="",AA181=""),"",SUM(AA179:AA181))</f>
        <v/>
      </c>
      <c r="AQ179" s="581" t="str">
        <f t="shared" ref="AQ179" si="590">IF(AND(AK179="",AK180="",AK181=""),"",SUM(AK179:AK181))</f>
        <v/>
      </c>
      <c r="AR179" s="582" t="str">
        <f t="shared" si="546"/>
        <v>NA</v>
      </c>
      <c r="AS179" s="582" t="str">
        <f t="shared" si="547"/>
        <v>NA</v>
      </c>
      <c r="AT179" s="582" t="str">
        <f t="shared" ref="AT179" si="591">IF(AS179&gt;=AR179,AS179,AR179)</f>
        <v>NA</v>
      </c>
      <c r="AU179" s="572" t="str">
        <f t="shared" si="549"/>
        <v>NA</v>
      </c>
      <c r="AV179" s="573" t="str">
        <f t="shared" ref="AV179" si="592">IF($AU$6=1,AR179,IF($AU$6=2,AS179,IF($AU$6=3,AU179,"")))</f>
        <v>NA</v>
      </c>
      <c r="AW179" s="574" t="str">
        <f t="shared" ref="AW179" si="593">AV179</f>
        <v>NA</v>
      </c>
      <c r="AX179">
        <f t="shared" si="517"/>
        <v>0</v>
      </c>
    </row>
    <row r="180" spans="1:50" ht="15.75" x14ac:dyDescent="0.25">
      <c r="A180" s="576"/>
      <c r="B180" s="578"/>
      <c r="C180" s="82" t="str">
        <f>IF('CONSOLIDACION DEL MAPA'!P179="","",'CONSOLIDACION DEL MAPA'!P179)</f>
        <v/>
      </c>
      <c r="D180" s="82" t="str">
        <f>CRONOGRAMA!D179</f>
        <v/>
      </c>
      <c r="E180" s="132" t="str">
        <f>IF(CRONOGRAMA!F179="", "",CRONOGRAMA!F179)</f>
        <v/>
      </c>
      <c r="F180" s="132" t="str">
        <f>IF(CRONOGRAMA!G179="", "",CRONOGRAMA!G179)</f>
        <v/>
      </c>
      <c r="G180" s="128" t="str">
        <f>IF(CRONOGRAMA!H179="", "",CRONOGRAMA!H179)</f>
        <v/>
      </c>
      <c r="H180" s="128" t="str">
        <f>IF(CRONOGRAMA!I179="", "",CRONOGRAMA!I179)</f>
        <v/>
      </c>
      <c r="I180" s="84">
        <f t="shared" si="500"/>
        <v>0</v>
      </c>
      <c r="J180" s="160" t="str">
        <f>IF($P$6="Indique Fecha Seguimiento","",IF(CRONOGRAMA!$E179="No Aplica","NA",IF($G180="","",IF(YEAR($G180)&lt;YEAR($P$6)," A ",IF(YEAR($G180)=YEAR($P$6),IF(MONTH($G180)&lt;=4," A ","NA"),IF(YEAR($G180)&gt;YEAR($P$6),"NA"))))))</f>
        <v/>
      </c>
      <c r="K180" s="400"/>
      <c r="L180" s="402"/>
      <c r="M180" s="400"/>
      <c r="N180" s="348" t="str">
        <f t="shared" si="501"/>
        <v/>
      </c>
      <c r="O180" s="349"/>
      <c r="P180" s="44"/>
      <c r="Q180" s="84" t="str">
        <f t="shared" si="502"/>
        <v/>
      </c>
      <c r="R180" s="84" t="str">
        <f t="shared" si="503"/>
        <v/>
      </c>
      <c r="S180" s="84">
        <f t="shared" si="539"/>
        <v>0</v>
      </c>
      <c r="T180" s="160" t="str">
        <f>IF($Z$6="Indique Fecha Seguimiento","",IF(CRONOGRAMA!$E179="No Aplica","NA",IF($G180="","",IF(YEAR($G180)&lt;YEAR($Z$6)," A ",IF(YEAR($G180)=YEAR($Z$6),IF(MONTH($G180)&lt;=8," A ","NA"),IF(YEAR($G180)&gt;YEAR($Z$6),"NA"))))))</f>
        <v/>
      </c>
      <c r="U180" s="350"/>
      <c r="V180" s="44"/>
      <c r="W180" s="351"/>
      <c r="X180" s="348" t="str">
        <f t="shared" si="504"/>
        <v/>
      </c>
      <c r="Y180" s="349"/>
      <c r="Z180" s="44"/>
      <c r="AA180" s="84" t="str">
        <f t="shared" si="505"/>
        <v/>
      </c>
      <c r="AB180" s="84" t="str">
        <f t="shared" si="506"/>
        <v/>
      </c>
      <c r="AC180" s="84">
        <f t="shared" si="540"/>
        <v>0</v>
      </c>
      <c r="AD180" s="160" t="str">
        <f>IF($AJ$6="Indique Fecha Seguimiento","",IF(CRONOGRAMA!$E179="No Aplica","NA",IF($G180="","",IF(YEAR($G180)&lt;YEAR($AJ$6)," A ",IF(YEAR($G180)=YEAR($AJ$6),IF(MONTH($G180)&lt;=12," A ","NA"),IF(YEAR($G180)&gt;YEAR($AJ$6),"NA"))))))</f>
        <v/>
      </c>
      <c r="AE180" s="350"/>
      <c r="AF180" s="44"/>
      <c r="AG180" s="351"/>
      <c r="AH180" s="348" t="str">
        <f t="shared" si="507"/>
        <v/>
      </c>
      <c r="AI180" s="349"/>
      <c r="AJ180" s="44"/>
      <c r="AK180" s="81" t="str">
        <f t="shared" si="508"/>
        <v/>
      </c>
      <c r="AL180" s="84" t="str">
        <f t="shared" si="509"/>
        <v/>
      </c>
      <c r="AM180" s="84">
        <f t="shared" si="541"/>
        <v>0</v>
      </c>
      <c r="AN180" s="579"/>
      <c r="AO180" s="580"/>
      <c r="AP180" s="581"/>
      <c r="AQ180" s="581"/>
      <c r="AR180" s="582"/>
      <c r="AS180" s="582"/>
      <c r="AT180" s="582"/>
      <c r="AU180" s="572"/>
      <c r="AV180" s="573"/>
      <c r="AW180" s="574"/>
      <c r="AX180">
        <f t="shared" si="517"/>
        <v>0</v>
      </c>
    </row>
    <row r="181" spans="1:50" ht="16.5" thickBot="1" x14ac:dyDescent="0.3">
      <c r="A181" s="577"/>
      <c r="B181" s="578"/>
      <c r="C181" s="82" t="str">
        <f>IF('CONSOLIDACION DEL MAPA'!P180="","",'CONSOLIDACION DEL MAPA'!P180)</f>
        <v/>
      </c>
      <c r="D181" s="82" t="str">
        <f>CRONOGRAMA!D180</f>
        <v/>
      </c>
      <c r="E181" s="132" t="str">
        <f>IF(CRONOGRAMA!F180="", "",CRONOGRAMA!F180)</f>
        <v/>
      </c>
      <c r="F181" s="132" t="str">
        <f>IF(CRONOGRAMA!G180="", "",CRONOGRAMA!G180)</f>
        <v/>
      </c>
      <c r="G181" s="128" t="str">
        <f>IF(CRONOGRAMA!H180="", "",CRONOGRAMA!H180)</f>
        <v/>
      </c>
      <c r="H181" s="128" t="str">
        <f>IF(CRONOGRAMA!I180="", "",CRONOGRAMA!I180)</f>
        <v/>
      </c>
      <c r="I181" s="84">
        <f t="shared" si="500"/>
        <v>0</v>
      </c>
      <c r="J181" s="160" t="str">
        <f>IF($P$6="Indique Fecha Seguimiento","",IF(CRONOGRAMA!$E180="No Aplica","NA",IF($G181="","",IF(YEAR($G181)&lt;YEAR($P$6)," A ",IF(YEAR($G181)=YEAR($P$6),IF(MONTH($G181)&lt;=4," A ","NA"),IF(YEAR($G181)&gt;YEAR($P$6),"NA"))))))</f>
        <v/>
      </c>
      <c r="K181" s="400"/>
      <c r="L181" s="402"/>
      <c r="M181" s="400"/>
      <c r="N181" s="348" t="str">
        <f t="shared" si="501"/>
        <v/>
      </c>
      <c r="O181" s="349"/>
      <c r="P181" s="44"/>
      <c r="Q181" s="84" t="str">
        <f t="shared" si="502"/>
        <v/>
      </c>
      <c r="R181" s="84" t="str">
        <f t="shared" si="503"/>
        <v/>
      </c>
      <c r="S181" s="84">
        <f t="shared" si="539"/>
        <v>0</v>
      </c>
      <c r="T181" s="160" t="str">
        <f>IF($Z$6="Indique Fecha Seguimiento","",IF(CRONOGRAMA!$E180="No Aplica","NA",IF($G181="","",IF(YEAR($G181)&lt;YEAR($Z$6)," A ",IF(YEAR($G181)=YEAR($Z$6),IF(MONTH($G181)&lt;=8," A ","NA"),IF(YEAR($G181)&gt;YEAR($Z$6),"NA"))))))</f>
        <v/>
      </c>
      <c r="U181" s="350"/>
      <c r="V181" s="44"/>
      <c r="W181" s="351"/>
      <c r="X181" s="348" t="str">
        <f t="shared" si="504"/>
        <v/>
      </c>
      <c r="Y181" s="349"/>
      <c r="Z181" s="44"/>
      <c r="AA181" s="84" t="str">
        <f t="shared" si="505"/>
        <v/>
      </c>
      <c r="AB181" s="84" t="str">
        <f t="shared" si="506"/>
        <v/>
      </c>
      <c r="AC181" s="84">
        <f t="shared" si="540"/>
        <v>0</v>
      </c>
      <c r="AD181" s="160" t="str">
        <f>IF($AJ$6="Indique Fecha Seguimiento","",IF(CRONOGRAMA!$E180="No Aplica","NA",IF($G181="","",IF(YEAR($G181)&lt;YEAR($AJ$6)," A ",IF(YEAR($G181)=YEAR($AJ$6),IF(MONTH($G181)&lt;=12," A ","NA"),IF(YEAR($G181)&gt;YEAR($AJ$6),"NA"))))))</f>
        <v/>
      </c>
      <c r="AE181" s="350"/>
      <c r="AF181" s="44"/>
      <c r="AG181" s="351"/>
      <c r="AH181" s="348" t="str">
        <f t="shared" si="507"/>
        <v/>
      </c>
      <c r="AI181" s="349"/>
      <c r="AJ181" s="44"/>
      <c r="AK181" s="81" t="str">
        <f t="shared" si="508"/>
        <v/>
      </c>
      <c r="AL181" s="84" t="str">
        <f t="shared" si="509"/>
        <v/>
      </c>
      <c r="AM181" s="84">
        <f t="shared" si="541"/>
        <v>0</v>
      </c>
      <c r="AN181" s="579"/>
      <c r="AO181" s="580"/>
      <c r="AP181" s="581"/>
      <c r="AQ181" s="581"/>
      <c r="AR181" s="582"/>
      <c r="AS181" s="582"/>
      <c r="AT181" s="582"/>
      <c r="AU181" s="572"/>
      <c r="AV181" s="573"/>
      <c r="AW181" s="574"/>
      <c r="AX181">
        <f t="shared" si="517"/>
        <v>0</v>
      </c>
    </row>
    <row r="182" spans="1:50" ht="39" thickTop="1" x14ac:dyDescent="0.25">
      <c r="A182" s="575" t="str">
        <f>CRONOGRAMA!A181</f>
        <v>30C</v>
      </c>
      <c r="B182" s="578" t="str">
        <f>CRONOGRAMA!B181</f>
        <v>Gestión de Admisiones y Registro. Alteración de notas de estudiantes.</v>
      </c>
      <c r="C182" s="82" t="str">
        <f>IF('CONSOLIDACION DEL MAPA'!P181="","",'CONSOLIDACION DEL MAPA'!P181)</f>
        <v>No Establecer</v>
      </c>
      <c r="D182" s="82" t="str">
        <f>CRONOGRAMA!D181</f>
        <v>Seguir ejecutando y monitoreando los controles existentes.</v>
      </c>
      <c r="E182" s="132" t="str">
        <f>IF(CRONOGRAMA!F181="", "",CRONOGRAMA!F181)</f>
        <v/>
      </c>
      <c r="F182" s="132" t="str">
        <f>IF(CRONOGRAMA!G181="", "",CRONOGRAMA!G181)</f>
        <v/>
      </c>
      <c r="G182" s="128" t="str">
        <f>IF(CRONOGRAMA!H181="", "",CRONOGRAMA!H181)</f>
        <v/>
      </c>
      <c r="H182" s="128" t="str">
        <f>IF(CRONOGRAMA!I181="", "",CRONOGRAMA!I181)</f>
        <v/>
      </c>
      <c r="I182" s="84">
        <f t="shared" si="500"/>
        <v>0</v>
      </c>
      <c r="J182" s="160" t="str">
        <f>IF($P$6="Indique Fecha Seguimiento","",IF(CRONOGRAMA!$E181="No Aplica","NA",IF($G182="","",IF(YEAR($G182)&lt;YEAR($P$6)," A ",IF(YEAR($G182)=YEAR($P$6),IF(MONTH($G182)&lt;=4," A ","NA"),IF(YEAR($G182)&gt;YEAR($P$6),"NA"))))))</f>
        <v>NA</v>
      </c>
      <c r="K182" s="400"/>
      <c r="L182" s="402"/>
      <c r="M182" s="400"/>
      <c r="N182" s="348" t="str">
        <f t="shared" si="501"/>
        <v/>
      </c>
      <c r="O182" s="349"/>
      <c r="P182" s="44"/>
      <c r="Q182" s="84" t="str">
        <f t="shared" si="502"/>
        <v/>
      </c>
      <c r="R182" s="84" t="str">
        <f t="shared" si="503"/>
        <v/>
      </c>
      <c r="S182" s="84">
        <f t="shared" si="539"/>
        <v>0</v>
      </c>
      <c r="T182" s="160" t="str">
        <f>IF($Z$6="Indique Fecha Seguimiento","",IF(CRONOGRAMA!$E181="No Aplica","NA",IF($G182="","",IF(YEAR($G182)&lt;YEAR($Z$6)," A ",IF(YEAR($G182)=YEAR($Z$6),IF(MONTH($G182)&lt;=8," A ","NA"),IF(YEAR($G182)&gt;YEAR($Z$6),"NA"))))))</f>
        <v>NA</v>
      </c>
      <c r="U182" s="350"/>
      <c r="V182" s="44"/>
      <c r="W182" s="351"/>
      <c r="X182" s="348" t="str">
        <f t="shared" si="504"/>
        <v/>
      </c>
      <c r="Y182" s="349"/>
      <c r="Z182" s="44"/>
      <c r="AA182" s="84" t="str">
        <f t="shared" si="505"/>
        <v/>
      </c>
      <c r="AB182" s="84" t="str">
        <f t="shared" si="506"/>
        <v/>
      </c>
      <c r="AC182" s="84">
        <f t="shared" si="540"/>
        <v>0</v>
      </c>
      <c r="AD182" s="160" t="str">
        <f>IF($AJ$6="Indique Fecha Seguimiento","",IF(CRONOGRAMA!$E181="No Aplica","NA",IF($G182="","",IF(YEAR($G182)&lt;YEAR($AJ$6)," A ",IF(YEAR($G182)=YEAR($AJ$6),IF(MONTH($G182)&lt;=12," A ","NA"),IF(YEAR($G182)&gt;YEAR($AJ$6),"NA"))))))</f>
        <v>NA</v>
      </c>
      <c r="AE182" s="350"/>
      <c r="AF182" s="44"/>
      <c r="AG182" s="351"/>
      <c r="AH182" s="348" t="str">
        <f t="shared" si="507"/>
        <v/>
      </c>
      <c r="AI182" s="349"/>
      <c r="AJ182" s="44"/>
      <c r="AK182" s="81" t="str">
        <f t="shared" si="508"/>
        <v/>
      </c>
      <c r="AL182" s="84" t="str">
        <f t="shared" si="509"/>
        <v/>
      </c>
      <c r="AM182" s="84">
        <f t="shared" si="541"/>
        <v>0</v>
      </c>
      <c r="AN182" s="579">
        <f t="shared" ref="AN182" si="594">SUM(I182:I184)</f>
        <v>0</v>
      </c>
      <c r="AO182" s="580" t="str">
        <f t="shared" ref="AO182" si="595">IF(AND(Q182="",Q183="",Q184=""),"",SUM(Q182:Q184))</f>
        <v/>
      </c>
      <c r="AP182" s="581" t="str">
        <f t="shared" ref="AP182" si="596">IF(AND(AA182="",AA183="",AA184=""),"",SUM(AA182:AA184))</f>
        <v/>
      </c>
      <c r="AQ182" s="581" t="str">
        <f t="shared" ref="AQ182" si="597">IF(AND(AK182="",AK183="",AK184=""),"",SUM(AK182:AK184))</f>
        <v/>
      </c>
      <c r="AR182" s="582" t="str">
        <f t="shared" si="546"/>
        <v>NA</v>
      </c>
      <c r="AS182" s="582" t="str">
        <f t="shared" si="547"/>
        <v>NA</v>
      </c>
      <c r="AT182" s="582" t="str">
        <f t="shared" ref="AT182" si="598">IF(AS182&gt;=AR182,AS182,AR182)</f>
        <v>NA</v>
      </c>
      <c r="AU182" s="572" t="str">
        <f t="shared" si="549"/>
        <v>NA</v>
      </c>
      <c r="AV182" s="573" t="str">
        <f t="shared" ref="AV182" si="599">IF($AU$6=1,AR182,IF($AU$6=2,AS182,IF($AU$6=3,AU182,"")))</f>
        <v>NA</v>
      </c>
      <c r="AW182" s="574" t="str">
        <f t="shared" ref="AW182" si="600">AV182</f>
        <v>NA</v>
      </c>
      <c r="AX182">
        <f t="shared" si="517"/>
        <v>0</v>
      </c>
    </row>
    <row r="183" spans="1:50" ht="15.75" x14ac:dyDescent="0.25">
      <c r="A183" s="576"/>
      <c r="B183" s="578"/>
      <c r="C183" s="82" t="str">
        <f>IF('CONSOLIDACION DEL MAPA'!P182="","",'CONSOLIDACION DEL MAPA'!P182)</f>
        <v/>
      </c>
      <c r="D183" s="82" t="str">
        <f>CRONOGRAMA!D182</f>
        <v/>
      </c>
      <c r="E183" s="132" t="str">
        <f>IF(CRONOGRAMA!F182="", "",CRONOGRAMA!F182)</f>
        <v/>
      </c>
      <c r="F183" s="132" t="str">
        <f>IF(CRONOGRAMA!G182="", "",CRONOGRAMA!G182)</f>
        <v/>
      </c>
      <c r="G183" s="128" t="str">
        <f>IF(CRONOGRAMA!H182="", "",CRONOGRAMA!H182)</f>
        <v/>
      </c>
      <c r="H183" s="128" t="str">
        <f>IF(CRONOGRAMA!I182="", "",CRONOGRAMA!I182)</f>
        <v/>
      </c>
      <c r="I183" s="84">
        <f t="shared" si="500"/>
        <v>0</v>
      </c>
      <c r="J183" s="160" t="str">
        <f>IF($P$6="Indique Fecha Seguimiento","",IF(CRONOGRAMA!$E182="No Aplica","NA",IF($G183="","",IF(YEAR($G183)&lt;YEAR($P$6)," A ",IF(YEAR($G183)=YEAR($P$6),IF(MONTH($G183)&lt;=4," A ","NA"),IF(YEAR($G183)&gt;YEAR($P$6),"NA"))))))</f>
        <v/>
      </c>
      <c r="K183" s="400"/>
      <c r="L183" s="402"/>
      <c r="M183" s="400"/>
      <c r="N183" s="348" t="str">
        <f t="shared" si="501"/>
        <v/>
      </c>
      <c r="O183" s="349"/>
      <c r="P183" s="44"/>
      <c r="Q183" s="84" t="str">
        <f t="shared" si="502"/>
        <v/>
      </c>
      <c r="R183" s="84" t="str">
        <f t="shared" si="503"/>
        <v/>
      </c>
      <c r="S183" s="84">
        <f t="shared" si="539"/>
        <v>0</v>
      </c>
      <c r="T183" s="160" t="str">
        <f>IF($Z$6="Indique Fecha Seguimiento","",IF(CRONOGRAMA!$E182="No Aplica","NA",IF($G183="","",IF(YEAR($G183)&lt;YEAR($Z$6)," A ",IF(YEAR($G183)=YEAR($Z$6),IF(MONTH($G183)&lt;=8," A ","NA"),IF(YEAR($G183)&gt;YEAR($Z$6),"NA"))))))</f>
        <v/>
      </c>
      <c r="U183" s="350"/>
      <c r="V183" s="44"/>
      <c r="W183" s="351"/>
      <c r="X183" s="348" t="str">
        <f t="shared" si="504"/>
        <v/>
      </c>
      <c r="Y183" s="349"/>
      <c r="Z183" s="44"/>
      <c r="AA183" s="84" t="str">
        <f t="shared" si="505"/>
        <v/>
      </c>
      <c r="AB183" s="84" t="str">
        <f t="shared" si="506"/>
        <v/>
      </c>
      <c r="AC183" s="84">
        <f t="shared" si="540"/>
        <v>0</v>
      </c>
      <c r="AD183" s="160" t="str">
        <f>IF($AJ$6="Indique Fecha Seguimiento","",IF(CRONOGRAMA!$E182="No Aplica","NA",IF($G183="","",IF(YEAR($G183)&lt;YEAR($AJ$6)," A ",IF(YEAR($G183)=YEAR($AJ$6),IF(MONTH($G183)&lt;=12," A ","NA"),IF(YEAR($G183)&gt;YEAR($AJ$6),"NA"))))))</f>
        <v/>
      </c>
      <c r="AE183" s="350"/>
      <c r="AF183" s="44"/>
      <c r="AG183" s="351"/>
      <c r="AH183" s="348" t="str">
        <f t="shared" si="507"/>
        <v/>
      </c>
      <c r="AI183" s="349"/>
      <c r="AJ183" s="44"/>
      <c r="AK183" s="81" t="str">
        <f t="shared" si="508"/>
        <v/>
      </c>
      <c r="AL183" s="84" t="str">
        <f t="shared" si="509"/>
        <v/>
      </c>
      <c r="AM183" s="84">
        <f t="shared" si="541"/>
        <v>0</v>
      </c>
      <c r="AN183" s="579"/>
      <c r="AO183" s="580"/>
      <c r="AP183" s="581"/>
      <c r="AQ183" s="581"/>
      <c r="AR183" s="582"/>
      <c r="AS183" s="582"/>
      <c r="AT183" s="582"/>
      <c r="AU183" s="572"/>
      <c r="AV183" s="573"/>
      <c r="AW183" s="574"/>
      <c r="AX183">
        <f t="shared" si="517"/>
        <v>0</v>
      </c>
    </row>
    <row r="184" spans="1:50" ht="16.5" thickBot="1" x14ac:dyDescent="0.3">
      <c r="A184" s="577"/>
      <c r="B184" s="578"/>
      <c r="C184" s="82" t="str">
        <f>IF('CONSOLIDACION DEL MAPA'!P183="","",'CONSOLIDACION DEL MAPA'!P183)</f>
        <v/>
      </c>
      <c r="D184" s="82" t="str">
        <f>CRONOGRAMA!D183</f>
        <v/>
      </c>
      <c r="E184" s="132" t="str">
        <f>IF(CRONOGRAMA!F183="", "",CRONOGRAMA!F183)</f>
        <v/>
      </c>
      <c r="F184" s="132" t="str">
        <f>IF(CRONOGRAMA!G183="", "",CRONOGRAMA!G183)</f>
        <v/>
      </c>
      <c r="G184" s="128" t="str">
        <f>IF(CRONOGRAMA!H183="", "",CRONOGRAMA!H183)</f>
        <v/>
      </c>
      <c r="H184" s="128" t="str">
        <f>IF(CRONOGRAMA!I183="", "",CRONOGRAMA!I183)</f>
        <v/>
      </c>
      <c r="I184" s="84">
        <f t="shared" si="500"/>
        <v>0</v>
      </c>
      <c r="J184" s="160" t="str">
        <f>IF($P$6="Indique Fecha Seguimiento","",IF(CRONOGRAMA!$E183="No Aplica","NA",IF($G184="","",IF(YEAR($G184)&lt;YEAR($P$6)," A ",IF(YEAR($G184)=YEAR($P$6),IF(MONTH($G184)&lt;=4," A ","NA"),IF(YEAR($G184)&gt;YEAR($P$6),"NA"))))))</f>
        <v/>
      </c>
      <c r="K184" s="400"/>
      <c r="L184" s="402"/>
      <c r="M184" s="400"/>
      <c r="N184" s="348" t="str">
        <f t="shared" si="501"/>
        <v/>
      </c>
      <c r="O184" s="349"/>
      <c r="P184" s="44"/>
      <c r="Q184" s="84" t="str">
        <f t="shared" si="502"/>
        <v/>
      </c>
      <c r="R184" s="84" t="str">
        <f t="shared" si="503"/>
        <v/>
      </c>
      <c r="S184" s="84">
        <f t="shared" si="539"/>
        <v>0</v>
      </c>
      <c r="T184" s="160" t="str">
        <f>IF($Z$6="Indique Fecha Seguimiento","",IF(CRONOGRAMA!$E183="No Aplica","NA",IF($G184="","",IF(YEAR($G184)&lt;YEAR($Z$6)," A ",IF(YEAR($G184)=YEAR($Z$6),IF(MONTH($G184)&lt;=8," A ","NA"),IF(YEAR($G184)&gt;YEAR($Z$6),"NA"))))))</f>
        <v/>
      </c>
      <c r="U184" s="350"/>
      <c r="V184" s="44"/>
      <c r="W184" s="351"/>
      <c r="X184" s="348" t="str">
        <f t="shared" si="504"/>
        <v/>
      </c>
      <c r="Y184" s="349"/>
      <c r="Z184" s="44"/>
      <c r="AA184" s="84" t="str">
        <f t="shared" si="505"/>
        <v/>
      </c>
      <c r="AB184" s="84" t="str">
        <f t="shared" si="506"/>
        <v/>
      </c>
      <c r="AC184" s="84">
        <f t="shared" si="540"/>
        <v>0</v>
      </c>
      <c r="AD184" s="160" t="str">
        <f>IF($AJ$6="Indique Fecha Seguimiento","",IF(CRONOGRAMA!$E183="No Aplica","NA",IF($G184="","",IF(YEAR($G184)&lt;YEAR($AJ$6)," A ",IF(YEAR($G184)=YEAR($AJ$6),IF(MONTH($G184)&lt;=12," A ","NA"),IF(YEAR($G184)&gt;YEAR($AJ$6),"NA"))))))</f>
        <v/>
      </c>
      <c r="AE184" s="350"/>
      <c r="AF184" s="44"/>
      <c r="AG184" s="351"/>
      <c r="AH184" s="348" t="str">
        <f t="shared" si="507"/>
        <v/>
      </c>
      <c r="AI184" s="349"/>
      <c r="AJ184" s="44"/>
      <c r="AK184" s="81" t="str">
        <f t="shared" si="508"/>
        <v/>
      </c>
      <c r="AL184" s="84" t="str">
        <f t="shared" si="509"/>
        <v/>
      </c>
      <c r="AM184" s="84">
        <f t="shared" si="541"/>
        <v>0</v>
      </c>
      <c r="AN184" s="579"/>
      <c r="AO184" s="580"/>
      <c r="AP184" s="581"/>
      <c r="AQ184" s="581"/>
      <c r="AR184" s="582"/>
      <c r="AS184" s="582"/>
      <c r="AT184" s="582"/>
      <c r="AU184" s="572"/>
      <c r="AV184" s="573"/>
      <c r="AW184" s="574"/>
      <c r="AX184">
        <f t="shared" si="517"/>
        <v>0</v>
      </c>
    </row>
    <row r="185" spans="1:50" ht="51.75" thickTop="1" x14ac:dyDescent="0.25">
      <c r="A185" s="575" t="str">
        <f>CRONOGRAMA!A184</f>
        <v>31C</v>
      </c>
      <c r="B185" s="578" t="str">
        <f>CRONOGRAMA!B184</f>
        <v>Gestión y Rendición de Cuentas. Rendición de cuentas a la ciudadanía inadecuada, incompleta e inoportuna</v>
      </c>
      <c r="C185" s="82" t="str">
        <f>IF('CONSOLIDACION DEL MAPA'!P184="","",'CONSOLIDACION DEL MAPA'!P184)</f>
        <v>Reducir</v>
      </c>
      <c r="D185" s="82" t="str">
        <f>CRONOGRAMA!D184</f>
        <v>Capacitación del personal en temas relacionados con la rendición de cuentas</v>
      </c>
      <c r="E185" s="132" t="str">
        <f>IF(CRONOGRAMA!F184="", "",CRONOGRAMA!F184)</f>
        <v>Capacitación en rendición de cuentas</v>
      </c>
      <c r="F185" s="132">
        <f>IF(CRONOGRAMA!G184="", "",CRONOGRAMA!G184)</f>
        <v>1</v>
      </c>
      <c r="G185" s="128">
        <f>IF(CRONOGRAMA!H184="", "",CRONOGRAMA!H184)</f>
        <v>42552</v>
      </c>
      <c r="H185" s="128">
        <f>IF(CRONOGRAMA!I184="", "",CRONOGRAMA!I184)</f>
        <v>42734</v>
      </c>
      <c r="I185" s="84">
        <f t="shared" si="500"/>
        <v>26</v>
      </c>
      <c r="J185" s="160" t="str">
        <f>IF($P$6="Indique Fecha Seguimiento","",IF(CRONOGRAMA!$E184="No Aplica","NA",IF($G185="","",IF(YEAR($G185)&lt;YEAR($P$6)," A ",IF(YEAR($G185)=YEAR($P$6),IF(MONTH($G185)&lt;=4," A ","NA"),IF(YEAR($G185)&gt;YEAR($P$6),"NA"))))))</f>
        <v>NA</v>
      </c>
      <c r="K185" s="400"/>
      <c r="L185" s="402"/>
      <c r="M185" s="400"/>
      <c r="N185" s="348" t="str">
        <f t="shared" si="501"/>
        <v/>
      </c>
      <c r="O185" s="349"/>
      <c r="P185" s="44"/>
      <c r="Q185" s="84" t="str">
        <f t="shared" si="502"/>
        <v/>
      </c>
      <c r="R185" s="84" t="str">
        <f t="shared" si="503"/>
        <v/>
      </c>
      <c r="S185" s="84">
        <f t="shared" si="539"/>
        <v>26</v>
      </c>
      <c r="T185" s="160" t="str">
        <f>IF($Z$6="Indique Fecha Seguimiento","",IF(CRONOGRAMA!$E184="No Aplica","NA",IF($G185="","",IF(YEAR($G185)&lt;YEAR($Z$6)," A ",IF(YEAR($G185)=YEAR($Z$6),IF(MONTH($G185)&lt;=8," A ","NA"),IF(YEAR($G185)&gt;YEAR($Z$6),"NA"))))))</f>
        <v xml:space="preserve"> A </v>
      </c>
      <c r="U185" s="350">
        <v>0</v>
      </c>
      <c r="V185" s="44" t="s">
        <v>956</v>
      </c>
      <c r="W185" s="351">
        <v>0</v>
      </c>
      <c r="X185" s="348">
        <f t="shared" si="504"/>
        <v>0</v>
      </c>
      <c r="Y185" s="349" t="s">
        <v>353</v>
      </c>
      <c r="Z185" s="44" t="str">
        <f>V185</f>
        <v>No se han iniciado actividades</v>
      </c>
      <c r="AA185" s="84">
        <f t="shared" si="505"/>
        <v>0</v>
      </c>
      <c r="AB185" s="84">
        <f t="shared" si="506"/>
        <v>0</v>
      </c>
      <c r="AC185" s="84">
        <f t="shared" si="540"/>
        <v>26</v>
      </c>
      <c r="AD185" s="160" t="str">
        <f>IF($AJ$6="Indique Fecha Seguimiento","",IF(CRONOGRAMA!$E184="No Aplica","NA",IF($G185="","",IF(YEAR($G185)&lt;YEAR($AJ$6)," A ",IF(YEAR($G185)=YEAR($AJ$6),IF(MONTH($G185)&lt;=12," A ","NA"),IF(YEAR($G185)&gt;YEAR($AJ$6),"NA"))))))</f>
        <v xml:space="preserve"> A </v>
      </c>
      <c r="AE185" s="350">
        <v>0</v>
      </c>
      <c r="AF185" s="44" t="s">
        <v>1010</v>
      </c>
      <c r="AG185" s="351">
        <v>0</v>
      </c>
      <c r="AH185" s="348">
        <f t="shared" si="507"/>
        <v>0</v>
      </c>
      <c r="AI185" s="349" t="s">
        <v>10</v>
      </c>
      <c r="AJ185" s="44" t="str">
        <f>AF185</f>
        <v>La actividad quedó aplazada para la vigencia 2017</v>
      </c>
      <c r="AK185" s="81">
        <f t="shared" si="508"/>
        <v>0</v>
      </c>
      <c r="AL185" s="84">
        <f t="shared" si="509"/>
        <v>0</v>
      </c>
      <c r="AM185" s="84">
        <f t="shared" si="541"/>
        <v>26</v>
      </c>
      <c r="AN185" s="579">
        <f t="shared" ref="AN185" si="601">SUM(I185:I187)</f>
        <v>56.428571428571431</v>
      </c>
      <c r="AO185" s="580">
        <f t="shared" ref="AO185" si="602">IF(AND(Q185="",Q186="",Q187=""),"",SUM(Q185:Q187))</f>
        <v>4.3469387755102034</v>
      </c>
      <c r="AP185" s="581">
        <f t="shared" ref="AP185" si="603">IF(AND(AA185="",AA186="",AA187=""),"",SUM(AA185:AA187))</f>
        <v>13.04081632653061</v>
      </c>
      <c r="AQ185" s="581">
        <f t="shared" ref="AQ185" si="604">IF(AND(AK185="",AK186="",AK187=""),"",SUM(AK185:AK187))</f>
        <v>21.73469387755102</v>
      </c>
      <c r="AR185" s="582">
        <f t="shared" si="546"/>
        <v>7.7034358047016263E-2</v>
      </c>
      <c r="AS185" s="582">
        <f t="shared" si="547"/>
        <v>0.23110307414104878</v>
      </c>
      <c r="AT185" s="582">
        <f t="shared" ref="AT185" si="605">IF(AS185&gt;=AR185,AS185,AR185)</f>
        <v>0.23110307414104878</v>
      </c>
      <c r="AU185" s="572">
        <f t="shared" si="549"/>
        <v>0.38517179023508136</v>
      </c>
      <c r="AV185" s="573">
        <f t="shared" ref="AV185" si="606">IF($AU$6=1,AR185,IF($AU$6=2,AS185,IF($AU$6=3,AU185,"")))</f>
        <v>0.38517179023508136</v>
      </c>
      <c r="AW185" s="574">
        <f t="shared" ref="AW185" si="607">AV185</f>
        <v>0.38517179023508136</v>
      </c>
      <c r="AX185" t="str">
        <f t="shared" si="517"/>
        <v>La actividad quedó aplazada para la vigencia 2017</v>
      </c>
    </row>
    <row r="186" spans="1:50" ht="141.75" x14ac:dyDescent="0.25">
      <c r="A186" s="576"/>
      <c r="B186" s="578"/>
      <c r="C186" s="82" t="str">
        <f>IF('CONSOLIDACION DEL MAPA'!P185="","",'CONSOLIDACION DEL MAPA'!P185)</f>
        <v>Reducir</v>
      </c>
      <c r="D186" s="82" t="str">
        <f>CRONOGRAMA!D185</f>
        <v>Planeación, ejecución y evaluación de audiencias públicas de rendición de cuentas</v>
      </c>
      <c r="E186" s="132" t="str">
        <f>IF(CRONOGRAMA!F185="", "",CRONOGRAMA!F185)</f>
        <v>Calendario Audiencia Pública de Rendición de Cuentas 2016 (Rector y Facultades)</v>
      </c>
      <c r="F186" s="132">
        <f>IF(CRONOGRAMA!G185="", "",CRONOGRAMA!G185)</f>
        <v>7</v>
      </c>
      <c r="G186" s="128">
        <f>IF(CRONOGRAMA!H185="", "",CRONOGRAMA!H185)</f>
        <v>42461</v>
      </c>
      <c r="H186" s="128">
        <f>IF(CRONOGRAMA!I185="", "",CRONOGRAMA!I185)</f>
        <v>42674</v>
      </c>
      <c r="I186" s="84">
        <f t="shared" si="500"/>
        <v>30.428571428571427</v>
      </c>
      <c r="J186" s="160" t="str">
        <f>IF($P$6="Indique Fecha Seguimiento","",IF(CRONOGRAMA!$E185="No Aplica","NA",IF($G186="","",IF(YEAR($G186)&lt;YEAR($P$6)," A ",IF(YEAR($G186)=YEAR($P$6),IF(MONTH($G186)&lt;=4," A ","NA"),IF(YEAR($G186)&gt;YEAR($P$6),"NA"))))))</f>
        <v xml:space="preserve"> A </v>
      </c>
      <c r="K186" s="400">
        <v>1</v>
      </c>
      <c r="L186" s="402" t="s">
        <v>910</v>
      </c>
      <c r="M186" s="400">
        <v>1</v>
      </c>
      <c r="N186" s="348">
        <f t="shared" si="501"/>
        <v>0.14285714285714285</v>
      </c>
      <c r="O186" s="349" t="s">
        <v>353</v>
      </c>
      <c r="P186" s="44"/>
      <c r="Q186" s="84">
        <f t="shared" si="502"/>
        <v>4.3469387755102034</v>
      </c>
      <c r="R186" s="84">
        <f t="shared" si="503"/>
        <v>4.3469387755102034</v>
      </c>
      <c r="S186" s="84">
        <f t="shared" si="539"/>
        <v>30.428571428571427</v>
      </c>
      <c r="T186" s="160" t="str">
        <f>IF($Z$6="Indique Fecha Seguimiento","",IF(CRONOGRAMA!$E185="No Aplica","NA",IF($G186="","",IF(YEAR($G186)&lt;YEAR($Z$6)," A ",IF(YEAR($G186)=YEAR($Z$6),IF(MONTH($G186)&lt;=8," A ","NA"),IF(YEAR($G186)&gt;YEAR($Z$6),"NA"))))))</f>
        <v xml:space="preserve"> A </v>
      </c>
      <c r="U186" s="43" t="s">
        <v>957</v>
      </c>
      <c r="V186" s="417" t="s">
        <v>958</v>
      </c>
      <c r="W186" s="351">
        <v>3</v>
      </c>
      <c r="X186" s="348">
        <f t="shared" si="504"/>
        <v>0.42857142857142855</v>
      </c>
      <c r="Y186" s="349" t="s">
        <v>353</v>
      </c>
      <c r="Z186" s="44" t="s">
        <v>959</v>
      </c>
      <c r="AA186" s="84">
        <f t="shared" si="505"/>
        <v>13.04081632653061</v>
      </c>
      <c r="AB186" s="84">
        <f t="shared" si="506"/>
        <v>13.04081632653061</v>
      </c>
      <c r="AC186" s="84">
        <f t="shared" si="540"/>
        <v>30.428571428571427</v>
      </c>
      <c r="AD186" s="160" t="str">
        <f>IF($AJ$6="Indique Fecha Seguimiento","",IF(CRONOGRAMA!$E185="No Aplica","NA",IF($G186="","",IF(YEAR($G186)&lt;YEAR($AJ$6)," A ",IF(YEAR($G186)=YEAR($AJ$6),IF(MONTH($G186)&lt;=12," A ","NA"),IF(YEAR($G186)&gt;YEAR($AJ$6),"NA"))))))</f>
        <v xml:space="preserve"> A </v>
      </c>
      <c r="AE186" s="43" t="s">
        <v>1011</v>
      </c>
      <c r="AF186" s="417" t="s">
        <v>1012</v>
      </c>
      <c r="AG186" s="351">
        <v>5</v>
      </c>
      <c r="AH186" s="348">
        <f t="shared" si="507"/>
        <v>0.7142857142857143</v>
      </c>
      <c r="AI186" s="349" t="s">
        <v>10</v>
      </c>
      <c r="AJ186" s="44" t="s">
        <v>993</v>
      </c>
      <c r="AK186" s="81">
        <f t="shared" si="508"/>
        <v>21.73469387755102</v>
      </c>
      <c r="AL186" s="84">
        <f t="shared" si="509"/>
        <v>0</v>
      </c>
      <c r="AM186" s="84">
        <f t="shared" si="541"/>
        <v>30.428571428571427</v>
      </c>
      <c r="AN186" s="579"/>
      <c r="AO186" s="580"/>
      <c r="AP186" s="581"/>
      <c r="AQ186" s="581"/>
      <c r="AR186" s="582"/>
      <c r="AS186" s="582"/>
      <c r="AT186" s="582"/>
      <c r="AU186" s="572"/>
      <c r="AV186" s="573"/>
      <c r="AW186" s="574"/>
      <c r="AX186" t="str">
        <f t="shared" si="517"/>
        <v>Actividades informadas</v>
      </c>
    </row>
    <row r="187" spans="1:50" ht="16.5" thickBot="1" x14ac:dyDescent="0.3">
      <c r="A187" s="577"/>
      <c r="B187" s="578"/>
      <c r="C187" s="82" t="str">
        <f>IF('CONSOLIDACION DEL MAPA'!P186="","",'CONSOLIDACION DEL MAPA'!P186)</f>
        <v/>
      </c>
      <c r="D187" s="82" t="str">
        <f>CRONOGRAMA!D186</f>
        <v/>
      </c>
      <c r="E187" s="132" t="str">
        <f>IF(CRONOGRAMA!F186="", "",CRONOGRAMA!F186)</f>
        <v/>
      </c>
      <c r="F187" s="132" t="str">
        <f>IF(CRONOGRAMA!G186="", "",CRONOGRAMA!G186)</f>
        <v/>
      </c>
      <c r="G187" s="128" t="str">
        <f>IF(CRONOGRAMA!H186="", "",CRONOGRAMA!H186)</f>
        <v/>
      </c>
      <c r="H187" s="128" t="str">
        <f>IF(CRONOGRAMA!I186="", "",CRONOGRAMA!I186)</f>
        <v/>
      </c>
      <c r="I187" s="84">
        <f t="shared" si="500"/>
        <v>0</v>
      </c>
      <c r="J187" s="160" t="str">
        <f>IF($P$6="Indique Fecha Seguimiento","",IF(CRONOGRAMA!$E186="No Aplica","NA",IF($G187="","",IF(YEAR($G187)&lt;YEAR($P$6)," A ",IF(YEAR($G187)=YEAR($P$6),IF(MONTH($G187)&lt;=4," A ","NA"),IF(YEAR($G187)&gt;YEAR($P$6),"NA"))))))</f>
        <v/>
      </c>
      <c r="K187" s="400"/>
      <c r="L187" s="402"/>
      <c r="M187" s="400"/>
      <c r="N187" s="348" t="str">
        <f t="shared" si="501"/>
        <v/>
      </c>
      <c r="O187" s="349"/>
      <c r="P187" s="44"/>
      <c r="Q187" s="84" t="str">
        <f t="shared" si="502"/>
        <v/>
      </c>
      <c r="R187" s="84" t="str">
        <f t="shared" si="503"/>
        <v/>
      </c>
      <c r="S187" s="84">
        <f t="shared" si="539"/>
        <v>0</v>
      </c>
      <c r="T187" s="160" t="str">
        <f>IF($Z$6="Indique Fecha Seguimiento","",IF(CRONOGRAMA!$E186="No Aplica","NA",IF($G187="","",IF(YEAR($G187)&lt;YEAR($Z$6)," A ",IF(YEAR($G187)=YEAR($Z$6),IF(MONTH($G187)&lt;=8," A ","NA"),IF(YEAR($G187)&gt;YEAR($Z$6),"NA"))))))</f>
        <v/>
      </c>
      <c r="U187" s="350"/>
      <c r="V187" s="44"/>
      <c r="W187" s="351"/>
      <c r="X187" s="348" t="str">
        <f t="shared" si="504"/>
        <v/>
      </c>
      <c r="Y187" s="349"/>
      <c r="Z187" s="44"/>
      <c r="AA187" s="84" t="str">
        <f t="shared" si="505"/>
        <v/>
      </c>
      <c r="AB187" s="84" t="str">
        <f t="shared" si="506"/>
        <v/>
      </c>
      <c r="AC187" s="84">
        <f t="shared" si="540"/>
        <v>0</v>
      </c>
      <c r="AD187" s="160" t="str">
        <f>IF($AJ$6="Indique Fecha Seguimiento","",IF(CRONOGRAMA!$E186="No Aplica","NA",IF($G187="","",IF(YEAR($G187)&lt;YEAR($AJ$6)," A ",IF(YEAR($G187)=YEAR($AJ$6),IF(MONTH($G187)&lt;=12," A ","NA"),IF(YEAR($G187)&gt;YEAR($AJ$6),"NA"))))))</f>
        <v/>
      </c>
      <c r="AE187" s="350"/>
      <c r="AF187" s="44"/>
      <c r="AG187" s="351"/>
      <c r="AH187" s="348" t="str">
        <f t="shared" si="507"/>
        <v/>
      </c>
      <c r="AI187" s="349"/>
      <c r="AJ187" s="44"/>
      <c r="AK187" s="81" t="str">
        <f t="shared" si="508"/>
        <v/>
      </c>
      <c r="AL187" s="84" t="str">
        <f t="shared" si="509"/>
        <v/>
      </c>
      <c r="AM187" s="84">
        <f t="shared" si="541"/>
        <v>0</v>
      </c>
      <c r="AN187" s="579"/>
      <c r="AO187" s="580"/>
      <c r="AP187" s="581"/>
      <c r="AQ187" s="581"/>
      <c r="AR187" s="582"/>
      <c r="AS187" s="582"/>
      <c r="AT187" s="582"/>
      <c r="AU187" s="572"/>
      <c r="AV187" s="573"/>
      <c r="AW187" s="574"/>
      <c r="AX187">
        <f t="shared" si="517"/>
        <v>0</v>
      </c>
    </row>
    <row r="188" spans="1:50" ht="75.75" thickTop="1" x14ac:dyDescent="0.25">
      <c r="A188" s="575" t="str">
        <f>CRONOGRAMA!A187</f>
        <v>32C</v>
      </c>
      <c r="B188" s="578" t="str">
        <f>CRONOGRAMA!B187</f>
        <v>Gestión y Rendición de Cuentas. Alteración de la información</v>
      </c>
      <c r="C188" s="82" t="str">
        <f>IF('CONSOLIDACION DEL MAPA'!P187="","",'CONSOLIDACION DEL MAPA'!P187)</f>
        <v>Evitar</v>
      </c>
      <c r="D188" s="82" t="str">
        <f>CRONOGRAMA!D187</f>
        <v>Implementación de auditorías internas de información</v>
      </c>
      <c r="E188" s="132" t="str">
        <f>IF(CRONOGRAMA!F187="", "",CRONOGRAMA!F187)</f>
        <v>Informe de auditoría</v>
      </c>
      <c r="F188" s="132">
        <f>IF(CRONOGRAMA!G187="", "",CRONOGRAMA!G187)</f>
        <v>1</v>
      </c>
      <c r="G188" s="128">
        <f>IF(CRONOGRAMA!H187="", "",CRONOGRAMA!H187)</f>
        <v>42569</v>
      </c>
      <c r="H188" s="128">
        <f>IF(CRONOGRAMA!I187="", "",CRONOGRAMA!I187)</f>
        <v>42613</v>
      </c>
      <c r="I188" s="84">
        <f t="shared" si="500"/>
        <v>6.2857142857142856</v>
      </c>
      <c r="J188" s="160" t="str">
        <f>IF($P$6="Indique Fecha Seguimiento","",IF(CRONOGRAMA!$E187="No Aplica","NA",IF($G188="","",IF(YEAR($G188)&lt;YEAR($P$6)," A ",IF(YEAR($G188)=YEAR($P$6),IF(MONTH($G188)&lt;=4," A ","NA"),IF(YEAR($G188)&gt;YEAR($P$6),"NA"))))))</f>
        <v>NA</v>
      </c>
      <c r="K188" s="400"/>
      <c r="L188" s="402"/>
      <c r="M188" s="400"/>
      <c r="N188" s="348" t="str">
        <f t="shared" si="501"/>
        <v/>
      </c>
      <c r="O188" s="349"/>
      <c r="P188" s="44"/>
      <c r="Q188" s="84" t="str">
        <f t="shared" si="502"/>
        <v/>
      </c>
      <c r="R188" s="84" t="str">
        <f t="shared" si="503"/>
        <v/>
      </c>
      <c r="S188" s="84">
        <f t="shared" si="539"/>
        <v>6.2857142857142856</v>
      </c>
      <c r="T188" s="160" t="str">
        <f>IF($Z$6="Indique Fecha Seguimiento","",IF(CRONOGRAMA!$E187="No Aplica","NA",IF($G188="","",IF(YEAR($G188)&lt;YEAR($Z$6)," A ",IF(YEAR($G188)=YEAR($Z$6),IF(MONTH($G188)&lt;=8," A ","NA"),IF(YEAR($G188)&gt;YEAR($Z$6),"NA"))))))</f>
        <v xml:space="preserve"> A </v>
      </c>
      <c r="U188" s="351">
        <v>0</v>
      </c>
      <c r="V188" s="418" t="s">
        <v>960</v>
      </c>
      <c r="W188" s="351">
        <v>0</v>
      </c>
      <c r="X188" s="348">
        <f t="shared" si="504"/>
        <v>0</v>
      </c>
      <c r="Y188" s="349" t="s">
        <v>10</v>
      </c>
      <c r="Z188" s="44" t="s">
        <v>962</v>
      </c>
      <c r="AA188" s="84">
        <f t="shared" si="505"/>
        <v>0</v>
      </c>
      <c r="AB188" s="84">
        <f t="shared" si="506"/>
        <v>0</v>
      </c>
      <c r="AC188" s="84">
        <f t="shared" si="540"/>
        <v>6.2857142857142856</v>
      </c>
      <c r="AD188" s="160" t="str">
        <f>IF($AJ$6="Indique Fecha Seguimiento","",IF(CRONOGRAMA!$E187="No Aplica","NA",IF($G188="","",IF(YEAR($G188)&lt;YEAR($AJ$6)," A ",IF(YEAR($G188)=YEAR($AJ$6),IF(MONTH($G188)&lt;=12," A ","NA"),IF(YEAR($G188)&gt;YEAR($AJ$6),"NA"))))))</f>
        <v xml:space="preserve"> A </v>
      </c>
      <c r="AE188" s="350">
        <v>0</v>
      </c>
      <c r="AF188" s="44" t="s">
        <v>1013</v>
      </c>
      <c r="AG188" s="351">
        <v>0</v>
      </c>
      <c r="AH188" s="348">
        <f t="shared" si="507"/>
        <v>0</v>
      </c>
      <c r="AI188" s="349" t="s">
        <v>10</v>
      </c>
      <c r="AJ188" s="44" t="str">
        <f>AF188</f>
        <v>Esta actividad se elimina por nuevas directrices institucionales</v>
      </c>
      <c r="AK188" s="81">
        <f t="shared" si="508"/>
        <v>0</v>
      </c>
      <c r="AL188" s="84">
        <f t="shared" si="509"/>
        <v>0</v>
      </c>
      <c r="AM188" s="84">
        <f t="shared" si="541"/>
        <v>6.2857142857142856</v>
      </c>
      <c r="AN188" s="579">
        <f t="shared" ref="AN188" si="608">SUM(I188:I190)</f>
        <v>136.57142857142858</v>
      </c>
      <c r="AO188" s="580" t="str">
        <f t="shared" ref="AO188" si="609">IF(AND(Q188="",Q189="",Q190=""),"",SUM(Q188:Q190))</f>
        <v/>
      </c>
      <c r="AP188" s="581">
        <f t="shared" ref="AP188" si="610">IF(AND(AA188="",AA189="",AA190=""),"",SUM(AA188:AA190))</f>
        <v>0</v>
      </c>
      <c r="AQ188" s="581">
        <f t="shared" ref="AQ188" si="611">IF(AND(AK188="",AK189="",AK190=""),"",SUM(AK188:AK190))</f>
        <v>0</v>
      </c>
      <c r="AR188" s="582" t="str">
        <f t="shared" si="546"/>
        <v>NA</v>
      </c>
      <c r="AS188" s="582">
        <f t="shared" si="547"/>
        <v>0</v>
      </c>
      <c r="AT188" s="582" t="str">
        <f t="shared" ref="AT188" si="612">IF(AS188&gt;=AR188,AS188,AR188)</f>
        <v>NA</v>
      </c>
      <c r="AU188" s="572">
        <f t="shared" si="549"/>
        <v>0</v>
      </c>
      <c r="AV188" s="573">
        <f t="shared" ref="AV188" si="613">IF($AU$6=1,AR188,IF($AU$6=2,AS188,IF($AU$6=3,AU188,"")))</f>
        <v>0</v>
      </c>
      <c r="AW188" s="574">
        <f t="shared" ref="AW188" si="614">AV188</f>
        <v>0</v>
      </c>
      <c r="AX188" t="str">
        <f t="shared" si="517"/>
        <v>Esta actividad se elimina por nuevas directrices institucionales</v>
      </c>
    </row>
    <row r="189" spans="1:50" ht="110.25" x14ac:dyDescent="0.25">
      <c r="A189" s="576"/>
      <c r="B189" s="578"/>
      <c r="C189" s="82" t="str">
        <f>IF('CONSOLIDACION DEL MAPA'!P188="","",'CONSOLIDACION DEL MAPA'!P188)</f>
        <v>Reducir</v>
      </c>
      <c r="D189" s="82" t="str">
        <f>CRONOGRAMA!D188</f>
        <v>Diseño e implementación de un sistema de información para la gestión de Indicadores</v>
      </c>
      <c r="E189" s="132" t="str">
        <f>IF(CRONOGRAMA!F188="", "",CRONOGRAMA!F188)</f>
        <v>Sistema de Información de indicadores para la toma de decisiones</v>
      </c>
      <c r="F189" s="132">
        <f>IF(CRONOGRAMA!G188="", "",CRONOGRAMA!G188)</f>
        <v>1</v>
      </c>
      <c r="G189" s="128">
        <f>IF(CRONOGRAMA!H188="", "",CRONOGRAMA!H188)</f>
        <v>42583</v>
      </c>
      <c r="H189" s="128">
        <f>IF(CRONOGRAMA!I188="", "",CRONOGRAMA!I188)</f>
        <v>43313</v>
      </c>
      <c r="I189" s="84">
        <f t="shared" si="500"/>
        <v>104.28571428571429</v>
      </c>
      <c r="J189" s="160" t="str">
        <f>IF($P$6="Indique Fecha Seguimiento","",IF(CRONOGRAMA!$E188="No Aplica","NA",IF($G189="","",IF(YEAR($G189)&lt;YEAR($P$6)," A ",IF(YEAR($G189)=YEAR($P$6),IF(MONTH($G189)&lt;=4," A ","NA"),IF(YEAR($G189)&gt;YEAR($P$6),"NA"))))))</f>
        <v>NA</v>
      </c>
      <c r="K189" s="400"/>
      <c r="L189" s="402"/>
      <c r="M189" s="400"/>
      <c r="N189" s="348" t="str">
        <f t="shared" si="501"/>
        <v/>
      </c>
      <c r="O189" s="349"/>
      <c r="P189" s="44"/>
      <c r="Q189" s="84" t="str">
        <f t="shared" si="502"/>
        <v/>
      </c>
      <c r="R189" s="84" t="str">
        <f t="shared" si="503"/>
        <v/>
      </c>
      <c r="S189" s="84">
        <f t="shared" si="539"/>
        <v>104.28571428571429</v>
      </c>
      <c r="T189" s="160" t="str">
        <f>IF($Z$6="Indique Fecha Seguimiento","",IF(CRONOGRAMA!$E188="No Aplica","NA",IF($G189="","",IF(YEAR($G189)&lt;YEAR($Z$6)," A ",IF(YEAR($G189)=YEAR($Z$6),IF(MONTH($G189)&lt;=8," A ","NA"),IF(YEAR($G189)&gt;YEAR($Z$6),"NA"))))))</f>
        <v xml:space="preserve"> A </v>
      </c>
      <c r="U189" s="351">
        <v>0</v>
      </c>
      <c r="V189" s="44" t="s">
        <v>961</v>
      </c>
      <c r="W189" s="351">
        <v>0</v>
      </c>
      <c r="X189" s="348">
        <f t="shared" si="504"/>
        <v>0</v>
      </c>
      <c r="Y189" s="349" t="s">
        <v>353</v>
      </c>
      <c r="Z189" s="44" t="s">
        <v>963</v>
      </c>
      <c r="AA189" s="84">
        <f t="shared" si="505"/>
        <v>0</v>
      </c>
      <c r="AB189" s="84">
        <f t="shared" si="506"/>
        <v>0</v>
      </c>
      <c r="AC189" s="84">
        <f t="shared" si="540"/>
        <v>104.28571428571429</v>
      </c>
      <c r="AD189" s="160" t="str">
        <f>IF($AJ$6="Indique Fecha Seguimiento","",IF(CRONOGRAMA!$E188="No Aplica","NA",IF($G189="","",IF(YEAR($G189)&lt;YEAR($AJ$6)," A ",IF(YEAR($G189)=YEAR($AJ$6),IF(MONTH($G189)&lt;=12," A ","NA"),IF(YEAR($G189)&gt;YEAR($AJ$6),"NA"))))))</f>
        <v xml:space="preserve"> A </v>
      </c>
      <c r="AE189" s="350">
        <v>0</v>
      </c>
      <c r="AF189" s="44" t="s">
        <v>1014</v>
      </c>
      <c r="AG189" s="351">
        <v>0</v>
      </c>
      <c r="AH189" s="348">
        <f t="shared" si="507"/>
        <v>0</v>
      </c>
      <c r="AI189" s="349" t="s">
        <v>353</v>
      </c>
      <c r="AJ189" s="44" t="s">
        <v>993</v>
      </c>
      <c r="AK189" s="81">
        <f t="shared" si="508"/>
        <v>0</v>
      </c>
      <c r="AL189" s="84">
        <f t="shared" si="509"/>
        <v>0</v>
      </c>
      <c r="AM189" s="84">
        <f t="shared" si="541"/>
        <v>104.28571428571429</v>
      </c>
      <c r="AN189" s="579"/>
      <c r="AO189" s="580"/>
      <c r="AP189" s="581"/>
      <c r="AQ189" s="581"/>
      <c r="AR189" s="582"/>
      <c r="AS189" s="582"/>
      <c r="AT189" s="582"/>
      <c r="AU189" s="572"/>
      <c r="AV189" s="573"/>
      <c r="AW189" s="574"/>
      <c r="AX189" t="str">
        <f t="shared" si="517"/>
        <v>Actividades informadas</v>
      </c>
    </row>
    <row r="190" spans="1:50" ht="77.25" thickBot="1" x14ac:dyDescent="0.3">
      <c r="A190" s="577"/>
      <c r="B190" s="578"/>
      <c r="C190" s="82" t="str">
        <f>IF('CONSOLIDACION DEL MAPA'!P189="","",'CONSOLIDACION DEL MAPA'!P189)</f>
        <v>Reducir</v>
      </c>
      <c r="D190" s="82" t="str">
        <f>CRONOGRAMA!D189</f>
        <v>Estrategia para masificar el uso y conocimiento del sitio Web de Transparencia y Acceso a Ia Información Pública</v>
      </c>
      <c r="E190" s="132" t="str">
        <f>IF(CRONOGRAMA!F189="", "",CRONOGRAMA!F189)</f>
        <v>Diseño e implementación de estrategia publicitaria del sitio Web</v>
      </c>
      <c r="F190" s="132">
        <f>IF(CRONOGRAMA!G189="", "",CRONOGRAMA!G189)</f>
        <v>1</v>
      </c>
      <c r="G190" s="128">
        <f>IF(CRONOGRAMA!H189="", "",CRONOGRAMA!H189)</f>
        <v>42552</v>
      </c>
      <c r="H190" s="128">
        <f>IF(CRONOGRAMA!I189="", "",CRONOGRAMA!I189)</f>
        <v>42734</v>
      </c>
      <c r="I190" s="84">
        <f t="shared" si="500"/>
        <v>26</v>
      </c>
      <c r="J190" s="160" t="str">
        <f>IF($P$6="Indique Fecha Seguimiento","",IF(CRONOGRAMA!$E189="No Aplica","NA",IF($G190="","",IF(YEAR($G190)&lt;YEAR($P$6)," A ",IF(YEAR($G190)=YEAR($P$6),IF(MONTH($G190)&lt;=4," A ","NA"),IF(YEAR($G190)&gt;YEAR($P$6),"NA"))))))</f>
        <v>NA</v>
      </c>
      <c r="K190" s="400"/>
      <c r="L190" s="402"/>
      <c r="M190" s="400"/>
      <c r="N190" s="348" t="str">
        <f t="shared" si="501"/>
        <v/>
      </c>
      <c r="O190" s="349"/>
      <c r="P190" s="44"/>
      <c r="Q190" s="84" t="str">
        <f t="shared" si="502"/>
        <v/>
      </c>
      <c r="R190" s="84" t="str">
        <f t="shared" si="503"/>
        <v/>
      </c>
      <c r="S190" s="84">
        <f t="shared" si="539"/>
        <v>26</v>
      </c>
      <c r="T190" s="160" t="str">
        <f>IF($Z$6="Indique Fecha Seguimiento","",IF(CRONOGRAMA!$E189="No Aplica","NA",IF($G190="","",IF(YEAR($G190)&lt;YEAR($Z$6)," A ",IF(YEAR($G190)=YEAR($Z$6),IF(MONTH($G190)&lt;=8," A ","NA"),IF(YEAR($G190)&gt;YEAR($Z$6),"NA"))))))</f>
        <v xml:space="preserve"> A </v>
      </c>
      <c r="U190" s="351">
        <v>0</v>
      </c>
      <c r="V190" s="44" t="s">
        <v>956</v>
      </c>
      <c r="W190" s="351">
        <v>0</v>
      </c>
      <c r="X190" s="348">
        <f t="shared" si="504"/>
        <v>0</v>
      </c>
      <c r="Y190" s="349" t="s">
        <v>353</v>
      </c>
      <c r="Z190" s="44" t="str">
        <f>V190</f>
        <v>No se han iniciado actividades</v>
      </c>
      <c r="AA190" s="84">
        <f t="shared" si="505"/>
        <v>0</v>
      </c>
      <c r="AB190" s="84">
        <f t="shared" si="506"/>
        <v>0</v>
      </c>
      <c r="AC190" s="84">
        <f t="shared" si="540"/>
        <v>26</v>
      </c>
      <c r="AD190" s="160" t="str">
        <f>IF($AJ$6="Indique Fecha Seguimiento","",IF(CRONOGRAMA!$E189="No Aplica","NA",IF($G190="","",IF(YEAR($G190)&lt;YEAR($AJ$6)," A ",IF(YEAR($G190)=YEAR($AJ$6),IF(MONTH($G190)&lt;=12," A ","NA"),IF(YEAR($G190)&gt;YEAR($AJ$6),"NA"))))))</f>
        <v xml:space="preserve"> A </v>
      </c>
      <c r="AE190" s="351">
        <v>0</v>
      </c>
      <c r="AF190" s="44" t="s">
        <v>1010</v>
      </c>
      <c r="AG190" s="351">
        <v>0</v>
      </c>
      <c r="AH190" s="348">
        <f t="shared" si="507"/>
        <v>0</v>
      </c>
      <c r="AI190" s="349" t="s">
        <v>10</v>
      </c>
      <c r="AJ190" s="44" t="str">
        <f>AF190</f>
        <v>La actividad quedó aplazada para la vigencia 2017</v>
      </c>
      <c r="AK190" s="81">
        <f t="shared" si="508"/>
        <v>0</v>
      </c>
      <c r="AL190" s="84">
        <f t="shared" si="509"/>
        <v>0</v>
      </c>
      <c r="AM190" s="84">
        <f t="shared" si="541"/>
        <v>26</v>
      </c>
      <c r="AN190" s="579"/>
      <c r="AO190" s="580"/>
      <c r="AP190" s="581"/>
      <c r="AQ190" s="581"/>
      <c r="AR190" s="582"/>
      <c r="AS190" s="582"/>
      <c r="AT190" s="582"/>
      <c r="AU190" s="572"/>
      <c r="AV190" s="573"/>
      <c r="AW190" s="574"/>
      <c r="AX190" t="str">
        <f t="shared" si="517"/>
        <v>La actividad quedó aplazada para la vigencia 2017</v>
      </c>
    </row>
    <row r="191" spans="1:50" ht="39" thickTop="1" x14ac:dyDescent="0.25">
      <c r="A191" s="575" t="str">
        <f>CRONOGRAMA!A190</f>
        <v>33C</v>
      </c>
      <c r="B191" s="578" t="str">
        <f>CRONOGRAMA!B190</f>
        <v>Evaluación Independiente. Falta de Objetividad e Independencia en el proceso auditor, de evaluación y seguimiento</v>
      </c>
      <c r="C191" s="82" t="str">
        <f>IF('CONSOLIDACION DEL MAPA'!P190="","",'CONSOLIDACION DEL MAPA'!P190)</f>
        <v>No Establecer</v>
      </c>
      <c r="D191" s="82" t="str">
        <f>CRONOGRAMA!D190</f>
        <v>Seguir ejecutando y monitoreando los controles existentes</v>
      </c>
      <c r="E191" s="132" t="str">
        <f>IF(CRONOGRAMA!F190="", "",CRONOGRAMA!F190)</f>
        <v/>
      </c>
      <c r="F191" s="132" t="str">
        <f>IF(CRONOGRAMA!G190="", "",CRONOGRAMA!G190)</f>
        <v/>
      </c>
      <c r="G191" s="128" t="str">
        <f>IF(CRONOGRAMA!H190="", "",CRONOGRAMA!H190)</f>
        <v/>
      </c>
      <c r="H191" s="128" t="str">
        <f>IF(CRONOGRAMA!I190="", "",CRONOGRAMA!I190)</f>
        <v/>
      </c>
      <c r="I191" s="84">
        <f t="shared" si="500"/>
        <v>0</v>
      </c>
      <c r="J191" s="160" t="str">
        <f>IF($P$6="Indique Fecha Seguimiento","",IF(CRONOGRAMA!$E190="No Aplica","NA",IF($G191="","",IF(YEAR($G191)&lt;YEAR($P$6)," A ",IF(YEAR($G191)=YEAR($P$6),IF(MONTH($G191)&lt;=4," A ","NA"),IF(YEAR($G191)&gt;YEAR($P$6),"NA"))))))</f>
        <v>NA</v>
      </c>
      <c r="K191" s="400"/>
      <c r="L191" s="402"/>
      <c r="M191" s="400"/>
      <c r="N191" s="348" t="str">
        <f t="shared" si="501"/>
        <v/>
      </c>
      <c r="O191" s="349"/>
      <c r="P191" s="44"/>
      <c r="Q191" s="84" t="str">
        <f t="shared" si="502"/>
        <v/>
      </c>
      <c r="R191" s="84" t="str">
        <f t="shared" si="503"/>
        <v/>
      </c>
      <c r="S191" s="84">
        <f t="shared" si="539"/>
        <v>0</v>
      </c>
      <c r="T191" s="160" t="str">
        <f>IF($Z$6="Indique Fecha Seguimiento","",IF(CRONOGRAMA!$E190="No Aplica","NA",IF($G191="","",IF(YEAR($G191)&lt;YEAR($Z$6)," A ",IF(YEAR($G191)=YEAR($Z$6),IF(MONTH($G191)&lt;=8," A ","NA"),IF(YEAR($G191)&gt;YEAR($Z$6),"NA"))))))</f>
        <v>NA</v>
      </c>
      <c r="U191" s="350"/>
      <c r="V191" s="44"/>
      <c r="W191" s="351"/>
      <c r="X191" s="348" t="str">
        <f t="shared" si="504"/>
        <v/>
      </c>
      <c r="Y191" s="349"/>
      <c r="Z191" s="44"/>
      <c r="AA191" s="84" t="str">
        <f t="shared" si="505"/>
        <v/>
      </c>
      <c r="AB191" s="84" t="str">
        <f t="shared" si="506"/>
        <v/>
      </c>
      <c r="AC191" s="84">
        <f t="shared" si="540"/>
        <v>0</v>
      </c>
      <c r="AD191" s="160" t="str">
        <f>IF($AJ$6="Indique Fecha Seguimiento","",IF(CRONOGRAMA!$E190="No Aplica","NA",IF($G191="","",IF(YEAR($G191)&lt;YEAR($AJ$6)," A ",IF(YEAR($G191)=YEAR($AJ$6),IF(MONTH($G191)&lt;=12," A ","NA"),IF(YEAR($G191)&gt;YEAR($AJ$6),"NA"))))))</f>
        <v>NA</v>
      </c>
      <c r="AE191" s="350"/>
      <c r="AF191" s="44"/>
      <c r="AG191" s="351"/>
      <c r="AH191" s="348" t="str">
        <f t="shared" si="507"/>
        <v/>
      </c>
      <c r="AI191" s="349"/>
      <c r="AJ191" s="44"/>
      <c r="AK191" s="81" t="str">
        <f t="shared" si="508"/>
        <v/>
      </c>
      <c r="AL191" s="84" t="str">
        <f t="shared" si="509"/>
        <v/>
      </c>
      <c r="AM191" s="84">
        <f t="shared" si="541"/>
        <v>0</v>
      </c>
      <c r="AN191" s="579">
        <f t="shared" ref="AN191" si="615">SUM(I191:I193)</f>
        <v>0</v>
      </c>
      <c r="AO191" s="580" t="str">
        <f t="shared" ref="AO191" si="616">IF(AND(Q191="",Q192="",Q193=""),"",SUM(Q191:Q193))</f>
        <v/>
      </c>
      <c r="AP191" s="581" t="str">
        <f t="shared" ref="AP191" si="617">IF(AND(AA191="",AA192="",AA193=""),"",SUM(AA191:AA193))</f>
        <v/>
      </c>
      <c r="AQ191" s="581" t="str">
        <f t="shared" ref="AQ191" si="618">IF(AND(AK191="",AK192="",AK193=""),"",SUM(AK191:AK193))</f>
        <v/>
      </c>
      <c r="AR191" s="582" t="str">
        <f t="shared" si="546"/>
        <v>NA</v>
      </c>
      <c r="AS191" s="582" t="str">
        <f t="shared" si="547"/>
        <v>NA</v>
      </c>
      <c r="AT191" s="582" t="str">
        <f t="shared" ref="AT191" si="619">IF(AS191&gt;=AR191,AS191,AR191)</f>
        <v>NA</v>
      </c>
      <c r="AU191" s="572" t="str">
        <f t="shared" si="549"/>
        <v>NA</v>
      </c>
      <c r="AV191" s="573" t="str">
        <f t="shared" ref="AV191" si="620">IF($AU$6=1,AR191,IF($AU$6=2,AS191,IF($AU$6=3,AU191,"")))</f>
        <v>NA</v>
      </c>
      <c r="AW191" s="574" t="str">
        <f t="shared" ref="AW191" si="621">AV191</f>
        <v>NA</v>
      </c>
      <c r="AX191">
        <f t="shared" si="517"/>
        <v>0</v>
      </c>
    </row>
    <row r="192" spans="1:50" ht="15.75" x14ac:dyDescent="0.25">
      <c r="A192" s="576"/>
      <c r="B192" s="578"/>
      <c r="C192" s="82" t="str">
        <f>IF('CONSOLIDACION DEL MAPA'!P191="","",'CONSOLIDACION DEL MAPA'!P191)</f>
        <v/>
      </c>
      <c r="D192" s="82" t="str">
        <f>CRONOGRAMA!D191</f>
        <v/>
      </c>
      <c r="E192" s="132" t="str">
        <f>IF(CRONOGRAMA!F191="", "",CRONOGRAMA!F191)</f>
        <v/>
      </c>
      <c r="F192" s="132" t="str">
        <f>IF(CRONOGRAMA!G191="", "",CRONOGRAMA!G191)</f>
        <v/>
      </c>
      <c r="G192" s="128" t="str">
        <f>IF(CRONOGRAMA!H191="", "",CRONOGRAMA!H191)</f>
        <v/>
      </c>
      <c r="H192" s="128" t="str">
        <f>IF(CRONOGRAMA!I191="", "",CRONOGRAMA!I191)</f>
        <v/>
      </c>
      <c r="I192" s="84">
        <f t="shared" si="500"/>
        <v>0</v>
      </c>
      <c r="J192" s="160" t="str">
        <f>IF($P$6="Indique Fecha Seguimiento","",IF(CRONOGRAMA!$E191="No Aplica","NA",IF($G192="","",IF(YEAR($G192)&lt;YEAR($P$6)," A ",IF(YEAR($G192)=YEAR($P$6),IF(MONTH($G192)&lt;=4," A ","NA"),IF(YEAR($G192)&gt;YEAR($P$6),"NA"))))))</f>
        <v/>
      </c>
      <c r="K192" s="400"/>
      <c r="L192" s="402"/>
      <c r="M192" s="400"/>
      <c r="N192" s="348" t="str">
        <f t="shared" si="501"/>
        <v/>
      </c>
      <c r="O192" s="349"/>
      <c r="P192" s="44"/>
      <c r="Q192" s="84" t="str">
        <f t="shared" si="502"/>
        <v/>
      </c>
      <c r="R192" s="84" t="str">
        <f t="shared" si="503"/>
        <v/>
      </c>
      <c r="S192" s="84">
        <f t="shared" si="539"/>
        <v>0</v>
      </c>
      <c r="T192" s="160" t="str">
        <f>IF($Z$6="Indique Fecha Seguimiento","",IF(CRONOGRAMA!$E191="No Aplica","NA",IF($G192="","",IF(YEAR($G192)&lt;YEAR($Z$6)," A ",IF(YEAR($G192)=YEAR($Z$6),IF(MONTH($G192)&lt;=8," A ","NA"),IF(YEAR($G192)&gt;YEAR($Z$6),"NA"))))))</f>
        <v/>
      </c>
      <c r="U192" s="350"/>
      <c r="V192" s="44"/>
      <c r="W192" s="351"/>
      <c r="X192" s="348" t="str">
        <f t="shared" si="504"/>
        <v/>
      </c>
      <c r="Y192" s="349"/>
      <c r="Z192" s="44"/>
      <c r="AA192" s="84" t="str">
        <f t="shared" si="505"/>
        <v/>
      </c>
      <c r="AB192" s="84" t="str">
        <f t="shared" si="506"/>
        <v/>
      </c>
      <c r="AC192" s="84">
        <f t="shared" si="540"/>
        <v>0</v>
      </c>
      <c r="AD192" s="160" t="str">
        <f>IF($AJ$6="Indique Fecha Seguimiento","",IF(CRONOGRAMA!$E191="No Aplica","NA",IF($G192="","",IF(YEAR($G192)&lt;YEAR($AJ$6)," A ",IF(YEAR($G192)=YEAR($AJ$6),IF(MONTH($G192)&lt;=12," A ","NA"),IF(YEAR($G192)&gt;YEAR($AJ$6),"NA"))))))</f>
        <v/>
      </c>
      <c r="AE192" s="350"/>
      <c r="AF192" s="44"/>
      <c r="AG192" s="351"/>
      <c r="AH192" s="348" t="str">
        <f t="shared" si="507"/>
        <v/>
      </c>
      <c r="AI192" s="349"/>
      <c r="AJ192" s="44"/>
      <c r="AK192" s="81" t="str">
        <f t="shared" si="508"/>
        <v/>
      </c>
      <c r="AL192" s="84" t="str">
        <f t="shared" si="509"/>
        <v/>
      </c>
      <c r="AM192" s="84">
        <f t="shared" si="541"/>
        <v>0</v>
      </c>
      <c r="AN192" s="579"/>
      <c r="AO192" s="580"/>
      <c r="AP192" s="581"/>
      <c r="AQ192" s="581"/>
      <c r="AR192" s="582"/>
      <c r="AS192" s="582"/>
      <c r="AT192" s="582"/>
      <c r="AU192" s="572"/>
      <c r="AV192" s="573"/>
      <c r="AW192" s="574"/>
      <c r="AX192">
        <f t="shared" si="517"/>
        <v>0</v>
      </c>
    </row>
    <row r="193" spans="1:51" ht="16.5" thickBot="1" x14ac:dyDescent="0.3">
      <c r="A193" s="577"/>
      <c r="B193" s="578"/>
      <c r="C193" s="82" t="str">
        <f>IF('CONSOLIDACION DEL MAPA'!P192="","",'CONSOLIDACION DEL MAPA'!P192)</f>
        <v/>
      </c>
      <c r="D193" s="82" t="str">
        <f>CRONOGRAMA!D192</f>
        <v/>
      </c>
      <c r="E193" s="132" t="str">
        <f>IF(CRONOGRAMA!F192="", "",CRONOGRAMA!F192)</f>
        <v/>
      </c>
      <c r="F193" s="132" t="str">
        <f>IF(CRONOGRAMA!G192="", "",CRONOGRAMA!G192)</f>
        <v/>
      </c>
      <c r="G193" s="128" t="str">
        <f>IF(CRONOGRAMA!H192="", "",CRONOGRAMA!H192)</f>
        <v/>
      </c>
      <c r="H193" s="128" t="str">
        <f>IF(CRONOGRAMA!I192="", "",CRONOGRAMA!I192)</f>
        <v/>
      </c>
      <c r="I193" s="84">
        <f t="shared" si="500"/>
        <v>0</v>
      </c>
      <c r="J193" s="160" t="str">
        <f>IF($P$6="Indique Fecha Seguimiento","",IF(CRONOGRAMA!$E192="No Aplica","NA",IF($G193="","",IF(YEAR($G193)&lt;YEAR($P$6)," A ",IF(YEAR($G193)=YEAR($P$6),IF(MONTH($G193)&lt;=4," A ","NA"),IF(YEAR($G193)&gt;YEAR($P$6),"NA"))))))</f>
        <v/>
      </c>
      <c r="K193" s="400"/>
      <c r="L193" s="402"/>
      <c r="M193" s="400"/>
      <c r="N193" s="348" t="str">
        <f t="shared" si="501"/>
        <v/>
      </c>
      <c r="O193" s="349"/>
      <c r="P193" s="44"/>
      <c r="Q193" s="84" t="str">
        <f t="shared" si="502"/>
        <v/>
      </c>
      <c r="R193" s="84" t="str">
        <f t="shared" si="503"/>
        <v/>
      </c>
      <c r="S193" s="84">
        <f t="shared" si="539"/>
        <v>0</v>
      </c>
      <c r="T193" s="160" t="str">
        <f>IF($Z$6="Indique Fecha Seguimiento","",IF(CRONOGRAMA!$E192="No Aplica","NA",IF($G193="","",IF(YEAR($G193)&lt;YEAR($Z$6)," A ",IF(YEAR($G193)=YEAR($Z$6),IF(MONTH($G193)&lt;=8," A ","NA"),IF(YEAR($G193)&gt;YEAR($Z$6),"NA"))))))</f>
        <v/>
      </c>
      <c r="U193" s="350"/>
      <c r="V193" s="44"/>
      <c r="W193" s="351"/>
      <c r="X193" s="348" t="str">
        <f t="shared" si="504"/>
        <v/>
      </c>
      <c r="Y193" s="349"/>
      <c r="Z193" s="44"/>
      <c r="AA193" s="84" t="str">
        <f t="shared" si="505"/>
        <v/>
      </c>
      <c r="AB193" s="84" t="str">
        <f t="shared" si="506"/>
        <v/>
      </c>
      <c r="AC193" s="84">
        <f t="shared" si="540"/>
        <v>0</v>
      </c>
      <c r="AD193" s="160" t="str">
        <f>IF($AJ$6="Indique Fecha Seguimiento","",IF(CRONOGRAMA!$E192="No Aplica","NA",IF($G193="","",IF(YEAR($G193)&lt;YEAR($AJ$6)," A ",IF(YEAR($G193)=YEAR($AJ$6),IF(MONTH($G193)&lt;=12," A ","NA"),IF(YEAR($G193)&gt;YEAR($AJ$6),"NA"))))))</f>
        <v/>
      </c>
      <c r="AE193" s="350"/>
      <c r="AF193" s="44"/>
      <c r="AG193" s="351"/>
      <c r="AH193" s="348" t="str">
        <f t="shared" si="507"/>
        <v/>
      </c>
      <c r="AI193" s="349"/>
      <c r="AJ193" s="44"/>
      <c r="AK193" s="81" t="str">
        <f t="shared" si="508"/>
        <v/>
      </c>
      <c r="AL193" s="84" t="str">
        <f t="shared" si="509"/>
        <v/>
      </c>
      <c r="AM193" s="84">
        <f t="shared" si="541"/>
        <v>0</v>
      </c>
      <c r="AN193" s="579"/>
      <c r="AO193" s="580"/>
      <c r="AP193" s="581"/>
      <c r="AQ193" s="581"/>
      <c r="AR193" s="582"/>
      <c r="AS193" s="582"/>
      <c r="AT193" s="582"/>
      <c r="AU193" s="572"/>
      <c r="AV193" s="573"/>
      <c r="AW193" s="574"/>
      <c r="AX193">
        <f t="shared" si="517"/>
        <v>0</v>
      </c>
    </row>
    <row r="194" spans="1:51" ht="39" thickTop="1" x14ac:dyDescent="0.25">
      <c r="A194" s="575" t="str">
        <f>CRONOGRAMA!A193</f>
        <v>34C</v>
      </c>
      <c r="B194" s="578" t="str">
        <f>CRONOGRAMA!B193</f>
        <v>Evaluación Independiente. No reportar posibles actos de corrupción e irregularidades</v>
      </c>
      <c r="C194" s="82" t="str">
        <f>IF('CONSOLIDACION DEL MAPA'!P193="","",'CONSOLIDACION DEL MAPA'!P193)</f>
        <v>No Establecer</v>
      </c>
      <c r="D194" s="82" t="str">
        <f>CRONOGRAMA!D193</f>
        <v>Seguir ejecutando y monitoreando los controles existentes</v>
      </c>
      <c r="E194" s="132" t="str">
        <f>IF(CRONOGRAMA!F193="", "",CRONOGRAMA!F193)</f>
        <v/>
      </c>
      <c r="F194" s="132" t="str">
        <f>IF(CRONOGRAMA!G193="", "",CRONOGRAMA!G193)</f>
        <v/>
      </c>
      <c r="G194" s="128" t="str">
        <f>IF(CRONOGRAMA!H193="", "",CRONOGRAMA!H193)</f>
        <v/>
      </c>
      <c r="H194" s="128" t="str">
        <f>IF(CRONOGRAMA!I193="", "",CRONOGRAMA!I193)</f>
        <v/>
      </c>
      <c r="I194" s="84">
        <f t="shared" si="500"/>
        <v>0</v>
      </c>
      <c r="J194" s="160" t="str">
        <f>IF($P$6="Indique Fecha Seguimiento","",IF(CRONOGRAMA!$E193="No Aplica","NA",IF($G194="","",IF(YEAR($G194)&lt;YEAR($P$6)," A ",IF(YEAR($G194)=YEAR($P$6),IF(MONTH($G194)&lt;=4," A ","NA"),IF(YEAR($G194)&gt;YEAR($P$6),"NA"))))))</f>
        <v>NA</v>
      </c>
      <c r="K194" s="400"/>
      <c r="L194" s="402"/>
      <c r="M194" s="400"/>
      <c r="N194" s="348" t="str">
        <f t="shared" si="501"/>
        <v/>
      </c>
      <c r="O194" s="349"/>
      <c r="P194" s="44"/>
      <c r="Q194" s="84" t="str">
        <f t="shared" si="502"/>
        <v/>
      </c>
      <c r="R194" s="84" t="str">
        <f t="shared" si="503"/>
        <v/>
      </c>
      <c r="S194" s="84">
        <f t="shared" si="539"/>
        <v>0</v>
      </c>
      <c r="T194" s="160" t="str">
        <f>IF($Z$6="Indique Fecha Seguimiento","",IF(CRONOGRAMA!$E193="No Aplica","NA",IF($G194="","",IF(YEAR($G194)&lt;YEAR($Z$6)," A ",IF(YEAR($G194)=YEAR($Z$6),IF(MONTH($G194)&lt;=8," A ","NA"),IF(YEAR($G194)&gt;YEAR($Z$6),"NA"))))))</f>
        <v>NA</v>
      </c>
      <c r="U194" s="350"/>
      <c r="V194" s="44"/>
      <c r="W194" s="351"/>
      <c r="X194" s="348" t="str">
        <f t="shared" si="504"/>
        <v/>
      </c>
      <c r="Y194" s="349"/>
      <c r="Z194" s="44"/>
      <c r="AA194" s="84" t="str">
        <f t="shared" si="505"/>
        <v/>
      </c>
      <c r="AB194" s="84" t="str">
        <f t="shared" si="506"/>
        <v/>
      </c>
      <c r="AC194" s="84">
        <f t="shared" si="540"/>
        <v>0</v>
      </c>
      <c r="AD194" s="160" t="str">
        <f>IF($AJ$6="Indique Fecha Seguimiento","",IF(CRONOGRAMA!$E193="No Aplica","NA",IF($G194="","",IF(YEAR($G194)&lt;YEAR($AJ$6)," A ",IF(YEAR($G194)=YEAR($AJ$6),IF(MONTH($G194)&lt;=12," A ","NA"),IF(YEAR($G194)&gt;YEAR($AJ$6),"NA"))))))</f>
        <v>NA</v>
      </c>
      <c r="AE194" s="350"/>
      <c r="AF194" s="44"/>
      <c r="AG194" s="351"/>
      <c r="AH194" s="348" t="str">
        <f t="shared" si="507"/>
        <v/>
      </c>
      <c r="AI194" s="349"/>
      <c r="AJ194" s="44"/>
      <c r="AK194" s="81" t="str">
        <f t="shared" si="508"/>
        <v/>
      </c>
      <c r="AL194" s="84" t="str">
        <f t="shared" si="509"/>
        <v/>
      </c>
      <c r="AM194" s="84">
        <f t="shared" si="541"/>
        <v>0</v>
      </c>
      <c r="AN194" s="579">
        <f t="shared" ref="AN194" si="622">SUM(I194:I196)</f>
        <v>0</v>
      </c>
      <c r="AO194" s="580" t="str">
        <f t="shared" ref="AO194" si="623">IF(AND(Q194="",Q195="",Q196=""),"",SUM(Q194:Q196))</f>
        <v/>
      </c>
      <c r="AP194" s="581" t="str">
        <f t="shared" ref="AP194" si="624">IF(AND(AA194="",AA195="",AA196=""),"",SUM(AA194:AA196))</f>
        <v/>
      </c>
      <c r="AQ194" s="581" t="str">
        <f t="shared" ref="AQ194" si="625">IF(AND(AK194="",AK195="",AK196=""),"",SUM(AK194:AK196))</f>
        <v/>
      </c>
      <c r="AR194" s="582" t="str">
        <f t="shared" si="546"/>
        <v>NA</v>
      </c>
      <c r="AS194" s="582" t="str">
        <f t="shared" si="547"/>
        <v>NA</v>
      </c>
      <c r="AT194" s="582" t="str">
        <f t="shared" ref="AT194" si="626">IF(AS194&gt;=AR194,AS194,AR194)</f>
        <v>NA</v>
      </c>
      <c r="AU194" s="572" t="str">
        <f t="shared" si="549"/>
        <v>NA</v>
      </c>
      <c r="AV194" s="573" t="str">
        <f t="shared" ref="AV194" si="627">IF($AU$6=1,AR194,IF($AU$6=2,AS194,IF($AU$6=3,AU194,"")))</f>
        <v>NA</v>
      </c>
      <c r="AW194" s="574" t="str">
        <f t="shared" ref="AW194" si="628">AV194</f>
        <v>NA</v>
      </c>
      <c r="AX194">
        <f t="shared" si="517"/>
        <v>0</v>
      </c>
    </row>
    <row r="195" spans="1:51" ht="15.75" x14ac:dyDescent="0.25">
      <c r="A195" s="576"/>
      <c r="B195" s="578"/>
      <c r="C195" s="82" t="str">
        <f>IF('CONSOLIDACION DEL MAPA'!P194="","",'CONSOLIDACION DEL MAPA'!P194)</f>
        <v/>
      </c>
      <c r="D195" s="82" t="str">
        <f>CRONOGRAMA!D194</f>
        <v/>
      </c>
      <c r="E195" s="132" t="str">
        <f>IF(CRONOGRAMA!F194="", "",CRONOGRAMA!F194)</f>
        <v/>
      </c>
      <c r="F195" s="132" t="str">
        <f>IF(CRONOGRAMA!G194="", "",CRONOGRAMA!G194)</f>
        <v/>
      </c>
      <c r="G195" s="128" t="str">
        <f>IF(CRONOGRAMA!H194="", "",CRONOGRAMA!H194)</f>
        <v/>
      </c>
      <c r="H195" s="128" t="str">
        <f>IF(CRONOGRAMA!I194="", "",CRONOGRAMA!I194)</f>
        <v/>
      </c>
      <c r="I195" s="84">
        <f t="shared" si="500"/>
        <v>0</v>
      </c>
      <c r="J195" s="160" t="str">
        <f>IF($P$6="Indique Fecha Seguimiento","",IF(CRONOGRAMA!$E194="No Aplica","NA",IF($G195="","",IF(YEAR($G195)&lt;YEAR($P$6)," A ",IF(YEAR($G195)=YEAR($P$6),IF(MONTH($G195)&lt;=4," A ","NA"),IF(YEAR($G195)&gt;YEAR($P$6),"NA"))))))</f>
        <v/>
      </c>
      <c r="K195" s="346"/>
      <c r="L195" s="44"/>
      <c r="M195" s="346"/>
      <c r="N195" s="348" t="str">
        <f t="shared" si="501"/>
        <v/>
      </c>
      <c r="O195" s="349"/>
      <c r="P195" s="44"/>
      <c r="Q195" s="84" t="str">
        <f t="shared" si="502"/>
        <v/>
      </c>
      <c r="R195" s="84" t="str">
        <f t="shared" si="503"/>
        <v/>
      </c>
      <c r="S195" s="84">
        <f t="shared" si="539"/>
        <v>0</v>
      </c>
      <c r="T195" s="160" t="str">
        <f>IF($Z$6="Indique Fecha Seguimiento","",IF(CRONOGRAMA!$E194="No Aplica","NA",IF($G195="","",IF(YEAR($G195)&lt;YEAR($Z$6)," A ",IF(YEAR($G195)=YEAR($Z$6),IF(MONTH($G195)&lt;=8," A ","NA"),IF(YEAR($G195)&gt;YEAR($Z$6),"NA"))))))</f>
        <v/>
      </c>
      <c r="U195" s="350"/>
      <c r="V195" s="44"/>
      <c r="W195" s="351"/>
      <c r="X195" s="348" t="str">
        <f t="shared" si="504"/>
        <v/>
      </c>
      <c r="Y195" s="349"/>
      <c r="Z195" s="44"/>
      <c r="AA195" s="84" t="str">
        <f t="shared" si="505"/>
        <v/>
      </c>
      <c r="AB195" s="84" t="str">
        <f t="shared" si="506"/>
        <v/>
      </c>
      <c r="AC195" s="84">
        <f t="shared" si="540"/>
        <v>0</v>
      </c>
      <c r="AD195" s="160" t="str">
        <f>IF($AJ$6="Indique Fecha Seguimiento","",IF(CRONOGRAMA!$E194="No Aplica","NA",IF($G195="","",IF(YEAR($G195)&lt;YEAR($AJ$6)," A ",IF(YEAR($G195)=YEAR($AJ$6),IF(MONTH($G195)&lt;=12," A ","NA"),IF(YEAR($G195)&gt;YEAR($AJ$6),"NA"))))))</f>
        <v/>
      </c>
      <c r="AE195" s="350"/>
      <c r="AF195" s="44"/>
      <c r="AG195" s="351"/>
      <c r="AH195" s="348" t="str">
        <f t="shared" si="507"/>
        <v/>
      </c>
      <c r="AI195" s="349"/>
      <c r="AJ195" s="44"/>
      <c r="AK195" s="81" t="str">
        <f t="shared" si="508"/>
        <v/>
      </c>
      <c r="AL195" s="84" t="str">
        <f t="shared" si="509"/>
        <v/>
      </c>
      <c r="AM195" s="84">
        <f t="shared" si="541"/>
        <v>0</v>
      </c>
      <c r="AN195" s="579"/>
      <c r="AO195" s="580"/>
      <c r="AP195" s="581"/>
      <c r="AQ195" s="581"/>
      <c r="AR195" s="582"/>
      <c r="AS195" s="582"/>
      <c r="AT195" s="582"/>
      <c r="AU195" s="572"/>
      <c r="AV195" s="573"/>
      <c r="AW195" s="574"/>
      <c r="AX195">
        <f t="shared" si="517"/>
        <v>0</v>
      </c>
    </row>
    <row r="196" spans="1:51" ht="16.5" thickBot="1" x14ac:dyDescent="0.3">
      <c r="A196" s="577"/>
      <c r="B196" s="578"/>
      <c r="C196" s="82" t="str">
        <f>IF('CONSOLIDACION DEL MAPA'!P195="","",'CONSOLIDACION DEL MAPA'!P195)</f>
        <v/>
      </c>
      <c r="D196" s="82" t="str">
        <f>CRONOGRAMA!D195</f>
        <v/>
      </c>
      <c r="E196" s="132" t="str">
        <f>IF(CRONOGRAMA!F195="", "",CRONOGRAMA!F195)</f>
        <v/>
      </c>
      <c r="F196" s="132" t="str">
        <f>IF(CRONOGRAMA!G195="", "",CRONOGRAMA!G195)</f>
        <v/>
      </c>
      <c r="G196" s="128" t="str">
        <f>IF(CRONOGRAMA!H195="", "",CRONOGRAMA!H195)</f>
        <v/>
      </c>
      <c r="H196" s="128" t="str">
        <f>IF(CRONOGRAMA!I195="", "",CRONOGRAMA!I195)</f>
        <v/>
      </c>
      <c r="I196" s="84">
        <f t="shared" si="500"/>
        <v>0</v>
      </c>
      <c r="J196" s="160" t="str">
        <f>IF($P$6="Indique Fecha Seguimiento","",IF(CRONOGRAMA!$E195="No Aplica","NA",IF($G196="","",IF(YEAR($G196)&lt;YEAR($P$6)," A ",IF(YEAR($G196)=YEAR($P$6),IF(MONTH($G196)&lt;=4," A ","NA"),IF(YEAR($G196)&gt;YEAR($P$6),"NA"))))))</f>
        <v/>
      </c>
      <c r="K196" s="346"/>
      <c r="L196" s="44"/>
      <c r="M196" s="346"/>
      <c r="N196" s="348" t="str">
        <f t="shared" si="501"/>
        <v/>
      </c>
      <c r="O196" s="349"/>
      <c r="P196" s="44"/>
      <c r="Q196" s="84" t="str">
        <f t="shared" si="502"/>
        <v/>
      </c>
      <c r="R196" s="84" t="str">
        <f t="shared" si="503"/>
        <v/>
      </c>
      <c r="S196" s="84">
        <f t="shared" si="539"/>
        <v>0</v>
      </c>
      <c r="T196" s="160" t="str">
        <f>IF($Z$6="Indique Fecha Seguimiento","",IF(CRONOGRAMA!$E195="No Aplica","NA",IF($G196="","",IF(YEAR($G196)&lt;YEAR($Z$6)," A ",IF(YEAR($G196)=YEAR($Z$6),IF(MONTH($G196)&lt;=8," A ","NA"),IF(YEAR($G196)&gt;YEAR($Z$6),"NA"))))))</f>
        <v/>
      </c>
      <c r="U196" s="350"/>
      <c r="V196" s="44"/>
      <c r="W196" s="351"/>
      <c r="X196" s="348" t="str">
        <f t="shared" si="504"/>
        <v/>
      </c>
      <c r="Y196" s="349"/>
      <c r="Z196" s="44"/>
      <c r="AA196" s="84" t="str">
        <f t="shared" si="505"/>
        <v/>
      </c>
      <c r="AB196" s="84" t="str">
        <f t="shared" si="506"/>
        <v/>
      </c>
      <c r="AC196" s="84">
        <f t="shared" si="540"/>
        <v>0</v>
      </c>
      <c r="AD196" s="160" t="str">
        <f>IF($AJ$6="Indique Fecha Seguimiento","",IF(CRONOGRAMA!$E195="No Aplica","NA",IF($G196="","",IF(YEAR($G196)&lt;YEAR($AJ$6)," A ",IF(YEAR($G196)=YEAR($AJ$6),IF(MONTH($G196)&lt;=12," A ","NA"),IF(YEAR($G196)&gt;YEAR($AJ$6),"NA"))))))</f>
        <v/>
      </c>
      <c r="AE196" s="350"/>
      <c r="AF196" s="44"/>
      <c r="AG196" s="351"/>
      <c r="AH196" s="348" t="str">
        <f t="shared" si="507"/>
        <v/>
      </c>
      <c r="AI196" s="349"/>
      <c r="AJ196" s="44"/>
      <c r="AK196" s="81" t="str">
        <f t="shared" si="508"/>
        <v/>
      </c>
      <c r="AL196" s="84" t="str">
        <f t="shared" si="509"/>
        <v/>
      </c>
      <c r="AM196" s="84">
        <f t="shared" si="541"/>
        <v>0</v>
      </c>
      <c r="AN196" s="579"/>
      <c r="AO196" s="580"/>
      <c r="AP196" s="581"/>
      <c r="AQ196" s="581"/>
      <c r="AR196" s="582"/>
      <c r="AS196" s="582"/>
      <c r="AT196" s="582"/>
      <c r="AU196" s="572"/>
      <c r="AV196" s="573"/>
      <c r="AW196" s="574"/>
      <c r="AX196">
        <f t="shared" si="517"/>
        <v>0</v>
      </c>
    </row>
    <row r="197" spans="1:51" s="94" customFormat="1" ht="16.5" hidden="1" thickTop="1" x14ac:dyDescent="0.25">
      <c r="A197" s="116" t="s">
        <v>361</v>
      </c>
      <c r="B197" s="116"/>
      <c r="C197" s="116"/>
      <c r="D197" s="116"/>
      <c r="E197" s="116"/>
      <c r="F197" s="116"/>
      <c r="G197" s="116"/>
      <c r="H197" s="116"/>
      <c r="I197" s="120">
        <f>SUM(I95:I196)</f>
        <v>1140.8571428571427</v>
      </c>
      <c r="J197" s="165"/>
      <c r="K197" s="106"/>
      <c r="O197" s="342"/>
      <c r="Q197" s="120">
        <f>SUM(Q95:Q196)</f>
        <v>277.13265306122446</v>
      </c>
      <c r="R197" s="120">
        <f>SUM(R95:R196)</f>
        <v>277.13265306122446</v>
      </c>
      <c r="S197" s="120">
        <f>SUM(S95:S196)</f>
        <v>1140.8571428571427</v>
      </c>
      <c r="T197" s="160" t="str">
        <f>IF($Z$6="Indique Fecha Seguimiento","",IF(CRONOGRAMA!$E197="No Aplica","NA",IF($G197="","",IF(YEAR($G197)&lt;YEAR($Z$6)," A ",IF(YEAR($G197)=YEAR($Z$6),IF(MONTH($G197)&lt;=8," A ","NA"),IF(YEAR($G197)&gt;YEAR($Z$6),"NA"))))))</f>
        <v/>
      </c>
      <c r="W197" s="143"/>
      <c r="Y197" s="342"/>
      <c r="AA197" s="120">
        <f>SUM(AA95:AA196)</f>
        <v>493.33129251700672</v>
      </c>
      <c r="AB197" s="120">
        <f>SUM(AB95:AB196)</f>
        <v>484.67414965986387</v>
      </c>
      <c r="AC197" s="120">
        <f>SUM(AC95:AC196)</f>
        <v>1140.8571428571427</v>
      </c>
      <c r="AD197" s="160"/>
      <c r="AG197" s="143"/>
      <c r="AI197" s="342"/>
      <c r="AJ197" s="81"/>
      <c r="AK197" s="121">
        <f>SUM(AK95:AK196)</f>
        <v>687.90374149659863</v>
      </c>
      <c r="AL197" s="120">
        <f>SUM(AL95:AL196)</f>
        <v>504.51190476190476</v>
      </c>
      <c r="AM197" s="120">
        <f>SUM(AM95:AM196)</f>
        <v>1140.8571428571427</v>
      </c>
      <c r="AR197" s="141"/>
      <c r="AS197" s="141"/>
      <c r="AT197" s="141"/>
      <c r="AU197" s="141"/>
      <c r="AV197" s="141"/>
      <c r="AW197" s="137"/>
    </row>
    <row r="198" spans="1:51" s="94" customFormat="1" ht="15.75" hidden="1" x14ac:dyDescent="0.25">
      <c r="A198" s="116" t="s">
        <v>362</v>
      </c>
      <c r="B198" s="116"/>
      <c r="C198" s="116"/>
      <c r="D198" s="116"/>
      <c r="E198" s="116"/>
      <c r="F198" s="116"/>
      <c r="G198" s="116"/>
      <c r="H198" s="116"/>
      <c r="I198" s="120">
        <f>SUM(I93,I197)</f>
        <v>2208.7142857142853</v>
      </c>
      <c r="J198" s="165"/>
      <c r="K198" s="106"/>
      <c r="O198" s="342"/>
      <c r="Q198" s="120">
        <f>SUM(Q93,Q197)</f>
        <v>463.20408163265301</v>
      </c>
      <c r="R198" s="120">
        <f t="shared" ref="R198:S198" si="629">SUM(R93,R197)</f>
        <v>463.20408163265301</v>
      </c>
      <c r="S198" s="120">
        <f t="shared" si="629"/>
        <v>2208.7142857142853</v>
      </c>
      <c r="T198" s="160" t="str">
        <f>IF($Z$6="Indique Fecha Seguimiento","",IF(CRONOGRAMA!$E198="No Aplica","NA",IF($G198="","",IF(YEAR($G198)&lt;YEAR($Z$6)," A ",IF(YEAR($G198)=YEAR($Z$6),IF(MONTH($G198)&lt;=8," A ","NA"),IF(YEAR($G198)&gt;YEAR($Z$6),"NA"))))))</f>
        <v/>
      </c>
      <c r="W198" s="143"/>
      <c r="Y198" s="342"/>
      <c r="AA198" s="120">
        <f>SUM(AA93,AA197)</f>
        <v>921.09748299319722</v>
      </c>
      <c r="AB198" s="120">
        <f t="shared" ref="AB198:AC198" si="630">SUM(AB93,AB197)</f>
        <v>912.44034013605437</v>
      </c>
      <c r="AC198" s="120">
        <f t="shared" si="630"/>
        <v>2208.7142857142853</v>
      </c>
      <c r="AD198" s="160"/>
      <c r="AG198" s="143"/>
      <c r="AI198" s="342"/>
      <c r="AJ198" s="81"/>
      <c r="AK198" s="120">
        <f>SUM(AK93,AK197)</f>
        <v>1294.9685034013605</v>
      </c>
      <c r="AL198" s="120">
        <f t="shared" ref="AL198:AM198" si="631">SUM(AL93,AL197)</f>
        <v>988.81238095238086</v>
      </c>
      <c r="AM198" s="120">
        <f t="shared" si="631"/>
        <v>2208.7142857142853</v>
      </c>
      <c r="AR198" s="141"/>
      <c r="AS198" s="141"/>
      <c r="AT198" s="141"/>
      <c r="AU198" s="141"/>
      <c r="AV198" s="141"/>
      <c r="AW198" s="137"/>
    </row>
    <row r="199" spans="1:51" s="122" customFormat="1" ht="16.5" thickTop="1" x14ac:dyDescent="0.25">
      <c r="A199" s="123"/>
      <c r="B199" s="123"/>
      <c r="C199" s="123"/>
      <c r="D199" s="123"/>
      <c r="E199" s="123"/>
      <c r="F199" s="123"/>
      <c r="G199" s="123"/>
      <c r="H199" s="123"/>
      <c r="I199" s="124"/>
      <c r="J199" s="593" t="s">
        <v>169</v>
      </c>
      <c r="K199" s="593"/>
      <c r="L199" s="593"/>
      <c r="M199" s="593"/>
      <c r="N199" s="593"/>
      <c r="O199" s="593"/>
      <c r="P199" s="593"/>
      <c r="Q199" s="126"/>
      <c r="R199" s="126"/>
      <c r="S199" s="126"/>
      <c r="T199" s="593" t="s">
        <v>170</v>
      </c>
      <c r="U199" s="593"/>
      <c r="V199" s="593"/>
      <c r="W199" s="593"/>
      <c r="X199" s="593"/>
      <c r="Y199" s="593"/>
      <c r="Z199" s="593"/>
      <c r="AA199" s="125"/>
      <c r="AB199" s="125"/>
      <c r="AC199" s="125"/>
      <c r="AD199" s="593" t="s">
        <v>171</v>
      </c>
      <c r="AE199" s="593"/>
      <c r="AF199" s="593"/>
      <c r="AG199" s="593"/>
      <c r="AH199" s="593"/>
      <c r="AI199" s="593"/>
      <c r="AJ199" s="593"/>
      <c r="AK199" s="125"/>
      <c r="AL199" s="125"/>
      <c r="AM199" s="125"/>
      <c r="AR199" s="142"/>
      <c r="AS199" s="142"/>
      <c r="AT199" s="142"/>
      <c r="AU199" s="142"/>
      <c r="AV199" s="142"/>
      <c r="AW199" s="166"/>
    </row>
    <row r="200" spans="1:51" ht="15.75" x14ac:dyDescent="0.25">
      <c r="A200" s="27"/>
      <c r="B200" s="608" t="s">
        <v>355</v>
      </c>
      <c r="C200" s="608"/>
      <c r="D200" s="608"/>
      <c r="E200" s="608"/>
      <c r="F200" s="608"/>
      <c r="G200" s="608"/>
      <c r="H200" s="608"/>
      <c r="I200" s="118"/>
      <c r="J200" s="587">
        <f>IF($P$6="Indique Fecha Seguimiento","",IF(R93=0,0,R93/S93))</f>
        <v>0.17424749163879599</v>
      </c>
      <c r="K200" s="587"/>
      <c r="L200" s="587"/>
      <c r="M200" s="587"/>
      <c r="N200" s="587"/>
      <c r="O200" s="587"/>
      <c r="P200" s="587"/>
      <c r="Q200" s="127"/>
      <c r="R200" s="127"/>
      <c r="S200" s="127"/>
      <c r="T200" s="587">
        <f>IF($Z$6="Indique Fecha Seguimiento","",IF(AB93=0,0,AB93/AC93))</f>
        <v>0.40058372352285398</v>
      </c>
      <c r="U200" s="587"/>
      <c r="V200" s="587"/>
      <c r="W200" s="587"/>
      <c r="X200" s="587"/>
      <c r="Y200" s="587"/>
      <c r="Z200" s="587"/>
      <c r="AA200" s="27"/>
      <c r="AB200" s="27"/>
      <c r="AC200" s="27"/>
      <c r="AD200" s="587">
        <f>IF($AJ$6="Indique Fecha Seguimiento","",IF(AL93=0,0,AL93/AM93))</f>
        <v>0.4535255295429208</v>
      </c>
      <c r="AE200" s="587"/>
      <c r="AF200" s="587"/>
      <c r="AG200" s="587"/>
      <c r="AH200" s="587"/>
      <c r="AI200" s="587"/>
      <c r="AJ200" s="587"/>
      <c r="AT200" s="155"/>
      <c r="AU200" s="155"/>
      <c r="AV200" s="155"/>
      <c r="AW200" s="185">
        <f>IF($AU$6=1,J200,IF($AU$6=2,T200,IF($AU$6=3,AD200,"")))</f>
        <v>0.4535255295429208</v>
      </c>
    </row>
    <row r="201" spans="1:51" ht="17.25" x14ac:dyDescent="0.25">
      <c r="A201" s="27"/>
      <c r="B201" s="609" t="s">
        <v>354</v>
      </c>
      <c r="C201" s="609"/>
      <c r="D201" s="609"/>
      <c r="E201" s="609"/>
      <c r="F201" s="609"/>
      <c r="G201" s="609"/>
      <c r="H201" s="609"/>
      <c r="I201" s="119"/>
      <c r="J201" s="589">
        <f>IF($P$6="Indique Fecha Seguimiento","",IF(Q93=0,0,Q93/$I$93))</f>
        <v>0.17424749163879599</v>
      </c>
      <c r="K201" s="589"/>
      <c r="L201" s="589"/>
      <c r="M201" s="589"/>
      <c r="N201" s="589"/>
      <c r="O201" s="589"/>
      <c r="P201" s="589"/>
      <c r="Q201" s="127"/>
      <c r="R201" s="127"/>
      <c r="S201" s="127"/>
      <c r="T201" s="589">
        <f>IF($Z$6="Indique Fecha Seguimiento","",IF(AA93=0,0,AA93/$I$93))</f>
        <v>0.40058372352285398</v>
      </c>
      <c r="U201" s="589"/>
      <c r="V201" s="589"/>
      <c r="W201" s="589"/>
      <c r="X201" s="589"/>
      <c r="Y201" s="589"/>
      <c r="Z201" s="589"/>
      <c r="AA201" s="27"/>
      <c r="AB201" s="27"/>
      <c r="AC201" s="27"/>
      <c r="AD201" s="589">
        <f>IF($AJ$6="Indique Fecha Seguimiento","",IF(AK93=0,0,AK93/$I$93))</f>
        <v>0.56848874024526197</v>
      </c>
      <c r="AE201" s="589"/>
      <c r="AF201" s="589"/>
      <c r="AG201" s="589"/>
      <c r="AH201" s="589"/>
      <c r="AI201" s="589"/>
      <c r="AJ201" s="589"/>
      <c r="AT201" s="155"/>
      <c r="AU201" s="155"/>
      <c r="AV201" s="155"/>
      <c r="AW201" s="185">
        <f>IF($AU$6=1,J201,IF($AU$6=2,T201,IF($AU$6=3,AD201,"")))</f>
        <v>0.56848874024526197</v>
      </c>
    </row>
    <row r="202" spans="1:51" ht="15.75" x14ac:dyDescent="0.25">
      <c r="A202" s="27"/>
      <c r="B202" s="586" t="s">
        <v>356</v>
      </c>
      <c r="C202" s="586"/>
      <c r="D202" s="586"/>
      <c r="E202" s="586"/>
      <c r="F202" s="586"/>
      <c r="G202" s="586"/>
      <c r="H202" s="586"/>
      <c r="I202" s="118"/>
      <c r="J202" s="587">
        <f>IF($P$6="Indique Fecha Seguimiento","",IF(R197=0,0,R197/S197))</f>
        <v>0.24291617473435656</v>
      </c>
      <c r="K202" s="587"/>
      <c r="L202" s="587"/>
      <c r="M202" s="587"/>
      <c r="N202" s="587"/>
      <c r="O202" s="587"/>
      <c r="P202" s="587"/>
      <c r="Q202" s="127"/>
      <c r="R202" s="127"/>
      <c r="S202" s="127"/>
      <c r="T202" s="587">
        <f>IF($Z$6="Indique Fecha Seguimiento","",IF(AB197=0,0,AB197/AC197))</f>
        <v>0.42483333929614925</v>
      </c>
      <c r="U202" s="587"/>
      <c r="V202" s="587"/>
      <c r="W202" s="587"/>
      <c r="X202" s="587"/>
      <c r="Y202" s="587"/>
      <c r="Z202" s="587"/>
      <c r="AA202" s="27"/>
      <c r="AB202" s="27"/>
      <c r="AC202" s="27"/>
      <c r="AD202" s="587">
        <f>IF($AJ$6="Indique Fecha Seguimiento","",IF(AL197=0,0,AL197/AM197))</f>
        <v>0.4422218048251107</v>
      </c>
      <c r="AE202" s="587"/>
      <c r="AF202" s="587"/>
      <c r="AG202" s="587"/>
      <c r="AH202" s="587"/>
      <c r="AI202" s="587"/>
      <c r="AJ202" s="587"/>
      <c r="AT202" s="249"/>
      <c r="AU202" s="249"/>
      <c r="AV202" s="249"/>
      <c r="AW202" s="250">
        <f>IF($AU$6=1,J202,IF($AU$6=2,T202,IF($AU$6=3,AD202,"")))</f>
        <v>0.4422218048251107</v>
      </c>
    </row>
    <row r="203" spans="1:51" ht="17.25" x14ac:dyDescent="0.25">
      <c r="A203" s="27"/>
      <c r="B203" s="588" t="s">
        <v>357</v>
      </c>
      <c r="C203" s="588"/>
      <c r="D203" s="588"/>
      <c r="E203" s="588"/>
      <c r="F203" s="588"/>
      <c r="G203" s="588"/>
      <c r="H203" s="588"/>
      <c r="I203" s="119"/>
      <c r="J203" s="589">
        <f>IF($P$6="Indique Fecha Seguimiento","",IF(Q197=0,0,Q197/$I$197))</f>
        <v>0.24291617473435656</v>
      </c>
      <c r="K203" s="589"/>
      <c r="L203" s="589"/>
      <c r="M203" s="589"/>
      <c r="N203" s="589"/>
      <c r="O203" s="589"/>
      <c r="P203" s="589"/>
      <c r="Q203" s="127"/>
      <c r="R203" s="127"/>
      <c r="S203" s="127"/>
      <c r="T203" s="589">
        <f>IF($Z$6="Indique Fecha Seguimiento","",IF(AA197=0,0,AA197/$I$197))</f>
        <v>0.43242161878525515</v>
      </c>
      <c r="U203" s="589"/>
      <c r="V203" s="589"/>
      <c r="W203" s="589"/>
      <c r="X203" s="589"/>
      <c r="Y203" s="589"/>
      <c r="Z203" s="589"/>
      <c r="AA203" s="27"/>
      <c r="AB203" s="27"/>
      <c r="AC203" s="27"/>
      <c r="AD203" s="589">
        <f>IF($AJ$6="Indique Fecha Seguimiento","",IF(AK197=0,0,AK197/$I$197))</f>
        <v>0.60297097301229541</v>
      </c>
      <c r="AE203" s="589"/>
      <c r="AF203" s="589"/>
      <c r="AG203" s="589"/>
      <c r="AH203" s="589"/>
      <c r="AI203" s="589"/>
      <c r="AJ203" s="589"/>
      <c r="AT203" s="249"/>
      <c r="AU203" s="249"/>
      <c r="AV203" s="249"/>
      <c r="AW203" s="250">
        <f>IF($AU$6=1,J203,IF($AU$6=2,T203,IF($AU$6=3,AD203,"")))</f>
        <v>0.60297097301229541</v>
      </c>
    </row>
    <row r="204" spans="1:51" ht="8.25" customHeight="1" x14ac:dyDescent="0.25">
      <c r="A204" s="184"/>
      <c r="B204" s="256"/>
      <c r="C204" s="256"/>
      <c r="D204" s="256"/>
      <c r="E204" s="256"/>
      <c r="F204" s="256"/>
      <c r="G204" s="256"/>
      <c r="H204" s="256"/>
      <c r="I204" s="257"/>
      <c r="J204" s="258"/>
      <c r="K204" s="258"/>
      <c r="L204" s="258"/>
      <c r="M204" s="258"/>
      <c r="N204" s="258"/>
      <c r="O204" s="343"/>
      <c r="P204" s="258"/>
      <c r="Q204" s="255"/>
      <c r="R204" s="255"/>
      <c r="S204" s="255"/>
      <c r="T204" s="258"/>
      <c r="U204" s="258"/>
      <c r="V204" s="258"/>
      <c r="W204" s="258"/>
      <c r="X204" s="258"/>
      <c r="Y204" s="343"/>
      <c r="Z204" s="258"/>
      <c r="AA204" s="184"/>
      <c r="AB204" s="184"/>
      <c r="AC204" s="184"/>
      <c r="AD204" s="258"/>
      <c r="AE204" s="258"/>
      <c r="AF204" s="258"/>
      <c r="AG204" s="258"/>
      <c r="AH204" s="258"/>
      <c r="AI204" s="343"/>
      <c r="AJ204" s="258"/>
      <c r="AK204" s="184"/>
      <c r="AL204" s="184"/>
      <c r="AM204" s="184"/>
      <c r="AN204" s="184"/>
      <c r="AO204" s="184"/>
      <c r="AP204" s="184"/>
      <c r="AQ204" s="184"/>
      <c r="AR204" s="259"/>
      <c r="AS204" s="259"/>
      <c r="AT204" s="260"/>
      <c r="AU204" s="260"/>
      <c r="AV204" s="260"/>
      <c r="AW204" s="261"/>
      <c r="AX204" s="184"/>
      <c r="AY204" s="184"/>
    </row>
    <row r="205" spans="1:51" ht="15.75" x14ac:dyDescent="0.25">
      <c r="A205" s="27"/>
      <c r="B205" s="590" t="s">
        <v>358</v>
      </c>
      <c r="C205" s="590"/>
      <c r="D205" s="590"/>
      <c r="E205" s="590"/>
      <c r="F205" s="590"/>
      <c r="G205" s="590"/>
      <c r="H205" s="590"/>
      <c r="I205" s="118"/>
      <c r="J205" s="591">
        <f>IF($P$6="Indique Fecha Seguimiento","",IF(R198=0,0,R198/S198))</f>
        <v>0.20971661415358461</v>
      </c>
      <c r="K205" s="591"/>
      <c r="L205" s="591"/>
      <c r="M205" s="591"/>
      <c r="N205" s="591"/>
      <c r="O205" s="591"/>
      <c r="P205" s="591"/>
      <c r="Q205" s="127"/>
      <c r="R205" s="127"/>
      <c r="S205" s="127"/>
      <c r="T205" s="591">
        <f>IF($Z$6="Indique Fecha Seguimiento","",IF(AB198=0,0,AB198/AC198))</f>
        <v>0.41310926725000852</v>
      </c>
      <c r="U205" s="591"/>
      <c r="V205" s="591"/>
      <c r="W205" s="591"/>
      <c r="X205" s="591"/>
      <c r="Y205" s="591"/>
      <c r="Z205" s="591"/>
      <c r="AA205" s="27"/>
      <c r="AB205" s="27"/>
      <c r="AC205" s="27"/>
      <c r="AD205" s="591">
        <f>IF($AJ$6="Indique Fecha Seguimiento","",IF(AL198=0,0,AL198/AM198))</f>
        <v>0.44768686803354679</v>
      </c>
      <c r="AE205" s="591"/>
      <c r="AF205" s="591"/>
      <c r="AG205" s="591"/>
      <c r="AH205" s="591"/>
      <c r="AI205" s="591"/>
      <c r="AJ205" s="591"/>
      <c r="AT205" s="249"/>
      <c r="AU205" s="249"/>
      <c r="AV205" s="249"/>
      <c r="AW205" s="262">
        <f>IF($AU$6=1,J205,IF($AU$6=2,T205,IF($AU$6=3,AD205,"")))</f>
        <v>0.44768686803354679</v>
      </c>
    </row>
    <row r="206" spans="1:51" ht="17.25" x14ac:dyDescent="0.25">
      <c r="A206" s="27"/>
      <c r="B206" s="584" t="s">
        <v>359</v>
      </c>
      <c r="C206" s="584"/>
      <c r="D206" s="584"/>
      <c r="E206" s="584"/>
      <c r="F206" s="584"/>
      <c r="G206" s="584"/>
      <c r="H206" s="584"/>
      <c r="I206" s="119"/>
      <c r="J206" s="585">
        <f>IF($P$6="Indique Fecha Seguimiento","",IF(Q198=0,0,Q198/$I$198))</f>
        <v>0.20971661415358461</v>
      </c>
      <c r="K206" s="585"/>
      <c r="L206" s="585"/>
      <c r="M206" s="585"/>
      <c r="N206" s="585"/>
      <c r="O206" s="585"/>
      <c r="P206" s="585"/>
      <c r="Q206" s="127"/>
      <c r="R206" s="127"/>
      <c r="S206" s="127"/>
      <c r="T206" s="585">
        <f>IF($Z$6="Indique Fecha Seguimiento","",IF(AA198=0,0,AA198/$I$198))</f>
        <v>0.41702880673645831</v>
      </c>
      <c r="U206" s="585"/>
      <c r="V206" s="585"/>
      <c r="W206" s="585"/>
      <c r="X206" s="585"/>
      <c r="Y206" s="585"/>
      <c r="Z206" s="585"/>
      <c r="AA206" s="27"/>
      <c r="AB206" s="27"/>
      <c r="AC206" s="27"/>
      <c r="AD206" s="585">
        <f>IF($AJ$6="Indique Fecha Seguimiento","",IF(AK198=0,0,AK198/$I$198))</f>
        <v>0.58629969108140001</v>
      </c>
      <c r="AE206" s="585"/>
      <c r="AF206" s="585"/>
      <c r="AG206" s="585"/>
      <c r="AH206" s="585"/>
      <c r="AI206" s="585"/>
      <c r="AJ206" s="585"/>
      <c r="AT206" s="249"/>
      <c r="AU206" s="249"/>
      <c r="AV206" s="249"/>
      <c r="AW206" s="250">
        <f>IF($AU$6=1,J206,IF($AU$6=2,T206,IF($AU$6=3,AD206,"")))</f>
        <v>0.58629969108140001</v>
      </c>
    </row>
  </sheetData>
  <sheetProtection algorithmName="SHA-512" hashValue="l/zU3vaVyCYEaMVHevtnmWoIlEuVHOtRDywivaZvluCSdnkJLXBu3vIvip7SqKbLE8j/SeY15Gn5J+jbedMLlQ==" saltValue="0wY4/cwTHaNrIz/dUGIbgA==" spinCount="100000" sheet="1" objects="1" scenarios="1" formatCells="0" formatRows="0" insertRows="0" selectLockedCells="1"/>
  <mergeCells count="797">
    <mergeCell ref="AU33:AU35"/>
    <mergeCell ref="AV33:AV35"/>
    <mergeCell ref="AR30:AR32"/>
    <mergeCell ref="AR24:AR26"/>
    <mergeCell ref="AS24:AS26"/>
    <mergeCell ref="AT24:AT26"/>
    <mergeCell ref="AU24:AU26"/>
    <mergeCell ref="AV24:AV26"/>
    <mergeCell ref="AR27:AR29"/>
    <mergeCell ref="AS27:AS29"/>
    <mergeCell ref="AT27:AT29"/>
    <mergeCell ref="AT33:AT35"/>
    <mergeCell ref="AT15:AT17"/>
    <mergeCell ref="AU15:AU17"/>
    <mergeCell ref="AV15:AV17"/>
    <mergeCell ref="AT9:AT11"/>
    <mergeCell ref="AU18:AU20"/>
    <mergeCell ref="AV18:AV20"/>
    <mergeCell ref="AR21:AR23"/>
    <mergeCell ref="AS21:AS23"/>
    <mergeCell ref="AT21:AT23"/>
    <mergeCell ref="AU21:AU23"/>
    <mergeCell ref="AV21:AV23"/>
    <mergeCell ref="AR18:AR20"/>
    <mergeCell ref="AS18:AS20"/>
    <mergeCell ref="AT18:AT20"/>
    <mergeCell ref="B200:H200"/>
    <mergeCell ref="B201:H201"/>
    <mergeCell ref="W7:Z7"/>
    <mergeCell ref="C7:I7"/>
    <mergeCell ref="J7:L7"/>
    <mergeCell ref="J199:P199"/>
    <mergeCell ref="J200:P200"/>
    <mergeCell ref="J201:P201"/>
    <mergeCell ref="T199:Z199"/>
    <mergeCell ref="T200:Z200"/>
    <mergeCell ref="T201:Z201"/>
    <mergeCell ref="T7:V7"/>
    <mergeCell ref="A94:AW94"/>
    <mergeCell ref="A95:A97"/>
    <mergeCell ref="B95:B97"/>
    <mergeCell ref="AN95:AN97"/>
    <mergeCell ref="AV9:AV11"/>
    <mergeCell ref="AR12:AR14"/>
    <mergeCell ref="AS12:AS14"/>
    <mergeCell ref="AT12:AT14"/>
    <mergeCell ref="AU12:AU14"/>
    <mergeCell ref="AV12:AV14"/>
    <mergeCell ref="AR15:AR17"/>
    <mergeCell ref="AS15:AS17"/>
    <mergeCell ref="A1:B3"/>
    <mergeCell ref="C1:AE3"/>
    <mergeCell ref="A21:A23"/>
    <mergeCell ref="B21:B23"/>
    <mergeCell ref="A24:A26"/>
    <mergeCell ref="B24:B26"/>
    <mergeCell ref="A12:A14"/>
    <mergeCell ref="B12:B14"/>
    <mergeCell ref="A15:A17"/>
    <mergeCell ref="B15:B17"/>
    <mergeCell ref="A18:A20"/>
    <mergeCell ref="B18:B20"/>
    <mergeCell ref="A9:A11"/>
    <mergeCell ref="B9:B11"/>
    <mergeCell ref="A6:B6"/>
    <mergeCell ref="A7:B7"/>
    <mergeCell ref="T6:U6"/>
    <mergeCell ref="AD6:AE6"/>
    <mergeCell ref="AD7:AF7"/>
    <mergeCell ref="L6:N6"/>
    <mergeCell ref="E6:G6"/>
    <mergeCell ref="C6:D6"/>
    <mergeCell ref="J6:K6"/>
    <mergeCell ref="V6:X6"/>
    <mergeCell ref="A30:A32"/>
    <mergeCell ref="B30:B32"/>
    <mergeCell ref="A33:A35"/>
    <mergeCell ref="B33:B35"/>
    <mergeCell ref="AF6:AH6"/>
    <mergeCell ref="AO21:AO23"/>
    <mergeCell ref="AP21:AP23"/>
    <mergeCell ref="AQ21:AQ23"/>
    <mergeCell ref="A36:A38"/>
    <mergeCell ref="B36:B38"/>
    <mergeCell ref="M7:P7"/>
    <mergeCell ref="A27:A29"/>
    <mergeCell ref="B27:B29"/>
    <mergeCell ref="AN9:AN11"/>
    <mergeCell ref="AO9:AO11"/>
    <mergeCell ref="AN12:AN14"/>
    <mergeCell ref="AN15:AN17"/>
    <mergeCell ref="AN33:AN35"/>
    <mergeCell ref="AN36:AN38"/>
    <mergeCell ref="AN18:AN20"/>
    <mergeCell ref="AN21:AN23"/>
    <mergeCell ref="AN24:AN26"/>
    <mergeCell ref="AN27:AN29"/>
    <mergeCell ref="AN30:AN32"/>
    <mergeCell ref="AO24:AO26"/>
    <mergeCell ref="AO36:AO38"/>
    <mergeCell ref="AG7:AJ7"/>
    <mergeCell ref="AP9:AP11"/>
    <mergeCell ref="AQ9:AQ11"/>
    <mergeCell ref="AO12:AO14"/>
    <mergeCell ref="AP12:AP14"/>
    <mergeCell ref="AQ12:AQ14"/>
    <mergeCell ref="AO15:AO17"/>
    <mergeCell ref="AP15:AP17"/>
    <mergeCell ref="AQ15:AQ17"/>
    <mergeCell ref="AO18:AO20"/>
    <mergeCell ref="AP18:AP20"/>
    <mergeCell ref="AQ18:AQ20"/>
    <mergeCell ref="AW21:AW23"/>
    <mergeCell ref="AW24:AW26"/>
    <mergeCell ref="AW27:AW29"/>
    <mergeCell ref="AW30:AW32"/>
    <mergeCell ref="AW33:AW35"/>
    <mergeCell ref="AW36:AW38"/>
    <mergeCell ref="AP24:AP26"/>
    <mergeCell ref="AQ24:AQ26"/>
    <mergeCell ref="AO27:AO29"/>
    <mergeCell ref="AP27:AP29"/>
    <mergeCell ref="AQ27:AQ29"/>
    <mergeCell ref="AU27:AU29"/>
    <mergeCell ref="AV27:AV29"/>
    <mergeCell ref="AR36:AR38"/>
    <mergeCell ref="AS36:AS38"/>
    <mergeCell ref="AT36:AT38"/>
    <mergeCell ref="AU36:AU38"/>
    <mergeCell ref="AV36:AV38"/>
    <mergeCell ref="AS30:AS32"/>
    <mergeCell ref="AT30:AT32"/>
    <mergeCell ref="AU30:AU32"/>
    <mergeCell ref="AV30:AV32"/>
    <mergeCell ref="AR33:AR35"/>
    <mergeCell ref="AS33:AS35"/>
    <mergeCell ref="A5:H5"/>
    <mergeCell ref="J5:AW5"/>
    <mergeCell ref="AD199:AJ199"/>
    <mergeCell ref="AD200:AJ200"/>
    <mergeCell ref="AD201:AJ201"/>
    <mergeCell ref="AW6:AW8"/>
    <mergeCell ref="AF1:AW1"/>
    <mergeCell ref="AF2:AW2"/>
    <mergeCell ref="AF3:AW3"/>
    <mergeCell ref="AR9:AR11"/>
    <mergeCell ref="AS9:AS11"/>
    <mergeCell ref="AU9:AU11"/>
    <mergeCell ref="AP36:AP38"/>
    <mergeCell ref="AQ36:AQ38"/>
    <mergeCell ref="AO30:AO32"/>
    <mergeCell ref="AP30:AP32"/>
    <mergeCell ref="AQ30:AQ32"/>
    <mergeCell ref="AO33:AO35"/>
    <mergeCell ref="AP33:AP35"/>
    <mergeCell ref="AQ33:AQ35"/>
    <mergeCell ref="AW9:AW11"/>
    <mergeCell ref="AW12:AW14"/>
    <mergeCell ref="AW15:AW17"/>
    <mergeCell ref="AW18:AW20"/>
    <mergeCell ref="AO95:AO97"/>
    <mergeCell ref="AP95:AP97"/>
    <mergeCell ref="AQ95:AQ97"/>
    <mergeCell ref="AR95:AR97"/>
    <mergeCell ref="AS95:AS97"/>
    <mergeCell ref="AT95:AT97"/>
    <mergeCell ref="AU95:AU97"/>
    <mergeCell ref="AV95:AV97"/>
    <mergeCell ref="AW95:AW97"/>
    <mergeCell ref="AU98:AU100"/>
    <mergeCell ref="AV98:AV100"/>
    <mergeCell ref="AW98:AW100"/>
    <mergeCell ref="A101:A103"/>
    <mergeCell ref="B101:B103"/>
    <mergeCell ref="AN101:AN103"/>
    <mergeCell ref="AO101:AO103"/>
    <mergeCell ref="AP101:AP103"/>
    <mergeCell ref="AQ101:AQ103"/>
    <mergeCell ref="AR101:AR103"/>
    <mergeCell ref="AS101:AS103"/>
    <mergeCell ref="AT101:AT103"/>
    <mergeCell ref="AU101:AU103"/>
    <mergeCell ref="AV101:AV103"/>
    <mergeCell ref="AW101:AW103"/>
    <mergeCell ref="A98:A100"/>
    <mergeCell ref="B98:B100"/>
    <mergeCell ref="AN98:AN100"/>
    <mergeCell ref="AO98:AO100"/>
    <mergeCell ref="AP98:AP100"/>
    <mergeCell ref="AQ98:AQ100"/>
    <mergeCell ref="AR98:AR100"/>
    <mergeCell ref="AS98:AS100"/>
    <mergeCell ref="AT98:AT100"/>
    <mergeCell ref="AU104:AU106"/>
    <mergeCell ref="AV104:AV106"/>
    <mergeCell ref="AW104:AW106"/>
    <mergeCell ref="A107:A109"/>
    <mergeCell ref="B107:B109"/>
    <mergeCell ref="AN107:AN109"/>
    <mergeCell ref="AO107:AO109"/>
    <mergeCell ref="AP107:AP109"/>
    <mergeCell ref="AQ107:AQ109"/>
    <mergeCell ref="AR107:AR109"/>
    <mergeCell ref="AS107:AS109"/>
    <mergeCell ref="AT107:AT109"/>
    <mergeCell ref="AU107:AU109"/>
    <mergeCell ref="AV107:AV109"/>
    <mergeCell ref="AW107:AW109"/>
    <mergeCell ref="A104:A106"/>
    <mergeCell ref="B104:B106"/>
    <mergeCell ref="AN104:AN106"/>
    <mergeCell ref="AO104:AO106"/>
    <mergeCell ref="AP104:AP106"/>
    <mergeCell ref="AQ104:AQ106"/>
    <mergeCell ref="AR104:AR106"/>
    <mergeCell ref="AS104:AS106"/>
    <mergeCell ref="AT104:AT106"/>
    <mergeCell ref="B206:H206"/>
    <mergeCell ref="J206:P206"/>
    <mergeCell ref="T206:Z206"/>
    <mergeCell ref="AD206:AJ206"/>
    <mergeCell ref="B202:H202"/>
    <mergeCell ref="J202:P202"/>
    <mergeCell ref="T202:Z202"/>
    <mergeCell ref="AD202:AJ202"/>
    <mergeCell ref="B203:H203"/>
    <mergeCell ref="J203:P203"/>
    <mergeCell ref="T203:Z203"/>
    <mergeCell ref="AD203:AJ203"/>
    <mergeCell ref="B205:H205"/>
    <mergeCell ref="J205:P205"/>
    <mergeCell ref="T205:Z205"/>
    <mergeCell ref="AD205:AJ205"/>
    <mergeCell ref="AU39:AU41"/>
    <mergeCell ref="AV39:AV41"/>
    <mergeCell ref="AW39:AW41"/>
    <mergeCell ref="A42:A44"/>
    <mergeCell ref="B42:B44"/>
    <mergeCell ref="AN42:AN44"/>
    <mergeCell ref="AO42:AO44"/>
    <mergeCell ref="AP42:AP44"/>
    <mergeCell ref="AQ42:AQ44"/>
    <mergeCell ref="AR42:AR44"/>
    <mergeCell ref="AS42:AS44"/>
    <mergeCell ref="AT42:AT44"/>
    <mergeCell ref="AU42:AU44"/>
    <mergeCell ref="AV42:AV44"/>
    <mergeCell ref="AW42:AW44"/>
    <mergeCell ref="A39:A41"/>
    <mergeCell ref="B39:B41"/>
    <mergeCell ref="AN39:AN41"/>
    <mergeCell ref="AO39:AO41"/>
    <mergeCell ref="AP39:AP41"/>
    <mergeCell ref="AQ39:AQ41"/>
    <mergeCell ref="AR39:AR41"/>
    <mergeCell ref="AS39:AS41"/>
    <mergeCell ref="AT39:AT41"/>
    <mergeCell ref="AU45:AU47"/>
    <mergeCell ref="AV45:AV47"/>
    <mergeCell ref="AW45:AW47"/>
    <mergeCell ref="A48:A50"/>
    <mergeCell ref="B48:B50"/>
    <mergeCell ref="AN48:AN50"/>
    <mergeCell ref="AO48:AO50"/>
    <mergeCell ref="AP48:AP50"/>
    <mergeCell ref="AQ48:AQ50"/>
    <mergeCell ref="AR48:AR50"/>
    <mergeCell ref="AS48:AS50"/>
    <mergeCell ref="AT48:AT50"/>
    <mergeCell ref="AU48:AU50"/>
    <mergeCell ref="AV48:AV50"/>
    <mergeCell ref="AW48:AW50"/>
    <mergeCell ref="A45:A47"/>
    <mergeCell ref="B45:B47"/>
    <mergeCell ref="AN45:AN47"/>
    <mergeCell ref="AO45:AO47"/>
    <mergeCell ref="AP45:AP47"/>
    <mergeCell ref="AQ45:AQ47"/>
    <mergeCell ref="AR45:AR47"/>
    <mergeCell ref="AS45:AS47"/>
    <mergeCell ref="AT45:AT47"/>
    <mergeCell ref="AU51:AU53"/>
    <mergeCell ref="AV51:AV53"/>
    <mergeCell ref="AW51:AW53"/>
    <mergeCell ref="A54:A56"/>
    <mergeCell ref="B54:B56"/>
    <mergeCell ref="AN54:AN56"/>
    <mergeCell ref="AO54:AO56"/>
    <mergeCell ref="AP54:AP56"/>
    <mergeCell ref="AQ54:AQ56"/>
    <mergeCell ref="AR54:AR56"/>
    <mergeCell ref="AS54:AS56"/>
    <mergeCell ref="AT54:AT56"/>
    <mergeCell ref="AU54:AU56"/>
    <mergeCell ref="AV54:AV56"/>
    <mergeCell ref="AW54:AW56"/>
    <mergeCell ref="A51:A53"/>
    <mergeCell ref="B51:B53"/>
    <mergeCell ref="AN51:AN53"/>
    <mergeCell ref="AO51:AO53"/>
    <mergeCell ref="AP51:AP53"/>
    <mergeCell ref="AQ51:AQ53"/>
    <mergeCell ref="AR51:AR53"/>
    <mergeCell ref="AS51:AS53"/>
    <mergeCell ref="AT51:AT53"/>
    <mergeCell ref="AU57:AU59"/>
    <mergeCell ref="AV57:AV59"/>
    <mergeCell ref="AW57:AW59"/>
    <mergeCell ref="A60:A62"/>
    <mergeCell ref="B60:B62"/>
    <mergeCell ref="AN60:AN62"/>
    <mergeCell ref="AO60:AO62"/>
    <mergeCell ref="AP60:AP62"/>
    <mergeCell ref="AQ60:AQ62"/>
    <mergeCell ref="AR60:AR62"/>
    <mergeCell ref="AS60:AS62"/>
    <mergeCell ref="AT60:AT62"/>
    <mergeCell ref="AU60:AU62"/>
    <mergeCell ref="AV60:AV62"/>
    <mergeCell ref="AW60:AW62"/>
    <mergeCell ref="A57:A59"/>
    <mergeCell ref="B57:B59"/>
    <mergeCell ref="AN57:AN59"/>
    <mergeCell ref="AO57:AO59"/>
    <mergeCell ref="AP57:AP59"/>
    <mergeCell ref="AQ57:AQ59"/>
    <mergeCell ref="AR57:AR59"/>
    <mergeCell ref="AS57:AS59"/>
    <mergeCell ref="AT57:AT59"/>
    <mergeCell ref="AU63:AU65"/>
    <mergeCell ref="AV63:AV65"/>
    <mergeCell ref="AW63:AW65"/>
    <mergeCell ref="A66:A68"/>
    <mergeCell ref="B66:B68"/>
    <mergeCell ref="AN66:AN68"/>
    <mergeCell ref="AO66:AO68"/>
    <mergeCell ref="AP66:AP68"/>
    <mergeCell ref="AQ66:AQ68"/>
    <mergeCell ref="AR66:AR68"/>
    <mergeCell ref="AS66:AS68"/>
    <mergeCell ref="AT66:AT68"/>
    <mergeCell ref="AU66:AU68"/>
    <mergeCell ref="AV66:AV68"/>
    <mergeCell ref="AW66:AW68"/>
    <mergeCell ref="A63:A65"/>
    <mergeCell ref="B63:B65"/>
    <mergeCell ref="AN63:AN65"/>
    <mergeCell ref="AO63:AO65"/>
    <mergeCell ref="AP63:AP65"/>
    <mergeCell ref="AQ63:AQ65"/>
    <mergeCell ref="AR63:AR65"/>
    <mergeCell ref="AS63:AS65"/>
    <mergeCell ref="AT63:AT65"/>
    <mergeCell ref="AU69:AU71"/>
    <mergeCell ref="AV69:AV71"/>
    <mergeCell ref="AW69:AW71"/>
    <mergeCell ref="A72:A74"/>
    <mergeCell ref="B72:B74"/>
    <mergeCell ref="AN72:AN74"/>
    <mergeCell ref="AO72:AO74"/>
    <mergeCell ref="AP72:AP74"/>
    <mergeCell ref="AQ72:AQ74"/>
    <mergeCell ref="AR72:AR74"/>
    <mergeCell ref="AS72:AS74"/>
    <mergeCell ref="AT72:AT74"/>
    <mergeCell ref="AU72:AU74"/>
    <mergeCell ref="AV72:AV74"/>
    <mergeCell ref="AW72:AW74"/>
    <mergeCell ref="A69:A71"/>
    <mergeCell ref="B69:B71"/>
    <mergeCell ref="AN69:AN71"/>
    <mergeCell ref="AO69:AO71"/>
    <mergeCell ref="AP69:AP71"/>
    <mergeCell ref="AQ69:AQ71"/>
    <mergeCell ref="AR69:AR71"/>
    <mergeCell ref="AS69:AS71"/>
    <mergeCell ref="AT69:AT71"/>
    <mergeCell ref="AU75:AU77"/>
    <mergeCell ref="AV75:AV77"/>
    <mergeCell ref="AW75:AW77"/>
    <mergeCell ref="A78:A80"/>
    <mergeCell ref="B78:B80"/>
    <mergeCell ref="AN78:AN80"/>
    <mergeCell ref="AO78:AO80"/>
    <mergeCell ref="AP78:AP80"/>
    <mergeCell ref="AQ78:AQ80"/>
    <mergeCell ref="AR78:AR80"/>
    <mergeCell ref="AS78:AS80"/>
    <mergeCell ref="AT78:AT80"/>
    <mergeCell ref="AU78:AU80"/>
    <mergeCell ref="AV78:AV80"/>
    <mergeCell ref="AW78:AW80"/>
    <mergeCell ref="A75:A77"/>
    <mergeCell ref="B75:B77"/>
    <mergeCell ref="AN75:AN77"/>
    <mergeCell ref="AO75:AO77"/>
    <mergeCell ref="AP75:AP77"/>
    <mergeCell ref="AQ75:AQ77"/>
    <mergeCell ref="AR75:AR77"/>
    <mergeCell ref="AS75:AS77"/>
    <mergeCell ref="AT75:AT77"/>
    <mergeCell ref="AU81:AU83"/>
    <mergeCell ref="AV81:AV83"/>
    <mergeCell ref="AW81:AW83"/>
    <mergeCell ref="A84:A86"/>
    <mergeCell ref="B84:B86"/>
    <mergeCell ref="AN84:AN86"/>
    <mergeCell ref="AO84:AO86"/>
    <mergeCell ref="AP84:AP86"/>
    <mergeCell ref="AQ84:AQ86"/>
    <mergeCell ref="AR84:AR86"/>
    <mergeCell ref="AS84:AS86"/>
    <mergeCell ref="AT84:AT86"/>
    <mergeCell ref="AU84:AU86"/>
    <mergeCell ref="AV84:AV86"/>
    <mergeCell ref="AW84:AW86"/>
    <mergeCell ref="A81:A83"/>
    <mergeCell ref="B81:B83"/>
    <mergeCell ref="AN81:AN83"/>
    <mergeCell ref="AO81:AO83"/>
    <mergeCell ref="AP81:AP83"/>
    <mergeCell ref="AQ81:AQ83"/>
    <mergeCell ref="AR81:AR83"/>
    <mergeCell ref="AS81:AS83"/>
    <mergeCell ref="AT81:AT83"/>
    <mergeCell ref="AU87:AU89"/>
    <mergeCell ref="AV87:AV89"/>
    <mergeCell ref="AW87:AW89"/>
    <mergeCell ref="A90:A92"/>
    <mergeCell ref="B90:B92"/>
    <mergeCell ref="AN90:AN92"/>
    <mergeCell ref="AO90:AO92"/>
    <mergeCell ref="AP90:AP92"/>
    <mergeCell ref="AQ90:AQ92"/>
    <mergeCell ref="AR90:AR92"/>
    <mergeCell ref="AS90:AS92"/>
    <mergeCell ref="AT90:AT92"/>
    <mergeCell ref="AU90:AU92"/>
    <mergeCell ref="AV90:AV92"/>
    <mergeCell ref="AW90:AW92"/>
    <mergeCell ref="A87:A89"/>
    <mergeCell ref="B87:B89"/>
    <mergeCell ref="AN87:AN89"/>
    <mergeCell ref="AO87:AO89"/>
    <mergeCell ref="AP87:AP89"/>
    <mergeCell ref="AQ87:AQ89"/>
    <mergeCell ref="AR87:AR89"/>
    <mergeCell ref="AS87:AS89"/>
    <mergeCell ref="AT87:AT89"/>
    <mergeCell ref="AU110:AU112"/>
    <mergeCell ref="AV110:AV112"/>
    <mergeCell ref="AW110:AW112"/>
    <mergeCell ref="A113:A115"/>
    <mergeCell ref="B113:B115"/>
    <mergeCell ref="AN113:AN115"/>
    <mergeCell ref="AO113:AO115"/>
    <mergeCell ref="AP113:AP115"/>
    <mergeCell ref="AQ113:AQ115"/>
    <mergeCell ref="AR113:AR115"/>
    <mergeCell ref="AS113:AS115"/>
    <mergeCell ref="AT113:AT115"/>
    <mergeCell ref="AU113:AU115"/>
    <mergeCell ref="AV113:AV115"/>
    <mergeCell ref="AW113:AW115"/>
    <mergeCell ref="A110:A112"/>
    <mergeCell ref="B110:B112"/>
    <mergeCell ref="AN110:AN112"/>
    <mergeCell ref="AO110:AO112"/>
    <mergeCell ref="AP110:AP112"/>
    <mergeCell ref="AQ110:AQ112"/>
    <mergeCell ref="AR110:AR112"/>
    <mergeCell ref="AS110:AS112"/>
    <mergeCell ref="AT110:AT112"/>
    <mergeCell ref="AU116:AU118"/>
    <mergeCell ref="AV116:AV118"/>
    <mergeCell ref="AW116:AW118"/>
    <mergeCell ref="A119:A121"/>
    <mergeCell ref="B119:B121"/>
    <mergeCell ref="AN119:AN121"/>
    <mergeCell ref="AO119:AO121"/>
    <mergeCell ref="AP119:AP121"/>
    <mergeCell ref="AQ119:AQ121"/>
    <mergeCell ref="AR119:AR121"/>
    <mergeCell ref="AS119:AS121"/>
    <mergeCell ref="AT119:AT121"/>
    <mergeCell ref="AU119:AU121"/>
    <mergeCell ref="AV119:AV121"/>
    <mergeCell ref="AW119:AW121"/>
    <mergeCell ref="A116:A118"/>
    <mergeCell ref="B116:B118"/>
    <mergeCell ref="AN116:AN118"/>
    <mergeCell ref="AO116:AO118"/>
    <mergeCell ref="AP116:AP118"/>
    <mergeCell ref="AQ116:AQ118"/>
    <mergeCell ref="AR116:AR118"/>
    <mergeCell ref="AS116:AS118"/>
    <mergeCell ref="AT116:AT118"/>
    <mergeCell ref="AU122:AU124"/>
    <mergeCell ref="AV122:AV124"/>
    <mergeCell ref="AW122:AW124"/>
    <mergeCell ref="A125:A127"/>
    <mergeCell ref="B125:B127"/>
    <mergeCell ref="AN125:AN127"/>
    <mergeCell ref="AO125:AO127"/>
    <mergeCell ref="AP125:AP127"/>
    <mergeCell ref="AQ125:AQ127"/>
    <mergeCell ref="AR125:AR127"/>
    <mergeCell ref="AS125:AS127"/>
    <mergeCell ref="AT125:AT127"/>
    <mergeCell ref="AU125:AU127"/>
    <mergeCell ref="AV125:AV127"/>
    <mergeCell ref="AW125:AW127"/>
    <mergeCell ref="A122:A124"/>
    <mergeCell ref="B122:B124"/>
    <mergeCell ref="AN122:AN124"/>
    <mergeCell ref="AO122:AO124"/>
    <mergeCell ref="AP122:AP124"/>
    <mergeCell ref="AQ122:AQ124"/>
    <mergeCell ref="AR122:AR124"/>
    <mergeCell ref="AS122:AS124"/>
    <mergeCell ref="AT122:AT124"/>
    <mergeCell ref="AU128:AU130"/>
    <mergeCell ref="AV128:AV130"/>
    <mergeCell ref="AW128:AW130"/>
    <mergeCell ref="A131:A133"/>
    <mergeCell ref="B131:B133"/>
    <mergeCell ref="AN131:AN133"/>
    <mergeCell ref="AO131:AO133"/>
    <mergeCell ref="AP131:AP133"/>
    <mergeCell ref="AQ131:AQ133"/>
    <mergeCell ref="AR131:AR133"/>
    <mergeCell ref="AS131:AS133"/>
    <mergeCell ref="AT131:AT133"/>
    <mergeCell ref="AU131:AU133"/>
    <mergeCell ref="AV131:AV133"/>
    <mergeCell ref="AW131:AW133"/>
    <mergeCell ref="A128:A130"/>
    <mergeCell ref="B128:B130"/>
    <mergeCell ref="AN128:AN130"/>
    <mergeCell ref="AO128:AO130"/>
    <mergeCell ref="AP128:AP130"/>
    <mergeCell ref="AQ128:AQ130"/>
    <mergeCell ref="AR128:AR130"/>
    <mergeCell ref="AS128:AS130"/>
    <mergeCell ref="AT128:AT130"/>
    <mergeCell ref="AU134:AU136"/>
    <mergeCell ref="AV134:AV136"/>
    <mergeCell ref="AW134:AW136"/>
    <mergeCell ref="A137:A139"/>
    <mergeCell ref="B137:B139"/>
    <mergeCell ref="AN137:AN139"/>
    <mergeCell ref="AO137:AO139"/>
    <mergeCell ref="AP137:AP139"/>
    <mergeCell ref="AQ137:AQ139"/>
    <mergeCell ref="AR137:AR139"/>
    <mergeCell ref="AS137:AS139"/>
    <mergeCell ref="AT137:AT139"/>
    <mergeCell ref="AU137:AU139"/>
    <mergeCell ref="AV137:AV139"/>
    <mergeCell ref="AW137:AW139"/>
    <mergeCell ref="A134:A136"/>
    <mergeCell ref="B134:B136"/>
    <mergeCell ref="AN134:AN136"/>
    <mergeCell ref="AO134:AO136"/>
    <mergeCell ref="AP134:AP136"/>
    <mergeCell ref="AQ134:AQ136"/>
    <mergeCell ref="AR134:AR136"/>
    <mergeCell ref="AS134:AS136"/>
    <mergeCell ref="AT134:AT136"/>
    <mergeCell ref="AU140:AU142"/>
    <mergeCell ref="AV140:AV142"/>
    <mergeCell ref="AW140:AW142"/>
    <mergeCell ref="A143:A145"/>
    <mergeCell ref="B143:B145"/>
    <mergeCell ref="AN143:AN145"/>
    <mergeCell ref="AO143:AO145"/>
    <mergeCell ref="AP143:AP145"/>
    <mergeCell ref="AQ143:AQ145"/>
    <mergeCell ref="AR143:AR145"/>
    <mergeCell ref="AS143:AS145"/>
    <mergeCell ref="AT143:AT145"/>
    <mergeCell ref="AU143:AU145"/>
    <mergeCell ref="AV143:AV145"/>
    <mergeCell ref="AW143:AW145"/>
    <mergeCell ref="A140:A142"/>
    <mergeCell ref="B140:B142"/>
    <mergeCell ref="AN140:AN142"/>
    <mergeCell ref="AO140:AO142"/>
    <mergeCell ref="AP140:AP142"/>
    <mergeCell ref="AQ140:AQ142"/>
    <mergeCell ref="AR140:AR142"/>
    <mergeCell ref="AS140:AS142"/>
    <mergeCell ref="AT140:AT142"/>
    <mergeCell ref="AU146:AU148"/>
    <mergeCell ref="AV146:AV148"/>
    <mergeCell ref="AW146:AW148"/>
    <mergeCell ref="A149:A151"/>
    <mergeCell ref="B149:B151"/>
    <mergeCell ref="AN149:AN151"/>
    <mergeCell ref="AO149:AO151"/>
    <mergeCell ref="AP149:AP151"/>
    <mergeCell ref="AQ149:AQ151"/>
    <mergeCell ref="AR149:AR151"/>
    <mergeCell ref="AS149:AS151"/>
    <mergeCell ref="AT149:AT151"/>
    <mergeCell ref="AU149:AU151"/>
    <mergeCell ref="AV149:AV151"/>
    <mergeCell ref="AW149:AW151"/>
    <mergeCell ref="A146:A148"/>
    <mergeCell ref="B146:B148"/>
    <mergeCell ref="AN146:AN148"/>
    <mergeCell ref="AO146:AO148"/>
    <mergeCell ref="AP146:AP148"/>
    <mergeCell ref="AQ146:AQ148"/>
    <mergeCell ref="AR146:AR148"/>
    <mergeCell ref="AS146:AS148"/>
    <mergeCell ref="AT146:AT148"/>
    <mergeCell ref="AU152:AU154"/>
    <mergeCell ref="AV152:AV154"/>
    <mergeCell ref="AW152:AW154"/>
    <mergeCell ref="A155:A157"/>
    <mergeCell ref="B155:B157"/>
    <mergeCell ref="AN155:AN157"/>
    <mergeCell ref="AO155:AO157"/>
    <mergeCell ref="AP155:AP157"/>
    <mergeCell ref="AQ155:AQ157"/>
    <mergeCell ref="AR155:AR157"/>
    <mergeCell ref="AS155:AS157"/>
    <mergeCell ref="AT155:AT157"/>
    <mergeCell ref="AU155:AU157"/>
    <mergeCell ref="AV155:AV157"/>
    <mergeCell ref="AW155:AW157"/>
    <mergeCell ref="A152:A154"/>
    <mergeCell ref="B152:B154"/>
    <mergeCell ref="AN152:AN154"/>
    <mergeCell ref="AO152:AO154"/>
    <mergeCell ref="AP152:AP154"/>
    <mergeCell ref="AQ152:AQ154"/>
    <mergeCell ref="AR152:AR154"/>
    <mergeCell ref="AS152:AS154"/>
    <mergeCell ref="AT152:AT154"/>
    <mergeCell ref="AU158:AU160"/>
    <mergeCell ref="AV158:AV160"/>
    <mergeCell ref="AW158:AW160"/>
    <mergeCell ref="A161:A163"/>
    <mergeCell ref="B161:B163"/>
    <mergeCell ref="AN161:AN163"/>
    <mergeCell ref="AO161:AO163"/>
    <mergeCell ref="AP161:AP163"/>
    <mergeCell ref="AQ161:AQ163"/>
    <mergeCell ref="AR161:AR163"/>
    <mergeCell ref="AS161:AS163"/>
    <mergeCell ref="AT161:AT163"/>
    <mergeCell ref="AU161:AU163"/>
    <mergeCell ref="AV161:AV163"/>
    <mergeCell ref="AW161:AW163"/>
    <mergeCell ref="A158:A160"/>
    <mergeCell ref="B158:B160"/>
    <mergeCell ref="AN158:AN160"/>
    <mergeCell ref="AO158:AO160"/>
    <mergeCell ref="AP158:AP160"/>
    <mergeCell ref="AQ158:AQ160"/>
    <mergeCell ref="AR158:AR160"/>
    <mergeCell ref="AS158:AS160"/>
    <mergeCell ref="AT158:AT160"/>
    <mergeCell ref="AU164:AU166"/>
    <mergeCell ref="AV164:AV166"/>
    <mergeCell ref="AW164:AW166"/>
    <mergeCell ref="A167:A169"/>
    <mergeCell ref="B167:B169"/>
    <mergeCell ref="AN167:AN169"/>
    <mergeCell ref="AO167:AO169"/>
    <mergeCell ref="AP167:AP169"/>
    <mergeCell ref="AQ167:AQ169"/>
    <mergeCell ref="AR167:AR169"/>
    <mergeCell ref="AS167:AS169"/>
    <mergeCell ref="AT167:AT169"/>
    <mergeCell ref="AU167:AU169"/>
    <mergeCell ref="AV167:AV169"/>
    <mergeCell ref="AW167:AW169"/>
    <mergeCell ref="A164:A166"/>
    <mergeCell ref="B164:B166"/>
    <mergeCell ref="AN164:AN166"/>
    <mergeCell ref="AO164:AO166"/>
    <mergeCell ref="AP164:AP166"/>
    <mergeCell ref="AQ164:AQ166"/>
    <mergeCell ref="AR164:AR166"/>
    <mergeCell ref="AS164:AS166"/>
    <mergeCell ref="AT164:AT166"/>
    <mergeCell ref="AU170:AU172"/>
    <mergeCell ref="AV170:AV172"/>
    <mergeCell ref="AW170:AW172"/>
    <mergeCell ref="A173:A175"/>
    <mergeCell ref="B173:B175"/>
    <mergeCell ref="AN173:AN175"/>
    <mergeCell ref="AO173:AO175"/>
    <mergeCell ref="AP173:AP175"/>
    <mergeCell ref="AQ173:AQ175"/>
    <mergeCell ref="AR173:AR175"/>
    <mergeCell ref="AS173:AS175"/>
    <mergeCell ref="AT173:AT175"/>
    <mergeCell ref="AU173:AU175"/>
    <mergeCell ref="AV173:AV175"/>
    <mergeCell ref="AW173:AW175"/>
    <mergeCell ref="A170:A172"/>
    <mergeCell ref="B170:B172"/>
    <mergeCell ref="AN170:AN172"/>
    <mergeCell ref="AO170:AO172"/>
    <mergeCell ref="AP170:AP172"/>
    <mergeCell ref="AQ170:AQ172"/>
    <mergeCell ref="AR170:AR172"/>
    <mergeCell ref="AS170:AS172"/>
    <mergeCell ref="AT170:AT172"/>
    <mergeCell ref="AU176:AU178"/>
    <mergeCell ref="AV176:AV178"/>
    <mergeCell ref="AW176:AW178"/>
    <mergeCell ref="A179:A181"/>
    <mergeCell ref="B179:B181"/>
    <mergeCell ref="AN179:AN181"/>
    <mergeCell ref="AO179:AO181"/>
    <mergeCell ref="AP179:AP181"/>
    <mergeCell ref="AQ179:AQ181"/>
    <mergeCell ref="AR179:AR181"/>
    <mergeCell ref="AS179:AS181"/>
    <mergeCell ref="AT179:AT181"/>
    <mergeCell ref="AU179:AU181"/>
    <mergeCell ref="AV179:AV181"/>
    <mergeCell ref="AW179:AW181"/>
    <mergeCell ref="A176:A178"/>
    <mergeCell ref="B176:B178"/>
    <mergeCell ref="AN176:AN178"/>
    <mergeCell ref="AO176:AO178"/>
    <mergeCell ref="AP176:AP178"/>
    <mergeCell ref="AQ176:AQ178"/>
    <mergeCell ref="AR176:AR178"/>
    <mergeCell ref="AS176:AS178"/>
    <mergeCell ref="AT176:AT178"/>
    <mergeCell ref="AU182:AU184"/>
    <mergeCell ref="AV182:AV184"/>
    <mergeCell ref="AW182:AW184"/>
    <mergeCell ref="A185:A187"/>
    <mergeCell ref="B185:B187"/>
    <mergeCell ref="AN185:AN187"/>
    <mergeCell ref="AO185:AO187"/>
    <mergeCell ref="AP185:AP187"/>
    <mergeCell ref="AQ185:AQ187"/>
    <mergeCell ref="AR185:AR187"/>
    <mergeCell ref="AS185:AS187"/>
    <mergeCell ref="AT185:AT187"/>
    <mergeCell ref="AU185:AU187"/>
    <mergeCell ref="AV185:AV187"/>
    <mergeCell ref="AW185:AW187"/>
    <mergeCell ref="A182:A184"/>
    <mergeCell ref="B182:B184"/>
    <mergeCell ref="AN182:AN184"/>
    <mergeCell ref="AO182:AO184"/>
    <mergeCell ref="AP182:AP184"/>
    <mergeCell ref="AQ182:AQ184"/>
    <mergeCell ref="AR182:AR184"/>
    <mergeCell ref="AS182:AS184"/>
    <mergeCell ref="AT182:AT184"/>
    <mergeCell ref="AU188:AU190"/>
    <mergeCell ref="AV188:AV190"/>
    <mergeCell ref="AW188:AW190"/>
    <mergeCell ref="A191:A193"/>
    <mergeCell ref="B191:B193"/>
    <mergeCell ref="AN191:AN193"/>
    <mergeCell ref="AO191:AO193"/>
    <mergeCell ref="AP191:AP193"/>
    <mergeCell ref="AQ191:AQ193"/>
    <mergeCell ref="AR191:AR193"/>
    <mergeCell ref="AS191:AS193"/>
    <mergeCell ref="AT191:AT193"/>
    <mergeCell ref="AU191:AU193"/>
    <mergeCell ref="AV191:AV193"/>
    <mergeCell ref="AW191:AW193"/>
    <mergeCell ref="A188:A190"/>
    <mergeCell ref="B188:B190"/>
    <mergeCell ref="AN188:AN190"/>
    <mergeCell ref="AO188:AO190"/>
    <mergeCell ref="AP188:AP190"/>
    <mergeCell ref="AQ188:AQ190"/>
    <mergeCell ref="AR188:AR190"/>
    <mergeCell ref="AS188:AS190"/>
    <mergeCell ref="AT188:AT190"/>
    <mergeCell ref="AU194:AU196"/>
    <mergeCell ref="AV194:AV196"/>
    <mergeCell ref="AW194:AW196"/>
    <mergeCell ref="A194:A196"/>
    <mergeCell ref="B194:B196"/>
    <mergeCell ref="AN194:AN196"/>
    <mergeCell ref="AO194:AO196"/>
    <mergeCell ref="AP194:AP196"/>
    <mergeCell ref="AQ194:AQ196"/>
    <mergeCell ref="AR194:AR196"/>
    <mergeCell ref="AS194:AS196"/>
    <mergeCell ref="AT194:AT196"/>
  </mergeCells>
  <conditionalFormatting sqref="P6">
    <cfRule type="containsText" dxfId="269" priority="76" operator="containsText" text="Indique Fecha Seguimiento">
      <formula>NOT(ISERROR(SEARCH("Indique Fecha Seguimiento",P6)))</formula>
    </cfRule>
  </conditionalFormatting>
  <conditionalFormatting sqref="Z6">
    <cfRule type="containsText" dxfId="268" priority="75" operator="containsText" text="Indique Fecha Seguimiento">
      <formula>NOT(ISERROR(SEARCH("Indique Fecha Seguimiento",Z6)))</formula>
    </cfRule>
  </conditionalFormatting>
  <conditionalFormatting sqref="AJ6">
    <cfRule type="containsText" dxfId="267" priority="74" operator="containsText" text="Indique Fecha Seguimiento">
      <formula>NOT(ISERROR(SEARCH("Indique Fecha Seguimiento",AJ6)))</formula>
    </cfRule>
  </conditionalFormatting>
  <conditionalFormatting sqref="J6:K6">
    <cfRule type="containsText" dxfId="266" priority="72" operator="containsText" text="No Aplica">
      <formula>NOT(ISERROR(SEARCH("No Aplica",J6)))</formula>
    </cfRule>
  </conditionalFormatting>
  <conditionalFormatting sqref="T6:U6">
    <cfRule type="containsText" dxfId="265" priority="71" operator="containsText" text="No Aplica">
      <formula>NOT(ISERROR(SEARCH("No Aplica",T6)))</formula>
    </cfRule>
  </conditionalFormatting>
  <conditionalFormatting sqref="J197 AD197 J9:J93 T9:T92 AD9:AD92">
    <cfRule type="containsText" dxfId="264" priority="63" operator="containsText" text="A ">
      <formula>NOT(ISERROR(SEARCH("A ",J9)))</formula>
    </cfRule>
    <cfRule type="containsText" dxfId="263" priority="64" operator="containsText" text="NA">
      <formula>NOT(ISERROR(SEARCH("NA",J9)))</formula>
    </cfRule>
  </conditionalFormatting>
  <conditionalFormatting sqref="AD6:AE6">
    <cfRule type="containsText" dxfId="262" priority="57" operator="containsText" text="No Aplica">
      <formula>NOT(ISERROR(SEARCH("No Aplica",AD6)))</formula>
    </cfRule>
  </conditionalFormatting>
  <conditionalFormatting sqref="AD93 T93">
    <cfRule type="containsText" dxfId="261" priority="53" operator="containsText" text="A ">
      <formula>NOT(ISERROR(SEARCH("A ",T93)))</formula>
    </cfRule>
    <cfRule type="containsText" dxfId="260" priority="54" operator="containsText" text="NA">
      <formula>NOT(ISERROR(SEARCH("NA",T93)))</formula>
    </cfRule>
  </conditionalFormatting>
  <conditionalFormatting sqref="J198 AD198">
    <cfRule type="containsText" dxfId="259" priority="43" operator="containsText" text="A ">
      <formula>NOT(ISERROR(SEARCH("A ",J198)))</formula>
    </cfRule>
    <cfRule type="containsText" dxfId="258" priority="44" operator="containsText" text="NA">
      <formula>NOT(ISERROR(SEARCH("NA",J198)))</formula>
    </cfRule>
  </conditionalFormatting>
  <conditionalFormatting sqref="O9:O92">
    <cfRule type="containsText" dxfId="257" priority="40" operator="containsText" text="NO">
      <formula>NOT(ISERROR(SEARCH("NO",O9)))</formula>
    </cfRule>
    <cfRule type="containsText" dxfId="256" priority="41" operator="containsText" text="SI">
      <formula>NOT(ISERROR(SEARCH("SI",O9)))</formula>
    </cfRule>
    <cfRule type="containsText" dxfId="255" priority="42" operator="containsText" text="NA">
      <formula>NOT(ISERROR(SEARCH("NA",O9)))</formula>
    </cfRule>
  </conditionalFormatting>
  <conditionalFormatting sqref="O95">
    <cfRule type="containsText" dxfId="254" priority="37" operator="containsText" text="NO">
      <formula>NOT(ISERROR(SEARCH("NO",O95)))</formula>
    </cfRule>
    <cfRule type="containsText" dxfId="253" priority="38" operator="containsText" text="SI">
      <formula>NOT(ISERROR(SEARCH("SI",O95)))</formula>
    </cfRule>
    <cfRule type="containsText" dxfId="252" priority="39" operator="containsText" text="NA">
      <formula>NOT(ISERROR(SEARCH("NA",O95)))</formula>
    </cfRule>
  </conditionalFormatting>
  <conditionalFormatting sqref="O96:O196">
    <cfRule type="containsText" dxfId="251" priority="34" operator="containsText" text="NO">
      <formula>NOT(ISERROR(SEARCH("NO",O96)))</formula>
    </cfRule>
    <cfRule type="containsText" dxfId="250" priority="35" operator="containsText" text="SI">
      <formula>NOT(ISERROR(SEARCH("SI",O96)))</formula>
    </cfRule>
    <cfRule type="containsText" dxfId="249" priority="36" operator="containsText" text="NA">
      <formula>NOT(ISERROR(SEARCH("NA",O96)))</formula>
    </cfRule>
  </conditionalFormatting>
  <conditionalFormatting sqref="Y9:Y92">
    <cfRule type="containsText" dxfId="248" priority="31" operator="containsText" text="NO">
      <formula>NOT(ISERROR(SEARCH("NO",Y9)))</formula>
    </cfRule>
    <cfRule type="containsText" dxfId="247" priority="32" operator="containsText" text="SI">
      <formula>NOT(ISERROR(SEARCH("SI",Y9)))</formula>
    </cfRule>
    <cfRule type="containsText" dxfId="246" priority="33" operator="containsText" text="NA">
      <formula>NOT(ISERROR(SEARCH("NA",Y9)))</formula>
    </cfRule>
  </conditionalFormatting>
  <conditionalFormatting sqref="Y95:Y196">
    <cfRule type="containsText" dxfId="245" priority="22" operator="containsText" text="NO">
      <formula>NOT(ISERROR(SEARCH("NO",Y95)))</formula>
    </cfRule>
    <cfRule type="containsText" dxfId="244" priority="23" operator="containsText" text="SI">
      <formula>NOT(ISERROR(SEARCH("SI",Y95)))</formula>
    </cfRule>
    <cfRule type="containsText" dxfId="243" priority="24" operator="containsText" text="NA">
      <formula>NOT(ISERROR(SEARCH("NA",Y95)))</formula>
    </cfRule>
  </conditionalFormatting>
  <conditionalFormatting sqref="AI9:AI92">
    <cfRule type="containsText" dxfId="242" priority="19" operator="containsText" text="NO">
      <formula>NOT(ISERROR(SEARCH("NO",AI9)))</formula>
    </cfRule>
    <cfRule type="containsText" dxfId="241" priority="20" operator="containsText" text="SI">
      <formula>NOT(ISERROR(SEARCH("SI",AI9)))</formula>
    </cfRule>
    <cfRule type="containsText" dxfId="240" priority="21" operator="containsText" text="NA">
      <formula>NOT(ISERROR(SEARCH("NA",AI9)))</formula>
    </cfRule>
  </conditionalFormatting>
  <conditionalFormatting sqref="AI95:AI196">
    <cfRule type="containsText" dxfId="239" priority="13" operator="containsText" text="NO">
      <formula>NOT(ISERROR(SEARCH("NO",AI95)))</formula>
    </cfRule>
    <cfRule type="containsText" dxfId="238" priority="14" operator="containsText" text="SI">
      <formula>NOT(ISERROR(SEARCH("SI",AI95)))</formula>
    </cfRule>
    <cfRule type="containsText" dxfId="237" priority="15" operator="containsText" text="NA">
      <formula>NOT(ISERROR(SEARCH("NA",AI95)))</formula>
    </cfRule>
  </conditionalFormatting>
  <conditionalFormatting sqref="J95:J196">
    <cfRule type="containsText" dxfId="236" priority="5" operator="containsText" text="A ">
      <formula>NOT(ISERROR(SEARCH("A ",J95)))</formula>
    </cfRule>
    <cfRule type="containsText" dxfId="235" priority="6" operator="containsText" text="NA">
      <formula>NOT(ISERROR(SEARCH("NA",J95)))</formula>
    </cfRule>
  </conditionalFormatting>
  <conditionalFormatting sqref="T95:T198">
    <cfRule type="containsText" dxfId="234" priority="3" operator="containsText" text="A ">
      <formula>NOT(ISERROR(SEARCH("A ",T95)))</formula>
    </cfRule>
    <cfRule type="containsText" dxfId="233" priority="4" operator="containsText" text="NA">
      <formula>NOT(ISERROR(SEARCH("NA",T95)))</formula>
    </cfRule>
  </conditionalFormatting>
  <conditionalFormatting sqref="AD95:AD196">
    <cfRule type="containsText" dxfId="232" priority="1" operator="containsText" text="A ">
      <formula>NOT(ISERROR(SEARCH("A ",AD95)))</formula>
    </cfRule>
    <cfRule type="containsText" dxfId="231" priority="2" operator="containsText" text="NA">
      <formula>NOT(ISERROR(SEARCH("NA",AD95)))</formula>
    </cfRule>
  </conditionalFormatting>
  <dataValidations count="14">
    <dataValidation type="list" allowBlank="1" showInputMessage="1" showErrorMessage="1" sqref="Z6">
      <formula1>segdos</formula1>
    </dataValidation>
    <dataValidation type="list" allowBlank="1" showInputMessage="1" showErrorMessage="1" sqref="AJ6">
      <formula1>segtres</formula1>
    </dataValidation>
    <dataValidation type="textLength" operator="lessThanOrEqual" allowBlank="1" showInputMessage="1" showErrorMessage="1" errorTitle="Indique Fecha de Seguimiento" error="Defina fecha del 1er Cuatrimestre._x000a_Seleccione de la lista desplegable del campo." sqref="K9:K92 K95:K196">
      <formula1>IF($P$6="Indique Fecha Seguimiento",0,5)</formula1>
    </dataValidation>
    <dataValidation type="textLength" operator="lessThanOrEqual" showInputMessage="1" showErrorMessage="1" errorTitle="Indique Fecha de Seguimiento" error="Defina fecha del 1er Cuatrimestre._x000a_Seleccione de la lista desplegable del campo._x000a_Maximo 300 Caracteres" sqref="L9:L92 L95:L196">
      <formula1>IF($P$6="Indique Fecha Seguimiento",0,300)</formula1>
    </dataValidation>
    <dataValidation type="textLength" operator="lessThanOrEqual" allowBlank="1" showInputMessage="1" showErrorMessage="1" error="Maximo 100 caracteres, incluyendo espacios" sqref="AJ93 AJ197:AJ198">
      <formula1>100</formula1>
    </dataValidation>
    <dataValidation type="textLength" operator="lessThanOrEqual" allowBlank="1" showInputMessage="1" showErrorMessage="1" error="indique fecha de seguimiento" sqref="M9:M92 M95:M196">
      <formula1>IF($P$6="Indique Fecha Seguimiento",0,5)</formula1>
    </dataValidation>
    <dataValidation type="textLength" operator="lessThanOrEqual" allowBlank="1" showInputMessage="1" showErrorMessage="1" error="Maximo 100 caracteres, incluyendo espacios" sqref="P9:P92 P95:P196">
      <formula1>IF($P$6="Indique Fecha Seguimiento",0,100)</formula1>
    </dataValidation>
    <dataValidation type="textLength" operator="lessThanOrEqual" allowBlank="1" showInputMessage="1" showErrorMessage="1" error="Indique fecha de seguimiento" sqref="AG9:AG92 AG95:AG196">
      <formula1>IF($AJ$6="Indique Fecha Seguimiento",0,5)</formula1>
    </dataValidation>
    <dataValidation type="list" allowBlank="1" showInputMessage="1" showErrorMessage="1" sqref="O9:O92 O95:O196">
      <formula1>IF(AND(H9&gt;=$P$6,N9=1),si,IF(AND(H9&lt;$P$6,N9=1),exis,IF(AND(H9&gt;$P$6,N9&lt;1),na,IF(AND(H9&lt;=$P$6,N9&lt;1),no))))</formula1>
    </dataValidation>
    <dataValidation type="list" allowBlank="1" showInputMessage="1" showErrorMessage="1" sqref="Y9:Y92 Y95:Y196">
      <formula1>IF(AND($H9&gt;=$Z$6,X9=1),si,IF(AND($H9&lt;$Z$6,X9=1),exis,IF(AND($H9&gt;$Z$6,X9&lt;1),na,IF(AND($H9&lt;=$Z$6,X9&lt;1),no))))</formula1>
    </dataValidation>
    <dataValidation type="list" allowBlank="1" showInputMessage="1" showErrorMessage="1" sqref="AI9:AI92 AI95:AI196">
      <formula1>IF(AND($H9&gt;=$AJ$6,AH9=1),si,IF(AND($H9&lt;$AJ$6,AH9=1),exis,IF(AND($H9&gt;$AJ$6,AH9&lt;1),na,IF(AND($H9&lt;=$AJ$6,AH9&lt;1),no))))</formula1>
    </dataValidation>
    <dataValidation type="textLength" operator="lessThanOrEqual" allowBlank="1" showInputMessage="1" showErrorMessage="1" error="Indique fecha de seguimiento" sqref="W9:W92 W95:W196">
      <formula1>IF($Z$6="Indique Fecha Seguimiento",0,5)</formula1>
    </dataValidation>
    <dataValidation type="textLength" operator="lessThanOrEqual" allowBlank="1" showInputMessage="1" showErrorMessage="1" error="Maximo 100 caracteres, incluyendo espacios" sqref="Z9:Z92 Z95:Z196">
      <formula1>IF($Z$6="Indique Fecha Seguimiento",0,100)</formula1>
    </dataValidation>
    <dataValidation type="textLength" operator="lessThanOrEqual" allowBlank="1" showInputMessage="1" showErrorMessage="1" error="Maximo 100 caracteres, incluyendo espacios" sqref="AJ9:AJ92 AJ95:AJ196">
      <formula1>IF($AJ$6="Indique Fecha Seguimiento",0,100)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IF(J6="No Aplica",Datos!$S$2,seguno)</xm:f>
          </x14:formula1>
          <xm:sqref>P6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7030A0"/>
  </sheetPr>
  <dimension ref="A1:E15"/>
  <sheetViews>
    <sheetView view="pageBreakPreview" zoomScaleNormal="100" zoomScaleSheetLayoutView="100" workbookViewId="0">
      <selection activeCell="A15" sqref="A15:C15"/>
    </sheetView>
  </sheetViews>
  <sheetFormatPr baseColWidth="10" defaultRowHeight="15" x14ac:dyDescent="0.2"/>
  <cols>
    <col min="1" max="1" width="3.88671875" customWidth="1"/>
    <col min="2" max="2" width="14.44140625" customWidth="1"/>
    <col min="3" max="3" width="42.44140625" customWidth="1"/>
    <col min="4" max="5" width="16.21875" customWidth="1"/>
  </cols>
  <sheetData>
    <row r="1" spans="1:5" x14ac:dyDescent="0.2">
      <c r="A1" s="433" t="s">
        <v>145</v>
      </c>
      <c r="B1" s="433"/>
      <c r="C1" s="516" t="s">
        <v>152</v>
      </c>
      <c r="D1" s="510" t="s">
        <v>71</v>
      </c>
      <c r="E1" s="510"/>
    </row>
    <row r="2" spans="1:5" ht="21.75" customHeight="1" x14ac:dyDescent="0.2">
      <c r="A2" s="433"/>
      <c r="B2" s="433"/>
      <c r="C2" s="519"/>
      <c r="D2" s="510" t="s">
        <v>107</v>
      </c>
      <c r="E2" s="510"/>
    </row>
    <row r="3" spans="1:5" ht="44.25" customHeight="1" x14ac:dyDescent="0.2">
      <c r="A3" s="433"/>
      <c r="B3" s="433"/>
      <c r="C3" s="522"/>
      <c r="D3" s="510" t="s">
        <v>408</v>
      </c>
      <c r="E3" s="510"/>
    </row>
    <row r="4" spans="1:5" ht="3.75" customHeight="1" x14ac:dyDescent="0.2">
      <c r="A4" s="33"/>
      <c r="B4" s="34"/>
      <c r="C4" s="35"/>
      <c r="D4" s="49"/>
      <c r="E4" s="49"/>
    </row>
    <row r="5" spans="1:5" ht="15.75" x14ac:dyDescent="0.2">
      <c r="A5" s="616" t="s">
        <v>210</v>
      </c>
      <c r="B5" s="616"/>
      <c r="C5" s="616"/>
      <c r="D5" s="617"/>
      <c r="E5" s="617"/>
    </row>
    <row r="6" spans="1:5" ht="15.75" x14ac:dyDescent="0.2">
      <c r="A6" s="618"/>
      <c r="B6" s="618"/>
      <c r="C6" s="618"/>
      <c r="D6" s="263" t="s">
        <v>363</v>
      </c>
      <c r="E6" s="264" t="s">
        <v>364</v>
      </c>
    </row>
    <row r="7" spans="1:5" ht="23.25" customHeight="1" x14ac:dyDescent="0.2">
      <c r="A7" s="614" t="s">
        <v>209</v>
      </c>
      <c r="B7" s="614"/>
      <c r="C7" s="614"/>
      <c r="D7" s="267" t="s">
        <v>365</v>
      </c>
      <c r="E7" s="312" t="s">
        <v>365</v>
      </c>
    </row>
    <row r="8" spans="1:5" ht="23.25" customHeight="1" x14ac:dyDescent="0.2">
      <c r="A8" s="614" t="s">
        <v>207</v>
      </c>
      <c r="B8" s="614"/>
      <c r="C8" s="614"/>
      <c r="D8" s="267" t="s">
        <v>365</v>
      </c>
      <c r="E8" s="312" t="s">
        <v>365</v>
      </c>
    </row>
    <row r="9" spans="1:5" ht="23.25" customHeight="1" x14ac:dyDescent="0.2">
      <c r="A9" s="614" t="s">
        <v>208</v>
      </c>
      <c r="B9" s="614"/>
      <c r="C9" s="614"/>
      <c r="D9" s="267" t="s">
        <v>365</v>
      </c>
      <c r="E9" s="312" t="s">
        <v>365</v>
      </c>
    </row>
    <row r="10" spans="1:5" ht="23.25" customHeight="1" x14ac:dyDescent="0.2">
      <c r="A10" s="614" t="s">
        <v>295</v>
      </c>
      <c r="B10" s="614"/>
      <c r="C10" s="614"/>
      <c r="D10" s="267" t="s">
        <v>365</v>
      </c>
      <c r="E10" s="312" t="s">
        <v>365</v>
      </c>
    </row>
    <row r="11" spans="1:5" ht="23.25" customHeight="1" x14ac:dyDescent="0.2">
      <c r="A11" s="614" t="s">
        <v>311</v>
      </c>
      <c r="B11" s="614"/>
      <c r="C11" s="614"/>
      <c r="D11" s="267" t="s">
        <v>365</v>
      </c>
      <c r="E11" s="312" t="s">
        <v>365</v>
      </c>
    </row>
    <row r="12" spans="1:5" ht="23.25" customHeight="1" x14ac:dyDescent="0.2">
      <c r="A12" s="614" t="s">
        <v>370</v>
      </c>
      <c r="B12" s="614"/>
      <c r="C12" s="614"/>
      <c r="D12" s="267" t="s">
        <v>365</v>
      </c>
      <c r="E12" s="312" t="s">
        <v>365</v>
      </c>
    </row>
    <row r="13" spans="1:5" ht="23.25" customHeight="1" x14ac:dyDescent="0.2">
      <c r="A13" s="614" t="s">
        <v>386</v>
      </c>
      <c r="B13" s="614"/>
      <c r="C13" s="614"/>
      <c r="D13" s="615" t="s">
        <v>365</v>
      </c>
      <c r="E13" s="615"/>
    </row>
    <row r="14" spans="1:5" ht="23.25" customHeight="1" x14ac:dyDescent="0.2">
      <c r="A14" s="614"/>
      <c r="B14" s="614"/>
      <c r="C14" s="614"/>
      <c r="D14" s="265"/>
      <c r="E14" s="266"/>
    </row>
    <row r="15" spans="1:5" ht="23.25" customHeight="1" x14ac:dyDescent="0.2">
      <c r="A15" s="614"/>
      <c r="B15" s="614"/>
      <c r="C15" s="614"/>
      <c r="D15" s="265"/>
      <c r="E15" s="266"/>
    </row>
  </sheetData>
  <sheetProtection algorithmName="SHA-512" hashValue="wqoQ0MhnauYzspPNShGb3O+gEWv2qz5J8EtB8KFp5+XAPYt9J2u74HPzdoLWJ21YX3hpYnVBaagan3z9NaRxPw==" saltValue="645cTIbK80J4NfI0C8oLYw==" spinCount="100000" sheet="1" objects="1" scenarios="1" selectLockedCells="1"/>
  <mergeCells count="17">
    <mergeCell ref="A1:B3"/>
    <mergeCell ref="C1:C3"/>
    <mergeCell ref="D1:E1"/>
    <mergeCell ref="D2:E2"/>
    <mergeCell ref="D3:E3"/>
    <mergeCell ref="D13:E13"/>
    <mergeCell ref="A11:C11"/>
    <mergeCell ref="A13:C13"/>
    <mergeCell ref="A5:E5"/>
    <mergeCell ref="A7:C7"/>
    <mergeCell ref="A6:C6"/>
    <mergeCell ref="A14:C14"/>
    <mergeCell ref="A15:C15"/>
    <mergeCell ref="A8:C8"/>
    <mergeCell ref="A9:C9"/>
    <mergeCell ref="A12:C12"/>
    <mergeCell ref="A10:C10"/>
  </mergeCells>
  <hyperlinks>
    <hyperlink ref="D7" location="TGS!C1" display="Ir"/>
    <hyperlink ref="D8" location="RXC!C1" display="Ir"/>
    <hyperlink ref="D9" location="AXR!C1" display="Ir"/>
    <hyperlink ref="D12" location="AYCM!C1" display="Ir"/>
    <hyperlink ref="D10" location="CONT!C1" display="Ir"/>
    <hyperlink ref="D11" location="CYER!C1" display="Ir"/>
    <hyperlink ref="E7" location="'TGS C'!C1" display="Ir"/>
    <hyperlink ref="E8" location="'RXC C'!C1" display="Ir"/>
    <hyperlink ref="E9" location="'AXR C'!C1" display="Ir"/>
    <hyperlink ref="E12" location="'AYCM C'!C1" display="Ir"/>
    <hyperlink ref="E10" location="'CONT C'!C1" display="Ir"/>
    <hyperlink ref="E11" location="'CYER C'!C1" display="Ir"/>
    <hyperlink ref="D13:E13" location="AVANCE!C1" display="Ir"/>
  </hyperlink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M68"/>
  <sheetViews>
    <sheetView topLeftCell="AC52" workbookViewId="0">
      <selection activeCell="AG65" sqref="AG65"/>
    </sheetView>
  </sheetViews>
  <sheetFormatPr baseColWidth="10" defaultRowHeight="15.75" x14ac:dyDescent="0.25"/>
  <cols>
    <col min="1" max="2" width="14.109375" style="1" customWidth="1"/>
    <col min="3" max="3" width="18.44140625" style="1" customWidth="1"/>
    <col min="4" max="4" width="9.44140625" style="1" customWidth="1"/>
    <col min="5" max="5" width="11.5546875" style="1"/>
    <col min="6" max="6" width="7.33203125" style="1" customWidth="1"/>
    <col min="7" max="7" width="42.21875" style="1" customWidth="1"/>
    <col min="8" max="8" width="11" style="1" customWidth="1"/>
    <col min="9" max="9" width="29.88671875" style="1" customWidth="1"/>
    <col min="10" max="10" width="20.77734375" style="1" customWidth="1"/>
    <col min="11" max="11" width="21.88671875" style="1" customWidth="1"/>
    <col min="12" max="12" width="33.6640625" style="1" customWidth="1"/>
    <col min="13" max="13" width="31.5546875" style="1" customWidth="1"/>
    <col min="14" max="14" width="55.88671875" style="1" customWidth="1"/>
    <col min="15" max="15" width="13.21875" style="1" customWidth="1"/>
    <col min="16" max="17" width="11.5546875" style="1"/>
    <col min="18" max="18" width="13.21875" style="1" customWidth="1"/>
    <col min="19" max="28" width="11.5546875" style="1"/>
    <col min="29" max="29" width="29.44140625" style="1" customWidth="1"/>
    <col min="30" max="16384" width="11.5546875" style="1"/>
  </cols>
  <sheetData>
    <row r="1" spans="1:39" x14ac:dyDescent="0.25">
      <c r="A1" s="13" t="s">
        <v>86</v>
      </c>
      <c r="B1" s="14" t="s">
        <v>87</v>
      </c>
      <c r="C1" s="13" t="s">
        <v>9</v>
      </c>
      <c r="D1" s="14" t="s">
        <v>67</v>
      </c>
      <c r="E1" s="14" t="s">
        <v>19</v>
      </c>
      <c r="F1" s="14"/>
      <c r="G1" s="14" t="s">
        <v>113</v>
      </c>
      <c r="H1" s="14" t="s">
        <v>40</v>
      </c>
      <c r="I1" s="14" t="s">
        <v>39</v>
      </c>
      <c r="J1" s="14" t="s">
        <v>41</v>
      </c>
      <c r="K1" s="14" t="s">
        <v>42</v>
      </c>
      <c r="L1" s="14" t="s">
        <v>47</v>
      </c>
      <c r="M1" s="14" t="s">
        <v>51</v>
      </c>
      <c r="N1" s="14" t="s">
        <v>56</v>
      </c>
      <c r="O1" s="14" t="s">
        <v>68</v>
      </c>
      <c r="P1" s="14" t="s">
        <v>73</v>
      </c>
      <c r="Q1" s="1" t="s">
        <v>96</v>
      </c>
      <c r="R1" s="74" t="s">
        <v>149</v>
      </c>
      <c r="S1" s="1" t="s">
        <v>173</v>
      </c>
      <c r="T1" s="1" t="s">
        <v>174</v>
      </c>
      <c r="U1" s="1" t="s">
        <v>175</v>
      </c>
      <c r="V1" s="151" t="s">
        <v>203</v>
      </c>
      <c r="W1" s="619">
        <f ca="1">TODAY()</f>
        <v>42765</v>
      </c>
      <c r="X1" s="620"/>
      <c r="Y1" s="156"/>
      <c r="AA1" s="1" t="s">
        <v>234</v>
      </c>
      <c r="AB1" s="1" t="s">
        <v>235</v>
      </c>
      <c r="AG1" s="621" t="s">
        <v>305</v>
      </c>
      <c r="AH1" s="621"/>
      <c r="AI1" s="621"/>
    </row>
    <row r="2" spans="1:39" x14ac:dyDescent="0.25">
      <c r="A2" s="1">
        <v>1</v>
      </c>
      <c r="B2" s="1">
        <v>1</v>
      </c>
      <c r="C2" s="15" t="s">
        <v>11</v>
      </c>
      <c r="D2" s="15" t="s">
        <v>10</v>
      </c>
      <c r="E2" s="15" t="s">
        <v>20</v>
      </c>
      <c r="F2" s="15">
        <v>1</v>
      </c>
      <c r="G2" s="1" t="s">
        <v>114</v>
      </c>
      <c r="H2" s="1" t="s">
        <v>31</v>
      </c>
      <c r="I2" s="1" t="s">
        <v>32</v>
      </c>
      <c r="J2" s="1" t="s">
        <v>34</v>
      </c>
      <c r="K2" s="1" t="s">
        <v>38</v>
      </c>
      <c r="L2" s="1" t="s">
        <v>46</v>
      </c>
      <c r="M2" s="1" t="s">
        <v>52</v>
      </c>
      <c r="N2" s="1" t="s">
        <v>57</v>
      </c>
      <c r="O2" s="1" t="s">
        <v>69</v>
      </c>
      <c r="P2" s="1" t="s">
        <v>93</v>
      </c>
      <c r="Q2" s="1" t="s">
        <v>97</v>
      </c>
      <c r="R2" s="1" t="s">
        <v>69</v>
      </c>
      <c r="S2" s="1" t="s">
        <v>168</v>
      </c>
      <c r="T2" s="1" t="s">
        <v>168</v>
      </c>
      <c r="U2" s="1" t="s">
        <v>168</v>
      </c>
      <c r="V2" s="152">
        <f>'CONTEXTO ESTRATEGICO'!$B$6</f>
        <v>42443</v>
      </c>
      <c r="W2" s="153" t="str">
        <f ca="1">LOOKUP(YEAR($W$1),YEAR(S3:S14),V3:V14)</f>
        <v/>
      </c>
      <c r="X2" s="151" t="str">
        <f ca="1">LOOKUP(YEAR($W$1),YEAR(T3:T14),W3:W14)</f>
        <v/>
      </c>
      <c r="Y2" s="151" t="str">
        <f ca="1">LOOKUP(YEAR($W$1),YEAR(U3:U14),X3:X14)</f>
        <v/>
      </c>
      <c r="AA2" s="1" t="s">
        <v>36</v>
      </c>
      <c r="AB2" s="1" t="s">
        <v>230</v>
      </c>
      <c r="AC2" s="1" t="s">
        <v>236</v>
      </c>
      <c r="AD2"/>
      <c r="AG2" s="1" t="s">
        <v>302</v>
      </c>
      <c r="AH2" s="1" t="s">
        <v>303</v>
      </c>
      <c r="AI2" s="1" t="s">
        <v>306</v>
      </c>
      <c r="AK2" s="1" t="s">
        <v>11</v>
      </c>
      <c r="AL2" s="1" t="s">
        <v>401</v>
      </c>
      <c r="AM2" s="1" t="s">
        <v>402</v>
      </c>
    </row>
    <row r="3" spans="1:39" x14ac:dyDescent="0.25">
      <c r="A3" s="1">
        <v>2</v>
      </c>
      <c r="B3" s="1">
        <v>2</v>
      </c>
      <c r="C3" s="15" t="s">
        <v>10</v>
      </c>
      <c r="D3" s="15"/>
      <c r="E3" s="15" t="s">
        <v>21</v>
      </c>
      <c r="F3" s="15">
        <v>2</v>
      </c>
      <c r="G3" s="1" t="s">
        <v>115</v>
      </c>
      <c r="I3" s="1" t="s">
        <v>33</v>
      </c>
      <c r="J3" s="1" t="s">
        <v>35</v>
      </c>
      <c r="K3" s="1" t="s">
        <v>43</v>
      </c>
      <c r="L3" s="1" t="s">
        <v>48</v>
      </c>
      <c r="M3" s="1" t="s">
        <v>53</v>
      </c>
      <c r="N3" s="1" t="s">
        <v>58</v>
      </c>
      <c r="O3" s="1" t="s">
        <v>70</v>
      </c>
      <c r="P3" s="1" t="s">
        <v>7</v>
      </c>
      <c r="R3" s="1" t="s">
        <v>70</v>
      </c>
      <c r="S3" s="91">
        <v>41759</v>
      </c>
      <c r="T3" s="91">
        <v>41882</v>
      </c>
      <c r="U3" s="91">
        <v>42004</v>
      </c>
      <c r="V3" s="151" t="str">
        <f>IF(YEAR($V$2)&gt;=YEAR(S3),IF(MONTH($V$2)&gt;MONTH(S3),"No Aplica",""),"")</f>
        <v/>
      </c>
      <c r="W3" s="151" t="str">
        <f>IF(YEAR($V$2)&gt;=YEAR(T3),IF(MONTH($V$2)&gt;MONTH(T3),"No Aplica",""),"")</f>
        <v/>
      </c>
      <c r="X3" s="151" t="str">
        <f>IF(YEAR($V$2)&gt;=YEAR(U3),IF(MONTH($V$2)&gt;MONTH(U3),"No Aplica",""),"")</f>
        <v/>
      </c>
      <c r="Y3" s="162"/>
      <c r="AA3" s="1" t="s">
        <v>121</v>
      </c>
      <c r="AB3" s="1" t="s">
        <v>232</v>
      </c>
      <c r="AC3" s="1" t="s">
        <v>237</v>
      </c>
      <c r="AD3"/>
      <c r="AG3" s="157">
        <f>IF(VALORACIÓN!B10="","",VALORACIÓN!AE10)</f>
        <v>3</v>
      </c>
      <c r="AH3" s="157">
        <f>IF(VALORACIÓN!B10="","",VALORACIÓN!AE11)</f>
        <v>3</v>
      </c>
      <c r="AI3" s="157">
        <f>IF(VALORACIÓN!B10="","",VALORACIÓN!AF10)</f>
        <v>33</v>
      </c>
      <c r="AK3" s="1" t="s">
        <v>353</v>
      </c>
      <c r="AL3" s="1" t="s">
        <v>400</v>
      </c>
      <c r="AM3" s="1" t="s">
        <v>403</v>
      </c>
    </row>
    <row r="4" spans="1:39" ht="31.5" x14ac:dyDescent="0.25">
      <c r="A4" s="1">
        <v>3</v>
      </c>
      <c r="B4" s="1">
        <v>3</v>
      </c>
      <c r="C4" s="15"/>
      <c r="D4" s="15"/>
      <c r="E4" s="15"/>
      <c r="F4" s="15">
        <v>3</v>
      </c>
      <c r="G4" s="1" t="s">
        <v>36</v>
      </c>
      <c r="J4" s="1" t="s">
        <v>36</v>
      </c>
      <c r="K4" s="1" t="s">
        <v>44</v>
      </c>
      <c r="L4" s="1" t="s">
        <v>49</v>
      </c>
      <c r="M4" s="1" t="s">
        <v>54</v>
      </c>
      <c r="N4" s="1" t="s">
        <v>59</v>
      </c>
      <c r="O4" s="1" t="s">
        <v>129</v>
      </c>
      <c r="R4" s="254" t="s">
        <v>97</v>
      </c>
      <c r="S4" s="91">
        <v>42124</v>
      </c>
      <c r="T4" s="91">
        <v>42247</v>
      </c>
      <c r="U4" s="91">
        <v>42369</v>
      </c>
      <c r="V4" s="151" t="str">
        <f>IF(YEAR($V$2)&gt;=YEAR(S4),IF(MONTH($V$2)&gt;MONTH(S4),"No Aplica",""),"")</f>
        <v/>
      </c>
      <c r="W4" s="151" t="str">
        <f t="shared" ref="W4:W14" si="0">IF(YEAR($V$2)&gt;=YEAR(T4),IF(MONTH($V$2)&gt;MONTH(T4),"No Aplica",""),"")</f>
        <v/>
      </c>
      <c r="X4" s="151" t="str">
        <f t="shared" ref="X4:X14" si="1">IF(YEAR($V$2)&gt;=YEAR(U4),IF(MONTH($V$2)&gt;MONTH(U4),"No Aplica",""),"")</f>
        <v/>
      </c>
      <c r="Y4" s="162" t="s">
        <v>205</v>
      </c>
      <c r="AA4" s="1" t="s">
        <v>117</v>
      </c>
      <c r="AB4" s="1" t="s">
        <v>230</v>
      </c>
      <c r="AC4" s="1" t="s">
        <v>238</v>
      </c>
      <c r="AD4"/>
      <c r="AG4" s="157">
        <f>IF(VALORACIÓN!B13="","",VALORACIÓN!AE13)</f>
        <v>1</v>
      </c>
      <c r="AH4" s="157">
        <f>IF(VALORACIÓN!B13="","",VALORACIÓN!AE14)</f>
        <v>4</v>
      </c>
      <c r="AI4" s="157">
        <f>IF(VALORACIÓN!B13="","",VALORACIÓN!AF13)</f>
        <v>41</v>
      </c>
      <c r="AL4" s="1" t="s">
        <v>399</v>
      </c>
      <c r="AM4" s="1" t="s">
        <v>404</v>
      </c>
    </row>
    <row r="5" spans="1:39" x14ac:dyDescent="0.25">
      <c r="A5" s="1">
        <v>4</v>
      </c>
      <c r="B5" s="1">
        <v>4</v>
      </c>
      <c r="C5" s="1" t="s">
        <v>108</v>
      </c>
      <c r="F5" s="15">
        <v>4</v>
      </c>
      <c r="G5" s="1" t="s">
        <v>116</v>
      </c>
      <c r="J5" s="1" t="s">
        <v>37</v>
      </c>
      <c r="K5" s="1" t="s">
        <v>45</v>
      </c>
      <c r="L5" s="1" t="s">
        <v>50</v>
      </c>
      <c r="M5" s="1" t="s">
        <v>55</v>
      </c>
      <c r="N5" s="1" t="s">
        <v>60</v>
      </c>
      <c r="S5" s="91">
        <v>42490</v>
      </c>
      <c r="T5" s="91">
        <v>42613</v>
      </c>
      <c r="U5" s="91">
        <v>42735</v>
      </c>
      <c r="V5" s="151" t="str">
        <f t="shared" ref="V5:V14" si="2">IF(YEAR($V$2)&gt;=YEAR(S5),IF(MONTH($V$2)&gt;MONTH(S5),"No Aplica",""),"")</f>
        <v/>
      </c>
      <c r="W5" s="151" t="str">
        <f t="shared" si="0"/>
        <v/>
      </c>
      <c r="X5" s="151" t="str">
        <f t="shared" si="1"/>
        <v/>
      </c>
      <c r="Y5" s="157"/>
      <c r="AA5" s="1" t="s">
        <v>115</v>
      </c>
      <c r="AB5" s="1" t="s">
        <v>230</v>
      </c>
      <c r="AC5" s="1" t="s">
        <v>239</v>
      </c>
      <c r="AD5"/>
      <c r="AG5" s="157">
        <f>IF(VALORACIÓN!B16="","",VALORACIÓN!AE16)</f>
        <v>1</v>
      </c>
      <c r="AH5" s="157">
        <f>IF(VALORACIÓN!B16="","",VALORACIÓN!AE17)</f>
        <v>4</v>
      </c>
      <c r="AI5" s="157">
        <f>IF(VALORACIÓN!B16="","",VALORACIÓN!AF16)</f>
        <v>41</v>
      </c>
      <c r="AL5" s="1" t="s">
        <v>398</v>
      </c>
      <c r="AM5" s="1" t="s">
        <v>406</v>
      </c>
    </row>
    <row r="6" spans="1:39" x14ac:dyDescent="0.25">
      <c r="A6" s="1">
        <v>5</v>
      </c>
      <c r="B6" s="1">
        <v>5</v>
      </c>
      <c r="F6" s="15">
        <v>5</v>
      </c>
      <c r="G6" s="1" t="s">
        <v>117</v>
      </c>
      <c r="N6" s="1" t="s">
        <v>61</v>
      </c>
      <c r="S6" s="91">
        <v>42855</v>
      </c>
      <c r="T6" s="91">
        <v>42978</v>
      </c>
      <c r="U6" s="91">
        <v>43100</v>
      </c>
      <c r="V6" s="151" t="str">
        <f t="shared" si="2"/>
        <v/>
      </c>
      <c r="W6" s="151" t="str">
        <f t="shared" si="0"/>
        <v/>
      </c>
      <c r="X6" s="151" t="str">
        <f t="shared" si="1"/>
        <v/>
      </c>
      <c r="Y6" s="157"/>
      <c r="AA6" s="1" t="s">
        <v>256</v>
      </c>
      <c r="AB6" s="1" t="s">
        <v>233</v>
      </c>
      <c r="AC6" s="1" t="s">
        <v>257</v>
      </c>
      <c r="AD6"/>
      <c r="AG6" s="157">
        <f>IF(VALORACIÓN!B19="","",VALORACIÓN!AE19)</f>
        <v>1</v>
      </c>
      <c r="AH6" s="157">
        <f>IF(VALORACIÓN!B19="","",VALORACIÓN!AE20)</f>
        <v>4</v>
      </c>
      <c r="AI6" s="157">
        <f>IF(VALORACIÓN!B19="","",VALORACIÓN!AF19)</f>
        <v>41</v>
      </c>
      <c r="AL6" s="1" t="s">
        <v>403</v>
      </c>
    </row>
    <row r="7" spans="1:39" x14ac:dyDescent="0.25">
      <c r="C7" s="1" t="s">
        <v>11</v>
      </c>
      <c r="F7" s="15">
        <v>6</v>
      </c>
      <c r="G7" s="1" t="s">
        <v>118</v>
      </c>
      <c r="N7" s="1" t="s">
        <v>62</v>
      </c>
      <c r="S7" s="91">
        <v>43220</v>
      </c>
      <c r="T7" s="91">
        <v>43343</v>
      </c>
      <c r="U7" s="91">
        <v>43465</v>
      </c>
      <c r="V7" s="151" t="str">
        <f t="shared" si="2"/>
        <v/>
      </c>
      <c r="W7" s="151" t="str">
        <f t="shared" si="0"/>
        <v/>
      </c>
      <c r="X7" s="151" t="str">
        <f t="shared" si="1"/>
        <v/>
      </c>
      <c r="Y7" s="157"/>
      <c r="AA7" s="1" t="s">
        <v>118</v>
      </c>
      <c r="AB7" s="1" t="s">
        <v>231</v>
      </c>
      <c r="AC7" s="1" t="s">
        <v>252</v>
      </c>
      <c r="AD7"/>
      <c r="AG7" s="157">
        <f>IF(VALORACIÓN!B22="","",VALORACIÓN!AE22)</f>
        <v>1</v>
      </c>
      <c r="AH7" s="157">
        <f>IF(VALORACIÓN!B22="","",VALORACIÓN!AE23)</f>
        <v>4</v>
      </c>
      <c r="AI7" s="157">
        <f>IF(VALORACIÓN!B22="","",VALORACIÓN!AF22)</f>
        <v>41</v>
      </c>
      <c r="AL7" s="1" t="s">
        <v>404</v>
      </c>
    </row>
    <row r="8" spans="1:39" x14ac:dyDescent="0.25">
      <c r="A8" s="1" t="s">
        <v>351</v>
      </c>
      <c r="C8" s="1" t="s">
        <v>10</v>
      </c>
      <c r="F8" s="15">
        <v>7</v>
      </c>
      <c r="G8" s="1" t="s">
        <v>119</v>
      </c>
      <c r="S8" s="91">
        <v>43585</v>
      </c>
      <c r="T8" s="91">
        <v>43708</v>
      </c>
      <c r="U8" s="91">
        <v>43830</v>
      </c>
      <c r="V8" s="151" t="str">
        <f t="shared" si="2"/>
        <v/>
      </c>
      <c r="W8" s="151" t="str">
        <f t="shared" si="0"/>
        <v/>
      </c>
      <c r="X8" s="151" t="str">
        <f t="shared" si="1"/>
        <v/>
      </c>
      <c r="Y8" s="157"/>
      <c r="AA8" s="1" t="s">
        <v>123</v>
      </c>
      <c r="AB8" s="1" t="s">
        <v>232</v>
      </c>
      <c r="AC8" s="1" t="s">
        <v>241</v>
      </c>
      <c r="AD8"/>
      <c r="AG8" s="157">
        <f>IF(VALORACIÓN!B25="","",VALORACIÓN!AE25)</f>
        <v>1</v>
      </c>
      <c r="AH8" s="157">
        <f>IF(VALORACIÓN!B25="","",VALORACIÓN!AE26)</f>
        <v>4</v>
      </c>
      <c r="AI8" s="157">
        <f>IF(VALORACIÓN!B25="","",VALORACIÓN!AF25)</f>
        <v>41</v>
      </c>
      <c r="AL8" s="1" t="s">
        <v>405</v>
      </c>
    </row>
    <row r="9" spans="1:39" x14ac:dyDescent="0.25">
      <c r="A9" s="1">
        <v>3</v>
      </c>
      <c r="F9" s="15">
        <v>8</v>
      </c>
      <c r="G9" s="1" t="s">
        <v>120</v>
      </c>
      <c r="S9" s="91">
        <v>43951</v>
      </c>
      <c r="T9" s="91">
        <v>44074</v>
      </c>
      <c r="U9" s="91">
        <v>44196</v>
      </c>
      <c r="V9" s="151" t="str">
        <f t="shared" si="2"/>
        <v/>
      </c>
      <c r="W9" s="151" t="str">
        <f t="shared" si="0"/>
        <v/>
      </c>
      <c r="X9" s="151" t="str">
        <f t="shared" si="1"/>
        <v/>
      </c>
      <c r="Y9" s="157"/>
      <c r="AA9" s="1" t="s">
        <v>80</v>
      </c>
      <c r="AB9" s="1" t="s">
        <v>232</v>
      </c>
      <c r="AC9" s="1" t="s">
        <v>242</v>
      </c>
      <c r="AD9"/>
      <c r="AG9" s="157">
        <f>IF(VALORACIÓN!B28="","",VALORACIÓN!AE28)</f>
        <v>5</v>
      </c>
      <c r="AH9" s="157">
        <f>IF(VALORACIÓN!B28="","",VALORACIÓN!AE29)</f>
        <v>1</v>
      </c>
      <c r="AI9" s="157">
        <f>IF(VALORACIÓN!B28="","",VALORACIÓN!AF28)</f>
        <v>15</v>
      </c>
    </row>
    <row r="10" spans="1:39" x14ac:dyDescent="0.25">
      <c r="A10" s="1">
        <v>5</v>
      </c>
      <c r="C10" s="1" t="s">
        <v>109</v>
      </c>
      <c r="F10" s="15">
        <v>9</v>
      </c>
      <c r="G10" s="1" t="s">
        <v>121</v>
      </c>
      <c r="S10" s="91">
        <v>44316</v>
      </c>
      <c r="T10" s="91">
        <v>44439</v>
      </c>
      <c r="U10" s="91">
        <v>44561</v>
      </c>
      <c r="V10" s="151" t="str">
        <f t="shared" si="2"/>
        <v/>
      </c>
      <c r="W10" s="151" t="str">
        <f t="shared" si="0"/>
        <v/>
      </c>
      <c r="X10" s="151" t="str">
        <f t="shared" si="1"/>
        <v/>
      </c>
      <c r="Y10" s="157"/>
      <c r="AA10" s="1" t="s">
        <v>79</v>
      </c>
      <c r="AB10" s="1" t="s">
        <v>232</v>
      </c>
      <c r="AC10" s="1" t="s">
        <v>243</v>
      </c>
      <c r="AD10"/>
      <c r="AG10" s="157">
        <f>IF(VALORACIÓN!B31="","",VALORACIÓN!AE31)</f>
        <v>1</v>
      </c>
      <c r="AH10" s="157">
        <f>IF(VALORACIÓN!B31="","",VALORACIÓN!AE32)</f>
        <v>4</v>
      </c>
      <c r="AI10" s="157">
        <f>IF(VALORACIÓN!B31="","",VALORACIÓN!AF31)</f>
        <v>41</v>
      </c>
    </row>
    <row r="11" spans="1:39" x14ac:dyDescent="0.25">
      <c r="F11" s="15">
        <v>10</v>
      </c>
      <c r="G11" s="1" t="s">
        <v>250</v>
      </c>
      <c r="S11" s="91">
        <v>44681</v>
      </c>
      <c r="T11" s="91">
        <v>44804</v>
      </c>
      <c r="U11" s="91">
        <v>44926</v>
      </c>
      <c r="V11" s="151" t="str">
        <f t="shared" si="2"/>
        <v/>
      </c>
      <c r="W11" s="151" t="str">
        <f t="shared" si="0"/>
        <v/>
      </c>
      <c r="X11" s="151" t="str">
        <f t="shared" si="1"/>
        <v/>
      </c>
      <c r="Y11" s="157"/>
      <c r="AA11" s="1" t="s">
        <v>122</v>
      </c>
      <c r="AB11" s="1" t="s">
        <v>232</v>
      </c>
      <c r="AC11" s="1" t="s">
        <v>244</v>
      </c>
      <c r="AD11"/>
      <c r="AG11" s="157">
        <f>IF(VALORACIÓN!B34="","",VALORACIÓN!AE34)</f>
        <v>1</v>
      </c>
      <c r="AH11" s="157">
        <f>IF(VALORACIÓN!B34="","",VALORACIÓN!AE35)</f>
        <v>4</v>
      </c>
      <c r="AI11" s="157">
        <f>IF(VALORACIÓN!B34="","",VALORACIÓN!AF34)</f>
        <v>41</v>
      </c>
    </row>
    <row r="12" spans="1:39" x14ac:dyDescent="0.25">
      <c r="C12" s="1" t="s">
        <v>11</v>
      </c>
      <c r="F12" s="15">
        <v>11</v>
      </c>
      <c r="G12" s="1" t="s">
        <v>85</v>
      </c>
      <c r="S12" s="91">
        <v>45046</v>
      </c>
      <c r="T12" s="91">
        <v>45169</v>
      </c>
      <c r="U12" s="91">
        <v>45291</v>
      </c>
      <c r="V12" s="151" t="str">
        <f t="shared" si="2"/>
        <v/>
      </c>
      <c r="W12" s="151" t="str">
        <f t="shared" si="0"/>
        <v/>
      </c>
      <c r="X12" s="151" t="str">
        <f t="shared" si="1"/>
        <v/>
      </c>
      <c r="Y12" s="157"/>
      <c r="AA12" s="1" t="s">
        <v>85</v>
      </c>
      <c r="AB12" s="1" t="s">
        <v>232</v>
      </c>
      <c r="AC12" s="1" t="s">
        <v>245</v>
      </c>
      <c r="AD12"/>
      <c r="AG12" s="157">
        <f>IF(VALORACIÓN!B37="","",VALORACIÓN!AE37)</f>
        <v>1</v>
      </c>
      <c r="AH12" s="157">
        <f>IF(VALORACIÓN!B37="","",VALORACIÓN!AE38)</f>
        <v>4</v>
      </c>
      <c r="AI12" s="157">
        <f>IF(VALORACIÓN!B37="","",VALORACIÓN!AF37)</f>
        <v>41</v>
      </c>
    </row>
    <row r="13" spans="1:39" x14ac:dyDescent="0.25">
      <c r="F13" s="15">
        <v>12</v>
      </c>
      <c r="G13" s="1" t="s">
        <v>82</v>
      </c>
      <c r="S13" s="91">
        <v>45412</v>
      </c>
      <c r="T13" s="91">
        <v>45535</v>
      </c>
      <c r="U13" s="91">
        <v>45657</v>
      </c>
      <c r="V13" s="151" t="str">
        <f t="shared" si="2"/>
        <v/>
      </c>
      <c r="W13" s="151" t="str">
        <f t="shared" si="0"/>
        <v/>
      </c>
      <c r="X13" s="151" t="str">
        <f t="shared" si="1"/>
        <v/>
      </c>
      <c r="Y13" s="157"/>
      <c r="AA13" s="1" t="s">
        <v>120</v>
      </c>
      <c r="AB13" s="1" t="s">
        <v>231</v>
      </c>
      <c r="AC13" s="1" t="s">
        <v>253</v>
      </c>
      <c r="AD13"/>
      <c r="AG13" s="157">
        <f>IF(VALORACIÓN!B40="","",VALORACIÓN!AE40)</f>
        <v>1</v>
      </c>
      <c r="AH13" s="157">
        <f>IF(VALORACIÓN!B40="","",VALORACIÓN!AE41)</f>
        <v>4</v>
      </c>
      <c r="AI13" s="157">
        <f>IF(VALORACIÓN!B40="","",VALORACIÓN!AF40)</f>
        <v>41</v>
      </c>
    </row>
    <row r="14" spans="1:39" x14ac:dyDescent="0.25">
      <c r="F14" s="15">
        <v>13</v>
      </c>
      <c r="G14" s="1" t="s">
        <v>81</v>
      </c>
      <c r="S14" s="91">
        <v>45777</v>
      </c>
      <c r="T14" s="91">
        <v>45900</v>
      </c>
      <c r="U14" s="91">
        <v>46022</v>
      </c>
      <c r="V14" s="151" t="str">
        <f t="shared" si="2"/>
        <v/>
      </c>
      <c r="W14" s="151" t="str">
        <f t="shared" si="0"/>
        <v/>
      </c>
      <c r="X14" s="151" t="str">
        <f t="shared" si="1"/>
        <v/>
      </c>
      <c r="Y14" s="157"/>
      <c r="AA14" s="1" t="s">
        <v>119</v>
      </c>
      <c r="AB14" s="1" t="s">
        <v>231</v>
      </c>
      <c r="AC14" s="1" t="s">
        <v>254</v>
      </c>
      <c r="AD14"/>
      <c r="AG14" s="157">
        <f>IF(VALORACIÓN!B43="","",VALORACIÓN!AE43)</f>
        <v>1</v>
      </c>
      <c r="AH14" s="157">
        <f>IF(VALORACIÓN!B43="","",VALORACIÓN!AE44)</f>
        <v>4</v>
      </c>
      <c r="AI14" s="157">
        <f>IF(VALORACIÓN!B43="","",VALORACIÓN!AF43)</f>
        <v>41</v>
      </c>
    </row>
    <row r="15" spans="1:39" x14ac:dyDescent="0.25">
      <c r="C15" s="1" t="s">
        <v>321</v>
      </c>
      <c r="F15" s="15">
        <v>14</v>
      </c>
      <c r="G15" s="1" t="s">
        <v>122</v>
      </c>
      <c r="AA15" s="1" t="s">
        <v>116</v>
      </c>
      <c r="AB15" s="1" t="s">
        <v>230</v>
      </c>
      <c r="AC15" s="1" t="s">
        <v>236</v>
      </c>
      <c r="AD15"/>
      <c r="AG15" s="157">
        <f>IF(VALORACIÓN!B46="","",VALORACIÓN!AE46)</f>
        <v>1</v>
      </c>
      <c r="AH15" s="157">
        <f>IF(VALORACIÓN!B46="","",VALORACIÓN!AE47)</f>
        <v>4</v>
      </c>
      <c r="AI15" s="157">
        <f>IF(VALORACIÓN!B46="","",VALORACIÓN!AF46)</f>
        <v>41</v>
      </c>
    </row>
    <row r="16" spans="1:39" x14ac:dyDescent="0.25">
      <c r="C16" s="1" t="s">
        <v>322</v>
      </c>
      <c r="F16" s="15">
        <v>15</v>
      </c>
      <c r="G16" s="1" t="s">
        <v>83</v>
      </c>
      <c r="AA16" s="1" t="s">
        <v>81</v>
      </c>
      <c r="AB16" s="1" t="s">
        <v>232</v>
      </c>
      <c r="AC16" s="1" t="s">
        <v>246</v>
      </c>
      <c r="AD16"/>
      <c r="AG16" s="157">
        <f>IF(VALORACIÓN!B49="","",VALORACIÓN!AE49)</f>
        <v>1</v>
      </c>
      <c r="AH16" s="157">
        <f>IF(VALORACIÓN!B49="","",VALORACIÓN!AE50)</f>
        <v>4</v>
      </c>
      <c r="AI16" s="157">
        <f>IF(VALORACIÓN!B49="","",VALORACIÓN!AF49)</f>
        <v>41</v>
      </c>
    </row>
    <row r="17" spans="3:35" x14ac:dyDescent="0.25">
      <c r="C17" s="1" t="s">
        <v>323</v>
      </c>
      <c r="F17" s="15">
        <v>16</v>
      </c>
      <c r="G17" s="1" t="s">
        <v>123</v>
      </c>
      <c r="AA17" s="1" t="s">
        <v>84</v>
      </c>
      <c r="AB17" s="1" t="s">
        <v>232</v>
      </c>
      <c r="AC17" s="1" t="s">
        <v>247</v>
      </c>
      <c r="AD17"/>
      <c r="AG17" s="157">
        <f>IF(VALORACIÓN!B52="","",VALORACIÓN!AE52)</f>
        <v>1</v>
      </c>
      <c r="AH17" s="157">
        <f>IF(VALORACIÓN!B52="","",VALORACIÓN!AE53)</f>
        <v>5</v>
      </c>
      <c r="AI17" s="157">
        <f>IF(VALORACIÓN!B52="","",VALORACIÓN!AF52)</f>
        <v>51</v>
      </c>
    </row>
    <row r="18" spans="3:35" x14ac:dyDescent="0.25">
      <c r="F18" s="15">
        <v>17</v>
      </c>
      <c r="G18" s="1" t="s">
        <v>84</v>
      </c>
      <c r="AA18" s="1" t="s">
        <v>83</v>
      </c>
      <c r="AB18" s="1" t="s">
        <v>232</v>
      </c>
      <c r="AC18" s="1" t="s">
        <v>248</v>
      </c>
      <c r="AD18"/>
      <c r="AG18" s="157">
        <f>IF(VALORACIÓN!B55="","",VALORACIÓN!AE55)</f>
        <v>1</v>
      </c>
      <c r="AH18" s="157">
        <f>IF(VALORACIÓN!B55="","",VALORACIÓN!AE56)</f>
        <v>4</v>
      </c>
      <c r="AI18" s="157">
        <f>IF(VALORACIÓN!B55="","",VALORACIÓN!AF55)</f>
        <v>41</v>
      </c>
    </row>
    <row r="19" spans="3:35" x14ac:dyDescent="0.25">
      <c r="F19" s="15">
        <v>18</v>
      </c>
      <c r="G19" s="1" t="s">
        <v>79</v>
      </c>
      <c r="AA19" s="1" t="s">
        <v>82</v>
      </c>
      <c r="AB19" s="1" t="s">
        <v>232</v>
      </c>
      <c r="AC19" s="1" t="s">
        <v>249</v>
      </c>
      <c r="AD19"/>
      <c r="AG19" s="157">
        <f>IF(VALORACIÓN!B58="","",VALORACIÓN!AE58)</f>
        <v>1</v>
      </c>
      <c r="AH19" s="157">
        <f>IF(VALORACIÓN!B58="","",VALORACIÓN!AE59)</f>
        <v>4</v>
      </c>
      <c r="AI19" s="157">
        <f>IF(VALORACIÓN!B58="","",VALORACIÓN!AF58)</f>
        <v>41</v>
      </c>
    </row>
    <row r="20" spans="3:35" x14ac:dyDescent="0.25">
      <c r="F20" s="15">
        <v>19</v>
      </c>
      <c r="G20" s="1" t="s">
        <v>80</v>
      </c>
      <c r="AA20" s="1" t="s">
        <v>250</v>
      </c>
      <c r="AB20" s="1" t="s">
        <v>232</v>
      </c>
      <c r="AC20" s="1" t="s">
        <v>251</v>
      </c>
      <c r="AD20"/>
      <c r="AG20" s="157">
        <f>IF(VALORACIÓN!B61="","",VALORACIÓN!AE61)</f>
        <v>4</v>
      </c>
      <c r="AH20" s="157">
        <f>IF(VALORACIÓN!B61="","",VALORACIÓN!AE62)</f>
        <v>3</v>
      </c>
      <c r="AI20" s="157">
        <f>IF(VALORACIÓN!B61="","",VALORACIÓN!AF61)</f>
        <v>34</v>
      </c>
    </row>
    <row r="21" spans="3:35" x14ac:dyDescent="0.25">
      <c r="F21" s="15">
        <v>20</v>
      </c>
      <c r="G21" s="1" t="s">
        <v>124</v>
      </c>
      <c r="AA21" s="1" t="s">
        <v>124</v>
      </c>
      <c r="AB21" s="1" t="s">
        <v>233</v>
      </c>
      <c r="AC21" s="1" t="s">
        <v>255</v>
      </c>
      <c r="AD21"/>
      <c r="AG21" s="157">
        <f>IF(VALORACIÓN!B64="","",VALORACIÓN!AE64)</f>
        <v>1</v>
      </c>
      <c r="AH21" s="157">
        <f>IF(VALORACIÓN!B64="","",VALORACIÓN!AE65)</f>
        <v>4</v>
      </c>
      <c r="AI21" s="157">
        <f>IF(VALORACIÓN!B64="","",VALORACIÓN!AF64)</f>
        <v>41</v>
      </c>
    </row>
    <row r="22" spans="3:35" x14ac:dyDescent="0.25">
      <c r="F22" s="15">
        <v>21</v>
      </c>
      <c r="G22" s="1" t="s">
        <v>256</v>
      </c>
      <c r="AA22" s="1" t="s">
        <v>114</v>
      </c>
      <c r="AB22" s="1" t="s">
        <v>230</v>
      </c>
      <c r="AC22" s="1" t="s">
        <v>240</v>
      </c>
      <c r="AD22"/>
      <c r="AG22" s="157">
        <f>IF(VALORACIÓN!B67="","",VALORACIÓN!AE67)</f>
        <v>1</v>
      </c>
      <c r="AH22" s="157">
        <f>IF(VALORACIÓN!B67="","",VALORACIÓN!AE68)</f>
        <v>4</v>
      </c>
      <c r="AI22" s="157">
        <f>IF(VALORACIÓN!B67="","",VALORACIÓN!AF67)</f>
        <v>41</v>
      </c>
    </row>
    <row r="23" spans="3:35" x14ac:dyDescent="0.25">
      <c r="F23" s="15"/>
      <c r="AG23" s="157">
        <f>IF(VALORACIÓN!B70="","",VALORACIÓN!AE70)</f>
        <v>1</v>
      </c>
      <c r="AH23" s="157">
        <f>IF(VALORACIÓN!B70="","",VALORACIÓN!AE71)</f>
        <v>4</v>
      </c>
      <c r="AI23" s="157">
        <f>IF(VALORACIÓN!B70="","",VALORACIÓN!AF70)</f>
        <v>41</v>
      </c>
    </row>
    <row r="24" spans="3:35" x14ac:dyDescent="0.25">
      <c r="AG24" s="157">
        <f>IF(VALORACIÓN!B73="","",VALORACIÓN!AE73)</f>
        <v>4</v>
      </c>
      <c r="AH24" s="157">
        <f>IF(VALORACIÓN!B73="","",VALORACIÓN!AE74)</f>
        <v>5</v>
      </c>
      <c r="AI24" s="157">
        <f>IF(VALORACIÓN!B73="","",VALORACIÓN!AF73)</f>
        <v>54</v>
      </c>
    </row>
    <row r="25" spans="3:35" x14ac:dyDescent="0.25">
      <c r="AG25" s="157">
        <f>IF(VALORACIÓN!B76="","",VALORACIÓN!AE76)</f>
        <v>4</v>
      </c>
      <c r="AH25" s="157">
        <f>IF(VALORACIÓN!B76="","",VALORACIÓN!AE77)</f>
        <v>4</v>
      </c>
      <c r="AI25" s="157">
        <f>IF(VALORACIÓN!B76="","",VALORACIÓN!AF76)</f>
        <v>44</v>
      </c>
    </row>
    <row r="26" spans="3:35" x14ac:dyDescent="0.25">
      <c r="AG26" s="157">
        <f>IF(VALORACIÓN!B79="","",VALORACIÓN!AE79)</f>
        <v>4</v>
      </c>
      <c r="AH26" s="157">
        <f>IF(VALORACIÓN!B79="","",VALORACIÓN!AE80)</f>
        <v>4</v>
      </c>
      <c r="AI26" s="157">
        <f>IF(VALORACIÓN!B79="","",VALORACIÓN!AF79)</f>
        <v>44</v>
      </c>
    </row>
    <row r="27" spans="3:35" x14ac:dyDescent="0.25">
      <c r="AG27" s="157">
        <f>IF(VALORACIÓN!B82="","",VALORACIÓN!AE82)</f>
        <v>5</v>
      </c>
      <c r="AH27" s="157">
        <f>IF(VALORACIÓN!B82="","",VALORACIÓN!AE83)</f>
        <v>3</v>
      </c>
      <c r="AI27" s="157">
        <f>IF(VALORACIÓN!B82="","",VALORACIÓN!AF82)</f>
        <v>35</v>
      </c>
    </row>
    <row r="28" spans="3:35" x14ac:dyDescent="0.25">
      <c r="AG28" s="157">
        <f>IF(VALORACIÓN!B85="","",VALORACIÓN!AE85)</f>
        <v>5</v>
      </c>
      <c r="AH28" s="157">
        <f>IF(VALORACIÓN!B85="","",VALORACIÓN!AE86)</f>
        <v>3</v>
      </c>
      <c r="AI28" s="157">
        <f>IF(VALORACIÓN!B85="","",VALORACIÓN!AF85)</f>
        <v>35</v>
      </c>
    </row>
    <row r="29" spans="3:35" x14ac:dyDescent="0.25">
      <c r="AG29" s="157">
        <f>IF(VALORACIÓN!B88="","",VALORACIÓN!AE88)</f>
        <v>1</v>
      </c>
      <c r="AH29" s="157">
        <f>IF(VALORACIÓN!B88="","",VALORACIÓN!AE89)</f>
        <v>4</v>
      </c>
      <c r="AI29" s="157">
        <f>IF(VALORACIÓN!B88="","",VALORACIÓN!AF88)</f>
        <v>41</v>
      </c>
    </row>
    <row r="30" spans="3:35" x14ac:dyDescent="0.25">
      <c r="AG30" s="157">
        <f>IF(VALORACIÓN!B91="","",VALORACIÓN!AE91)</f>
        <v>1</v>
      </c>
      <c r="AH30" s="157">
        <f>IF(VALORACIÓN!B91="","",VALORACIÓN!AE92)</f>
        <v>4</v>
      </c>
      <c r="AI30" s="157">
        <f>IF(VALORACIÓN!B91="","",VALORACIÓN!AF91)</f>
        <v>41</v>
      </c>
    </row>
    <row r="31" spans="3:35" x14ac:dyDescent="0.25">
      <c r="AG31" s="1" t="s">
        <v>377</v>
      </c>
      <c r="AH31" s="1" t="s">
        <v>378</v>
      </c>
      <c r="AI31" s="1" t="s">
        <v>306</v>
      </c>
    </row>
    <row r="32" spans="3:35" x14ac:dyDescent="0.25">
      <c r="AF32" s="1">
        <v>1</v>
      </c>
      <c r="AG32" s="157">
        <f>IF(VALORACIÓN!$B95="","",VALORACIÓN!$AD95)</f>
        <v>3</v>
      </c>
      <c r="AH32" s="157">
        <f>IF(VALORACIÓN!$B95="","",VALORACIÓN!$AE95)</f>
        <v>3</v>
      </c>
      <c r="AI32" s="157">
        <f>IF(VALORACIÓN!$B95="","",VALORACIÓN!$AE95)</f>
        <v>3</v>
      </c>
    </row>
    <row r="33" spans="32:35" x14ac:dyDescent="0.25">
      <c r="AF33" s="1">
        <v>2</v>
      </c>
      <c r="AG33" s="157">
        <f>IF(VALORACIÓN!$B98="","",VALORACIÓN!$AD98)</f>
        <v>3</v>
      </c>
      <c r="AH33" s="157">
        <f>IF(VALORACIÓN!$B98="","",VALORACIÓN!$AE98)</f>
        <v>3</v>
      </c>
      <c r="AI33" s="157">
        <f>IF(VALORACIÓN!$B98="","",VALORACIÓN!$AE98)</f>
        <v>3</v>
      </c>
    </row>
    <row r="34" spans="32:35" x14ac:dyDescent="0.25">
      <c r="AF34" s="1">
        <v>3</v>
      </c>
      <c r="AG34" s="157">
        <f>IF(VALORACIÓN!$B101="","",VALORACIÓN!$AD101)</f>
        <v>3</v>
      </c>
      <c r="AH34" s="157">
        <f>IF(VALORACIÓN!$B101="","",VALORACIÓN!$AE101)</f>
        <v>3</v>
      </c>
      <c r="AI34" s="157">
        <f>IF(VALORACIÓN!$B101="","",VALORACIÓN!$AE101)</f>
        <v>3</v>
      </c>
    </row>
    <row r="35" spans="32:35" x14ac:dyDescent="0.25">
      <c r="AF35" s="1">
        <v>4</v>
      </c>
      <c r="AG35" s="157">
        <f>IF(VALORACIÓN!$B104="","",VALORACIÓN!$AD104)</f>
        <v>3</v>
      </c>
      <c r="AH35" s="157">
        <f>IF(VALORACIÓN!$B104="","",VALORACIÓN!$AE104)</f>
        <v>3</v>
      </c>
      <c r="AI35" s="157">
        <f>IF(VALORACIÓN!$B104="","",VALORACIÓN!$AE104)</f>
        <v>3</v>
      </c>
    </row>
    <row r="36" spans="32:35" x14ac:dyDescent="0.25">
      <c r="AF36" s="1">
        <v>5</v>
      </c>
      <c r="AG36" s="157">
        <f>IF(VALORACIÓN!$B$107="","",VALORACIÓN!$AD107)</f>
        <v>3</v>
      </c>
      <c r="AH36" s="157">
        <f>IF(VALORACIÓN!$B107="","",VALORACIÓN!$AE107)</f>
        <v>3</v>
      </c>
      <c r="AI36" s="157">
        <f>IF(VALORACIÓN!$B107="","",VALORACIÓN!$AE107)</f>
        <v>3</v>
      </c>
    </row>
    <row r="37" spans="32:35" x14ac:dyDescent="0.25">
      <c r="AF37" s="1">
        <v>6</v>
      </c>
      <c r="AG37" s="157">
        <f>IF(VALORACIÓN!$B$110="","",VALORACIÓN!$AD110)</f>
        <v>3</v>
      </c>
      <c r="AH37" s="157">
        <f>IF(VALORACIÓN!$B$110="","",VALORACIÓN!$AE110)</f>
        <v>3</v>
      </c>
      <c r="AI37" s="157">
        <f>IF(VALORACIÓN!$B$110="","",VALORACIÓN!$AE110)</f>
        <v>3</v>
      </c>
    </row>
    <row r="38" spans="32:35" x14ac:dyDescent="0.25">
      <c r="AF38" s="1">
        <v>7</v>
      </c>
      <c r="AG38" s="157">
        <f>IF(VALORACIÓN!$B$113="","",VALORACIÓN!$AD113)</f>
        <v>3</v>
      </c>
      <c r="AH38" s="157">
        <f>IF(VALORACIÓN!$B$113="","",VALORACIÓN!$AE113)</f>
        <v>3</v>
      </c>
      <c r="AI38" s="157">
        <f>IF(VALORACIÓN!$B$113="","",VALORACIÓN!$AE113)</f>
        <v>3</v>
      </c>
    </row>
    <row r="39" spans="32:35" x14ac:dyDescent="0.25">
      <c r="AF39" s="1">
        <v>8</v>
      </c>
      <c r="AG39" s="157">
        <f>IF(VALORACIÓN!$B$116="","",VALORACIÓN!$AD116)</f>
        <v>3</v>
      </c>
      <c r="AH39" s="157">
        <f>IF(VALORACIÓN!$B$116="","",VALORACIÓN!$AE116)</f>
        <v>3</v>
      </c>
      <c r="AI39" s="157">
        <f>IF(VALORACIÓN!$B$116="","",VALORACIÓN!$AE116)</f>
        <v>3</v>
      </c>
    </row>
    <row r="40" spans="32:35" x14ac:dyDescent="0.25">
      <c r="AF40" s="1">
        <v>9</v>
      </c>
      <c r="AG40" s="157">
        <f>IF(VALORACIÓN!$B$119="","",VALORACIÓN!$AD119)</f>
        <v>3</v>
      </c>
      <c r="AH40" s="157">
        <f>IF(VALORACIÓN!$B$119="","",VALORACIÓN!$AE119)</f>
        <v>3</v>
      </c>
      <c r="AI40" s="157">
        <f>IF(VALORACIÓN!$B$119="","",VALORACIÓN!$AE119)</f>
        <v>3</v>
      </c>
    </row>
    <row r="41" spans="32:35" x14ac:dyDescent="0.25">
      <c r="AF41" s="1">
        <v>10</v>
      </c>
      <c r="AG41" s="157">
        <f>IF(VALORACIÓN!$B$122="","",VALORACIÓN!$AD122)</f>
        <v>3</v>
      </c>
      <c r="AH41" s="157">
        <f>IF(VALORACIÓN!$B$122="","",VALORACIÓN!$AE122)</f>
        <v>3</v>
      </c>
      <c r="AI41" s="157">
        <f>IF(VALORACIÓN!$B$122="","",VALORACIÓN!$AE122)</f>
        <v>3</v>
      </c>
    </row>
    <row r="42" spans="32:35" x14ac:dyDescent="0.25">
      <c r="AF42" s="1">
        <v>11</v>
      </c>
      <c r="AG42" s="157">
        <f>IF(VALORACIÓN!$B$125="","",VALORACIÓN!$AD125)</f>
        <v>3</v>
      </c>
      <c r="AH42" s="157">
        <f>IF(VALORACIÓN!$B$125="","",VALORACIÓN!$AE125)</f>
        <v>3</v>
      </c>
      <c r="AI42" s="157">
        <f>IF(VALORACIÓN!$B$125="","",VALORACIÓN!$AE125)</f>
        <v>3</v>
      </c>
    </row>
    <row r="43" spans="32:35" x14ac:dyDescent="0.25">
      <c r="AF43" s="1">
        <v>12</v>
      </c>
      <c r="AG43" s="157">
        <f>IF(VALORACIÓN!$B$128="","",VALORACIÓN!$AD128)</f>
        <v>3</v>
      </c>
      <c r="AH43" s="157">
        <f>IF(VALORACIÓN!$B$128="","",VALORACIÓN!$AE128)</f>
        <v>3</v>
      </c>
      <c r="AI43" s="157">
        <f>IF(VALORACIÓN!$B$128="","",VALORACIÓN!$AE128)</f>
        <v>3</v>
      </c>
    </row>
    <row r="44" spans="32:35" x14ac:dyDescent="0.25">
      <c r="AF44" s="1">
        <v>13</v>
      </c>
      <c r="AG44" s="157">
        <f>IF(VALORACIÓN!$B$131="","",VALORACIÓN!$AD131)</f>
        <v>5</v>
      </c>
      <c r="AH44" s="157">
        <f>IF(VALORACIÓN!$B$131="","",VALORACIÓN!$AE131)</f>
        <v>5</v>
      </c>
      <c r="AI44" s="157">
        <f>IF(VALORACIÓN!$B$131="","",VALORACIÓN!$AE131)</f>
        <v>5</v>
      </c>
    </row>
    <row r="45" spans="32:35" x14ac:dyDescent="0.25">
      <c r="AF45" s="1">
        <v>14</v>
      </c>
      <c r="AG45" s="157">
        <f>IF(VALORACIÓN!$B$134="","",VALORACIÓN!$AD134)</f>
        <v>5</v>
      </c>
      <c r="AH45" s="157">
        <f>IF(VALORACIÓN!$B$134="","",VALORACIÓN!$AE134)</f>
        <v>3</v>
      </c>
      <c r="AI45" s="157">
        <f>IF(VALORACIÓN!$B$134="","",VALORACIÓN!$AE134)</f>
        <v>3</v>
      </c>
    </row>
    <row r="46" spans="32:35" x14ac:dyDescent="0.25">
      <c r="AF46" s="1">
        <v>15</v>
      </c>
      <c r="AG46" s="157">
        <f>IF(VALORACIÓN!$B$137="","",VALORACIÓN!$AD137)</f>
        <v>3</v>
      </c>
      <c r="AH46" s="157">
        <f>IF(VALORACIÓN!$B$137="","",VALORACIÓN!$AE137)</f>
        <v>3</v>
      </c>
      <c r="AI46" s="157">
        <f>IF(VALORACIÓN!$B$137="","",VALORACIÓN!$AE137)</f>
        <v>3</v>
      </c>
    </row>
    <row r="47" spans="32:35" x14ac:dyDescent="0.25">
      <c r="AF47" s="1">
        <v>16</v>
      </c>
      <c r="AG47" s="157">
        <f>IF(VALORACIÓN!$B$140="","",VALORACIÓN!$AD140)</f>
        <v>3</v>
      </c>
      <c r="AH47" s="157">
        <f>IF(VALORACIÓN!$B$140="","",VALORACIÓN!$AE140)</f>
        <v>3</v>
      </c>
      <c r="AI47" s="157">
        <f>IF(VALORACIÓN!$B$140="","",VALORACIÓN!$AE140)</f>
        <v>3</v>
      </c>
    </row>
    <row r="48" spans="32:35" x14ac:dyDescent="0.25">
      <c r="AF48" s="1">
        <v>17</v>
      </c>
      <c r="AG48" s="157">
        <f>IF(VALORACIÓN!$B$143="","",VALORACIÓN!$AD143)</f>
        <v>3</v>
      </c>
      <c r="AH48" s="157">
        <f>IF(VALORACIÓN!$B$143="","",VALORACIÓN!$AE143)</f>
        <v>3</v>
      </c>
      <c r="AI48" s="157">
        <f>IF(VALORACIÓN!$B$143="","",VALORACIÓN!$AE143)</f>
        <v>3</v>
      </c>
    </row>
    <row r="49" spans="32:35" x14ac:dyDescent="0.25">
      <c r="AF49" s="1">
        <v>18</v>
      </c>
      <c r="AG49" s="157">
        <f>IF(VALORACIÓN!$B$146="","",VALORACIÓN!$AD146)</f>
        <v>3</v>
      </c>
      <c r="AH49" s="157">
        <f>IF(VALORACIÓN!$B$146="","",VALORACIÓN!$AE146)</f>
        <v>3</v>
      </c>
      <c r="AI49" s="157">
        <f>IF(VALORACIÓN!$B$146="","",VALORACIÓN!$AE146)</f>
        <v>3</v>
      </c>
    </row>
    <row r="50" spans="32:35" x14ac:dyDescent="0.25">
      <c r="AF50" s="1">
        <v>19</v>
      </c>
      <c r="AG50" s="157">
        <f>IF(VALORACIÓN!$B$149="","",VALORACIÓN!$AD149)</f>
        <v>3</v>
      </c>
      <c r="AH50" s="157">
        <f>IF(VALORACIÓN!$B$149="","",VALORACIÓN!$AE149)</f>
        <v>3</v>
      </c>
      <c r="AI50" s="157">
        <f>IF(VALORACIÓN!$B$149="","",VALORACIÓN!$AE149)</f>
        <v>3</v>
      </c>
    </row>
    <row r="51" spans="32:35" x14ac:dyDescent="0.25">
      <c r="AF51" s="1">
        <v>20</v>
      </c>
      <c r="AG51" s="157">
        <f>IF(VALORACIÓN!$B$152="","",VALORACIÓN!$AD152)</f>
        <v>3</v>
      </c>
      <c r="AH51" s="157">
        <f>IF(VALORACIÓN!$B$152="","",VALORACIÓN!$AE152)</f>
        <v>3</v>
      </c>
      <c r="AI51" s="157">
        <f>IF(VALORACIÓN!$B$152="","",VALORACIÓN!$AE152)</f>
        <v>3</v>
      </c>
    </row>
    <row r="52" spans="32:35" x14ac:dyDescent="0.25">
      <c r="AF52" s="1">
        <v>21</v>
      </c>
      <c r="AG52" s="157">
        <f>IF(VALORACIÓN!$B$155="","",VALORACIÓN!$AD155)</f>
        <v>3</v>
      </c>
      <c r="AH52" s="157">
        <f>IF(VALORACIÓN!$B$155="","",VALORACIÓN!$AE155)</f>
        <v>3</v>
      </c>
      <c r="AI52" s="157">
        <f>IF(VALORACIÓN!$B$155="","",VALORACIÓN!$AE155)</f>
        <v>3</v>
      </c>
    </row>
    <row r="53" spans="32:35" x14ac:dyDescent="0.25">
      <c r="AF53" s="1">
        <v>22</v>
      </c>
      <c r="AG53" s="157">
        <f>IF(VALORACIÓN!$B$158="","",VALORACIÓN!$AD158)</f>
        <v>3</v>
      </c>
      <c r="AH53" s="157">
        <f>IF(VALORACIÓN!$B$158="","",VALORACIÓN!$AE158)</f>
        <v>3</v>
      </c>
      <c r="AI53" s="157">
        <f>IF(VALORACIÓN!$B$158="","",VALORACIÓN!$AE158)</f>
        <v>3</v>
      </c>
    </row>
    <row r="54" spans="32:35" x14ac:dyDescent="0.25">
      <c r="AF54" s="1">
        <v>23</v>
      </c>
      <c r="AG54" s="157">
        <f>IF(VALORACIÓN!$B$161="","",VALORACIÓN!$AD161)</f>
        <v>3</v>
      </c>
      <c r="AH54" s="157">
        <f>IF(VALORACIÓN!$B$161="","",VALORACIÓN!$AE161)</f>
        <v>3</v>
      </c>
      <c r="AI54" s="157">
        <f>IF(VALORACIÓN!$B$161="","",VALORACIÓN!$AE161)</f>
        <v>3</v>
      </c>
    </row>
    <row r="55" spans="32:35" x14ac:dyDescent="0.25">
      <c r="AF55" s="1">
        <v>24</v>
      </c>
      <c r="AG55" s="157">
        <f>IF(VALORACIÓN!$B$164="","",VALORACIÓN!$AD164)</f>
        <v>3</v>
      </c>
      <c r="AH55" s="157">
        <f>IF(VALORACIÓN!$B$164="","",VALORACIÓN!$AE164)</f>
        <v>3</v>
      </c>
      <c r="AI55" s="157">
        <f>IF(VALORACIÓN!$B$164="","",VALORACIÓN!$AE164)</f>
        <v>3</v>
      </c>
    </row>
    <row r="56" spans="32:35" x14ac:dyDescent="0.25">
      <c r="AF56" s="1">
        <v>25</v>
      </c>
      <c r="AG56" s="157">
        <f>IF(VALORACIÓN!$B$167="","",VALORACIÓN!$AD167)</f>
        <v>3</v>
      </c>
      <c r="AH56" s="157">
        <f>IF(VALORACIÓN!$B$167="","",VALORACIÓN!$AE167)</f>
        <v>3</v>
      </c>
      <c r="AI56" s="157">
        <f>IF(VALORACIÓN!$B$167="","",VALORACIÓN!$AE167)</f>
        <v>3</v>
      </c>
    </row>
    <row r="57" spans="32:35" x14ac:dyDescent="0.25">
      <c r="AF57" s="1">
        <v>26</v>
      </c>
      <c r="AG57" s="157">
        <f>IF(VALORACIÓN!$B$170="","",VALORACIÓN!$AD170)</f>
        <v>3</v>
      </c>
      <c r="AH57" s="157">
        <f>IF(VALORACIÓN!$B$170="","",VALORACIÓN!$AE170)</f>
        <v>3</v>
      </c>
      <c r="AI57" s="157">
        <f>IF(VALORACIÓN!$B$170="","",VALORACIÓN!$AE170)</f>
        <v>3</v>
      </c>
    </row>
    <row r="58" spans="32:35" x14ac:dyDescent="0.25">
      <c r="AF58" s="1">
        <v>27</v>
      </c>
      <c r="AG58" s="157">
        <f>IF(VALORACIÓN!$B$173="","",VALORACIÓN!$AD173)</f>
        <v>3</v>
      </c>
      <c r="AH58" s="157">
        <f>IF(VALORACIÓN!$B$173="","",VALORACIÓN!$AE173)</f>
        <v>3</v>
      </c>
      <c r="AI58" s="157">
        <f>IF(VALORACIÓN!$B$173="","",VALORACIÓN!$AE173)</f>
        <v>3</v>
      </c>
    </row>
    <row r="59" spans="32:35" x14ac:dyDescent="0.25">
      <c r="AF59" s="1">
        <v>28</v>
      </c>
      <c r="AG59" s="157">
        <f>IF(VALORACIÓN!$B$176="","",VALORACIÓN!$AD176)</f>
        <v>3</v>
      </c>
      <c r="AH59" s="157">
        <f>IF(VALORACIÓN!$B$176="","",VALORACIÓN!$AE176)</f>
        <v>3</v>
      </c>
      <c r="AI59" s="157">
        <f>IF(VALORACIÓN!$B$176="","",VALORACIÓN!$AE176)</f>
        <v>3</v>
      </c>
    </row>
    <row r="60" spans="32:35" x14ac:dyDescent="0.25">
      <c r="AF60" s="1">
        <v>29</v>
      </c>
      <c r="AG60" s="157">
        <f>IF(VALORACIÓN!$B$179="","",VALORACIÓN!$AD179)</f>
        <v>3</v>
      </c>
      <c r="AH60" s="157">
        <f>IF(VALORACIÓN!$B$179="","",VALORACIÓN!$AE179)</f>
        <v>3</v>
      </c>
      <c r="AI60" s="157">
        <f>IF(VALORACIÓN!$B$179="","",VALORACIÓN!$AE179)</f>
        <v>3</v>
      </c>
    </row>
    <row r="61" spans="32:35" x14ac:dyDescent="0.25">
      <c r="AF61" s="1">
        <v>30</v>
      </c>
      <c r="AG61" s="157">
        <f>IF(VALORACIÓN!$B$182="","",VALORACIÓN!$AD182)</f>
        <v>3</v>
      </c>
      <c r="AH61" s="157">
        <f>IF(VALORACIÓN!$B$182="","",VALORACIÓN!$AE182)</f>
        <v>3</v>
      </c>
      <c r="AI61" s="157">
        <f>IF(VALORACIÓN!$B$182="","",VALORACIÓN!$AE182)</f>
        <v>3</v>
      </c>
    </row>
    <row r="62" spans="32:35" x14ac:dyDescent="0.25">
      <c r="AF62" s="1">
        <v>31</v>
      </c>
      <c r="AG62" s="157">
        <f>IF(VALORACIÓN!$B$185="","",VALORACIÓN!$AD185)</f>
        <v>3</v>
      </c>
      <c r="AH62" s="157">
        <f>IF(VALORACIÓN!$B$185="","",VALORACIÓN!$AE185)</f>
        <v>3</v>
      </c>
      <c r="AI62" s="157">
        <f>IF(VALORACIÓN!$B$185="","",VALORACIÓN!$AE185)</f>
        <v>3</v>
      </c>
    </row>
    <row r="63" spans="32:35" x14ac:dyDescent="0.25">
      <c r="AF63" s="1">
        <v>32</v>
      </c>
      <c r="AG63" s="157">
        <f>IF(VALORACIÓN!$B$188="","",VALORACIÓN!$AD188)</f>
        <v>3</v>
      </c>
      <c r="AH63" s="157">
        <f>IF(VALORACIÓN!$B$188="","",VALORACIÓN!$AE188)</f>
        <v>3</v>
      </c>
      <c r="AI63" s="157">
        <f>IF(VALORACIÓN!$B$188="","",VALORACIÓN!$AE188)</f>
        <v>3</v>
      </c>
    </row>
    <row r="64" spans="32:35" x14ac:dyDescent="0.25">
      <c r="AF64" s="1">
        <v>33</v>
      </c>
      <c r="AG64" s="157">
        <f>IF(VALORACIÓN!$B$191="","",VALORACIÓN!$AD191)</f>
        <v>3</v>
      </c>
      <c r="AH64" s="157">
        <f>IF(VALORACIÓN!$B$191="","",VALORACIÓN!$AE191)</f>
        <v>3</v>
      </c>
      <c r="AI64" s="157">
        <f>IF(VALORACIÓN!$B$191="","",VALORACIÓN!$AE191)</f>
        <v>3</v>
      </c>
    </row>
    <row r="65" spans="32:35" x14ac:dyDescent="0.25">
      <c r="AF65" s="1">
        <v>34</v>
      </c>
      <c r="AG65" s="157">
        <f>IF(VALORACIÓN!$B$194="","",VALORACIÓN!$AD194)</f>
        <v>3</v>
      </c>
      <c r="AH65" s="157">
        <f>IF(VALORACIÓN!$B$194="","",VALORACIÓN!$AE194)</f>
        <v>3</v>
      </c>
      <c r="AI65" s="157">
        <f>IF(VALORACIÓN!$B$194="","",VALORACIÓN!$AE194)</f>
        <v>3</v>
      </c>
    </row>
    <row r="68" spans="32:35" x14ac:dyDescent="0.25">
      <c r="AI68" s="1" t="b">
        <f>IF(AND($H9&gt;=$Z$6,X9=1),si,IF(AND($H9&lt;$Z$6,X9=1),exis,IF(AND($H9&gt;$Z$6,X9&lt;1),na,IF(AND($H9&lt;=$Z$6,X9&lt;1),no))))</f>
        <v>0</v>
      </c>
    </row>
  </sheetData>
  <sheetProtection selectLockedCells="1"/>
  <mergeCells count="2">
    <mergeCell ref="W1:X1"/>
    <mergeCell ref="AG1:AI1"/>
  </mergeCells>
  <phoneticPr fontId="5" type="noConversion"/>
  <conditionalFormatting sqref="R2:R3">
    <cfRule type="duplicateValues" dxfId="23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41</vt:i4>
      </vt:variant>
    </vt:vector>
  </HeadingPairs>
  <TitlesOfParts>
    <vt:vector size="64" baseType="lpstr">
      <vt:lpstr>CONTEXTO ESTRATEGICO</vt:lpstr>
      <vt:lpstr>IDENTIFICACIÓN</vt:lpstr>
      <vt:lpstr>ANALISIS</vt:lpstr>
      <vt:lpstr>VALORACIÓN</vt:lpstr>
      <vt:lpstr>CONSOLIDACION DEL MAPA</vt:lpstr>
      <vt:lpstr>CRONOGRAMA</vt:lpstr>
      <vt:lpstr>SEGUIMIENTO Y MONITOREO</vt:lpstr>
      <vt:lpstr>ESTADISTICAS</vt:lpstr>
      <vt:lpstr>Datos</vt:lpstr>
      <vt:lpstr>TGS</vt:lpstr>
      <vt:lpstr>TGS C</vt:lpstr>
      <vt:lpstr>RXC</vt:lpstr>
      <vt:lpstr>RXC C</vt:lpstr>
      <vt:lpstr>AXR</vt:lpstr>
      <vt:lpstr>AXR C</vt:lpstr>
      <vt:lpstr>CONT</vt:lpstr>
      <vt:lpstr>CONT C</vt:lpstr>
      <vt:lpstr>CYER</vt:lpstr>
      <vt:lpstr>CYER C</vt:lpstr>
      <vt:lpstr>AYCM</vt:lpstr>
      <vt:lpstr>AYCM C</vt:lpstr>
      <vt:lpstr>AVANCE</vt:lpstr>
      <vt:lpstr>Cartilla Guía</vt:lpstr>
      <vt:lpstr>_ind1</vt:lpstr>
      <vt:lpstr>ANALISIS!Área_de_impresión</vt:lpstr>
      <vt:lpstr>AVANCE!Área_de_impresión</vt:lpstr>
      <vt:lpstr>ESTADISTICAS!Área_de_impresión</vt:lpstr>
      <vt:lpstr>IDENTIFICACIÓN!Área_de_impresión</vt:lpstr>
      <vt:lpstr>VALORACIÓN!Área_de_impresión</vt:lpstr>
      <vt:lpstr>automanu</vt:lpstr>
      <vt:lpstr>Direccionamiento_Estrategico</vt:lpstr>
      <vt:lpstr>disminuye</vt:lpstr>
      <vt:lpstr>exis</vt:lpstr>
      <vt:lpstr>exisc</vt:lpstr>
      <vt:lpstr>exisc23</vt:lpstr>
      <vt:lpstr>'CONTEXTO ESTRATEGICO'!Gestión_de_Divulgación</vt:lpstr>
      <vt:lpstr>imp</vt:lpstr>
      <vt:lpstr>ind</vt:lpstr>
      <vt:lpstr>indicador</vt:lpstr>
      <vt:lpstr>inst</vt:lpstr>
      <vt:lpstr>mproc</vt:lpstr>
      <vt:lpstr>na</vt:lpstr>
      <vt:lpstr>'CONTEXTO ESTRATEGICO'!Ninguno</vt:lpstr>
      <vt:lpstr>no</vt:lpstr>
      <vt:lpstr>noapli</vt:lpstr>
      <vt:lpstr>noaplica</vt:lpstr>
      <vt:lpstr>opcmanc</vt:lpstr>
      <vt:lpstr>opcmang</vt:lpstr>
      <vt:lpstr>pcinco</vt:lpstr>
      <vt:lpstr>pdos</vt:lpstr>
      <vt:lpstr>pocho</vt:lpstr>
      <vt:lpstr>poscorrup</vt:lpstr>
      <vt:lpstr>pquince</vt:lpstr>
      <vt:lpstr>prob</vt:lpstr>
      <vt:lpstr>proc</vt:lpstr>
      <vt:lpstr>pseis</vt:lpstr>
      <vt:lpstr>ptres</vt:lpstr>
      <vt:lpstr>puno</vt:lpstr>
      <vt:lpstr>resto</vt:lpstr>
      <vt:lpstr>segdos</vt:lpstr>
      <vt:lpstr>segtres</vt:lpstr>
      <vt:lpstr>seguno</vt:lpstr>
      <vt:lpstr>si</vt:lpstr>
      <vt:lpstr>tip</vt:lpstr>
    </vt:vector>
  </TitlesOfParts>
  <Company>DAFP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De Leon Mendoza</dc:creator>
  <cp:lastModifiedBy>Milena De León</cp:lastModifiedBy>
  <cp:lastPrinted>2008-07-18T15:30:55Z</cp:lastPrinted>
  <dcterms:created xsi:type="dcterms:W3CDTF">2007-04-12T14:44:48Z</dcterms:created>
  <dcterms:modified xsi:type="dcterms:W3CDTF">2017-01-31T04:38:04Z</dcterms:modified>
</cp:coreProperties>
</file>