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perez\OneDrive - Universidad del Magdalena\Unimagdalena\Escritorio\Riesgos\"/>
    </mc:Choice>
  </mc:AlternateContent>
  <bookViews>
    <workbookView xWindow="5460" yWindow="3390" windowWidth="15375" windowHeight="7875"/>
  </bookViews>
  <sheets>
    <sheet name="Riesgos" sheetId="1" r:id="rId1"/>
    <sheet name="Información" sheetId="3" r:id="rId2"/>
    <sheet name="Calculos" sheetId="2" r:id="rId3"/>
  </sheets>
  <externalReferences>
    <externalReference r:id="rId4"/>
    <externalReference r:id="rId5"/>
    <externalReference r:id="rId6"/>
    <externalReference r:id="rId7"/>
    <externalReference r:id="rId8"/>
    <externalReference r:id="rId9"/>
    <externalReference r:id="rId10"/>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34" i="1" l="1"/>
  <c r="AE34" i="1" s="1"/>
  <c r="Y34" i="1"/>
  <c r="AD34" i="1" s="1"/>
  <c r="AC34" i="1" s="1"/>
  <c r="X34" i="1"/>
  <c r="V34" i="1"/>
  <c r="T34" i="1"/>
  <c r="AF33" i="1"/>
  <c r="AE33" i="1" s="1"/>
  <c r="X33" i="1"/>
  <c r="Y33" i="1" s="1"/>
  <c r="AD33" i="1" s="1"/>
  <c r="AC33" i="1" s="1"/>
  <c r="V33" i="1"/>
  <c r="T33" i="1"/>
  <c r="AF32" i="1"/>
  <c r="AE32" i="1"/>
  <c r="X32" i="1"/>
  <c r="V32" i="1"/>
  <c r="Y32" i="1" s="1"/>
  <c r="AD32" i="1" s="1"/>
  <c r="AC32" i="1" s="1"/>
  <c r="T32" i="1"/>
  <c r="AF31" i="1"/>
  <c r="AE31" i="1"/>
  <c r="X31" i="1"/>
  <c r="V31" i="1"/>
  <c r="Y31" i="1" s="1"/>
  <c r="AD31" i="1" s="1"/>
  <c r="AC31" i="1" s="1"/>
  <c r="T31" i="1"/>
  <c r="N31" i="1"/>
  <c r="O31" i="1" s="1"/>
  <c r="P31" i="1" s="1"/>
  <c r="L31" i="1"/>
  <c r="K31" i="1"/>
  <c r="AF30" i="1" l="1"/>
  <c r="AE30" i="1" s="1"/>
  <c r="X30" i="1"/>
  <c r="Y30" i="1" s="1"/>
  <c r="AD30" i="1" s="1"/>
  <c r="AC30" i="1" s="1"/>
  <c r="V30" i="1"/>
  <c r="T30" i="1"/>
  <c r="AF29" i="1"/>
  <c r="AE29" i="1"/>
  <c r="X29" i="1"/>
  <c r="V29" i="1"/>
  <c r="Y29" i="1" s="1"/>
  <c r="AD29" i="1" s="1"/>
  <c r="AC29" i="1" s="1"/>
  <c r="T29" i="1"/>
  <c r="AF28" i="1"/>
  <c r="AE28" i="1"/>
  <c r="X28" i="1"/>
  <c r="V28" i="1"/>
  <c r="Y28" i="1" s="1"/>
  <c r="AD28" i="1" s="1"/>
  <c r="AC28" i="1" s="1"/>
  <c r="T28" i="1"/>
  <c r="AF27" i="1"/>
  <c r="AE27" i="1"/>
  <c r="X27" i="1"/>
  <c r="V27" i="1"/>
  <c r="Y27" i="1" s="1"/>
  <c r="AD27" i="1" s="1"/>
  <c r="AC27" i="1" s="1"/>
  <c r="T27" i="1"/>
  <c r="AF26" i="1"/>
  <c r="AE26" i="1"/>
  <c r="Y26" i="1"/>
  <c r="AD26" i="1" s="1"/>
  <c r="AC26" i="1" s="1"/>
  <c r="X26" i="1"/>
  <c r="V26" i="1"/>
  <c r="T26" i="1"/>
  <c r="N26" i="1"/>
  <c r="O26" i="1" s="1"/>
  <c r="P26" i="1" s="1"/>
  <c r="K26" i="1"/>
  <c r="L26" i="1" l="1"/>
  <c r="AF25" i="1" l="1"/>
  <c r="AE25" i="1"/>
  <c r="X25" i="1"/>
  <c r="V25" i="1"/>
  <c r="Y25" i="1" s="1"/>
  <c r="AD25" i="1" s="1"/>
  <c r="AC25" i="1" s="1"/>
  <c r="T25" i="1"/>
  <c r="AF24" i="1"/>
  <c r="AE24" i="1" s="1"/>
  <c r="X24" i="1"/>
  <c r="V24" i="1"/>
  <c r="Y24" i="1" s="1"/>
  <c r="AD24" i="1" s="1"/>
  <c r="AC24" i="1" s="1"/>
  <c r="T24" i="1"/>
  <c r="AF23" i="1"/>
  <c r="AE23" i="1"/>
  <c r="Y23" i="1"/>
  <c r="AD23" i="1" s="1"/>
  <c r="AC23" i="1" s="1"/>
  <c r="X23" i="1"/>
  <c r="V23" i="1"/>
  <c r="T23" i="1"/>
  <c r="N23" i="1"/>
  <c r="O23" i="1" s="1"/>
  <c r="P23" i="1" s="1"/>
  <c r="K23" i="1"/>
  <c r="L23" i="1" s="1"/>
  <c r="T22" i="1" l="1"/>
  <c r="T21" i="1"/>
  <c r="T20" i="1"/>
  <c r="N20" i="1"/>
  <c r="O20" i="1" s="1"/>
  <c r="P20" i="1" s="1"/>
  <c r="L20" i="1"/>
  <c r="K20" i="1"/>
  <c r="X9" i="1" l="1"/>
  <c r="V9" i="1"/>
  <c r="T9" i="1"/>
  <c r="AF8" i="1"/>
  <c r="AE8" i="1"/>
  <c r="X8" i="1"/>
  <c r="V8" i="1"/>
  <c r="Y8" i="1" s="1"/>
  <c r="AD8" i="1" s="1"/>
  <c r="AC8" i="1" s="1"/>
  <c r="AG8" i="1" s="1"/>
  <c r="T8" i="1"/>
  <c r="N8" i="1"/>
  <c r="O8" i="1" s="1"/>
  <c r="P8" i="1" s="1"/>
  <c r="K8" i="1"/>
  <c r="L8" i="1" s="1"/>
  <c r="Y9" i="1" l="1"/>
  <c r="AF13" i="1" l="1"/>
  <c r="AE13" i="1" s="1"/>
  <c r="X13" i="1"/>
  <c r="V13" i="1"/>
  <c r="Y13" i="1" s="1"/>
  <c r="AD13" i="1" s="1"/>
  <c r="AC13" i="1" s="1"/>
  <c r="AG13" i="1" s="1"/>
  <c r="T13" i="1"/>
  <c r="N13" i="1"/>
  <c r="O13" i="1" s="1"/>
  <c r="P13" i="1" s="1"/>
  <c r="K13" i="1"/>
  <c r="T17" i="1"/>
  <c r="L13" i="1" l="1"/>
  <c r="X12" i="1"/>
  <c r="V12" i="1"/>
  <c r="T12" i="1"/>
  <c r="X11" i="1"/>
  <c r="V11" i="1"/>
  <c r="T11" i="1"/>
  <c r="AF10" i="1"/>
  <c r="AE10" i="1"/>
  <c r="X10" i="1"/>
  <c r="V10" i="1"/>
  <c r="T10" i="1"/>
  <c r="N10" i="1"/>
  <c r="O10" i="1" s="1"/>
  <c r="P10" i="1" s="1"/>
  <c r="K10" i="1"/>
  <c r="L10" i="1" s="1"/>
  <c r="Y10" i="1" l="1"/>
  <c r="AD10" i="1" s="1"/>
  <c r="AC10" i="1" s="1"/>
  <c r="AG10" i="1" s="1"/>
  <c r="Y11" i="1"/>
  <c r="Y12" i="1"/>
  <c r="N17" i="1" l="1"/>
  <c r="O17" i="1" s="1"/>
  <c r="P17" i="1" s="1"/>
  <c r="K17" i="1"/>
  <c r="L17" i="1" s="1"/>
  <c r="T16" i="1"/>
  <c r="T15" i="1"/>
  <c r="AF12" i="1"/>
  <c r="AF9" i="1" s="1"/>
  <c r="AE9" i="1" s="1"/>
  <c r="T14" i="1"/>
  <c r="N14" i="1"/>
  <c r="O14" i="1" s="1"/>
  <c r="P14" i="1" s="1"/>
  <c r="K14" i="1"/>
  <c r="L14" i="1" s="1"/>
  <c r="AE12" i="1" l="1"/>
  <c r="AF11" i="1"/>
  <c r="AE11" i="1" s="1"/>
  <c r="AD12" i="1"/>
  <c r="AD9" i="1" s="1"/>
  <c r="AC9" i="1" s="1"/>
  <c r="AG9" i="1" s="1"/>
  <c r="AD11" i="1" l="1"/>
  <c r="AC11" i="1" s="1"/>
  <c r="AG11" i="1" s="1"/>
  <c r="AC12" i="1"/>
  <c r="AG12" i="1" l="1"/>
  <c r="N5" i="1" l="1"/>
  <c r="O5" i="1" s="1"/>
  <c r="T7" i="1"/>
  <c r="V7" i="1"/>
  <c r="X7" i="1"/>
  <c r="Y7" i="1" l="1"/>
  <c r="T6" i="1"/>
  <c r="T5" i="1"/>
  <c r="X6" i="1" l="1"/>
  <c r="V6" i="1"/>
  <c r="X5" i="1"/>
  <c r="V5" i="1"/>
  <c r="P5" i="1"/>
  <c r="K5" i="1"/>
  <c r="L5" i="1" l="1"/>
  <c r="Q5" i="1"/>
  <c r="Y6" i="1"/>
  <c r="Y5" i="1"/>
  <c r="AD5" i="1" l="1"/>
  <c r="AD6" i="1" s="1"/>
  <c r="AD7" i="1" s="1"/>
  <c r="AF5" i="1"/>
  <c r="AF6" i="1" l="1"/>
  <c r="AF7" i="1" s="1"/>
  <c r="AE7" i="1" s="1"/>
  <c r="AC6" i="1"/>
  <c r="AE5" i="1"/>
  <c r="AC5" i="1"/>
  <c r="AE6" i="1" l="1"/>
  <c r="AG6" i="1" s="1"/>
  <c r="AG5" i="1"/>
  <c r="AC7" i="1" l="1"/>
  <c r="AG7" i="1" s="1"/>
</calcChain>
</file>

<file path=xl/comments1.xml><?xml version="1.0" encoding="utf-8"?>
<comments xmlns="http://schemas.openxmlformats.org/spreadsheetml/2006/main">
  <authors>
    <author>Estudiante</author>
    <author>XIMENA PORTILLO PUENTES</author>
    <author>Equipo</author>
  </authors>
  <commentList>
    <comment ref="A3" authorId="0" shapeId="0">
      <text>
        <r>
          <rPr>
            <b/>
            <sz val="9"/>
            <color indexed="81"/>
            <rFont val="Tahoma"/>
            <family val="2"/>
          </rPr>
          <t>Ximena Portillo:</t>
        </r>
        <r>
          <rPr>
            <sz val="9"/>
            <color indexed="81"/>
            <rFont val="Tahoma"/>
            <family val="2"/>
          </rPr>
          <t xml:space="preserve">
Codigo del proceso+ enumeración.
Ejemplo: GC-1</t>
        </r>
      </text>
    </comment>
    <comment ref="C3" authorId="0" shapeId="0">
      <text>
        <r>
          <rPr>
            <b/>
            <sz val="9"/>
            <color indexed="81"/>
            <rFont val="Tahoma"/>
            <family val="2"/>
          </rPr>
          <t xml:space="preserve">Ximena Portillo:
</t>
        </r>
        <r>
          <rPr>
            <sz val="9"/>
            <color indexed="81"/>
            <rFont val="Tahoma"/>
            <family val="2"/>
          </rPr>
          <t>Circunstancias bajo las cuales se presenta el riesgo, pero no constituyen la causa principal o base para que se presente el riesgo</t>
        </r>
      </text>
    </comment>
    <comment ref="D3" authorId="0" shapeId="0">
      <text>
        <r>
          <rPr>
            <b/>
            <sz val="9"/>
            <color indexed="81"/>
            <rFont val="Tahoma"/>
            <family val="2"/>
          </rPr>
          <t>Ximena Portillo:</t>
        </r>
        <r>
          <rPr>
            <sz val="9"/>
            <color indexed="81"/>
            <rFont val="Tahoma"/>
            <family val="2"/>
          </rPr>
          <t xml:space="preserve">
Causa principal o básica, corresponde a las razones por la cuales se puede presentar el riesgo.</t>
        </r>
      </text>
    </comment>
    <comment ref="F3" authorId="0" shapeId="0">
      <text>
        <r>
          <rPr>
            <b/>
            <sz val="9"/>
            <color indexed="81"/>
            <rFont val="Tahoma"/>
            <family val="2"/>
          </rPr>
          <t xml:space="preserve">Ximena Portillo:
</t>
        </r>
        <r>
          <rPr>
            <sz val="9"/>
            <color indexed="81"/>
            <rFont val="Tahoma"/>
            <family val="2"/>
          </rPr>
          <t xml:space="preserve">En la redacción del riesgo se debe incluir la causa inmediata y la causa raiz.
</t>
        </r>
        <r>
          <rPr>
            <u/>
            <sz val="9"/>
            <color indexed="81"/>
            <rFont val="Tahoma"/>
            <family val="2"/>
          </rPr>
          <t>Ej: Generación de multas y sanción del ente regulador debido a adquisición de bienes y servicios fuera de los requerimientos normativos</t>
        </r>
      </text>
    </comment>
    <comment ref="G3" authorId="1" shapeId="0">
      <text>
        <r>
          <rPr>
            <b/>
            <sz val="9"/>
            <color indexed="81"/>
            <rFont val="Tahoma"/>
            <family val="2"/>
          </rPr>
          <t>XIMENA PORTILLO PUENTES:</t>
        </r>
        <r>
          <rPr>
            <sz val="9"/>
            <color indexed="81"/>
            <rFont val="Tahoma"/>
            <family val="2"/>
          </rPr>
          <t xml:space="preserve">
En la hoja de información se encuentra la definición d ecada factor</t>
        </r>
      </text>
    </comment>
    <comment ref="H3" authorId="1" shapeId="0">
      <text>
        <r>
          <rPr>
            <b/>
            <sz val="9"/>
            <color indexed="81"/>
            <rFont val="Tahoma"/>
            <family val="2"/>
          </rPr>
          <t>XIMENA PORTILLO PUENTES:</t>
        </r>
        <r>
          <rPr>
            <sz val="9"/>
            <color indexed="81"/>
            <rFont val="Tahoma"/>
            <family val="2"/>
          </rPr>
          <t xml:space="preserve">
En la hoja de información se encuentra la definición de cada clasificación</t>
        </r>
      </text>
    </comment>
    <comment ref="I3" authorId="1" shapeId="0">
      <text>
        <r>
          <rPr>
            <b/>
            <sz val="9"/>
            <color indexed="81"/>
            <rFont val="Tahoma"/>
            <family val="2"/>
          </rPr>
          <t>XIMENA PORTILLO PUENTES:</t>
        </r>
        <r>
          <rPr>
            <sz val="9"/>
            <color indexed="81"/>
            <rFont val="Tahoma"/>
            <family val="2"/>
          </rPr>
          <t xml:space="preserve">
Escoger el objetivo de calidad que impacte el riesgo</t>
        </r>
      </text>
    </comment>
    <comment ref="J3" authorId="0" shapeId="0">
      <text>
        <r>
          <rPr>
            <b/>
            <sz val="9"/>
            <color indexed="81"/>
            <rFont val="Tahoma"/>
            <family val="2"/>
          </rPr>
          <t>Ximena Portillo:</t>
        </r>
        <r>
          <rPr>
            <sz val="9"/>
            <color indexed="81"/>
            <rFont val="Tahoma"/>
            <family val="2"/>
          </rPr>
          <t xml:space="preserve">
Defina el # de veces que se ejecuta la actividad durante el año</t>
        </r>
      </text>
    </comment>
    <comment ref="E20" authorId="2" shapeId="0">
      <text>
        <r>
          <rPr>
            <b/>
            <sz val="9"/>
            <color indexed="81"/>
            <rFont val="Tahoma"/>
            <charset val="1"/>
          </rPr>
          <t>Equipo:</t>
        </r>
        <r>
          <rPr>
            <sz val="9"/>
            <color indexed="81"/>
            <rFont val="Tahoma"/>
            <charset val="1"/>
          </rPr>
          <t xml:space="preserve">
De este listado de causa, identificar la causa raiz y la causa inmediata, en caso de no existir se debe defnir.</t>
        </r>
      </text>
    </comment>
    <comment ref="E23" authorId="2" shapeId="0">
      <text>
        <r>
          <rPr>
            <b/>
            <sz val="9"/>
            <color indexed="81"/>
            <rFont val="Tahoma"/>
            <charset val="1"/>
          </rPr>
          <t>Equipo:</t>
        </r>
        <r>
          <rPr>
            <sz val="9"/>
            <color indexed="81"/>
            <rFont val="Tahoma"/>
            <charset val="1"/>
          </rPr>
          <t xml:space="preserve">
De este listado de causa, identificar la causa raiz y la causa inmediata, en caso de no existir se debe defnir.</t>
        </r>
      </text>
    </comment>
  </commentList>
</comments>
</file>

<file path=xl/sharedStrings.xml><?xml version="1.0" encoding="utf-8"?>
<sst xmlns="http://schemas.openxmlformats.org/spreadsheetml/2006/main" count="625" uniqueCount="327">
  <si>
    <t>Identificación del riesgo</t>
  </si>
  <si>
    <t>Análisis del riesgo inherente</t>
  </si>
  <si>
    <t>Evaluación del riesgo - Valoración de los controles</t>
  </si>
  <si>
    <t>Plan de Acción</t>
  </si>
  <si>
    <t xml:space="preserve">Referencia </t>
  </si>
  <si>
    <t>Impacto</t>
  </si>
  <si>
    <t>Causa Inmediata</t>
  </si>
  <si>
    <t>Causa Raíz</t>
  </si>
  <si>
    <t>Descripción del Riesgo</t>
  </si>
  <si>
    <t>Clasificación del Riesgo</t>
  </si>
  <si>
    <t>Probabilidad Inherente</t>
  </si>
  <si>
    <t>%</t>
  </si>
  <si>
    <t>Criterios de impacto</t>
  </si>
  <si>
    <t>Impacto 
Inherente</t>
  </si>
  <si>
    <t>Zona de Riesgo Inherente</t>
  </si>
  <si>
    <t>No. Control</t>
  </si>
  <si>
    <t>Descripción del Control</t>
  </si>
  <si>
    <t>Afectación</t>
  </si>
  <si>
    <t>Atributos</t>
  </si>
  <si>
    <t>Probabilidad Residual Final</t>
  </si>
  <si>
    <t>Impacto Residual Final</t>
  </si>
  <si>
    <t>Zona de Riesgo Final</t>
  </si>
  <si>
    <t>Tratamiento</t>
  </si>
  <si>
    <t>Responsable</t>
  </si>
  <si>
    <t>Fecha Implementación</t>
  </si>
  <si>
    <t>Tipo</t>
  </si>
  <si>
    <t>Implementación</t>
  </si>
  <si>
    <t>Calificación</t>
  </si>
  <si>
    <t>Documentación</t>
  </si>
  <si>
    <t>Frecuencia</t>
  </si>
  <si>
    <t>Evidencia</t>
  </si>
  <si>
    <t>01 Dirección y Planeación</t>
  </si>
  <si>
    <t>02 Acreditación</t>
  </si>
  <si>
    <t>03 Gestión de la Calidad</t>
  </si>
  <si>
    <t>04 Comunicaciones</t>
  </si>
  <si>
    <t>05 Relaciones Interinstitucionales</t>
  </si>
  <si>
    <t>06 Gestión Académica</t>
  </si>
  <si>
    <t>06 Clinica Odontologica</t>
  </si>
  <si>
    <t>07 Gestión de Investigación</t>
  </si>
  <si>
    <t>08 Gestión de Extensión y Proyección Social</t>
  </si>
  <si>
    <t>09 Apoyo Tecnológico TIC</t>
  </si>
  <si>
    <t>10 Gestión Jurídica</t>
  </si>
  <si>
    <t>11 Gestión de Contratación</t>
  </si>
  <si>
    <t>12 Gestión Financiera</t>
  </si>
  <si>
    <t>13 Gestión de Recursos Educativos</t>
  </si>
  <si>
    <t>14 Gestión de Bienestar Universitario</t>
  </si>
  <si>
    <t>15 Gestión Documental</t>
  </si>
  <si>
    <t>16 Gestión Administrativa</t>
  </si>
  <si>
    <t>17 Gestión del Talento Humano</t>
  </si>
  <si>
    <t>18 Gestión de Biblioteca</t>
  </si>
  <si>
    <t>19 Gestión de Admisiones y Registro</t>
  </si>
  <si>
    <t>20 Gestión y Rendición de Cuentas</t>
  </si>
  <si>
    <t>21 Evaluación Independiente</t>
  </si>
  <si>
    <t>06 Facultad de Ciencias de la Salud</t>
  </si>
  <si>
    <t>06 Facultad de Ciencias Empresariales y Economicas</t>
  </si>
  <si>
    <t>06 Facultad de Ingenieria</t>
  </si>
  <si>
    <t>06 Facultad de Humanidades</t>
  </si>
  <si>
    <t>06 Facultad de Ciencias de la Educación</t>
  </si>
  <si>
    <t>06 Facultad de Ciencias Básicas</t>
  </si>
  <si>
    <t>Procesos</t>
  </si>
  <si>
    <t>Objetivo</t>
  </si>
  <si>
    <t>Administrar los medios y canales de comunicación de la Institución con el propósito de mantener informada a la comunidad universitaria y demás partes interesadas</t>
  </si>
  <si>
    <t>Administrar, mantener y controlar los bienes muebles e inmuebles de la Universidad para la prestación de sus servicios y el desarrollo de actividades requeridas.</t>
  </si>
  <si>
    <t>Articular al ámbito global los ejes de docencia, investigación y extensión de la Universidad del Magdalena y promover, coordinar y supervisar la movilidad internacional de la comunidad universitaria.</t>
  </si>
  <si>
    <t>Asegurar el manejo y control de la información documentada de la Institución, identificando los medios adecuados para la conservación y protección de la información atendiendo los requisitos legales y reglamentarios aplicables.</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</si>
  <si>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</si>
  <si>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Asesorar jurídicamente a la Universidad del Magdalena y asistir las actuaciones prejudiciales, judiciales y administrativas conforme a las disposiciones del ordenamiento jurídico vigente.</t>
  </si>
  <si>
    <t>Contribuir a los procesos formativos de los estudiantes del programa de odontología a través de la practica de sus conocimientos e interacción directa con el paciente.</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</si>
  <si>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</si>
  <si>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Definir el marco estratégico de mediano y largo plazo de la Institución acorde a la misión y al cumplimiento de las disposiciones legales y reglamentarias</t>
  </si>
  <si>
    <t>Diseñar mecanismos que permitan evaluar y verificar permanentemente el Sistema de Control interno y la administración del riesgo a nivel institucional.</t>
  </si>
  <si>
    <t>06 CREO-  Centro para la Regionalización de la Educación y las Oportunidades</t>
  </si>
  <si>
    <t>Diseñar y desarrollar los programas académicos de pregrado, posgrado y formación para el trabajo y desarrollo en cumplimiento de la misión institucional.</t>
  </si>
  <si>
    <t>Establecer mecanismos e instrumentos para asegurar la correcta ejecución de la contratación de acuerdo a la normatividad aplicable en la institución.</t>
  </si>
  <si>
    <t>06 Sistema de Gestión Centro de Conciliación</t>
  </si>
  <si>
    <t>Fortalecer las competencias adquiridas por el estudiantes en las diferentes áreas del derecho durante su desarrollo académico a través de la practica jurídica y la interacción con el usuario en las diferentes etapas de un proceso jurídico.</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</si>
  <si>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</si>
  <si>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</si>
  <si>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Gestionar y administrar eficientemente los recursos financieros de la Universidad del Magdalena, de tal forma que le permita a la Dirección Universitaria ejecutar sus acciones con transparencia, seguridad y confiabilidad</t>
  </si>
  <si>
    <t>Gestionar, incorporar y asegurar los recursos de tecnologías de la información y las comunicaciones; para mejorar y optimizar los procesos Institucionales, garantizando la confidencialidad, integridad y disponibilidad de la información.</t>
  </si>
  <si>
    <t>Gestionar, organizar, conservar y promover el uso efectivo de los recursos y servicios de información bajo criterios de calidad, cantidad y oportunidad teniendo en cuenta las directrices y necesidades de la comunidad universitaria, para contribuir al desarrollo académico, de investigación y extensión social.</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</si>
  <si>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</si>
  <si>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Prestar los servicios de bienestar Universitario a la comunidad universitaria, de acuerdo a las condiciones establecidas por la institución</t>
  </si>
  <si>
    <t>Realizar la evaluación de la gestión y la rendición de cuentas a la sociedad de la ejecución y logros de los planes institucionales de conformidad con los requisitos legales y la normatividad interna</t>
  </si>
  <si>
    <t>Realizar las actividades necesarias para la vinculación, permanencia y bienestar laboral del personal vinculado a la institución.</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</si>
  <si>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</si>
  <si>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Reputacional</t>
  </si>
  <si>
    <t>Economico y reputacional</t>
  </si>
  <si>
    <t>Objetivo de calidad</t>
  </si>
  <si>
    <t>Objetivos de calidad COGUI+</t>
  </si>
  <si>
    <t>Ejecucion y Administracion de procesos</t>
  </si>
  <si>
    <t>Fraude Externo</t>
  </si>
  <si>
    <t>Fraude Interno</t>
  </si>
  <si>
    <t>Fallas Tecnologica</t>
  </si>
  <si>
    <t>Relaciones Laborales</t>
  </si>
  <si>
    <t>Usuarios, productos y practicas organizacionales</t>
  </si>
  <si>
    <t>Daños Activos Fisicos</t>
  </si>
  <si>
    <t>Frecuencia de la actividad</t>
  </si>
  <si>
    <t>Probabilidad frente al riesgo</t>
  </si>
  <si>
    <t>1 vez al año</t>
  </si>
  <si>
    <t>Muy baja</t>
  </si>
  <si>
    <t>Mensual</t>
  </si>
  <si>
    <t>Media</t>
  </si>
  <si>
    <t xml:space="preserve">Semanal </t>
  </si>
  <si>
    <t>Alta</t>
  </si>
  <si>
    <t>Diaria</t>
  </si>
  <si>
    <t>Muy alta</t>
  </si>
  <si>
    <t>La actividad que conlleva el riesgo se ejecuta como máximo 2 veces por año</t>
  </si>
  <si>
    <t>La actividad que conlleva el riesgo se ejecuta de 3 a 24 veces por año</t>
  </si>
  <si>
    <t>La actividad que conlleva el riesgo se ejecuta de 24 a 500 veces por año</t>
  </si>
  <si>
    <t>La actividad que conlleva el riesgo se ejecuta mínimo 500 veces al año máximo 5000 veces al año</t>
  </si>
  <si>
    <t>La actividad que conlleva el riesgo se ejecuta más de 500 veces por año</t>
  </si>
  <si>
    <t>Semestral, Trimestral, Bimensual</t>
  </si>
  <si>
    <t>Baja</t>
  </si>
  <si>
    <t>Probabilidad</t>
  </si>
  <si>
    <t>Afectación menor a 10 SMLMV</t>
  </si>
  <si>
    <t>Entre 10 y 50 SMLMV</t>
  </si>
  <si>
    <t>Entre 50 y 100 SMLMV</t>
  </si>
  <si>
    <t>Entre 100 y 500 SMLMV</t>
  </si>
  <si>
    <t>Mayor a 500 SMLMV</t>
  </si>
  <si>
    <t>El riesgo afecta la imagen de algún área de la universidad</t>
  </si>
  <si>
    <t>El riesgo afecta la imagen de la universidad con algunos usuarios de relevancia frente al logro de los objetivos</t>
  </si>
  <si>
    <t>El riesgo afecta la imagen de la universidad con efecto publicitario sostenido a nivel departamental o municipal</t>
  </si>
  <si>
    <t>El riesgo afecta la imagen de la universidad a nivel nacional, con efecto publicitario sostenido a nivel país.</t>
  </si>
  <si>
    <t>Leve</t>
  </si>
  <si>
    <t>Menor</t>
  </si>
  <si>
    <t>Moderado</t>
  </si>
  <si>
    <t>Mayor</t>
  </si>
  <si>
    <t>El riesgo afecta la imagen institucional internamente, de conocimiento general nivel interno, de alta dirección y/o de proveedores.</t>
  </si>
  <si>
    <t>Nivel</t>
  </si>
  <si>
    <t>Num</t>
  </si>
  <si>
    <t>Catastrófico</t>
  </si>
  <si>
    <t>Extremo</t>
  </si>
  <si>
    <t>Alto</t>
  </si>
  <si>
    <t>Bajo</t>
  </si>
  <si>
    <t>Preventivo</t>
  </si>
  <si>
    <t>Va hacia las causas del riesgo, aseguran el resultado final esperado.</t>
  </si>
  <si>
    <t>Detectivo</t>
  </si>
  <si>
    <t>Correctivo</t>
  </si>
  <si>
    <t>Dado que permiten reducir el impacto de la materialización del riesgo, tienen un costo en su implementación.</t>
  </si>
  <si>
    <t>Detecta que algo ocurre y devuelve el proceso a los controles preventivos.Se pueden generar reprocesos.</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</si>
  <si>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</si>
  <si>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</si>
  <si>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</si>
  <si>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</si>
  <si>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tipo</t>
  </si>
  <si>
    <t>Valor Tipo</t>
  </si>
  <si>
    <t>Valor Implementación</t>
  </si>
  <si>
    <t>Acciones de control</t>
  </si>
  <si>
    <t>Evidencias de implementación</t>
  </si>
  <si>
    <t>Indicador</t>
  </si>
  <si>
    <t>Economica</t>
  </si>
  <si>
    <t>1. Asegurar la acreditación de programas bajo estándares nacionales e internacionales y renovación de acreditación institucional.</t>
  </si>
  <si>
    <t>2. Asegurar la certificación de programas de formación para el trabajo y desarrollo humano bajo estándares de la norma NTC 5555:2011 y propias de los programas.</t>
  </si>
  <si>
    <t>3. Fortalecer el desarrollo y bienestar del talento humano</t>
  </si>
  <si>
    <t>4. Contribuir con la transformación del territorio mediante la creación, la transferencia, la apropiación social y la aplicación de conocimiento científico, tecnológico, arte y cultura.</t>
  </si>
  <si>
    <t>5. Fortalecer el sistema de gestión institucional integral mediante el diseño, implementación y articulación de sistemas de gestión bajo el cumplimiento de estándares nacionales ó internacionales</t>
  </si>
  <si>
    <t>Subcausas</t>
  </si>
  <si>
    <t>Frecuencia con la cual se realiza la actividad en el año</t>
  </si>
  <si>
    <t xml:space="preserve"> Criterios para definir el nivel de impacto</t>
  </si>
  <si>
    <t>Objetivo de la Calidad</t>
  </si>
  <si>
    <t>Factores de riesgo</t>
  </si>
  <si>
    <t xml:space="preserve">Factor </t>
  </si>
  <si>
    <t xml:space="preserve">Definición </t>
  </si>
  <si>
    <t>Descripción</t>
  </si>
  <si>
    <t>Eventos relacionados con 
errores en las actividades que deben realizar los servidores de la organización.</t>
  </si>
  <si>
    <t>Factores del riesgo</t>
  </si>
  <si>
    <t>*Falta de procedimientos
*Errores de grabación, autorización
*Errores en cálculos para pagos internos y externos
*Falta de capacitación, temas relacionados con el personal</t>
  </si>
  <si>
    <t>Talento 
humano</t>
  </si>
  <si>
    <t>Incluye seguridad y salud en el trabajo.
Se analiza posible dolo e 
intención frente a la corrupción.</t>
  </si>
  <si>
    <t>*Hurto activos
*Posibles comportamientos no éticos de los empleados
*Fraude interno (corrupción, soborno)</t>
  </si>
  <si>
    <t>Tecnología</t>
  </si>
  <si>
    <t>Eventos relacionados con la 
infraestructura tecnológica de la entidad.</t>
  </si>
  <si>
    <t>*Daño de equipos
*Caída de aplicaciones
*Caída de redes
*Errores en programas</t>
  </si>
  <si>
    <t>Infraestructura</t>
  </si>
  <si>
    <t>Eventos relacionados con la 
infraestructura física de la 
entidad.</t>
  </si>
  <si>
    <t>*Derrumbes
*Incendios
*Inundaciones
*Daños a activos fijos</t>
  </si>
  <si>
    <t>Evento 
externo</t>
  </si>
  <si>
    <t>Situaciones externas que 
afectan la entidad.</t>
  </si>
  <si>
    <t>*Suplantación de identidad
*Asalto a la oficina
*Atentados, vandalismo, orden público</t>
  </si>
  <si>
    <t>Relación entre factores de riesgos y clasificación del riesgo</t>
  </si>
  <si>
    <t>AC-1</t>
  </si>
  <si>
    <t xml:space="preserve">Pérdida de acreditación de alta calidad institucional o de los programas </t>
  </si>
  <si>
    <t>Desconocimiento y/o inadecuada interpretación de lineamientos establecidos por el CNA</t>
  </si>
  <si>
    <t>1. Insuficientes evidencias para demostrar el cumplimiento de los requisitos exigidos por el CNA.
2. Inadecuada interpretación de los lineamientos del CNA para la presentación de los informes
3. Inadecuados seguimientos y/o desconocimiento de las fechas de vencimiento de los procesos</t>
  </si>
  <si>
    <t>Pérdida de acreditación de alta calidad institucional o de los programas debido al incumplimiento de lineamientos establecidos por el CNA</t>
  </si>
  <si>
    <t>1.La OAC establece los procedimientos, formatos y guías publicados en la plataforma COGUI+</t>
  </si>
  <si>
    <t xml:space="preserve">2. La OAC socializa los lineamientos del CNA  a través de talleres, seminarios, reuniones y comunicaciones </t>
  </si>
  <si>
    <t xml:space="preserve">3. La OAC realiza seguimiento permanente al desarrollo de los procesos de autoevaluación </t>
  </si>
  <si>
    <t>Documentado</t>
  </si>
  <si>
    <t>Continua</t>
  </si>
  <si>
    <t>Con registro</t>
  </si>
  <si>
    <t>1. Generar alertas trimestrales a las unidades académicas con  copia a la alta dirección para notificar las fechas de vencimiento de los procesos en la vigencia
Meta: 8 alertas generadas</t>
  </si>
  <si>
    <t>Equipo Oficina Aseguramiento de la Calidad</t>
  </si>
  <si>
    <t>Comunicaciones remitidas</t>
  </si>
  <si>
    <t>(Número de comunicaciones remitidas/Número de comunicaciones programadas)*100</t>
  </si>
  <si>
    <t>2. Realizar reuniones de seguimiento y acompañamiento de las etapas del proceso de autoevaluación con fines de acreditación 
Meta: 6</t>
  </si>
  <si>
    <t xml:space="preserve">Lista de asistencia y/o acta de reunión  </t>
  </si>
  <si>
    <t>(Número de listas de asistencia y/o actas de reuniones de jornadas de trabajo realizadas / Número de listas de asistencia y/o actas de reuniones de jornadas de trabajo programadas)*100</t>
  </si>
  <si>
    <t>3.Realizar socializaciones y sensibilizaciones a los líderes de proceso de los programas académicos acerca de los lineamientos del CNA  mediante talleres, reuniones y/o comunicaciones
Meta:4</t>
  </si>
  <si>
    <t>Lista de asistencia y/o acta de reunión y/o comunicaciones remitidas</t>
  </si>
  <si>
    <t>(Número de comunicaciones  y/o listas de asistencia y/o actas de reuniones realizadas /Número de comunicaciones remitidas y/o listas de asistencia y/o actas de reuniones  programadas)*100</t>
  </si>
  <si>
    <t>Reducir (mitigar)</t>
  </si>
  <si>
    <t>Sin documentar</t>
  </si>
  <si>
    <t xml:space="preserve"> Mapa de Riesgos de Gestión Institucional 2022</t>
  </si>
  <si>
    <t>Ejecución y Administración de procesos</t>
  </si>
  <si>
    <t>Vicerrectoría de Investigación
Unidades de gestión</t>
  </si>
  <si>
    <t>EX - 2</t>
  </si>
  <si>
    <t>Desconocimiento de la competitividad de los programas académicos en el territorio.</t>
  </si>
  <si>
    <t>Utilización de medios poco efectivos para la comunicación entre la institución y el sector externo.</t>
  </si>
  <si>
    <t>Desconocimiento de la competitividad de los programas académicos en el territorio producto de la utilización de medios poco efectivos para la comunicación.</t>
  </si>
  <si>
    <t>Motivar al graduado a mantener sus datos actualizados.</t>
  </si>
  <si>
    <t>Sin registro</t>
  </si>
  <si>
    <t>Aceptar</t>
  </si>
  <si>
    <t>Implementar estrategias de motivación para actualización de datos.</t>
  </si>
  <si>
    <t>Director (a) Centro de Egresados</t>
  </si>
  <si>
    <t>Registro en Base de Datos.</t>
  </si>
  <si>
    <t>Número de graduados actualizados.</t>
  </si>
  <si>
    <t>Jornadas de carnetización y actualización de información</t>
  </si>
  <si>
    <t>Aleatoria</t>
  </si>
  <si>
    <t>Convocatorias de carnetización.</t>
  </si>
  <si>
    <t>Boletines de prensa, fotografías del evento.</t>
  </si>
  <si>
    <t>Número de graduados carnetizados y actualizados.</t>
  </si>
  <si>
    <t>Socialización a las empresas sobre la oferta académica de la institución y los perfiles que se están formando.</t>
  </si>
  <si>
    <t>Encuentro de empresarios.</t>
  </si>
  <si>
    <t>Número de empleadores y empresarios asistentes al encuentro.</t>
  </si>
  <si>
    <t>EX - 3</t>
  </si>
  <si>
    <t xml:space="preserve">Pérdida de la plaza de prácticas. </t>
  </si>
  <si>
    <t xml:space="preserve">Mala proyección de la imagen personal del estudiante en el proceso de entrevista.
El estudiante no muestra  competencias ocupacionales en los procesos de selección.
El estudiante no muestra las competencias blandas requeridas. </t>
  </si>
  <si>
    <t xml:space="preserve">Pérdida de plazas de prácticas producto de la mala proyección de la imagen personal y profesional de los estudiantes en los procesos de entrevista y desarrollo de las prácticas. </t>
  </si>
  <si>
    <t>Mesas de trabajo con los Programas Académicos de manera semestral.</t>
  </si>
  <si>
    <t>Crear estrategias que permitan mejorar las habilidades blandas de los estudiantes y su presentación en el ambiente laboral.</t>
  </si>
  <si>
    <t>Director (a) de Prácticas Profesionales / Direcciones de Programas</t>
  </si>
  <si>
    <t>Actas de asistencias de las mesas de trabajo.</t>
  </si>
  <si>
    <t xml:space="preserve">Número de reuniones realizadas </t>
  </si>
  <si>
    <t xml:space="preserve">Avanzar en la actualización del reglamento de prácticas. </t>
  </si>
  <si>
    <t>Vicerrectoría de Extensión y Proyección Social</t>
  </si>
  <si>
    <t xml:space="preserve">Fortalecer la metodología de desarrollo de los talleres de pre-practicas. </t>
  </si>
  <si>
    <t>IDI-02</t>
  </si>
  <si>
    <t>Baja participación de la institución en ambientes propicios para la construcción de  alianzas estratégicas para la formulación de proyectos, gestión de recursos de cofinanciación que contribuyan a la transformación resiliente del territorio y sus comunidades.</t>
  </si>
  <si>
    <t>Poco fomento o gestión de relaciones con el entorno para actividades de investigación, creación, innovación y emprendimiento</t>
  </si>
  <si>
    <t>*Perdida de credibilidad e imagen institucional ante entes financiadores y la comunidad involucrada.
*Poco control en la consolidación y  organización de los convenios para dinamizar y realizar actividades de investigación, creación, innovación y emprendimiento.
*Poca asistencia en eventos de movilidad para el fortalecimiento de la investigación, creación, innovación y emprendimiento</t>
  </si>
  <si>
    <t>Disminución de alianzas estratégicas para el fortalecimiento de las actividades de investigación, creación, innovación y emprendimiento</t>
  </si>
  <si>
    <t xml:space="preserve">Trabajo continuo con IES regionales, nacionales e internacionales así como entidades publicas y privada </t>
  </si>
  <si>
    <t>Participación en alianzas estratégicas para el desarrollo de proyectos y convenios de cooperación con IES regionales, nacionales e internacionales.</t>
  </si>
  <si>
    <t>Proyectos en alianza con IES regional, nacional, internacional</t>
  </si>
  <si>
    <t xml:space="preserve">Número de proyectos en cooperación ejecutados </t>
  </si>
  <si>
    <t>Los docentes y grupos de investigación desarrollan actividades en coautoría</t>
  </si>
  <si>
    <t>Desarrollo de trabajos en cooperación y gestión de transferencia y apropiación social con grupos de investigación de otras universidades.</t>
  </si>
  <si>
    <t>Convenios para la cooperación interinstitucional para las actividades de investigación, creación, innovación y emprendimiento</t>
  </si>
  <si>
    <t>Número de convenios gestionados para el desarrollo de actividades de investigación, creación, innovación y emprendimiento</t>
  </si>
  <si>
    <t>Se cuentan con espacios de publicación de participación a convocatorias y de suscripción a alianzas para dinamizar la ejecución de actividades de investigación, creación, innovación y emprendimiento</t>
  </si>
  <si>
    <t>Divulgación y acompañamiento permanente de las convocatorias de financiación externa para desarrollo de proyectos, convenios y alianzas estratégicas para la investigación, innovación, creación y emprendimiento.</t>
  </si>
  <si>
    <t>Divulgación de las oportunidades de financiación en los sistemas de información de la Vicerrectoría de Investigación.</t>
  </si>
  <si>
    <t xml:space="preserve">Número de oportunidades divulgadas a través de los sistemas de información  de la Vicerrectoría de Investigación </t>
  </si>
  <si>
    <t>IDI-04</t>
  </si>
  <si>
    <t>Desconocimiento de los resultados finales productos de los proyectos  y actividades  investigación, creación, innovación y emprendimiento ejecutados u orientados al trabajo en conjunto con las comunidades</t>
  </si>
  <si>
    <t>Debilidad en formas de transferencia y divulgación del conocimiento para los procesos de apropiación social.</t>
  </si>
  <si>
    <t>*Dificultad en la estandarización del proceso de consolidación de los resultados obtenidos en las actividades.
*Desconocimiento de los canales e insumos basadas en la producción de contenidos digitales y la integración transmedia.
*No se cuenta con la gestión adecuada en la realización de  eventos de socialización y actualización en las comunidades</t>
  </si>
  <si>
    <t>Poca apropiación social del conocimiento y su impacto en las comunidades y en la institución</t>
  </si>
  <si>
    <t>Se cuenta con un equipo profesional en producción audiovisual para la creación de contenido de divulgación y transferencia así como en la realización de eventos</t>
  </si>
  <si>
    <t>Realizar eventos de socialización y actualización en las comunidades para la apropiación social del conocimientos.
Generar productos para la socialización y actualización en las comunidades para la apropiación social del conocimientos y divulgación generados
Realizar Iniciativas de apropiación social del conocimiento basada en la producción de contenidos digitales y la integración transmedia desarrolladas</t>
  </si>
  <si>
    <t>Eventos de divulgación en las comunidades
Productos generados que hayan sido transferidos a las comunidades para su apropiación social
Iniciativas de apropiación social generadas</t>
  </si>
  <si>
    <t>Número de eventos.
Número de productos generados
Número de iniciativas</t>
  </si>
  <si>
    <t>CC-3</t>
  </si>
  <si>
    <t>Inoperatividad de la Emisora Unimagdalena Radio</t>
  </si>
  <si>
    <t xml:space="preserve">Problemas con la energía eléctrica </t>
  </si>
  <si>
    <t>1. Incumplimiento de los requisitos establecidos por el Min Tic
2. Administración inadecuada de los procesos de la emisora</t>
  </si>
  <si>
    <t xml:space="preserve">Inoperatividad de la Emisora Unimagdalena Radio, debido a problemas con la energía eléctrica. </t>
  </si>
  <si>
    <t xml:space="preserve">Programación de mantenimiento para los equipos </t>
  </si>
  <si>
    <t>Evitar</t>
  </si>
  <si>
    <t xml:space="preserve">1. Optimizar el trabajo, a través de cambios de los muebles, la espuma acústica, computador master y micrófonos del del estudio, que se encuentran en estado de deterioro por su uso continuo a lo largo de 15 años.
2. Realizar mantenimiento preventivo del transmisor, consola y equipos en general. </t>
  </si>
  <si>
    <t>Director de la emisora Unimagdalena Radio</t>
  </si>
  <si>
    <t>1. Mesa de estudio principal, espuma acústica, computador master y los micrófonos.
2. Solicitudes realizadas a Grupo Tic para mantenimiento de equipos.</t>
  </si>
  <si>
    <t>Número de equipos nuevos.
Informe del mantenimiento realizado.</t>
  </si>
  <si>
    <t>Seguimiento al cumplimiento de los requisitos exigidos por Min Tic</t>
  </si>
  <si>
    <t>GJ-1</t>
  </si>
  <si>
    <t>Traslado tardío de la Oficina Asesora Jurídica al apoderado judicial de la universidad para actuar en el trámite judicial que corrresponde.</t>
  </si>
  <si>
    <t xml:space="preserve">Falta de seguimiento a las diferentes etapas que se surten dentro de las acciones judiciales y las actuaciones administrativas. </t>
  </si>
  <si>
    <t xml:space="preserve">
Traslado tardío por parte de la dependencia encargada de realizar la comunicación  de la notificación judicial a la Oficina Asesora Jurídica</t>
  </si>
  <si>
    <t xml:space="preserve">Vencimiento de términos judiciales y legales para atender o interponer acciones judiciales o actuaciones administrativas </t>
  </si>
  <si>
    <t>Asignación oportuna de la acción judicial a un Asesor Jurídico.</t>
  </si>
  <si>
    <t>1. Aplicación de los controles existentes
2. Crear herramienta tecnológica que permita realizar alertas para controlar los tiempos</t>
  </si>
  <si>
    <t>OFICINA ASESORA JURÍCIA</t>
  </si>
  <si>
    <t xml:space="preserve">1. Informes de actividdades presentados por los asesores juríicos
2. Registro de los Traslados de la dependencia encargada a la Oficina Asesora Jurídica con las notificaciones judiciales.
3. Plantilla implementada </t>
  </si>
  <si>
    <t>No. alertas generadas por la plantilla implementada</t>
  </si>
  <si>
    <t>Revisión del Diario Judicial que reporta el movimiento de los procesos jurídicos.</t>
  </si>
  <si>
    <t xml:space="preserve">Seguimiento periódico a las actuaciones administrativas notificadas a la Oficina Asesora Jurídica.  </t>
  </si>
  <si>
    <t>CO-1</t>
  </si>
  <si>
    <t>Incumplimiento en la aplicación de los procedimientos</t>
  </si>
  <si>
    <t>Desconocimiento de las normas internas, externas y jurisprudenciales que rigen la celebración de contratos, así como de cada uno de los procedimientos de contratación documentados, por parte de los supervisores, funcionarios y/o personal de apoyo.</t>
  </si>
  <si>
    <t>1. Desconocimiento del manual de supervisor. 
2. Designación de supervisores que no estan capacitados para la vigilancia del objeto contractual.                         
3.Alta carga de actividades del personal que apoya y participa en los procesos de contratación o falta del mismo.</t>
  </si>
  <si>
    <t>Incumplimiento de los requisitos establecidos en las etapas precontratual, contractual y poscontratual de los procesos de contratación que adelanta la Universidad.</t>
  </si>
  <si>
    <t xml:space="preserve"> Verificación del listado de documentos requeridos según la clase o naturaleza del contrato</t>
  </si>
  <si>
    <r>
      <t xml:space="preserve">1. Verificación por medio de muestras  del cumplimiento de los requisitos internos y externos de carácter contractual en las dependencias ordenadoras del gasto.
</t>
    </r>
    <r>
      <rPr>
        <sz val="11"/>
        <rFont val="Calibri"/>
        <family val="2"/>
        <scheme val="minor"/>
      </rPr>
      <t xml:space="preserve">2. Realización de diapositivas o ayudas audiovisuales que permitan ilustración de diversas actividades del proceso de contratación </t>
    </r>
    <r>
      <rPr>
        <sz val="11"/>
        <color theme="1"/>
        <rFont val="Calibri"/>
        <family val="2"/>
        <scheme val="minor"/>
      </rPr>
      <t xml:space="preserve">
3. Creación de banco de preguntas frecuentes  enfocadas en las etapas de contratación </t>
    </r>
  </si>
  <si>
    <t>Grupo de Contratación</t>
  </si>
  <si>
    <t>1. Acta de verificación
2. Videos de apoyo realizados
3. Banco de preguntas.</t>
  </si>
  <si>
    <t>1. # de actas de verificación. (4 Actas)
2. # de diapositivas o ayudas audiovisuales realizadas (1)
3. Banco de preguntas publicado.</t>
  </si>
  <si>
    <t xml:space="preserve">Aplicación de procedimiento de contratación según modalidades de selección. </t>
  </si>
  <si>
    <t>Capacitaciones sobre Estatuto de contratación, etapas de contratación, diligenciamiento de formatos, entre otros e informar los cambios es materia contractual.</t>
  </si>
  <si>
    <t>GD-3</t>
  </si>
  <si>
    <t xml:space="preserve">Falta de tecnología adecuada </t>
  </si>
  <si>
    <t>Documentación incompleta o inexistente 
Error humano
Información Erronea</t>
  </si>
  <si>
    <t>1. Fallas humanas.
2. Información dispersa e incompleta.</t>
  </si>
  <si>
    <t>Verificación de titulo y/o certificado de aptitud ocupacional por competencia errónea</t>
  </si>
  <si>
    <t>Verificación de la información con el Grupo de Admisiones Registro y Control Académico.</t>
  </si>
  <si>
    <t>Secretaría General</t>
  </si>
  <si>
    <t xml:space="preserve">Correo electrónicos para el regsistro de la información en AYRE
Envío de información para elaboración de documentos digitales
Base de datos de información anual </t>
  </si>
  <si>
    <t xml:space="preserve">(número de solicitudes recibidas /numero de solicitudes respondidas)x 100% </t>
  </si>
  <si>
    <t>Información sistematizada</t>
  </si>
  <si>
    <t>Capacitación al personal</t>
  </si>
  <si>
    <t>Firmas digitales</t>
  </si>
  <si>
    <t>Verificación de código QR</t>
  </si>
  <si>
    <t>AR-1</t>
  </si>
  <si>
    <t>Inconsistencias en el listado de seleccionados para un programa académico</t>
  </si>
  <si>
    <t>Fallas humanas</t>
  </si>
  <si>
    <r>
      <t xml:space="preserve">
Falla en el sistema de información.
Ambigüedad en la normatividad.
 Falta de consolidación de la información en un único sistema de los cupos especiales. 
</t>
    </r>
    <r>
      <rPr>
        <sz val="11"/>
        <rFont val="Calibri"/>
        <family val="2"/>
        <scheme val="minor"/>
      </rPr>
      <t>Falta de capacitación y entrenamiento del personal.</t>
    </r>
  </si>
  <si>
    <r>
      <t xml:space="preserve">
</t>
    </r>
    <r>
      <rPr>
        <sz val="11"/>
        <rFont val="Calibri"/>
        <family val="2"/>
        <scheme val="minor"/>
      </rPr>
      <t xml:space="preserve">Inconsistencias en el listado de seleccionados para un programa académico debido a fallas humanas </t>
    </r>
  </si>
  <si>
    <t>Controlar el ingreso de parámetros para consulta  de los puntajes de las pruebas saber 11 de los aspirantes inscritos a través del sistema PRISMA  del Instituto Colombiano para la Evaluación de la Educación (ICFES).</t>
  </si>
  <si>
    <t>1.1 Evitar la manipulación de los datos reportados por el aspirante.
2.1 Verificar la correspondencia de los datos aportados a cada una de los parámetros requeridos por el programa para ejecutar la selección.
2.2. Auditar los listados generados por el programa que selecciona los aspirantes de pregrado presencial.
3.1 Auditar la asignación de cupos especiales.
4. Uso de aplicación que permite la recepción y validación de los documentos solicitados en línea.</t>
  </si>
  <si>
    <t>1.1 Responsable del proceso de admisiones y registro
2.1 Ingeniero responsable de la ejecución del programa de selección.
2.2 Ingeniero asignado para el proceso.
3.1 Personal asignado a la auditoría de cupos especiales. 
4. Personal asignado a la recepción de documentos</t>
  </si>
  <si>
    <t>1. Listados publicados en el módulo Aspirante.
2. Carpeta virtual recibida en línea.</t>
  </si>
  <si>
    <t>Nombre:
 Tasa de admitidos seleccionados de manera correcta.
Fórmula:
(Nro. de admitidos  por periodo - Nro. de admitidos con inconsistencias en la determinación de aspirante Válido, Seleccionado y/o Admitido)/Nro. de admitidos  por periodo.</t>
  </si>
  <si>
    <t>Controlar el ingreso de datos al programa que emite la lista de seleccionados  aspirantes.</t>
  </si>
  <si>
    <t>Controlar el ingreso de datos de confirmación del cupo especial.</t>
  </si>
  <si>
    <t xml:space="preserve">Verificación y validación de la documentación solicitada como  requisitos necesarios para la selección. </t>
  </si>
  <si>
    <t>Registrar información de graduados en las bases de datos cada vez que lo ameriten.
Compartir la información de graduados con el Grupo de Admisiones y Registros y el Centro de graduados.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</si>
</sst>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8"/>
      <color theme="1"/>
      <name val="Arial Narrow"/>
      <family val="2"/>
    </font>
    <font>
      <b/>
      <sz val="11"/>
      <color theme="1"/>
      <name val="Arial Narrow"/>
      <family val="2"/>
    </font>
    <font>
      <b/>
      <sz val="14"/>
      <color theme="1"/>
      <name val="Arial Narrow"/>
      <family val="2"/>
    </font>
    <font>
      <sz val="11"/>
      <name val="Arial"/>
      <family val="2"/>
    </font>
    <font>
      <sz val="10"/>
      <color theme="1"/>
      <name val="Calibri"/>
      <family val="2"/>
      <scheme val="minor"/>
    </font>
    <font>
      <sz val="11"/>
      <color theme="1"/>
      <name val="Arial"/>
      <family val="2"/>
    </font>
    <font>
      <sz val="9"/>
      <color indexed="81"/>
      <name val="Tahoma"/>
      <family val="2"/>
    </font>
    <font>
      <b/>
      <sz val="9"/>
      <color indexed="81"/>
      <name val="Tahoma"/>
      <family val="2"/>
    </font>
    <font>
      <sz val="10"/>
      <color theme="1"/>
      <name val="Arial"/>
      <family val="2"/>
    </font>
    <font>
      <u/>
      <sz val="9"/>
      <color indexed="81"/>
      <name val="Tahoma"/>
      <family val="2"/>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EEECE1"/>
        <bgColor indexed="64"/>
      </patternFill>
    </fill>
    <fill>
      <patternFill patternType="solid">
        <fgColor theme="6" tint="0.59999389629810485"/>
        <bgColor indexed="64"/>
      </patternFill>
    </fill>
    <fill>
      <patternFill patternType="solid">
        <fgColor theme="6"/>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ed">
        <color theme="9" tint="-0.24994659260841701"/>
      </left>
      <right style="dashed">
        <color theme="9" tint="-0.24994659260841701"/>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style="dashed">
        <color theme="9" tint="-0.24994659260841701"/>
      </bottom>
      <diagonal/>
    </border>
    <border>
      <left style="dashed">
        <color theme="9" tint="-0.24994659260841701"/>
      </left>
      <right style="dashed">
        <color theme="9" tint="-0.24994659260841701"/>
      </right>
      <top style="medium">
        <color indexed="64"/>
      </top>
      <bottom/>
      <diagonal/>
    </border>
    <border>
      <left style="dashed">
        <color theme="9" tint="-0.24994659260841701"/>
      </left>
      <right/>
      <top style="medium">
        <color indexed="64"/>
      </top>
      <bottom/>
      <diagonal/>
    </border>
    <border>
      <left style="medium">
        <color indexed="64"/>
      </left>
      <right style="dashed">
        <color theme="9" tint="-0.24994659260841701"/>
      </right>
      <top/>
      <bottom style="medium">
        <color indexed="64"/>
      </bottom>
      <diagonal/>
    </border>
    <border>
      <left style="dashed">
        <color theme="9" tint="-0.24994659260841701"/>
      </left>
      <right style="dashed">
        <color theme="9" tint="-0.24994659260841701"/>
      </right>
      <top style="dashed">
        <color theme="9" tint="-0.24994659260841701"/>
      </top>
      <bottom style="medium">
        <color indexed="64"/>
      </bottom>
      <diagonal/>
    </border>
    <border>
      <left style="dashed">
        <color theme="9" tint="-0.24994659260841701"/>
      </left>
      <right/>
      <top/>
      <bottom style="medium">
        <color indexed="64"/>
      </bottom>
      <diagonal/>
    </border>
    <border>
      <left/>
      <right style="dashed">
        <color theme="9" tint="-0.24994659260841701"/>
      </right>
      <top style="medium">
        <color indexed="64"/>
      </top>
      <bottom style="medium">
        <color indexed="64"/>
      </bottom>
      <diagonal/>
    </border>
    <border>
      <left style="dashed">
        <color theme="9" tint="-0.24994659260841701"/>
      </left>
      <right/>
      <top style="medium">
        <color indexed="64"/>
      </top>
      <bottom style="medium">
        <color indexed="64"/>
      </bottom>
      <diagonal/>
    </border>
    <border>
      <left/>
      <right style="hair">
        <color indexed="64"/>
      </right>
      <top style="medium">
        <color indexed="64"/>
      </top>
      <bottom style="medium">
        <color indexed="64"/>
      </bottom>
      <diagonal/>
    </border>
    <border>
      <left/>
      <right style="dashed">
        <color theme="9" tint="-0.24994659260841701"/>
      </right>
      <top style="medium">
        <color indexed="64"/>
      </top>
      <bottom/>
      <diagonal/>
    </border>
    <border>
      <left/>
      <right style="dashed">
        <color theme="9" tint="-0.24994659260841701"/>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ashed">
        <color theme="9" tint="-0.24994659260841701"/>
      </left>
      <right style="medium">
        <color indexed="64"/>
      </right>
      <top style="medium">
        <color indexed="64"/>
      </top>
      <bottom style="dashed">
        <color theme="9" tint="-0.24994659260841701"/>
      </bottom>
      <diagonal/>
    </border>
    <border>
      <left style="dashed">
        <color theme="9" tint="-0.24994659260841701"/>
      </left>
      <right style="medium">
        <color indexed="64"/>
      </right>
      <top style="dashed">
        <color theme="9" tint="-0.24994659260841701"/>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95">
    <xf numFmtId="0" fontId="0" fillId="0" borderId="0" xfId="0"/>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4" borderId="1" xfId="0" applyFill="1" applyBorder="1"/>
    <xf numFmtId="0" fontId="0" fillId="4" borderId="1" xfId="0" applyFill="1" applyBorder="1" applyAlignment="1">
      <alignment vertical="center"/>
    </xf>
    <xf numFmtId="0" fontId="0" fillId="0" borderId="1" xfId="0" applyBorder="1" applyAlignment="1">
      <alignment vertical="center"/>
    </xf>
    <xf numFmtId="0" fontId="0" fillId="0" borderId="0" xfId="0" applyAlignment="1">
      <alignment vertical="center"/>
    </xf>
    <xf numFmtId="0" fontId="9" fillId="0" borderId="4" xfId="0" applyFont="1" applyBorder="1" applyAlignment="1">
      <alignment horizontal="justify" vertical="center" wrapText="1"/>
    </xf>
    <xf numFmtId="9" fontId="9" fillId="0" borderId="5"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0" fontId="6"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9" fillId="0" borderId="5" xfId="0" applyFont="1" applyBorder="1" applyAlignment="1">
      <alignment horizontal="justify" vertical="center" wrapText="1"/>
    </xf>
    <xf numFmtId="0" fontId="5" fillId="0" borderId="1" xfId="0" applyFont="1" applyBorder="1" applyAlignment="1">
      <alignment vertical="center" wrapText="1"/>
    </xf>
    <xf numFmtId="0" fontId="9" fillId="6" borderId="1" xfId="0" applyFont="1" applyFill="1" applyBorder="1" applyAlignment="1">
      <alignment horizontal="justify" vertical="center" wrapText="1"/>
    </xf>
    <xf numFmtId="0" fontId="0" fillId="0" borderId="1" xfId="0" applyBorder="1"/>
    <xf numFmtId="0" fontId="9" fillId="3"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0" fillId="0" borderId="1" xfId="0" applyBorder="1" applyAlignment="1">
      <alignment horizontal="center" vertical="center"/>
    </xf>
    <xf numFmtId="0" fontId="9" fillId="0" borderId="2"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6" xfId="0" applyFont="1" applyBorder="1" applyAlignment="1">
      <alignment horizontal="justify" vertical="center" wrapText="1"/>
    </xf>
    <xf numFmtId="0" fontId="9" fillId="0" borderId="3" xfId="0" applyFont="1" applyBorder="1" applyAlignment="1">
      <alignment horizontal="center" vertical="center" wrapText="1"/>
    </xf>
    <xf numFmtId="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0" fillId="0" borderId="1" xfId="0" applyBorder="1" applyAlignment="1">
      <alignment horizontal="center" vertical="center" textRotation="90"/>
    </xf>
    <xf numFmtId="9" fontId="0" fillId="0" borderId="1" xfId="0" applyNumberFormat="1" applyBorder="1" applyAlignment="1">
      <alignment horizontal="center" vertical="center" textRotation="90"/>
    </xf>
    <xf numFmtId="164" fontId="0" fillId="0" borderId="1" xfId="0" applyNumberFormat="1" applyBorder="1" applyAlignment="1">
      <alignment horizontal="center" vertical="center" textRotation="90"/>
    </xf>
    <xf numFmtId="0" fontId="0" fillId="0" borderId="13" xfId="0" applyBorder="1" applyAlignment="1">
      <alignment vertical="center"/>
    </xf>
    <xf numFmtId="0" fontId="0" fillId="0" borderId="13" xfId="0" applyBorder="1" applyAlignment="1">
      <alignment horizontal="center" vertical="center" textRotation="90"/>
    </xf>
    <xf numFmtId="9" fontId="0" fillId="0" borderId="13" xfId="0" applyNumberFormat="1" applyBorder="1" applyAlignment="1">
      <alignment horizontal="center" vertical="center" textRotation="90"/>
    </xf>
    <xf numFmtId="0" fontId="0" fillId="7" borderId="1" xfId="0" applyFill="1" applyBorder="1" applyAlignment="1">
      <alignment vertical="center"/>
    </xf>
    <xf numFmtId="0" fontId="0" fillId="3" borderId="0" xfId="0" applyFill="1" applyAlignment="1">
      <alignment horizontal="center"/>
    </xf>
    <xf numFmtId="0" fontId="0" fillId="3" borderId="0" xfId="0" applyFill="1"/>
    <xf numFmtId="0" fontId="0" fillId="3" borderId="0" xfId="0" applyFill="1" applyAlignment="1">
      <alignment vertical="center"/>
    </xf>
    <xf numFmtId="0" fontId="9" fillId="6"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0" fillId="3" borderId="0" xfId="0" applyFill="1" applyBorder="1"/>
    <xf numFmtId="0" fontId="0" fillId="0" borderId="1" xfId="0" applyBorder="1" applyAlignment="1">
      <alignment horizontal="center" vertical="center"/>
    </xf>
    <xf numFmtId="0" fontId="0" fillId="0" borderId="13"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xf>
    <xf numFmtId="0" fontId="5" fillId="3" borderId="1" xfId="0" applyFont="1" applyFill="1" applyBorder="1" applyAlignment="1">
      <alignment horizontal="left" vertical="center" wrapText="1"/>
    </xf>
    <xf numFmtId="0" fontId="0" fillId="3" borderId="1" xfId="0" applyFill="1" applyBorder="1" applyAlignment="1">
      <alignment vertical="center" wrapText="1"/>
    </xf>
    <xf numFmtId="0" fontId="0" fillId="0" borderId="18" xfId="0" applyBorder="1" applyAlignment="1">
      <alignment vertical="center" wrapText="1"/>
    </xf>
    <xf numFmtId="0" fontId="2" fillId="2" borderId="1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9" fontId="0" fillId="0" borderId="1" xfId="0" applyNumberFormat="1" applyBorder="1" applyAlignment="1">
      <alignment horizontal="center" vertical="center"/>
    </xf>
    <xf numFmtId="9" fontId="0" fillId="0" borderId="13" xfId="0" applyNumberFormat="1" applyBorder="1" applyAlignment="1">
      <alignment horizontal="center" vertical="center"/>
    </xf>
    <xf numFmtId="0" fontId="0" fillId="0" borderId="11" xfId="0" applyBorder="1" applyAlignment="1">
      <alignment horizontal="center" vertical="center"/>
    </xf>
    <xf numFmtId="0" fontId="0" fillId="5" borderId="0" xfId="0" applyFill="1" applyAlignment="1">
      <alignment horizontal="center" vertical="center"/>
    </xf>
    <xf numFmtId="0" fontId="0" fillId="7" borderId="0" xfId="0" applyFill="1" applyAlignment="1">
      <alignment horizontal="center"/>
    </xf>
    <xf numFmtId="0" fontId="0" fillId="5" borderId="0" xfId="0" applyFill="1" applyAlignment="1">
      <alignment horizontal="center"/>
    </xf>
    <xf numFmtId="0" fontId="0" fillId="7" borderId="1" xfId="0"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textRotation="90"/>
    </xf>
    <xf numFmtId="0" fontId="0" fillId="0" borderId="8" xfId="0" applyBorder="1" applyAlignment="1">
      <alignment horizontal="center" vertical="center" textRotation="90"/>
    </xf>
    <xf numFmtId="0" fontId="0" fillId="3"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9"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textRotation="90"/>
    </xf>
    <xf numFmtId="9" fontId="0" fillId="3" borderId="1" xfId="0" applyNumberFormat="1" applyFill="1" applyBorder="1" applyAlignment="1">
      <alignment horizontal="center" vertical="center" textRotation="90"/>
    </xf>
    <xf numFmtId="164" fontId="0" fillId="3" borderId="1" xfId="0" applyNumberFormat="1" applyFill="1" applyBorder="1" applyAlignment="1">
      <alignment horizontal="center" vertical="center" textRotation="90"/>
    </xf>
    <xf numFmtId="0" fontId="0" fillId="3" borderId="1" xfId="0" applyFill="1" applyBorder="1" applyAlignment="1">
      <alignment horizontal="left" vertical="center"/>
    </xf>
    <xf numFmtId="0" fontId="0" fillId="3" borderId="11" xfId="0" applyFill="1" applyBorder="1" applyAlignment="1">
      <alignment horizontal="center" vertical="center"/>
    </xf>
    <xf numFmtId="0" fontId="0" fillId="3" borderId="18" xfId="0" applyFill="1" applyBorder="1" applyAlignment="1">
      <alignment horizontal="left" vertical="center"/>
    </xf>
    <xf numFmtId="0" fontId="0" fillId="9" borderId="1" xfId="0" applyFill="1" applyBorder="1" applyAlignment="1">
      <alignment horizontal="center" vertical="center" wrapText="1"/>
    </xf>
    <xf numFmtId="164" fontId="0" fillId="0" borderId="20" xfId="0" applyNumberFormat="1" applyBorder="1" applyAlignment="1">
      <alignment horizontal="center" vertical="center" textRotation="90"/>
    </xf>
    <xf numFmtId="0" fontId="0" fillId="0" borderId="20" xfId="0" applyBorder="1" applyAlignment="1">
      <alignment vertical="center" wrapText="1"/>
    </xf>
    <xf numFmtId="0" fontId="5" fillId="3" borderId="20" xfId="0" applyFont="1" applyFill="1" applyBorder="1" applyAlignment="1">
      <alignment horizontal="left" vertical="center" wrapText="1"/>
    </xf>
    <xf numFmtId="0" fontId="0" fillId="0" borderId="20" xfId="0" applyBorder="1" applyAlignment="1">
      <alignment horizontal="center" vertical="center" wrapText="1"/>
    </xf>
    <xf numFmtId="0" fontId="0" fillId="0" borderId="1" xfId="0" applyBorder="1" applyAlignment="1">
      <alignment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left" vertical="center" wrapText="1"/>
    </xf>
    <xf numFmtId="0" fontId="0" fillId="0" borderId="1" xfId="0" applyBorder="1" applyAlignment="1">
      <alignment vertical="top" wrapText="1"/>
    </xf>
    <xf numFmtId="0" fontId="0" fillId="9" borderId="1" xfId="0" applyFill="1" applyBorder="1" applyAlignment="1">
      <alignment horizontal="center" vertical="center"/>
    </xf>
    <xf numFmtId="0" fontId="0" fillId="0" borderId="1" xfId="0" applyBorder="1" applyAlignment="1">
      <alignment horizontal="center" vertical="center" textRotation="90"/>
    </xf>
    <xf numFmtId="0" fontId="5" fillId="3" borderId="1" xfId="0" applyFont="1" applyFill="1" applyBorder="1" applyAlignment="1">
      <alignment horizontal="left" vertical="center" wrapText="1"/>
    </xf>
    <xf numFmtId="9" fontId="0" fillId="0" borderId="20" xfId="0" applyNumberFormat="1"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textRotation="90"/>
    </xf>
    <xf numFmtId="9" fontId="0" fillId="0" borderId="20" xfId="0" applyNumberFormat="1" applyBorder="1" applyAlignment="1">
      <alignment horizontal="center" vertical="center" textRotation="90"/>
    </xf>
    <xf numFmtId="0" fontId="0" fillId="0" borderId="1" xfId="0"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wrapText="1"/>
    </xf>
    <xf numFmtId="164" fontId="0" fillId="0" borderId="13" xfId="0" applyNumberFormat="1" applyBorder="1" applyAlignment="1">
      <alignment horizontal="center" vertical="center" textRotation="90"/>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horizontal="center" vertical="center"/>
    </xf>
    <xf numFmtId="0" fontId="0" fillId="0" borderId="28" xfId="0" applyBorder="1" applyAlignment="1">
      <alignment horizontal="center" vertical="center"/>
    </xf>
    <xf numFmtId="0" fontId="0" fillId="3" borderId="20" xfId="0" applyFill="1" applyBorder="1" applyAlignment="1">
      <alignment vertical="center" wrapText="1"/>
    </xf>
    <xf numFmtId="0" fontId="0" fillId="0" borderId="21" xfId="0" applyBorder="1" applyAlignment="1">
      <alignment vertical="center" wrapText="1"/>
    </xf>
    <xf numFmtId="0" fontId="3" fillId="2" borderId="29" xfId="0" applyFont="1" applyFill="1" applyBorder="1" applyAlignment="1">
      <alignment horizontal="center" vertical="center" textRotation="90"/>
    </xf>
    <xf numFmtId="0" fontId="2" fillId="2" borderId="30"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8" borderId="31" xfId="0" applyFont="1" applyFill="1" applyBorder="1" applyAlignment="1">
      <alignment horizontal="center" vertical="center" wrapText="1"/>
    </xf>
    <xf numFmtId="0" fontId="2" fillId="8" borderId="32"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8" borderId="30" xfId="0" applyFont="1" applyFill="1" applyBorder="1" applyAlignment="1">
      <alignment horizontal="center" vertical="center" textRotation="90" wrapText="1"/>
    </xf>
    <xf numFmtId="0" fontId="2" fillId="2" borderId="32" xfId="0" applyFont="1" applyFill="1" applyBorder="1" applyAlignment="1">
      <alignment horizontal="center" vertical="center" textRotation="90"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2" borderId="33" xfId="0" applyFont="1" applyFill="1" applyBorder="1" applyAlignment="1">
      <alignment horizontal="center" vertical="center" textRotation="90"/>
    </xf>
    <xf numFmtId="0" fontId="2" fillId="2" borderId="34" xfId="0" applyFont="1" applyFill="1" applyBorder="1" applyAlignment="1">
      <alignment horizontal="center" vertical="center"/>
    </xf>
    <xf numFmtId="0" fontId="2" fillId="2" borderId="3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35"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2" borderId="15" xfId="0" applyFont="1" applyFill="1" applyBorder="1" applyAlignment="1">
      <alignment horizontal="center" vertical="center" textRotation="90" wrapText="1"/>
    </xf>
    <xf numFmtId="0" fontId="2" fillId="2" borderId="34" xfId="0" applyFont="1" applyFill="1" applyBorder="1" applyAlignment="1">
      <alignment horizontal="center" vertical="center" textRotation="90"/>
    </xf>
    <xf numFmtId="0" fontId="2" fillId="8" borderId="34" xfId="0" applyFont="1" applyFill="1" applyBorder="1" applyAlignment="1">
      <alignment horizontal="center" vertical="center" textRotation="90"/>
    </xf>
    <xf numFmtId="0" fontId="2" fillId="8" borderId="34" xfId="0" applyFont="1" applyFill="1" applyBorder="1" applyAlignment="1">
      <alignment horizontal="center" vertical="center" textRotation="90" wrapText="1"/>
    </xf>
    <xf numFmtId="0" fontId="2" fillId="2" borderId="35" xfId="0" applyFont="1" applyFill="1" applyBorder="1" applyAlignment="1">
      <alignment horizontal="center" vertical="center" textRotation="90"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5"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20" xfId="0" applyBorder="1" applyAlignment="1">
      <alignment horizontal="center" vertical="center" textRotation="90"/>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0" fillId="0" borderId="20" xfId="0" applyBorder="1" applyAlignment="1">
      <alignmen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0" fillId="0" borderId="1" xfId="0" applyFill="1" applyBorder="1" applyAlignment="1">
      <alignment vertical="center" wrapText="1"/>
    </xf>
    <xf numFmtId="0" fontId="11" fillId="0" borderId="1" xfId="0" applyFont="1" applyBorder="1" applyAlignment="1">
      <alignment vertical="center" wrapText="1"/>
    </xf>
    <xf numFmtId="0" fontId="2" fillId="8" borderId="39"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horizontal="center" vertical="center"/>
    </xf>
    <xf numFmtId="0" fontId="0" fillId="3" borderId="42" xfId="0"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xf>
    <xf numFmtId="0" fontId="0" fillId="3" borderId="18" xfId="0" applyFill="1" applyBorder="1" applyAlignment="1">
      <alignment horizontal="center" vertical="center"/>
    </xf>
    <xf numFmtId="0" fontId="0" fillId="0" borderId="13" xfId="0" applyBorder="1" applyAlignment="1">
      <alignment horizontal="left" vertical="center" wrapText="1"/>
    </xf>
    <xf numFmtId="0" fontId="0" fillId="0" borderId="13" xfId="0" applyFill="1" applyBorder="1" applyAlignment="1">
      <alignment horizontal="left" vertical="center" wrapText="1"/>
    </xf>
    <xf numFmtId="0" fontId="0" fillId="0" borderId="13" xfId="0" applyBorder="1" applyAlignment="1">
      <alignment vertical="center" wrapText="1"/>
    </xf>
    <xf numFmtId="0" fontId="12" fillId="0" borderId="13" xfId="0" applyFont="1"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left" vertical="center" wrapText="1"/>
    </xf>
    <xf numFmtId="0" fontId="0" fillId="0" borderId="18" xfId="0" applyBorder="1" applyAlignment="1">
      <alignment horizontal="left" vertical="center"/>
    </xf>
    <xf numFmtId="0" fontId="0" fillId="0" borderId="18" xfId="0"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textRotation="90"/>
    </xf>
    <xf numFmtId="0" fontId="0" fillId="0" borderId="13" xfId="0" applyBorder="1" applyAlignment="1">
      <alignment horizontal="left" vertical="center"/>
    </xf>
    <xf numFmtId="0" fontId="12" fillId="0" borderId="13" xfId="0" applyFont="1" applyBorder="1" applyAlignment="1">
      <alignment horizontal="left" vertical="center"/>
    </xf>
    <xf numFmtId="0" fontId="12" fillId="0" borderId="19" xfId="0" applyFont="1" applyBorder="1" applyAlignment="1">
      <alignment horizontal="center" vertical="center"/>
    </xf>
    <xf numFmtId="14" fontId="0" fillId="0" borderId="1" xfId="0" applyNumberFormat="1" applyBorder="1" applyAlignment="1">
      <alignment horizontal="center" vertical="center"/>
    </xf>
    <xf numFmtId="14" fontId="5" fillId="0" borderId="1" xfId="0" applyNumberFormat="1" applyFont="1" applyBorder="1" applyAlignment="1">
      <alignment horizontal="center" vertical="center" wrapText="1"/>
    </xf>
  </cellXfs>
  <cellStyles count="1">
    <cellStyle name="Normal" xfId="0" builtinId="0"/>
  </cellStyles>
  <dxfs count="461">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126777</xdr:colOff>
      <xdr:row>0</xdr:row>
      <xdr:rowOff>21168</xdr:rowOff>
    </xdr:from>
    <xdr:to>
      <xdr:col>12</xdr:col>
      <xdr:colOff>211667</xdr:colOff>
      <xdr:row>0</xdr:row>
      <xdr:rowOff>656168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7777" y="21168"/>
          <a:ext cx="539973"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133349</xdr:colOff>
      <xdr:row>1</xdr:row>
      <xdr:rowOff>57150</xdr:rowOff>
    </xdr:from>
    <xdr:to>
      <xdr:col>11</xdr:col>
      <xdr:colOff>535888</xdr:colOff>
      <xdr:row>7</xdr:row>
      <xdr:rowOff>0</xdr:rowOff>
    </xdr:to>
    <xdr:pic>
      <xdr:nvPicPr>
        <xdr:cNvPr id="2" name="Imagen 1"/>
        <xdr:cNvPicPr>
          <a:picLocks noChangeAspect="1"/>
        </xdr:cNvPicPr>
      </xdr:nvPicPr>
      <xdr:blipFill>
        <a:blip xmlns:r="http://schemas.openxmlformats.org/officeDocument/2006/relationships" r:embed="rId1"/>
        <a:stretch>
          <a:fillRect/>
        </a:stretch>
      </xdr:blipFill>
      <xdr:spPr>
        <a:xfrm>
          <a:off x="5219699" y="247650"/>
          <a:ext cx="5546039" cy="4705350"/>
        </a:xfrm>
        <a:prstGeom prst="rect">
          <a:avLst/>
        </a:prstGeom>
      </xdr:spPr>
    </xdr:pic>
    <xdr:clientData/>
  </xdr:twoCellAnchor>
  <xdr:twoCellAnchor editAs="oneCell">
    <xdr:from>
      <xdr:col>13</xdr:col>
      <xdr:colOff>28575</xdr:colOff>
      <xdr:row>1</xdr:row>
      <xdr:rowOff>28575</xdr:rowOff>
    </xdr:from>
    <xdr:to>
      <xdr:col>20</xdr:col>
      <xdr:colOff>733425</xdr:colOff>
      <xdr:row>5</xdr:row>
      <xdr:rowOff>197361</xdr:rowOff>
    </xdr:to>
    <xdr:pic>
      <xdr:nvPicPr>
        <xdr:cNvPr id="4" name="Imagen 3"/>
        <xdr:cNvPicPr>
          <a:picLocks noChangeAspect="1"/>
        </xdr:cNvPicPr>
      </xdr:nvPicPr>
      <xdr:blipFill>
        <a:blip xmlns:r="http://schemas.openxmlformats.org/officeDocument/2006/relationships" r:embed="rId2"/>
        <a:stretch>
          <a:fillRect/>
        </a:stretch>
      </xdr:blipFill>
      <xdr:spPr>
        <a:xfrm>
          <a:off x="10887075" y="219075"/>
          <a:ext cx="6038850" cy="3407286"/>
        </a:xfrm>
        <a:prstGeom prst="rect">
          <a:avLst/>
        </a:prstGeom>
      </xdr:spPr>
    </xdr:pic>
    <xdr:clientData/>
  </xdr:twoCellAnchor>
  <xdr:twoCellAnchor editAs="oneCell">
    <xdr:from>
      <xdr:col>22</xdr:col>
      <xdr:colOff>1</xdr:colOff>
      <xdr:row>1</xdr:row>
      <xdr:rowOff>9525</xdr:rowOff>
    </xdr:from>
    <xdr:to>
      <xdr:col>24</xdr:col>
      <xdr:colOff>752475</xdr:colOff>
      <xdr:row>5</xdr:row>
      <xdr:rowOff>612618</xdr:rowOff>
    </xdr:to>
    <xdr:pic>
      <xdr:nvPicPr>
        <xdr:cNvPr id="5" name="Imagen 4"/>
        <xdr:cNvPicPr>
          <a:picLocks noChangeAspect="1"/>
        </xdr:cNvPicPr>
      </xdr:nvPicPr>
      <xdr:blipFill rotWithShape="1">
        <a:blip xmlns:r="http://schemas.openxmlformats.org/officeDocument/2006/relationships" r:embed="rId3"/>
        <a:srcRect t="7985"/>
        <a:stretch/>
      </xdr:blipFill>
      <xdr:spPr>
        <a:xfrm>
          <a:off x="17306926" y="200025"/>
          <a:ext cx="2276474" cy="3841593"/>
        </a:xfrm>
        <a:prstGeom prst="rect">
          <a:avLst/>
        </a:prstGeom>
      </xdr:spPr>
    </xdr:pic>
    <xdr:clientData/>
  </xdr:twoCellAnchor>
  <xdr:twoCellAnchor editAs="oneCell">
    <xdr:from>
      <xdr:col>1</xdr:col>
      <xdr:colOff>104775</xdr:colOff>
      <xdr:row>10</xdr:row>
      <xdr:rowOff>85725</xdr:rowOff>
    </xdr:from>
    <xdr:to>
      <xdr:col>6</xdr:col>
      <xdr:colOff>656419</xdr:colOff>
      <xdr:row>32</xdr:row>
      <xdr:rowOff>180439</xdr:rowOff>
    </xdr:to>
    <xdr:pic>
      <xdr:nvPicPr>
        <xdr:cNvPr id="3" name="Imagen 2"/>
        <xdr:cNvPicPr>
          <a:picLocks noChangeAspect="1"/>
        </xdr:cNvPicPr>
      </xdr:nvPicPr>
      <xdr:blipFill>
        <a:blip xmlns:r="http://schemas.openxmlformats.org/officeDocument/2006/relationships" r:embed="rId4"/>
        <a:stretch>
          <a:fillRect/>
        </a:stretch>
      </xdr:blipFill>
      <xdr:spPr>
        <a:xfrm>
          <a:off x="1047750" y="5610225"/>
          <a:ext cx="6447619" cy="4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s%20de%20riesgos%20gesti&#243;n%202022/07.%20IN%20Riesgos%20de%20gesti&#243;n%20VIN%202022%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s%20de%20riesgos%20gesti&#243;n%202022/08%20EX%20Riesgos%20de%20gesti&#243;n%202022%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s%20de%20riesgos%20gesti&#243;n%202022/04.%20CC%20Riesgos%20de%20gestio&#769;n%202022%20v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pas%20de%20riesgos%20gesti&#243;n%202022/10.%20GJ%20Riesgos%20de%20gesti&#243;n%202022%20v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pas%20de%20riesgos%20gesti&#243;n%202022/11.%20CO%20Riesgos%20de%20gesti&#243;n%202022%20v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pas%20de%20riesgos%20gesti&#243;n%202022/15.%20GD%20Riesgos%20de%20gesti&#243;n%202022%20v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pas%20de%20riesgos%20gesti&#243;n%202022/19.%20AR%20Riesgos%20de%20gesti&#243;n%202022%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row r="8">
          <cell r="AE8" t="str">
            <v>Moderado</v>
          </cell>
        </row>
        <row r="9">
          <cell r="AE9" t="str">
            <v>Moderado</v>
          </cell>
        </row>
        <row r="10">
          <cell r="AE10" t="str">
            <v>Mayor</v>
          </cell>
        </row>
        <row r="11">
          <cell r="AE11" t="str">
            <v>Mayor</v>
          </cell>
        </row>
      </sheetData>
      <sheetData sheetId="1" refreshError="1"/>
      <sheetData sheetId="2">
        <row r="2">
          <cell r="P2" t="str">
            <v>Afectación menor a 10 SMLMV</v>
          </cell>
          <cell r="Q2">
            <v>1</v>
          </cell>
          <cell r="R2" t="str">
            <v>Leve</v>
          </cell>
          <cell r="W2" t="str">
            <v>Leve</v>
          </cell>
          <cell r="X2" t="str">
            <v>Menor</v>
          </cell>
          <cell r="Y2" t="str">
            <v>Moderado</v>
          </cell>
          <cell r="Z2" t="str">
            <v>Mayor</v>
          </cell>
          <cell r="AA2" t="str">
            <v>Catastrófico</v>
          </cell>
        </row>
        <row r="3">
          <cell r="P3" t="str">
            <v>Entre 10 y 50 SMLMV</v>
          </cell>
          <cell r="Q3">
            <v>2</v>
          </cell>
          <cell r="R3" t="str">
            <v>Menor</v>
          </cell>
          <cell r="V3" t="str">
            <v>Muy alta</v>
          </cell>
          <cell r="W3" t="str">
            <v>Alto</v>
          </cell>
          <cell r="X3" t="str">
            <v>Alto</v>
          </cell>
          <cell r="Y3" t="str">
            <v>Alto</v>
          </cell>
          <cell r="Z3" t="str">
            <v>Alto</v>
          </cell>
          <cell r="AA3" t="str">
            <v>Extremo</v>
          </cell>
        </row>
        <row r="4">
          <cell r="P4" t="str">
            <v>Entre 50 y 100 SMLMV</v>
          </cell>
          <cell r="Q4">
            <v>3</v>
          </cell>
          <cell r="R4" t="str">
            <v>Moderado</v>
          </cell>
          <cell r="V4" t="str">
            <v>Alta</v>
          </cell>
          <cell r="W4" t="str">
            <v>Moderado</v>
          </cell>
          <cell r="X4" t="str">
            <v>Moderado</v>
          </cell>
          <cell r="Y4" t="str">
            <v>Alto</v>
          </cell>
          <cell r="Z4" t="str">
            <v>Alto</v>
          </cell>
          <cell r="AA4" t="str">
            <v>Extremo</v>
          </cell>
        </row>
        <row r="5">
          <cell r="P5" t="str">
            <v>Entre 100 y 500 SMLMV</v>
          </cell>
          <cell r="Q5">
            <v>4</v>
          </cell>
          <cell r="R5" t="str">
            <v>Mayor</v>
          </cell>
          <cell r="V5" t="str">
            <v>Media</v>
          </cell>
          <cell r="W5" t="str">
            <v>Moderado</v>
          </cell>
          <cell r="X5" t="str">
            <v>Moderado</v>
          </cell>
          <cell r="Y5" t="str">
            <v>Moderado</v>
          </cell>
          <cell r="Z5" t="str">
            <v>Alto</v>
          </cell>
          <cell r="AA5" t="str">
            <v>Extremo</v>
          </cell>
        </row>
        <row r="6">
          <cell r="P6" t="str">
            <v>Mayor a 500 SMLMV</v>
          </cell>
          <cell r="Q6">
            <v>5</v>
          </cell>
          <cell r="R6" t="str">
            <v>Catastrófico</v>
          </cell>
          <cell r="V6" t="str">
            <v>Baja</v>
          </cell>
          <cell r="W6" t="str">
            <v>Bajo</v>
          </cell>
          <cell r="X6" t="str">
            <v>Moderado</v>
          </cell>
          <cell r="Y6" t="str">
            <v>Moderado</v>
          </cell>
          <cell r="Z6" t="str">
            <v>Alto</v>
          </cell>
          <cell r="AA6" t="str">
            <v>Extremo</v>
          </cell>
        </row>
        <row r="7">
          <cell r="P7" t="str">
            <v>El riesgo afecta la imagen de algún área de la universidad</v>
          </cell>
          <cell r="Q7">
            <v>6</v>
          </cell>
          <cell r="R7" t="str">
            <v>Leve</v>
          </cell>
          <cell r="V7" t="str">
            <v>Muy baja</v>
          </cell>
          <cell r="W7" t="str">
            <v>Bajo</v>
          </cell>
          <cell r="X7" t="str">
            <v>Bajo</v>
          </cell>
          <cell r="Y7" t="str">
            <v>Moderado</v>
          </cell>
          <cell r="Z7" t="str">
            <v>Alto</v>
          </cell>
          <cell r="AA7" t="str">
            <v>Extremo</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row r="8">
          <cell r="AE8" t="str">
            <v>Moderado</v>
          </cell>
        </row>
        <row r="9">
          <cell r="AE9" t="str">
            <v>Moderado</v>
          </cell>
        </row>
      </sheetData>
      <sheetData sheetId="1"/>
      <sheetData sheetId="2">
        <row r="2">
          <cell r="P2" t="str">
            <v>Afectación menor a 10 SMLMV</v>
          </cell>
          <cell r="Q2">
            <v>1</v>
          </cell>
          <cell r="R2" t="str">
            <v>Leve</v>
          </cell>
          <cell r="W2" t="str">
            <v>Leve</v>
          </cell>
          <cell r="X2" t="str">
            <v>Menor</v>
          </cell>
          <cell r="Y2" t="str">
            <v>Moderado</v>
          </cell>
          <cell r="Z2" t="str">
            <v>Mayor</v>
          </cell>
          <cell r="AA2" t="str">
            <v>Catastrófico</v>
          </cell>
        </row>
        <row r="3">
          <cell r="P3" t="str">
            <v>Entre 10 y 50 SMLMV</v>
          </cell>
          <cell r="Q3">
            <v>2</v>
          </cell>
          <cell r="R3" t="str">
            <v>Menor</v>
          </cell>
          <cell r="V3" t="str">
            <v>Muy alta</v>
          </cell>
          <cell r="W3" t="str">
            <v>Alto</v>
          </cell>
          <cell r="X3" t="str">
            <v>Alto</v>
          </cell>
          <cell r="Y3" t="str">
            <v>Alto</v>
          </cell>
          <cell r="Z3" t="str">
            <v>Alto</v>
          </cell>
          <cell r="AA3" t="str">
            <v>Extremo</v>
          </cell>
        </row>
        <row r="4">
          <cell r="P4" t="str">
            <v>Entre 50 y 100 SMLMV</v>
          </cell>
          <cell r="Q4">
            <v>3</v>
          </cell>
          <cell r="R4" t="str">
            <v>Moderado</v>
          </cell>
          <cell r="V4" t="str">
            <v>Alta</v>
          </cell>
          <cell r="W4" t="str">
            <v>Moderado</v>
          </cell>
          <cell r="X4" t="str">
            <v>Moderado</v>
          </cell>
          <cell r="Y4" t="str">
            <v>Alto</v>
          </cell>
          <cell r="Z4" t="str">
            <v>Alto</v>
          </cell>
          <cell r="AA4" t="str">
            <v>Extremo</v>
          </cell>
        </row>
        <row r="5">
          <cell r="P5" t="str">
            <v>Entre 100 y 500 SMLMV</v>
          </cell>
          <cell r="Q5">
            <v>4</v>
          </cell>
          <cell r="R5" t="str">
            <v>Mayor</v>
          </cell>
          <cell r="V5" t="str">
            <v>Media</v>
          </cell>
          <cell r="W5" t="str">
            <v>Moderado</v>
          </cell>
          <cell r="X5" t="str">
            <v>Moderado</v>
          </cell>
          <cell r="Y5" t="str">
            <v>Moderado</v>
          </cell>
          <cell r="Z5" t="str">
            <v>Alto</v>
          </cell>
          <cell r="AA5" t="str">
            <v>Extremo</v>
          </cell>
        </row>
        <row r="6">
          <cell r="P6" t="str">
            <v>Mayor a 500 SMLMV</v>
          </cell>
          <cell r="Q6">
            <v>5</v>
          </cell>
          <cell r="R6" t="str">
            <v>Catastrófico</v>
          </cell>
          <cell r="V6" t="str">
            <v>Baja</v>
          </cell>
          <cell r="W6" t="str">
            <v>Bajo</v>
          </cell>
          <cell r="X6" t="str">
            <v>Moderado</v>
          </cell>
          <cell r="Y6" t="str">
            <v>Moderado</v>
          </cell>
          <cell r="Z6" t="str">
            <v>Alto</v>
          </cell>
          <cell r="AA6" t="str">
            <v>Extremo</v>
          </cell>
        </row>
        <row r="7">
          <cell r="P7" t="str">
            <v>El riesgo afecta la imagen de algún área de la universidad</v>
          </cell>
          <cell r="Q7">
            <v>6</v>
          </cell>
          <cell r="R7" t="str">
            <v>Leve</v>
          </cell>
          <cell r="V7" t="str">
            <v>Muy baja</v>
          </cell>
          <cell r="W7" t="str">
            <v>Bajo</v>
          </cell>
          <cell r="X7" t="str">
            <v>Bajo</v>
          </cell>
          <cell r="Y7" t="str">
            <v>Moderado</v>
          </cell>
          <cell r="Z7" t="str">
            <v>Alto</v>
          </cell>
          <cell r="AA7" t="str">
            <v>Extremo</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refreshError="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refreshError="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refreshError="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4"/>
  <sheetViews>
    <sheetView tabSelected="1" topLeftCell="X25" zoomScale="90" zoomScaleNormal="90" workbookViewId="0">
      <selection activeCell="AI26" sqref="AI26:AI30"/>
    </sheetView>
  </sheetViews>
  <sheetFormatPr baseColWidth="10" defaultRowHeight="15" x14ac:dyDescent="0.25"/>
  <cols>
    <col min="1" max="1" width="7.42578125" customWidth="1"/>
    <col min="2" max="3" width="17.42578125" customWidth="1"/>
    <col min="4" max="4" width="24.7109375" customWidth="1"/>
    <col min="5" max="5" width="26.7109375" customWidth="1"/>
    <col min="6" max="7" width="26.42578125" customWidth="1"/>
    <col min="8" max="8" width="30" customWidth="1"/>
    <col min="9" max="9" width="69.28515625" customWidth="1"/>
    <col min="10" max="10" width="13.28515625" customWidth="1"/>
    <col min="11" max="11" width="12.85546875" customWidth="1"/>
    <col min="12" max="12" width="6.85546875" customWidth="1"/>
    <col min="13" max="13" width="41.7109375" customWidth="1"/>
    <col min="14" max="14" width="7.140625" hidden="1" customWidth="1"/>
    <col min="15" max="15" width="22" customWidth="1"/>
    <col min="16" max="16" width="8.42578125" customWidth="1"/>
    <col min="17" max="17" width="15" customWidth="1"/>
    <col min="18" max="18" width="7.5703125" style="10" customWidth="1"/>
    <col min="19" max="19" width="41.28515625" customWidth="1"/>
    <col min="20" max="20" width="13.140625" customWidth="1"/>
    <col min="21" max="23" width="4" bestFit="1" customWidth="1"/>
    <col min="24" max="24" width="4" customWidth="1"/>
    <col min="25" max="25" width="5.42578125" customWidth="1"/>
    <col min="26" max="28" width="4" bestFit="1" customWidth="1"/>
    <col min="29" max="29" width="9.85546875" customWidth="1"/>
    <col min="30" max="30" width="6.140625" bestFit="1" customWidth="1"/>
    <col min="31" max="31" width="9.5703125" customWidth="1"/>
    <col min="32" max="32" width="6.140625" bestFit="1" customWidth="1"/>
    <col min="33" max="33" width="20" customWidth="1"/>
    <col min="34" max="34" width="8.42578125" customWidth="1"/>
    <col min="35" max="35" width="39.42578125" customWidth="1"/>
    <col min="36" max="36" width="30.42578125" customWidth="1"/>
    <col min="37" max="37" width="15.140625" customWidth="1"/>
    <col min="38" max="38" width="23.5703125" customWidth="1"/>
    <col min="39" max="39" width="32.85546875" style="10" customWidth="1"/>
  </cols>
  <sheetData>
    <row r="1" spans="1:39" ht="55.5" customHeight="1" thickBot="1" x14ac:dyDescent="0.3">
      <c r="A1" s="109" t="s">
        <v>204</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50"/>
    </row>
    <row r="2" spans="1:39" ht="17.25" thickBot="1" x14ac:dyDescent="0.3">
      <c r="A2" s="114" t="s">
        <v>0</v>
      </c>
      <c r="B2" s="115"/>
      <c r="C2" s="115"/>
      <c r="D2" s="115"/>
      <c r="E2" s="115"/>
      <c r="F2" s="115"/>
      <c r="G2" s="115"/>
      <c r="H2" s="115"/>
      <c r="I2" s="115"/>
      <c r="J2" s="116"/>
      <c r="K2" s="112" t="s">
        <v>1</v>
      </c>
      <c r="L2" s="112"/>
      <c r="M2" s="112"/>
      <c r="N2" s="112"/>
      <c r="O2" s="112"/>
      <c r="P2" s="112"/>
      <c r="Q2" s="151"/>
      <c r="R2" s="152" t="s">
        <v>2</v>
      </c>
      <c r="S2" s="112"/>
      <c r="T2" s="112"/>
      <c r="U2" s="112"/>
      <c r="V2" s="112"/>
      <c r="W2" s="112"/>
      <c r="X2" s="112"/>
      <c r="Y2" s="112"/>
      <c r="Z2" s="112"/>
      <c r="AA2" s="112"/>
      <c r="AB2" s="153"/>
      <c r="AC2" s="154"/>
      <c r="AD2" s="154"/>
      <c r="AE2" s="154"/>
      <c r="AF2" s="154"/>
      <c r="AG2" s="154"/>
      <c r="AH2" s="155"/>
      <c r="AI2" s="111" t="s">
        <v>3</v>
      </c>
      <c r="AJ2" s="112"/>
      <c r="AK2" s="112"/>
      <c r="AL2" s="112"/>
      <c r="AM2" s="113"/>
    </row>
    <row r="3" spans="1:39" ht="16.5" customHeight="1" x14ac:dyDescent="0.25">
      <c r="A3" s="120" t="s">
        <v>4</v>
      </c>
      <c r="B3" s="121" t="s">
        <v>5</v>
      </c>
      <c r="C3" s="122" t="s">
        <v>6</v>
      </c>
      <c r="D3" s="122" t="s">
        <v>7</v>
      </c>
      <c r="E3" s="123" t="s">
        <v>157</v>
      </c>
      <c r="F3" s="122" t="s">
        <v>8</v>
      </c>
      <c r="G3" s="123" t="s">
        <v>161</v>
      </c>
      <c r="H3" s="123" t="s">
        <v>9</v>
      </c>
      <c r="I3" s="123" t="s">
        <v>88</v>
      </c>
      <c r="J3" s="173" t="s">
        <v>158</v>
      </c>
      <c r="K3" s="167" t="s">
        <v>10</v>
      </c>
      <c r="L3" s="125" t="s">
        <v>11</v>
      </c>
      <c r="M3" s="123" t="s">
        <v>12</v>
      </c>
      <c r="N3" s="126"/>
      <c r="O3" s="127" t="s">
        <v>13</v>
      </c>
      <c r="P3" s="125" t="s">
        <v>11</v>
      </c>
      <c r="Q3" s="128" t="s">
        <v>14</v>
      </c>
      <c r="R3" s="129" t="s">
        <v>15</v>
      </c>
      <c r="S3" s="122" t="s">
        <v>16</v>
      </c>
      <c r="T3" s="124" t="s">
        <v>17</v>
      </c>
      <c r="U3" s="122" t="s">
        <v>18</v>
      </c>
      <c r="V3" s="122"/>
      <c r="W3" s="122"/>
      <c r="X3" s="122"/>
      <c r="Y3" s="122"/>
      <c r="Z3" s="122"/>
      <c r="AA3" s="122"/>
      <c r="AB3" s="122"/>
      <c r="AC3" s="130" t="s">
        <v>19</v>
      </c>
      <c r="AD3" s="130" t="s">
        <v>11</v>
      </c>
      <c r="AE3" s="130" t="s">
        <v>20</v>
      </c>
      <c r="AF3" s="130" t="s">
        <v>11</v>
      </c>
      <c r="AG3" s="130" t="s">
        <v>21</v>
      </c>
      <c r="AH3" s="131" t="s">
        <v>22</v>
      </c>
      <c r="AI3" s="132" t="s">
        <v>148</v>
      </c>
      <c r="AJ3" s="133" t="s">
        <v>23</v>
      </c>
      <c r="AK3" s="133" t="s">
        <v>24</v>
      </c>
      <c r="AL3" s="133" t="s">
        <v>149</v>
      </c>
      <c r="AM3" s="134" t="s">
        <v>150</v>
      </c>
    </row>
    <row r="4" spans="1:39" ht="105.75" thickBot="1" x14ac:dyDescent="0.3">
      <c r="A4" s="135"/>
      <c r="B4" s="136"/>
      <c r="C4" s="137"/>
      <c r="D4" s="137"/>
      <c r="E4" s="54"/>
      <c r="F4" s="137"/>
      <c r="G4" s="54"/>
      <c r="H4" s="54"/>
      <c r="I4" s="54"/>
      <c r="J4" s="174"/>
      <c r="K4" s="168"/>
      <c r="L4" s="139"/>
      <c r="M4" s="54"/>
      <c r="N4" s="140"/>
      <c r="O4" s="139"/>
      <c r="P4" s="139"/>
      <c r="Q4" s="141"/>
      <c r="R4" s="142"/>
      <c r="S4" s="137"/>
      <c r="T4" s="138"/>
      <c r="U4" s="143" t="s">
        <v>25</v>
      </c>
      <c r="V4" s="144" t="s">
        <v>146</v>
      </c>
      <c r="W4" s="143" t="s">
        <v>26</v>
      </c>
      <c r="X4" s="144" t="s">
        <v>147</v>
      </c>
      <c r="Y4" s="144" t="s">
        <v>27</v>
      </c>
      <c r="Z4" s="143" t="s">
        <v>28</v>
      </c>
      <c r="AA4" s="143" t="s">
        <v>29</v>
      </c>
      <c r="AB4" s="143" t="s">
        <v>30</v>
      </c>
      <c r="AC4" s="145"/>
      <c r="AD4" s="145"/>
      <c r="AE4" s="145"/>
      <c r="AF4" s="145"/>
      <c r="AG4" s="145"/>
      <c r="AH4" s="146"/>
      <c r="AI4" s="147"/>
      <c r="AJ4" s="148"/>
      <c r="AK4" s="148"/>
      <c r="AL4" s="148"/>
      <c r="AM4" s="149"/>
    </row>
    <row r="5" spans="1:39" s="10" customFormat="1" ht="84" customHeight="1" x14ac:dyDescent="0.25">
      <c r="A5" s="117" t="s">
        <v>181</v>
      </c>
      <c r="B5" s="86" t="s">
        <v>86</v>
      </c>
      <c r="C5" s="91" t="s">
        <v>182</v>
      </c>
      <c r="D5" s="91" t="s">
        <v>183</v>
      </c>
      <c r="E5" s="91" t="s">
        <v>184</v>
      </c>
      <c r="F5" s="162" t="s">
        <v>185</v>
      </c>
      <c r="G5" s="86" t="s">
        <v>59</v>
      </c>
      <c r="H5" s="86" t="s">
        <v>90</v>
      </c>
      <c r="I5" s="91" t="s">
        <v>152</v>
      </c>
      <c r="J5" s="89">
        <v>3</v>
      </c>
      <c r="K5" s="169" t="str">
        <f>IF(J5="","",IF(J5&lt;=2,"Muy baja",IF(AND(J5&gt;2,J5&lt;=24),"Baja",IF(AND(J5&gt;24,J5&lt;=500),"Media",IF(AND(J5&gt;500,J5&lt;=5000),"Alta",IF(J5&gt;5000,"Muy alta",""))))))</f>
        <v>Baja</v>
      </c>
      <c r="L5" s="96">
        <f>IF(K5="","",IF(K5="Muy baja",20%,IF(K5="Baja",40%,IF(K5="Media",60%,IF(K5="Alta",80%,IF(K5="Muy Alta",100%,""))))))</f>
        <v>0.4</v>
      </c>
      <c r="M5" s="86" t="s">
        <v>123</v>
      </c>
      <c r="N5" s="86">
        <f>MATCH(M5,Calculos!$P$2:$P$11,0)</f>
        <v>10</v>
      </c>
      <c r="O5" s="86" t="str">
        <f>LOOKUP(N5,Calculos!$Q$2:$R$11)</f>
        <v>Catastrófico</v>
      </c>
      <c r="P5" s="96">
        <f>IF(O5="","",IF(O5="Leve",20%,IF(O5="Menor",40%,IF(O5="Moderado",60%,IF(O5="Mayor",80%,IF(O5="Catastrófico",100%,""))))))</f>
        <v>1</v>
      </c>
      <c r="Q5" s="88" t="str">
        <f>VLOOKUP(K5,Calculos!$V$2:$AA$7,MATCH(Riesgos!O5,Calculos!$V$2:$AA$2,0),FALSE)</f>
        <v>Extremo</v>
      </c>
      <c r="R5" s="90">
        <v>1</v>
      </c>
      <c r="S5" s="84" t="s">
        <v>186</v>
      </c>
      <c r="T5" s="97" t="str">
        <f>IF(U5="","",IF(U5="Preventivo","Probabilidad",IF(U5="Detectivo","Probabilidad",IF(U5="Correctivo","Impacto",""))))</f>
        <v>Probabilidad</v>
      </c>
      <c r="U5" s="98" t="s">
        <v>135</v>
      </c>
      <c r="V5" s="99">
        <f t="shared" ref="V5:V13" si="0">IF(U5="","",IF(U5="preventivo",25%,IF(U5="detectivo",15%,IF(U5="correctivo",10%,""))))</f>
        <v>0.25</v>
      </c>
      <c r="W5" s="98" t="s">
        <v>143</v>
      </c>
      <c r="X5" s="99">
        <f t="shared" ref="X5:X13" si="1">IF(W5="","",IF(W5="Automático",25%,IF(W5="manual",15%,"")))</f>
        <v>0.15</v>
      </c>
      <c r="Y5" s="99">
        <f>V5+X5</f>
        <v>0.4</v>
      </c>
      <c r="Z5" s="98" t="s">
        <v>189</v>
      </c>
      <c r="AA5" s="98" t="s">
        <v>190</v>
      </c>
      <c r="AB5" s="98" t="s">
        <v>191</v>
      </c>
      <c r="AC5" s="98" t="str">
        <f>IF(AD5="","",IF(AD5&lt;=20%,"Muy baja",IF(AND(AD5&gt;20%,AD5&lt;=40%),"Baja",IF(AND(AD5&gt;40%,AD5&lt;=60%),"Media",IF(AND(AD5&gt;60%,AD5&lt;=80%),"Alta",IF(AD5&gt;80%,"Muy alta",""))))))</f>
        <v>Baja</v>
      </c>
      <c r="AD5" s="83">
        <f>IF(U5="","",IF(U5="preventivo",$L$5-($L$5*Y5),IF(U5="detectivo",$L$5-($L$5*Y5),IF(U5="correctivo",$L$5,""))))</f>
        <v>0.24</v>
      </c>
      <c r="AE5" s="98" t="str">
        <f>IF(AF5="","",IF(AF5&lt;=20%,"Leve",IF(AND(AF5&gt;20%,AF5&lt;=40%),"Menor",IF(AND(AF5&gt;40%,AF5&lt;=60%),"Moderado",IF(AND(AF5&gt;60%,AF5&lt;=80%),"Mayor",IF(AF5&gt;80%,"Catastrófico",""))))))</f>
        <v>Catastrófico</v>
      </c>
      <c r="AF5" s="83">
        <f>IF(U5="","",IF(U5="preventivo",$P$5,IF(U5="detectivo",$P$5,IF(U5="correctivo",$P$5-($P$5*Y5),""))))</f>
        <v>1</v>
      </c>
      <c r="AG5" s="97" t="str">
        <f>VLOOKUP(AC5,Calculos!$V$2:$AA$7,MATCH(Riesgos!AE5,Calculos!$V$2:$AA$2,0),FALSE)</f>
        <v>Extremo</v>
      </c>
      <c r="AH5" s="159" t="s">
        <v>202</v>
      </c>
      <c r="AI5" s="118" t="s">
        <v>192</v>
      </c>
      <c r="AJ5" s="85" t="s">
        <v>193</v>
      </c>
      <c r="AK5" s="193">
        <v>44926</v>
      </c>
      <c r="AL5" s="84" t="s">
        <v>194</v>
      </c>
      <c r="AM5" s="119" t="s">
        <v>195</v>
      </c>
    </row>
    <row r="6" spans="1:39" ht="93" customHeight="1" x14ac:dyDescent="0.25">
      <c r="A6" s="61"/>
      <c r="B6" s="55"/>
      <c r="C6" s="70"/>
      <c r="D6" s="70"/>
      <c r="E6" s="70"/>
      <c r="F6" s="163"/>
      <c r="G6" s="55"/>
      <c r="H6" s="55"/>
      <c r="I6" s="70"/>
      <c r="J6" s="175"/>
      <c r="K6" s="170"/>
      <c r="L6" s="59"/>
      <c r="M6" s="55"/>
      <c r="N6" s="55"/>
      <c r="O6" s="55"/>
      <c r="P6" s="59"/>
      <c r="Q6" s="57"/>
      <c r="R6" s="46">
        <v>2</v>
      </c>
      <c r="S6" s="5" t="s">
        <v>187</v>
      </c>
      <c r="T6" s="9" t="str">
        <f t="shared" ref="T6:T13" si="2">IF(U6="","",IF(U6="Preventivo","Probabilidad",IF(U6="Detectivo","Probabilidad",IF(U6="Correctivo","Impacto",""))))</f>
        <v>Probabilidad</v>
      </c>
      <c r="U6" s="31" t="s">
        <v>135</v>
      </c>
      <c r="V6" s="32">
        <f t="shared" si="0"/>
        <v>0.25</v>
      </c>
      <c r="W6" s="31" t="s">
        <v>143</v>
      </c>
      <c r="X6" s="32">
        <f t="shared" si="1"/>
        <v>0.15</v>
      </c>
      <c r="Y6" s="32">
        <f t="shared" ref="Y6:Y7" si="3">V6+X6</f>
        <v>0.4</v>
      </c>
      <c r="Z6" s="31" t="s">
        <v>189</v>
      </c>
      <c r="AA6" s="31" t="s">
        <v>190</v>
      </c>
      <c r="AB6" s="31" t="s">
        <v>191</v>
      </c>
      <c r="AC6" s="31" t="str">
        <f>IF(AD6="","",IF(AD6&lt;=20%,"Muy baja",IF(AND(AD6&gt;20%,AD6&lt;=40%),"Baja",IF(AND(AD6&gt;40%,AD6&lt;=60%),"Media",IF(AND(AD6&gt;60%,AD6&lt;=80%),"Alta",IF(AD6&gt;80%,"Muy alta",""))))))</f>
        <v>Muy baja</v>
      </c>
      <c r="AD6" s="33">
        <f>IF(U6="","",IF(U6="preventivo",$AD$5-($AD$5*Y6),IF(U6="detectivo",$AD$5-($AD$5*Y6),IF(U6="correctivo",$AD$5,""))))</f>
        <v>0.14399999999999999</v>
      </c>
      <c r="AE6" s="31" t="str">
        <f t="shared" ref="AE6" si="4">IF(AF6="","",IF(AF6&lt;=20%,"Leve",IF(AND(AF6&gt;20%,AF6&lt;=40%),"Menor",IF(AND(AF6&gt;40%,AF6&lt;=60%),"Moderado",IF(AND(AF6&gt;60%,AF6&lt;=80%),"Mayor",IF(AF6&gt;80%,"Catastrófico",""))))))</f>
        <v>Catastrófico</v>
      </c>
      <c r="AF6" s="33">
        <f>IF(U6="","",IF(U6="preventivo",$AF$5,IF(U6="detectivo",$AF$5,IF(U6="correctivo",$AF$5-($AF$5*Y6),""))))</f>
        <v>1</v>
      </c>
      <c r="AG6" s="9" t="str">
        <f>VLOOKUP(AC6,Calculos!$V$2:$AA$7,MATCH(Riesgos!AE6,Calculos!$V$2:$AA$2,0),FALSE)</f>
        <v>Extremo</v>
      </c>
      <c r="AH6" s="94"/>
      <c r="AI6" s="52" t="s">
        <v>196</v>
      </c>
      <c r="AJ6" s="51" t="s">
        <v>193</v>
      </c>
      <c r="AK6" s="193">
        <v>44926</v>
      </c>
      <c r="AL6" s="71" t="s">
        <v>197</v>
      </c>
      <c r="AM6" s="53" t="s">
        <v>198</v>
      </c>
    </row>
    <row r="7" spans="1:39" ht="90" x14ac:dyDescent="0.25">
      <c r="A7" s="61"/>
      <c r="B7" s="55"/>
      <c r="C7" s="70"/>
      <c r="D7" s="70"/>
      <c r="E7" s="70"/>
      <c r="F7" s="163"/>
      <c r="G7" s="55"/>
      <c r="H7" s="55"/>
      <c r="I7" s="70"/>
      <c r="J7" s="175"/>
      <c r="K7" s="170"/>
      <c r="L7" s="59"/>
      <c r="M7" s="55"/>
      <c r="N7" s="55"/>
      <c r="O7" s="55"/>
      <c r="P7" s="59"/>
      <c r="Q7" s="57"/>
      <c r="R7" s="46">
        <v>3</v>
      </c>
      <c r="S7" s="5" t="s">
        <v>188</v>
      </c>
      <c r="T7" s="9" t="str">
        <f t="shared" si="2"/>
        <v>Probabilidad</v>
      </c>
      <c r="U7" s="31" t="s">
        <v>135</v>
      </c>
      <c r="V7" s="32">
        <f t="shared" si="0"/>
        <v>0.25</v>
      </c>
      <c r="W7" s="31" t="s">
        <v>143</v>
      </c>
      <c r="X7" s="32">
        <f t="shared" si="1"/>
        <v>0.15</v>
      </c>
      <c r="Y7" s="32">
        <f t="shared" si="3"/>
        <v>0.4</v>
      </c>
      <c r="Z7" s="31" t="s">
        <v>189</v>
      </c>
      <c r="AA7" s="31" t="s">
        <v>190</v>
      </c>
      <c r="AB7" s="31" t="s">
        <v>191</v>
      </c>
      <c r="AC7" s="31" t="str">
        <f>IF(AD7="","",IF(AD7&lt;=20%,"Muy baja",IF(AND(AD7&gt;20%,AD7&lt;=40%),"Baja",IF(AND(AD7&gt;40%,AD7&lt;=60%),"Media",IF(AND(AD7&gt;60%,AD7&lt;=80%),"Alta",IF(AD7&gt;80%,"Muy alta",""))))))</f>
        <v>Muy baja</v>
      </c>
      <c r="AD7" s="33">
        <f>IF(U7="","",IF(U7="preventivo",$AD$6-($AD$6*Y7),IF(U7="detectivo",$AD$6-($AD$6*Y7),IF(U7="correctivo",$AD$6,""))))</f>
        <v>8.6399999999999991E-2</v>
      </c>
      <c r="AE7" s="31" t="str">
        <f t="shared" ref="AE7:AE12" si="5">IF(AF7="","",IF(AF7&lt;=20%,"Leve",IF(AND(AF7&gt;20%,AF7&lt;=40%),"Menor",IF(AND(AF7&gt;40%,AF7&lt;=60%),"Moderado",IF(AND(AF7&gt;60%,AF7&lt;=80%),"Mayor",IF(AF7&gt;80%,"Catastrófico",""))))))</f>
        <v>Catastrófico</v>
      </c>
      <c r="AF7" s="33">
        <f>IF(U7="","",IF(U7="preventivo",$AF$6,IF(U7="detectivo",$AF$6,IF(U7="correctivo",$AF$6-($AF$6*Y7),""))))</f>
        <v>1</v>
      </c>
      <c r="AG7" s="9" t="str">
        <f>VLOOKUP(AC7,Calculos!$V$2:$AA$7,MATCH(Riesgos!AE7,Calculos!$V$2:$AA$2,0),FALSE)</f>
        <v>Extremo</v>
      </c>
      <c r="AH7" s="94"/>
      <c r="AI7" s="52" t="s">
        <v>199</v>
      </c>
      <c r="AJ7" s="51" t="s">
        <v>193</v>
      </c>
      <c r="AK7" s="193">
        <v>44926</v>
      </c>
      <c r="AL7" s="5" t="s">
        <v>200</v>
      </c>
      <c r="AM7" s="53" t="s">
        <v>201</v>
      </c>
    </row>
    <row r="8" spans="1:39" ht="90.75" customHeight="1" x14ac:dyDescent="0.25">
      <c r="A8" s="61" t="s">
        <v>264</v>
      </c>
      <c r="B8" s="55" t="s">
        <v>87</v>
      </c>
      <c r="C8" s="70" t="s">
        <v>265</v>
      </c>
      <c r="D8" s="70" t="s">
        <v>266</v>
      </c>
      <c r="E8" s="70" t="s">
        <v>267</v>
      </c>
      <c r="F8" s="163" t="s">
        <v>268</v>
      </c>
      <c r="G8" s="55" t="s">
        <v>171</v>
      </c>
      <c r="H8" s="55" t="s">
        <v>93</v>
      </c>
      <c r="I8" s="70" t="s">
        <v>155</v>
      </c>
      <c r="J8" s="175">
        <v>365</v>
      </c>
      <c r="K8" s="170" t="str">
        <f>IF(J8="","",IF(J8&lt;=2,"Muy baja",IF(AND(J8&gt;2,J8&lt;=24),"Baja",IF(AND(J8&gt;24,J8&lt;=500),"Media",IF(AND(J8&gt;500,J8&lt;=5000),"Alta",IF(J8&gt;5000,"Muy alta",""))))))</f>
        <v>Media</v>
      </c>
      <c r="L8" s="59">
        <f>IF(K8="","",IF(K8="Muy baja",20%,IF(K8="Baja",40%,IF(K8="Media",60%,IF(K8="Alta",80%,IF(K8="Muy Alta",100%,""))))))</f>
        <v>0.6</v>
      </c>
      <c r="M8" s="55" t="s">
        <v>118</v>
      </c>
      <c r="N8" s="55">
        <f>MATCH(M8,[3]Calculos!$P$2:$P$11,0)</f>
        <v>4</v>
      </c>
      <c r="O8" s="55" t="str">
        <f>LOOKUP(N8,[3]Calculos!$Q$2:$R$11)</f>
        <v>Mayor</v>
      </c>
      <c r="P8" s="59">
        <f>IF(O8="","",IF(O8="Leve",20%,IF(O8="Menor",40%,IF(O8="Moderado",60%,IF(O8="Mayor",80%,IF(O8="Catastrófico",100%,""))))))</f>
        <v>0.8</v>
      </c>
      <c r="Q8" s="57" t="s">
        <v>133</v>
      </c>
      <c r="R8" s="46">
        <v>1</v>
      </c>
      <c r="S8" s="5" t="s">
        <v>269</v>
      </c>
      <c r="T8" s="9" t="str">
        <f t="shared" si="2"/>
        <v>Probabilidad</v>
      </c>
      <c r="U8" s="31" t="s">
        <v>135</v>
      </c>
      <c r="V8" s="32">
        <f t="shared" si="0"/>
        <v>0.25</v>
      </c>
      <c r="W8" s="31" t="s">
        <v>143</v>
      </c>
      <c r="X8" s="32">
        <f t="shared" si="1"/>
        <v>0.15</v>
      </c>
      <c r="Y8" s="32">
        <f>V8+X8</f>
        <v>0.4</v>
      </c>
      <c r="Z8" s="31" t="s">
        <v>203</v>
      </c>
      <c r="AA8" s="31" t="s">
        <v>190</v>
      </c>
      <c r="AB8" s="31" t="s">
        <v>191</v>
      </c>
      <c r="AC8" s="31" t="str">
        <f>IF(AD8="","",IF(AD8&lt;=20%,"Muy baja",IF(AND(AD8&gt;20%,AD8&lt;=40%),"Baja",IF(AND(AD8&gt;40%,AD8&lt;=60%),"Media",IF(AND(AD8&gt;60%,AD8&lt;=80%),"Alta",IF(AD8&gt;80%,"Muy alta",""))))))</f>
        <v>Muy baja</v>
      </c>
      <c r="AD8" s="33">
        <f>IF(U8="","",IF(U8="preventivo",$L$12-($L$12*Y8),IF(U8="detectivo",$L$12-($L$12*Y8),IF(U8="correctivo",$L$12,""))))</f>
        <v>0</v>
      </c>
      <c r="AE8" s="31" t="str">
        <f>IF(AF8="","",IF(AF8&lt;=20%,"Leve",IF(AND(AF8&gt;20%,AF8&lt;=40%),"Menor",IF(AND(AF8&gt;40%,AF8&lt;=60%),"Moderado",IF(AND(AF8&gt;60%,AF8&lt;=80%),"Mayor",IF(AF8&gt;80%,"Catastrófico",""))))))</f>
        <v>Leve</v>
      </c>
      <c r="AF8" s="33">
        <f>IF(U8="","",IF(U8="preventivo",$P$12,IF(U8="detectivo",$P$12,IF(U8="correctivo",$P$12-($P$12*Y8),""))))</f>
        <v>0</v>
      </c>
      <c r="AG8" s="9" t="str">
        <f>VLOOKUP(AC8,[3]Calculos!$V$2:$AA$7,MATCH([3]Riesgos!AE8,[3]Calculos!$V$2:$AA$2,0),FALSE)</f>
        <v>Moderado</v>
      </c>
      <c r="AH8" s="94" t="s">
        <v>270</v>
      </c>
      <c r="AI8" s="70" t="s">
        <v>271</v>
      </c>
      <c r="AJ8" s="55" t="s">
        <v>272</v>
      </c>
      <c r="AK8" s="193">
        <v>44926</v>
      </c>
      <c r="AL8" s="70" t="s">
        <v>273</v>
      </c>
      <c r="AM8" s="183" t="s">
        <v>274</v>
      </c>
    </row>
    <row r="9" spans="1:39" ht="78" x14ac:dyDescent="0.25">
      <c r="A9" s="61"/>
      <c r="B9" s="55"/>
      <c r="C9" s="70"/>
      <c r="D9" s="70"/>
      <c r="E9" s="70"/>
      <c r="F9" s="163"/>
      <c r="G9" s="55"/>
      <c r="H9" s="55"/>
      <c r="I9" s="70"/>
      <c r="J9" s="175"/>
      <c r="K9" s="170"/>
      <c r="L9" s="59"/>
      <c r="M9" s="55"/>
      <c r="N9" s="55"/>
      <c r="O9" s="55"/>
      <c r="P9" s="59"/>
      <c r="Q9" s="57"/>
      <c r="R9" s="46">
        <v>2</v>
      </c>
      <c r="S9" s="87" t="s">
        <v>275</v>
      </c>
      <c r="T9" s="9" t="str">
        <f t="shared" si="2"/>
        <v>Probabilidad</v>
      </c>
      <c r="U9" s="31" t="s">
        <v>135</v>
      </c>
      <c r="V9" s="32">
        <f t="shared" si="0"/>
        <v>0.25</v>
      </c>
      <c r="W9" s="31" t="s">
        <v>143</v>
      </c>
      <c r="X9" s="32">
        <f t="shared" si="1"/>
        <v>0.15</v>
      </c>
      <c r="Y9" s="32">
        <f t="shared" ref="Y9" si="6">V9+X9</f>
        <v>0.4</v>
      </c>
      <c r="Z9" s="31" t="s">
        <v>203</v>
      </c>
      <c r="AA9" s="31" t="s">
        <v>190</v>
      </c>
      <c r="AB9" s="31" t="s">
        <v>191</v>
      </c>
      <c r="AC9" s="31" t="str">
        <f t="shared" ref="AC9" si="7">IF(AD9="","",IF(AD9&lt;=20%,"Muy baja",IF(AND(AD9&gt;20%,AD9&lt;=40%),"Baja",IF(AND(AD9&gt;40%,AD9&lt;=60%),"Media",IF(AND(AD9&gt;60%,AD9&lt;=80%),"Alta",IF(AD9&gt;80%,"Muy alta",""))))))</f>
        <v>Muy baja</v>
      </c>
      <c r="AD9" s="33">
        <f>IF(U9="","",IF(U9="preventivo",$AD$12-($AD$12*Y9),IF(U9="detectivo",$AD$12-($AD$12*Y9),IF(U9="correctivo",$AD$12,""))))</f>
        <v>0.1512</v>
      </c>
      <c r="AE9" s="31" t="str">
        <f t="shared" ref="AE9" si="8">IF(AF9="","",IF(AF9&lt;=20%,"Leve",IF(AND(AF9&gt;20%,AF9&lt;=40%),"Menor",IF(AND(AF9&gt;40%,AF9&lt;=60%),"Moderado",IF(AND(AF9&gt;60%,AF9&lt;=80%),"Mayor",IF(AF9&gt;80%,"Catastrófico",""))))))</f>
        <v>Catastrófico</v>
      </c>
      <c r="AF9" s="33">
        <f>IF(U9="","",IF(U9="preventivo",$AF$12,IF(U9="detectivo",$AF$12,IF(U9="correctivo",$AF$12-($AF$12*Y9),""))))</f>
        <v>1</v>
      </c>
      <c r="AG9" s="9" t="str">
        <f>VLOOKUP(AC9,[3]Calculos!$V$2:$AA$7,MATCH([3]Riesgos!AE9,[3]Calculos!$V$2:$AA$2,0),FALSE)</f>
        <v>Moderado</v>
      </c>
      <c r="AH9" s="94"/>
      <c r="AI9" s="70"/>
      <c r="AJ9" s="55"/>
      <c r="AK9" s="193">
        <v>44926</v>
      </c>
      <c r="AL9" s="70"/>
      <c r="AM9" s="184"/>
    </row>
    <row r="10" spans="1:39" ht="74.25" customHeight="1" x14ac:dyDescent="0.25">
      <c r="A10" s="61" t="s">
        <v>238</v>
      </c>
      <c r="B10" s="55" t="s">
        <v>87</v>
      </c>
      <c r="C10" s="70" t="s">
        <v>239</v>
      </c>
      <c r="D10" s="70" t="s">
        <v>240</v>
      </c>
      <c r="E10" s="70" t="s">
        <v>241</v>
      </c>
      <c r="F10" s="163" t="s">
        <v>242</v>
      </c>
      <c r="G10" s="55" t="s">
        <v>59</v>
      </c>
      <c r="H10" s="55" t="s">
        <v>205</v>
      </c>
      <c r="I10" s="70" t="s">
        <v>155</v>
      </c>
      <c r="J10" s="175">
        <v>24</v>
      </c>
      <c r="K10" s="170" t="str">
        <f>IF(J10="","",IF(J10&lt;=2,"Muy baja",IF(AND(J10&gt;2,J10&lt;=24),"Baja",IF(AND(J10&gt;24,J10&lt;=500),"Media",IF(AND(J10&gt;500,J10&lt;=5000),"Alta",IF(J10&gt;5000,"Muy alta",""))))))</f>
        <v>Baja</v>
      </c>
      <c r="L10" s="59">
        <f>IF(K10="","",IF(K10="Muy baja",20%,IF(K10="Baja",40%,IF(K10="Media",60%,IF(K10="Alta",80%,IF(K10="Muy Alta",100%,""))))))</f>
        <v>0.4</v>
      </c>
      <c r="M10" s="55" t="s">
        <v>122</v>
      </c>
      <c r="N10" s="55">
        <f>MATCH(M10,[1]Calculos!$P$2:$P$11,0)</f>
        <v>9</v>
      </c>
      <c r="O10" s="55" t="str">
        <f>LOOKUP(N10,[1]Calculos!$Q$2:$R$11)</f>
        <v>Mayor</v>
      </c>
      <c r="P10" s="59">
        <f>IF(O10="","",IF(O10="Leve",20%,IF(O10="Menor",40%,IF(O10="Moderado",60%,IF(O10="Mayor",80%,IF(O10="Catastrófico",100%,""))))))</f>
        <v>0.8</v>
      </c>
      <c r="Q10" s="82" t="s">
        <v>133</v>
      </c>
      <c r="R10" s="46">
        <v>1</v>
      </c>
      <c r="S10" s="5" t="s">
        <v>243</v>
      </c>
      <c r="T10" s="9" t="str">
        <f t="shared" si="2"/>
        <v>Probabilidad</v>
      </c>
      <c r="U10" s="31" t="s">
        <v>135</v>
      </c>
      <c r="V10" s="32">
        <f t="shared" si="0"/>
        <v>0.25</v>
      </c>
      <c r="W10" s="31" t="s">
        <v>143</v>
      </c>
      <c r="X10" s="32">
        <f t="shared" si="1"/>
        <v>0.15</v>
      </c>
      <c r="Y10" s="32">
        <f>V10+X10</f>
        <v>0.4</v>
      </c>
      <c r="Z10" s="31" t="s">
        <v>203</v>
      </c>
      <c r="AA10" s="31" t="s">
        <v>190</v>
      </c>
      <c r="AB10" s="31" t="s">
        <v>212</v>
      </c>
      <c r="AC10" s="31" t="str">
        <f t="shared" ref="AC10:AC12" si="9">IF(AD10="","",IF(AD10&lt;=20%,"Muy baja",IF(AND(AD10&gt;20%,AD10&lt;=40%),"Baja",IF(AND(AD10&gt;40%,AD10&lt;=60%),"Media",IF(AND(AD10&gt;60%,AD10&lt;=80%),"Alta",IF(AD10&gt;80%,"Muy alta",""))))))</f>
        <v>Muy baja</v>
      </c>
      <c r="AD10" s="33">
        <f>IF(U10="","",IF(U10="preventivo",$L$12-($L$12*Y10),IF(U10="detectivo",$L$12-($L$12*Y10),IF(U10="correctivo",$L$12,""))))</f>
        <v>0</v>
      </c>
      <c r="AE10" s="31" t="str">
        <f t="shared" si="5"/>
        <v>Leve</v>
      </c>
      <c r="AF10" s="33">
        <f>IF(U10="","",IF(U10="preventivo",$P$12,IF(U10="detectivo",$P$12,IF(U10="correctivo",$P$12-($P$12*Y10),""))))</f>
        <v>0</v>
      </c>
      <c r="AG10" s="31" t="str">
        <f>VLOOKUP(AC10,[1]Calculos!$V$2:$AA$7,MATCH([1]Riesgos!AE8,[1]Calculos!$V$2:$AA$2,0),FALSE)</f>
        <v>Moderado</v>
      </c>
      <c r="AH10" s="94" t="s">
        <v>202</v>
      </c>
      <c r="AI10" s="5" t="s">
        <v>244</v>
      </c>
      <c r="AJ10" s="5" t="s">
        <v>206</v>
      </c>
      <c r="AK10" s="193">
        <v>44926</v>
      </c>
      <c r="AL10" s="5" t="s">
        <v>245</v>
      </c>
      <c r="AM10" s="53" t="s">
        <v>246</v>
      </c>
    </row>
    <row r="11" spans="1:39" ht="111" customHeight="1" x14ac:dyDescent="0.25">
      <c r="A11" s="61"/>
      <c r="B11" s="55"/>
      <c r="C11" s="70"/>
      <c r="D11" s="70"/>
      <c r="E11" s="70"/>
      <c r="F11" s="163"/>
      <c r="G11" s="55"/>
      <c r="H11" s="55"/>
      <c r="I11" s="70"/>
      <c r="J11" s="175"/>
      <c r="K11" s="170"/>
      <c r="L11" s="59"/>
      <c r="M11" s="55"/>
      <c r="N11" s="55"/>
      <c r="O11" s="55"/>
      <c r="P11" s="59"/>
      <c r="Q11" s="82"/>
      <c r="R11" s="46">
        <v>2</v>
      </c>
      <c r="S11" s="5" t="s">
        <v>247</v>
      </c>
      <c r="T11" s="9" t="str">
        <f t="shared" si="2"/>
        <v>Probabilidad</v>
      </c>
      <c r="U11" s="31" t="s">
        <v>135</v>
      </c>
      <c r="V11" s="32">
        <f t="shared" si="0"/>
        <v>0.25</v>
      </c>
      <c r="W11" s="31" t="s">
        <v>143</v>
      </c>
      <c r="X11" s="32">
        <f t="shared" si="1"/>
        <v>0.15</v>
      </c>
      <c r="Y11" s="32">
        <f t="shared" ref="Y11:Y12" si="10">V11+X11</f>
        <v>0.4</v>
      </c>
      <c r="Z11" s="31" t="s">
        <v>203</v>
      </c>
      <c r="AA11" s="31" t="s">
        <v>190</v>
      </c>
      <c r="AB11" s="31" t="s">
        <v>191</v>
      </c>
      <c r="AC11" s="31" t="str">
        <f t="shared" si="9"/>
        <v>Muy baja</v>
      </c>
      <c r="AD11" s="33">
        <f>IF(U11="","",IF(U11="preventivo",$AD$12-($AD$12*Y11),IF(U11="detectivo",$AD$12-($AD$12*Y11),IF(U11="correctivo",$AD$12,""))))</f>
        <v>0.1512</v>
      </c>
      <c r="AE11" s="31" t="str">
        <f t="shared" si="5"/>
        <v>Catastrófico</v>
      </c>
      <c r="AF11" s="33">
        <f>IF(U11="","",IF(U11="preventivo",$AF$12,IF(U11="detectivo",$AF$12,IF(U11="correctivo",$AF$12-($AF$12*Y11),""))))</f>
        <v>1</v>
      </c>
      <c r="AG11" s="31" t="str">
        <f>VLOOKUP(AC11,[1]Calculos!$V$2:$AA$7,MATCH([1]Riesgos!AE9,[1]Calculos!$V$2:$AA$2,0),FALSE)</f>
        <v>Moderado</v>
      </c>
      <c r="AH11" s="94"/>
      <c r="AI11" s="5" t="s">
        <v>248</v>
      </c>
      <c r="AJ11" s="5" t="s">
        <v>206</v>
      </c>
      <c r="AK11" s="193">
        <v>44926</v>
      </c>
      <c r="AL11" s="5" t="s">
        <v>249</v>
      </c>
      <c r="AM11" s="53" t="s">
        <v>250</v>
      </c>
    </row>
    <row r="12" spans="1:39" ht="135" customHeight="1" x14ac:dyDescent="0.25">
      <c r="A12" s="61"/>
      <c r="B12" s="55"/>
      <c r="C12" s="70"/>
      <c r="D12" s="70"/>
      <c r="E12" s="70"/>
      <c r="F12" s="163"/>
      <c r="G12" s="55"/>
      <c r="H12" s="55"/>
      <c r="I12" s="70"/>
      <c r="J12" s="175"/>
      <c r="K12" s="170"/>
      <c r="L12" s="59"/>
      <c r="M12" s="55"/>
      <c r="N12" s="55"/>
      <c r="O12" s="55"/>
      <c r="P12" s="59"/>
      <c r="Q12" s="82"/>
      <c r="R12" s="46">
        <v>3</v>
      </c>
      <c r="S12" s="5" t="s">
        <v>251</v>
      </c>
      <c r="T12" s="9" t="str">
        <f t="shared" si="2"/>
        <v>Probabilidad</v>
      </c>
      <c r="U12" s="31" t="s">
        <v>135</v>
      </c>
      <c r="V12" s="32">
        <f t="shared" si="0"/>
        <v>0.25</v>
      </c>
      <c r="W12" s="31" t="s">
        <v>143</v>
      </c>
      <c r="X12" s="32">
        <f t="shared" si="1"/>
        <v>0.15</v>
      </c>
      <c r="Y12" s="32">
        <f t="shared" si="10"/>
        <v>0.4</v>
      </c>
      <c r="Z12" s="31" t="s">
        <v>203</v>
      </c>
      <c r="AA12" s="31" t="s">
        <v>190</v>
      </c>
      <c r="AB12" s="31" t="s">
        <v>191</v>
      </c>
      <c r="AC12" s="31" t="str">
        <f t="shared" si="9"/>
        <v>Baja</v>
      </c>
      <c r="AD12" s="33">
        <f>IF(U12="","",IF(U12="preventivo",$AD$14-($AD$14*Y12),IF(U12="detectivo",$AD$14-($AD$14*Y12),IF(U12="correctivo",$AD$14,""))))</f>
        <v>0.252</v>
      </c>
      <c r="AE12" s="31" t="str">
        <f t="shared" si="5"/>
        <v>Catastrófico</v>
      </c>
      <c r="AF12" s="33">
        <f>IF(U12="","",IF(U12="preventivo",$AF$14,IF(U12="detectivo",$AF$14,IF(U12="correctivo",$AF$14-($AF$14*Y12),""))))</f>
        <v>1</v>
      </c>
      <c r="AG12" s="31" t="str">
        <f>VLOOKUP(AC12,[1]Calculos!$V$2:$AA$7,MATCH([1]Riesgos!AE10,[1]Calculos!$V$2:$AA$2,0),FALSE)</f>
        <v>Alto</v>
      </c>
      <c r="AH12" s="94"/>
      <c r="AI12" s="5" t="s">
        <v>252</v>
      </c>
      <c r="AJ12" s="5" t="s">
        <v>206</v>
      </c>
      <c r="AK12" s="193">
        <v>44926</v>
      </c>
      <c r="AL12" s="5" t="s">
        <v>253</v>
      </c>
      <c r="AM12" s="53" t="s">
        <v>254</v>
      </c>
    </row>
    <row r="13" spans="1:39" ht="251.25" customHeight="1" x14ac:dyDescent="0.25">
      <c r="A13" s="50" t="s">
        <v>255</v>
      </c>
      <c r="B13" s="49" t="s">
        <v>86</v>
      </c>
      <c r="C13" s="71" t="s">
        <v>256</v>
      </c>
      <c r="D13" s="71" t="s">
        <v>257</v>
      </c>
      <c r="E13" s="71" t="s">
        <v>258</v>
      </c>
      <c r="F13" s="5" t="s">
        <v>259</v>
      </c>
      <c r="G13" s="49" t="s">
        <v>59</v>
      </c>
      <c r="H13" s="49" t="s">
        <v>205</v>
      </c>
      <c r="I13" s="71" t="s">
        <v>155</v>
      </c>
      <c r="J13" s="176">
        <v>24</v>
      </c>
      <c r="K13" s="171" t="str">
        <f>IF(J13="","",IF(J13&lt;=2,"Muy baja",IF(AND(J13&gt;2,J13&lt;=24),"Baja",IF(AND(J13&gt;24,J13&lt;=500),"Media",IF(AND(J13&gt;500,J13&lt;=5000),"Alta",IF(J13&gt;5000,"Muy alta",""))))))</f>
        <v>Baja</v>
      </c>
      <c r="L13" s="48">
        <f>IF(K13="","",IF(K13="Muy baja",20%,IF(K13="Baja",40%,IF(K13="Media",60%,IF(K13="Alta",80%,IF(K13="Muy Alta",100%,""))))))</f>
        <v>0.4</v>
      </c>
      <c r="M13" s="49" t="s">
        <v>122</v>
      </c>
      <c r="N13" s="49">
        <f>MATCH(M13,[1]Calculos!$P$2:$P$11,0)</f>
        <v>9</v>
      </c>
      <c r="O13" s="49" t="str">
        <f>LOOKUP(N13,[1]Calculos!$Q$2:$R$11)</f>
        <v>Mayor</v>
      </c>
      <c r="P13" s="48">
        <f>IF(O13="","",IF(O13="Leve",20%,IF(O13="Menor",40%,IF(O13="Moderado",60%,IF(O13="Mayor",80%,IF(O13="Catastrófico",100%,""))))))</f>
        <v>0.8</v>
      </c>
      <c r="Q13" s="46" t="s">
        <v>133</v>
      </c>
      <c r="R13" s="46">
        <v>1</v>
      </c>
      <c r="S13" s="5" t="s">
        <v>260</v>
      </c>
      <c r="T13" s="9" t="str">
        <f t="shared" si="2"/>
        <v>Probabilidad</v>
      </c>
      <c r="U13" s="31" t="s">
        <v>135</v>
      </c>
      <c r="V13" s="32">
        <f t="shared" si="0"/>
        <v>0.25</v>
      </c>
      <c r="W13" s="31" t="s">
        <v>143</v>
      </c>
      <c r="X13" s="32">
        <f t="shared" si="1"/>
        <v>0.15</v>
      </c>
      <c r="Y13" s="32">
        <f>V13+X13</f>
        <v>0.4</v>
      </c>
      <c r="Z13" s="31" t="s">
        <v>203</v>
      </c>
      <c r="AA13" s="31" t="s">
        <v>190</v>
      </c>
      <c r="AB13" s="31" t="s">
        <v>191</v>
      </c>
      <c r="AC13" s="31" t="str">
        <f>IF(AD13="","",IF(AD13&lt;=20%,"Muy baja",IF(AND(AD13&gt;20%,AD13&lt;=40%),"Baja",IF(AND(AD13&gt;40%,AD13&lt;=60%),"Media",IF(AND(AD13&gt;60%,AD13&lt;=80%),"Alta",IF(AD13&gt;80%,"Muy alta",""))))))</f>
        <v>Muy baja</v>
      </c>
      <c r="AD13" s="33">
        <f>IF(U13="","",IF(U13="preventivo",$L$15-($L$15*Y13),IF(U13="detectivo",$L$15-($L$15*Y13),IF(U13="correctivo",$L$15,""))))</f>
        <v>0</v>
      </c>
      <c r="AE13" s="31" t="str">
        <f>IF(AF13="","",IF(AF13&lt;=20%,"Leve",IF(AND(AF13&gt;20%,AF13&lt;=40%),"Menor",IF(AND(AF13&gt;40%,AF13&lt;=60%),"Moderado",IF(AND(AF13&gt;60%,AF13&lt;=80%),"Mayor",IF(AF13&gt;80%,"Catastrófico",""))))))</f>
        <v>Leve</v>
      </c>
      <c r="AF13" s="33">
        <f>IF(U13="","",IF(U13="preventivo",$P$15,IF(U13="detectivo",$P$15,IF(U13="correctivo",$P$15-($P$15*Y13),""))))</f>
        <v>0</v>
      </c>
      <c r="AG13" s="31" t="str">
        <f>VLOOKUP(AC13,[1]Calculos!$V$2:$AA$7,MATCH([1]Riesgos!AE11,[1]Calculos!$V$2:$AA$2,0),FALSE)</f>
        <v>Alto</v>
      </c>
      <c r="AH13" s="31"/>
      <c r="AI13" s="5" t="s">
        <v>261</v>
      </c>
      <c r="AJ13" s="5" t="s">
        <v>206</v>
      </c>
      <c r="AK13" s="193">
        <v>44926</v>
      </c>
      <c r="AL13" s="5" t="s">
        <v>262</v>
      </c>
      <c r="AM13" s="53" t="s">
        <v>263</v>
      </c>
    </row>
    <row r="14" spans="1:39" ht="57" customHeight="1" x14ac:dyDescent="0.25">
      <c r="A14" s="80" t="s">
        <v>207</v>
      </c>
      <c r="B14" s="55" t="s">
        <v>86</v>
      </c>
      <c r="C14" s="70" t="s">
        <v>208</v>
      </c>
      <c r="D14" s="70" t="s">
        <v>209</v>
      </c>
      <c r="E14" s="70"/>
      <c r="F14" s="163" t="s">
        <v>210</v>
      </c>
      <c r="G14" s="55" t="s">
        <v>59</v>
      </c>
      <c r="H14" s="55" t="s">
        <v>95</v>
      </c>
      <c r="I14" s="70" t="s">
        <v>155</v>
      </c>
      <c r="J14" s="175">
        <v>261</v>
      </c>
      <c r="K14" s="170" t="str">
        <f>IF(J14="","",IF(J14&lt;=2,"Muy baja",IF(AND(J14&gt;2,J14&lt;=24),"Baja",IF(AND(J14&gt;24,J14&lt;=500),"Media",IF(AND(J14&gt;500,J14&lt;=5000),"Alta",IF(J14&gt;5000,"Muy alta",""))))))</f>
        <v>Media</v>
      </c>
      <c r="L14" s="59">
        <f>IF(K14="","",IF(K14="Muy baja",20%,IF(K14="Baja",40%,IF(K14="Media",60%,IF(K14="Alta",80%,IF(K14="Muy Alta",100%,""))))))</f>
        <v>0.6</v>
      </c>
      <c r="M14" s="55" t="s">
        <v>123</v>
      </c>
      <c r="N14" s="55">
        <f>MATCH(M14,[2]Hoja2!$P$2:$P$11,0)</f>
        <v>10</v>
      </c>
      <c r="O14" s="55" t="str">
        <f>LOOKUP(N14,[2]Hoja2!$Q$2:$R$11)</f>
        <v>Catastrófico</v>
      </c>
      <c r="P14" s="59">
        <f>IF(O14="","",IF(O14="Leve",20%,IF(O14="Menor",40%,IF(O14="Moderado",60%,IF(O14="Mayor",80%,IF(O14="Catastrófico",100%,""))))))</f>
        <v>1</v>
      </c>
      <c r="Q14" s="57" t="s">
        <v>132</v>
      </c>
      <c r="R14" s="46">
        <v>1</v>
      </c>
      <c r="S14" s="71" t="s">
        <v>211</v>
      </c>
      <c r="T14" s="9" t="str">
        <f t="shared" ref="T14:T17" si="11">IF(U14="","",IF(U14="Preventivo","Probabilidad",IF(U14="Detectivo","Probabilidad",IF(U14="Correctivo","Impacto",""))))</f>
        <v>Probabilidad</v>
      </c>
      <c r="U14" s="31" t="s">
        <v>137</v>
      </c>
      <c r="V14" s="32">
        <v>0.15</v>
      </c>
      <c r="W14" s="31" t="s">
        <v>143</v>
      </c>
      <c r="X14" s="32">
        <v>0.15</v>
      </c>
      <c r="Y14" s="32">
        <v>0.3</v>
      </c>
      <c r="Z14" s="31" t="s">
        <v>203</v>
      </c>
      <c r="AA14" s="31" t="s">
        <v>190</v>
      </c>
      <c r="AB14" s="31" t="s">
        <v>212</v>
      </c>
      <c r="AC14" s="31" t="s">
        <v>102</v>
      </c>
      <c r="AD14" s="33">
        <v>0.42</v>
      </c>
      <c r="AE14" s="31" t="s">
        <v>131</v>
      </c>
      <c r="AF14" s="33">
        <v>1</v>
      </c>
      <c r="AG14" s="9" t="s">
        <v>132</v>
      </c>
      <c r="AH14" s="31" t="s">
        <v>213</v>
      </c>
      <c r="AI14" s="71" t="s">
        <v>214</v>
      </c>
      <c r="AJ14" s="71" t="s">
        <v>215</v>
      </c>
      <c r="AK14" s="193">
        <v>44926</v>
      </c>
      <c r="AL14" s="71" t="s">
        <v>216</v>
      </c>
      <c r="AM14" s="53" t="s">
        <v>217</v>
      </c>
    </row>
    <row r="15" spans="1:39" ht="60" customHeight="1" x14ac:dyDescent="0.25">
      <c r="A15" s="80"/>
      <c r="B15" s="55"/>
      <c r="C15" s="70"/>
      <c r="D15" s="70"/>
      <c r="E15" s="70"/>
      <c r="F15" s="163"/>
      <c r="G15" s="55"/>
      <c r="H15" s="55"/>
      <c r="I15" s="70"/>
      <c r="J15" s="175"/>
      <c r="K15" s="170"/>
      <c r="L15" s="59"/>
      <c r="M15" s="55"/>
      <c r="N15" s="55"/>
      <c r="O15" s="55"/>
      <c r="P15" s="59"/>
      <c r="Q15" s="57"/>
      <c r="R15" s="46">
        <v>2</v>
      </c>
      <c r="S15" s="71" t="s">
        <v>218</v>
      </c>
      <c r="T15" s="9" t="str">
        <f t="shared" si="11"/>
        <v>Impacto</v>
      </c>
      <c r="U15" s="31" t="s">
        <v>138</v>
      </c>
      <c r="V15" s="32">
        <v>0.1</v>
      </c>
      <c r="W15" s="31" t="s">
        <v>143</v>
      </c>
      <c r="X15" s="32">
        <v>0.15</v>
      </c>
      <c r="Y15" s="32">
        <v>0.25</v>
      </c>
      <c r="Z15" s="31" t="s">
        <v>189</v>
      </c>
      <c r="AA15" s="31" t="s">
        <v>219</v>
      </c>
      <c r="AB15" s="31" t="s">
        <v>191</v>
      </c>
      <c r="AC15" s="31" t="s">
        <v>102</v>
      </c>
      <c r="AD15" s="33">
        <v>0.42</v>
      </c>
      <c r="AE15" s="31" t="s">
        <v>127</v>
      </c>
      <c r="AF15" s="33">
        <v>0.75</v>
      </c>
      <c r="AG15" s="9" t="s">
        <v>133</v>
      </c>
      <c r="AH15" s="31" t="s">
        <v>213</v>
      </c>
      <c r="AI15" s="71" t="s">
        <v>220</v>
      </c>
      <c r="AJ15" s="71" t="s">
        <v>215</v>
      </c>
      <c r="AK15" s="193">
        <v>44681</v>
      </c>
      <c r="AL15" s="71" t="s">
        <v>221</v>
      </c>
      <c r="AM15" s="53" t="s">
        <v>222</v>
      </c>
    </row>
    <row r="16" spans="1:39" ht="78" x14ac:dyDescent="0.25">
      <c r="A16" s="80"/>
      <c r="B16" s="55"/>
      <c r="C16" s="70"/>
      <c r="D16" s="70"/>
      <c r="E16" s="70"/>
      <c r="F16" s="163"/>
      <c r="G16" s="55"/>
      <c r="H16" s="55"/>
      <c r="I16" s="70"/>
      <c r="J16" s="175"/>
      <c r="K16" s="170"/>
      <c r="L16" s="59"/>
      <c r="M16" s="55"/>
      <c r="N16" s="55"/>
      <c r="O16" s="55"/>
      <c r="P16" s="59"/>
      <c r="Q16" s="57"/>
      <c r="R16" s="46">
        <v>3</v>
      </c>
      <c r="S16" s="71" t="s">
        <v>223</v>
      </c>
      <c r="T16" s="9" t="str">
        <f t="shared" si="11"/>
        <v>Probabilidad</v>
      </c>
      <c r="U16" s="31" t="s">
        <v>135</v>
      </c>
      <c r="V16" s="32">
        <v>0.25</v>
      </c>
      <c r="W16" s="31" t="s">
        <v>143</v>
      </c>
      <c r="X16" s="32">
        <v>0.15</v>
      </c>
      <c r="Y16" s="32">
        <v>0.4</v>
      </c>
      <c r="Z16" s="31" t="s">
        <v>203</v>
      </c>
      <c r="AA16" s="31" t="s">
        <v>219</v>
      </c>
      <c r="AB16" s="31" t="s">
        <v>191</v>
      </c>
      <c r="AC16" s="31" t="s">
        <v>113</v>
      </c>
      <c r="AD16" s="33">
        <v>0.252</v>
      </c>
      <c r="AE16" s="31" t="s">
        <v>127</v>
      </c>
      <c r="AF16" s="33">
        <v>0.75</v>
      </c>
      <c r="AG16" s="9" t="s">
        <v>133</v>
      </c>
      <c r="AH16" s="31" t="s">
        <v>213</v>
      </c>
      <c r="AI16" s="71" t="s">
        <v>224</v>
      </c>
      <c r="AJ16" s="71" t="s">
        <v>215</v>
      </c>
      <c r="AK16" s="193">
        <v>44681</v>
      </c>
      <c r="AL16" s="71" t="s">
        <v>221</v>
      </c>
      <c r="AM16" s="53" t="s">
        <v>225</v>
      </c>
    </row>
    <row r="17" spans="1:39" ht="45" x14ac:dyDescent="0.25">
      <c r="A17" s="80" t="s">
        <v>226</v>
      </c>
      <c r="B17" s="72" t="s">
        <v>86</v>
      </c>
      <c r="C17" s="73" t="s">
        <v>227</v>
      </c>
      <c r="D17" s="73" t="s">
        <v>228</v>
      </c>
      <c r="E17" s="70"/>
      <c r="F17" s="164" t="s">
        <v>229</v>
      </c>
      <c r="G17" s="55" t="s">
        <v>59</v>
      </c>
      <c r="H17" s="72" t="s">
        <v>95</v>
      </c>
      <c r="I17" s="73" t="s">
        <v>155</v>
      </c>
      <c r="J17" s="177">
        <v>261</v>
      </c>
      <c r="K17" s="172" t="str">
        <f>IF(J17="","",IF(J17&lt;=2,"Muy baja",IF(AND(J17&gt;2,J17&lt;=24),"Baja",IF(AND(J17&gt;24,J17&lt;=500),"Media",IF(AND(J17&gt;500,J17&lt;=5000),"Alta",IF(J17&gt;5000,"Muy alta",""))))))</f>
        <v>Media</v>
      </c>
      <c r="L17" s="74">
        <f>IF(K17="","",IF(K17="Muy baja",20%,IF(K17="Baja",40%,IF(K17="Media",60%,IF(K17="Alta",80%,IF(K17="Muy Alta",100%,""))))))</f>
        <v>0.6</v>
      </c>
      <c r="M17" s="72" t="s">
        <v>123</v>
      </c>
      <c r="N17" s="72">
        <f>MATCH(M17,[2]Hoja2!$P$2:$P$11,0)</f>
        <v>10</v>
      </c>
      <c r="O17" s="72" t="str">
        <f>LOOKUP(N17,[2]Hoja2!$Q$2:$R$11)</f>
        <v>Catastrófico</v>
      </c>
      <c r="P17" s="74">
        <f>IF(O17="","",IF(O17="Leve",20%,IF(O17="Menor",40%,IF(O17="Moderado",60%,IF(O17="Mayor",80%,IF(O17="Catastrófico",100%,""))))))</f>
        <v>1</v>
      </c>
      <c r="Q17" s="57" t="s">
        <v>132</v>
      </c>
      <c r="R17" s="75">
        <v>1</v>
      </c>
      <c r="S17" s="72" t="s">
        <v>230</v>
      </c>
      <c r="T17" s="69" t="str">
        <f t="shared" si="11"/>
        <v>Impacto</v>
      </c>
      <c r="U17" s="76" t="s">
        <v>138</v>
      </c>
      <c r="V17" s="77">
        <v>0.1</v>
      </c>
      <c r="W17" s="76" t="s">
        <v>143</v>
      </c>
      <c r="X17" s="77">
        <v>0.15</v>
      </c>
      <c r="Y17" s="77">
        <v>0.25</v>
      </c>
      <c r="Z17" s="76" t="s">
        <v>189</v>
      </c>
      <c r="AA17" s="76" t="s">
        <v>190</v>
      </c>
      <c r="AB17" s="76" t="s">
        <v>191</v>
      </c>
      <c r="AC17" s="76" t="s">
        <v>102</v>
      </c>
      <c r="AD17" s="78">
        <v>0.6</v>
      </c>
      <c r="AE17" s="76" t="s">
        <v>127</v>
      </c>
      <c r="AF17" s="78">
        <v>0.75</v>
      </c>
      <c r="AG17" s="79" t="s">
        <v>133</v>
      </c>
      <c r="AH17" s="76" t="s">
        <v>202</v>
      </c>
      <c r="AI17" s="52" t="s">
        <v>231</v>
      </c>
      <c r="AJ17" s="52" t="s">
        <v>232</v>
      </c>
      <c r="AK17" s="193">
        <v>44926</v>
      </c>
      <c r="AL17" s="73" t="s">
        <v>233</v>
      </c>
      <c r="AM17" s="81" t="s">
        <v>234</v>
      </c>
    </row>
    <row r="18" spans="1:39" ht="30" x14ac:dyDescent="0.25">
      <c r="A18" s="80"/>
      <c r="B18" s="72"/>
      <c r="C18" s="73"/>
      <c r="D18" s="73"/>
      <c r="E18" s="70"/>
      <c r="F18" s="164"/>
      <c r="G18" s="55"/>
      <c r="H18" s="72"/>
      <c r="I18" s="73"/>
      <c r="J18" s="177"/>
      <c r="K18" s="172"/>
      <c r="L18" s="74"/>
      <c r="M18" s="72"/>
      <c r="N18" s="72"/>
      <c r="O18" s="72"/>
      <c r="P18" s="74"/>
      <c r="Q18" s="57"/>
      <c r="R18" s="75">
        <v>2</v>
      </c>
      <c r="S18" s="72"/>
      <c r="T18" s="69"/>
      <c r="U18" s="76"/>
      <c r="V18" s="77"/>
      <c r="W18" s="76"/>
      <c r="X18" s="77"/>
      <c r="Y18" s="77"/>
      <c r="Z18" s="76"/>
      <c r="AA18" s="76"/>
      <c r="AB18" s="76"/>
      <c r="AC18" s="76"/>
      <c r="AD18" s="78"/>
      <c r="AE18" s="76"/>
      <c r="AF18" s="78"/>
      <c r="AG18" s="79"/>
      <c r="AH18" s="76"/>
      <c r="AI18" s="52" t="s">
        <v>235</v>
      </c>
      <c r="AJ18" s="52" t="s">
        <v>236</v>
      </c>
      <c r="AK18" s="193">
        <v>44926</v>
      </c>
      <c r="AL18" s="73"/>
      <c r="AM18" s="81"/>
    </row>
    <row r="19" spans="1:39" ht="45" x14ac:dyDescent="0.25">
      <c r="A19" s="80"/>
      <c r="B19" s="72"/>
      <c r="C19" s="73"/>
      <c r="D19" s="73"/>
      <c r="E19" s="70"/>
      <c r="F19" s="164"/>
      <c r="G19" s="55"/>
      <c r="H19" s="72"/>
      <c r="I19" s="73"/>
      <c r="J19" s="177"/>
      <c r="K19" s="172"/>
      <c r="L19" s="74"/>
      <c r="M19" s="72"/>
      <c r="N19" s="72"/>
      <c r="O19" s="72"/>
      <c r="P19" s="74"/>
      <c r="Q19" s="57"/>
      <c r="R19" s="75">
        <v>3</v>
      </c>
      <c r="S19" s="72"/>
      <c r="T19" s="69"/>
      <c r="U19" s="76"/>
      <c r="V19" s="77"/>
      <c r="W19" s="76"/>
      <c r="X19" s="77"/>
      <c r="Y19" s="77"/>
      <c r="Z19" s="76"/>
      <c r="AA19" s="76"/>
      <c r="AB19" s="76"/>
      <c r="AC19" s="76"/>
      <c r="AD19" s="78"/>
      <c r="AE19" s="76"/>
      <c r="AF19" s="78"/>
      <c r="AG19" s="79"/>
      <c r="AH19" s="76"/>
      <c r="AI19" s="52" t="s">
        <v>237</v>
      </c>
      <c r="AJ19" s="52" t="s">
        <v>232</v>
      </c>
      <c r="AK19" s="193">
        <v>44926</v>
      </c>
      <c r="AL19" s="73"/>
      <c r="AM19" s="81"/>
    </row>
    <row r="20" spans="1:39" ht="70.5" customHeight="1" x14ac:dyDescent="0.25">
      <c r="A20" s="61" t="s">
        <v>276</v>
      </c>
      <c r="B20" s="55" t="s">
        <v>87</v>
      </c>
      <c r="C20" s="70" t="s">
        <v>277</v>
      </c>
      <c r="D20" s="70" t="s">
        <v>278</v>
      </c>
      <c r="E20" s="70" t="s">
        <v>279</v>
      </c>
      <c r="F20" s="163" t="s">
        <v>280</v>
      </c>
      <c r="G20" s="55" t="s">
        <v>59</v>
      </c>
      <c r="H20" s="55" t="s">
        <v>90</v>
      </c>
      <c r="I20" s="70" t="s">
        <v>156</v>
      </c>
      <c r="J20" s="175">
        <v>365</v>
      </c>
      <c r="K20" s="170" t="str">
        <f>IF(J20="","",IF(J20&lt;=2,"Muy baja",IF(AND(J20&gt;2,J20&lt;=24),"Baja",IF(AND(J20&gt;24,J20&lt;=500),"Media",IF(AND(J20&gt;500,J20&lt;=5000),"Alta",IF(J20&gt;5000,"Muy alta",""))))))</f>
        <v>Media</v>
      </c>
      <c r="L20" s="59">
        <f>IF(K20="","",IF(K20="Muy baja",20%,IF(K20="Baja",40%,IF(K20="Media",60%,IF(K20="Alta",80%,IF(K20="Muy Alta",100%,""))))))</f>
        <v>0.6</v>
      </c>
      <c r="M20" s="55" t="s">
        <v>118</v>
      </c>
      <c r="N20" s="55">
        <f>MATCH(M20,[4]Calculos!$P$2:$P$11,0)</f>
        <v>4</v>
      </c>
      <c r="O20" s="55" t="str">
        <f>LOOKUP(N20,[4]Calculos!$Q$2:$R$11)</f>
        <v>Mayor</v>
      </c>
      <c r="P20" s="59">
        <f>IF(O20="","",IF(O20="Leve",20%,IF(O20="Menor",40%,IF(O20="Moderado",60%,IF(O20="Mayor",80%,IF(O20="Catastrófico",100%,""))))))</f>
        <v>0.8</v>
      </c>
      <c r="Q20" s="93" t="s">
        <v>133</v>
      </c>
      <c r="R20" s="46">
        <v>1</v>
      </c>
      <c r="S20" s="5" t="s">
        <v>281</v>
      </c>
      <c r="T20" s="9" t="str">
        <f>IF(U20="","",IF(U20="Preventivo","Probabilidad",IF(U20="Detectivo","Probabilidad",IF(U20="Correctivo","Impacto",""))))</f>
        <v>Probabilidad</v>
      </c>
      <c r="U20" s="31" t="s">
        <v>135</v>
      </c>
      <c r="V20" s="32">
        <v>0.25</v>
      </c>
      <c r="W20" s="31" t="s">
        <v>143</v>
      </c>
      <c r="X20" s="32">
        <v>0.15</v>
      </c>
      <c r="Y20" s="32">
        <v>0.4</v>
      </c>
      <c r="Z20" s="31" t="s">
        <v>189</v>
      </c>
      <c r="AA20" s="31" t="s">
        <v>190</v>
      </c>
      <c r="AB20" s="31" t="s">
        <v>191</v>
      </c>
      <c r="AC20" s="31" t="s">
        <v>113</v>
      </c>
      <c r="AD20" s="33">
        <v>0.36</v>
      </c>
      <c r="AE20" s="31" t="s">
        <v>127</v>
      </c>
      <c r="AF20" s="33">
        <v>0.8</v>
      </c>
      <c r="AG20" s="9" t="s">
        <v>133</v>
      </c>
      <c r="AH20" s="94" t="s">
        <v>202</v>
      </c>
      <c r="AI20" s="73" t="s">
        <v>282</v>
      </c>
      <c r="AJ20" s="95" t="s">
        <v>283</v>
      </c>
      <c r="AK20" s="194">
        <v>44926</v>
      </c>
      <c r="AL20" s="70" t="s">
        <v>284</v>
      </c>
      <c r="AM20" s="185" t="s">
        <v>285</v>
      </c>
    </row>
    <row r="21" spans="1:39" ht="70.5" x14ac:dyDescent="0.25">
      <c r="A21" s="61"/>
      <c r="B21" s="55"/>
      <c r="C21" s="70"/>
      <c r="D21" s="70"/>
      <c r="E21" s="70"/>
      <c r="F21" s="163"/>
      <c r="G21" s="55"/>
      <c r="H21" s="55"/>
      <c r="I21" s="70"/>
      <c r="J21" s="175"/>
      <c r="K21" s="170"/>
      <c r="L21" s="59"/>
      <c r="M21" s="55"/>
      <c r="N21" s="55"/>
      <c r="O21" s="55"/>
      <c r="P21" s="59"/>
      <c r="Q21" s="93"/>
      <c r="R21" s="46">
        <v>2</v>
      </c>
      <c r="S21" s="5" t="s">
        <v>286</v>
      </c>
      <c r="T21" s="9" t="str">
        <f t="shared" ref="T21:T22" si="12">IF(U21="","",IF(U21="Preventivo","Probabilidad",IF(U21="Detectivo","Probabilidad",IF(U21="Correctivo","Impacto",""))))</f>
        <v>Probabilidad</v>
      </c>
      <c r="U21" s="31" t="s">
        <v>135</v>
      </c>
      <c r="V21" s="32">
        <v>0.25</v>
      </c>
      <c r="W21" s="31" t="s">
        <v>143</v>
      </c>
      <c r="X21" s="32">
        <v>0.15</v>
      </c>
      <c r="Y21" s="32">
        <v>0.4</v>
      </c>
      <c r="Z21" s="31" t="s">
        <v>189</v>
      </c>
      <c r="AA21" s="31" t="s">
        <v>190</v>
      </c>
      <c r="AB21" s="31" t="s">
        <v>191</v>
      </c>
      <c r="AC21" s="31" t="s">
        <v>113</v>
      </c>
      <c r="AD21" s="33">
        <v>0.216</v>
      </c>
      <c r="AE21" s="31" t="s">
        <v>127</v>
      </c>
      <c r="AF21" s="33">
        <v>0.8</v>
      </c>
      <c r="AG21" s="9" t="s">
        <v>133</v>
      </c>
      <c r="AH21" s="94"/>
      <c r="AI21" s="73"/>
      <c r="AJ21" s="95"/>
      <c r="AK21" s="194"/>
      <c r="AL21" s="70"/>
      <c r="AM21" s="185"/>
    </row>
    <row r="22" spans="1:39" ht="70.5" x14ac:dyDescent="0.25">
      <c r="A22" s="61"/>
      <c r="B22" s="55"/>
      <c r="C22" s="70"/>
      <c r="D22" s="70"/>
      <c r="E22" s="70"/>
      <c r="F22" s="163"/>
      <c r="G22" s="55"/>
      <c r="H22" s="55"/>
      <c r="I22" s="70"/>
      <c r="J22" s="175"/>
      <c r="K22" s="170"/>
      <c r="L22" s="59"/>
      <c r="M22" s="55"/>
      <c r="N22" s="55"/>
      <c r="O22" s="55"/>
      <c r="P22" s="59"/>
      <c r="Q22" s="93"/>
      <c r="R22" s="46">
        <v>3</v>
      </c>
      <c r="S22" s="92" t="s">
        <v>287</v>
      </c>
      <c r="T22" s="9" t="str">
        <f t="shared" si="12"/>
        <v>Probabilidad</v>
      </c>
      <c r="U22" s="31" t="s">
        <v>135</v>
      </c>
      <c r="V22" s="32">
        <v>0.25</v>
      </c>
      <c r="W22" s="31" t="s">
        <v>143</v>
      </c>
      <c r="X22" s="32">
        <v>0.15</v>
      </c>
      <c r="Y22" s="32">
        <v>0.4</v>
      </c>
      <c r="Z22" s="31" t="s">
        <v>189</v>
      </c>
      <c r="AA22" s="31" t="s">
        <v>190</v>
      </c>
      <c r="AB22" s="31" t="s">
        <v>191</v>
      </c>
      <c r="AC22" s="31" t="s">
        <v>100</v>
      </c>
      <c r="AD22" s="33">
        <v>0.12959999999999999</v>
      </c>
      <c r="AE22" s="31" t="s">
        <v>127</v>
      </c>
      <c r="AF22" s="33">
        <v>0.8</v>
      </c>
      <c r="AG22" s="9" t="s">
        <v>133</v>
      </c>
      <c r="AH22" s="94"/>
      <c r="AI22" s="73"/>
      <c r="AJ22" s="95"/>
      <c r="AK22" s="194"/>
      <c r="AL22" s="70"/>
      <c r="AM22" s="185"/>
    </row>
    <row r="23" spans="1:39" ht="70.5" customHeight="1" x14ac:dyDescent="0.25">
      <c r="A23" s="61" t="s">
        <v>288</v>
      </c>
      <c r="B23" s="55" t="s">
        <v>86</v>
      </c>
      <c r="C23" s="70" t="s">
        <v>289</v>
      </c>
      <c r="D23" s="70" t="s">
        <v>290</v>
      </c>
      <c r="E23" s="70" t="s">
        <v>291</v>
      </c>
      <c r="F23" s="165" t="s">
        <v>292</v>
      </c>
      <c r="G23" s="55" t="s">
        <v>59</v>
      </c>
      <c r="H23" s="55" t="s">
        <v>90</v>
      </c>
      <c r="I23" s="70" t="s">
        <v>156</v>
      </c>
      <c r="J23" s="175">
        <v>365</v>
      </c>
      <c r="K23" s="170" t="str">
        <f>IF(J23="","",IF(J23&lt;=2,"Muy baja",IF(AND(J23&gt;2,J23&lt;=24),"Baja",IF(AND(J23&gt;24,J23&lt;=500),"Media",IF(AND(J23&gt;500,J23&lt;=5000),"Alta",IF(J23&gt;5000,"Muy alta",""))))))</f>
        <v>Media</v>
      </c>
      <c r="L23" s="59">
        <f>IF(K23="","",IF(K23="Muy baja",20%,IF(K23="Baja",40%,IF(K23="Media",60%,IF(K23="Alta",80%,IF(K23="Muy Alta",100%,""))))))</f>
        <v>0.6</v>
      </c>
      <c r="M23" s="55" t="s">
        <v>122</v>
      </c>
      <c r="N23" s="55">
        <f>MATCH(M23,[5]Calculos!$P$2:$P$11,0)</f>
        <v>9</v>
      </c>
      <c r="O23" s="55" t="str">
        <f>LOOKUP(N23,[5]Calculos!$Q$2:$R$11)</f>
        <v>Mayor</v>
      </c>
      <c r="P23" s="59">
        <f>IF(O23="","",IF(O23="Leve",20%,IF(O23="Menor",40%,IF(O23="Moderado",60%,IF(O23="Mayor",80%,IF(O23="Catastrófico",100%,""))))))</f>
        <v>0.8</v>
      </c>
      <c r="Q23" s="93" t="s">
        <v>133</v>
      </c>
      <c r="R23" s="46">
        <v>1</v>
      </c>
      <c r="S23" s="71" t="s">
        <v>293</v>
      </c>
      <c r="T23" s="9" t="str">
        <f>IF(U23="","",IF(U23="Preventivo","Probabilidad",IF(U23="Detectivo","Probabilidad",IF(U23="Correctivo","Impacto",""))))</f>
        <v>Probabilidad</v>
      </c>
      <c r="U23" s="31" t="s">
        <v>137</v>
      </c>
      <c r="V23" s="32">
        <f t="shared" ref="V23:V34" si="13">IF(U23="","",IF(U23="preventivo",25%,IF(U23="detectivo",15%,IF(U23="correctivo",10%,""))))</f>
        <v>0.15</v>
      </c>
      <c r="W23" s="31" t="s">
        <v>143</v>
      </c>
      <c r="X23" s="32">
        <f t="shared" ref="X23:X34" si="14">IF(W23="","",IF(W23="Automático",25%,IF(W23="manual",15%,"")))</f>
        <v>0.15</v>
      </c>
      <c r="Y23" s="32">
        <f>V23+X23</f>
        <v>0.3</v>
      </c>
      <c r="Z23" s="31" t="s">
        <v>189</v>
      </c>
      <c r="AA23" s="31" t="s">
        <v>219</v>
      </c>
      <c r="AB23" s="31" t="s">
        <v>191</v>
      </c>
      <c r="AC23" s="31" t="str">
        <f>IF(AD23="","",IF(AD23&lt;=20%,"Muy baja",IF(AND(AD23&gt;20%,AD23&lt;=40%),"Baja",IF(AND(AD23&gt;40%,AD23&lt;=60%),"Media",IF(AND(AD23&gt;60%,AD23&lt;=80%),"Alta",IF(AD23&gt;80%,"Muy alta",""))))))</f>
        <v>Muy baja</v>
      </c>
      <c r="AD23" s="33">
        <f>IF(U23="","",IF(U23="preventivo",$L$7-($L$7*Y23),IF(U23="detectivo",$L$7-($L$7*Y23),IF(U23="correctivo",$L$7,""))))</f>
        <v>0</v>
      </c>
      <c r="AE23" s="31" t="str">
        <f>IF(AF23="","",IF(AF23&lt;=20%,"Leve",IF(AND(AF23&gt;20%,AF23&lt;=40%),"Menor",IF(AND(AF23&gt;40%,AF23&lt;=60%),"Moderado",IF(AND(AF23&gt;60%,AF23&lt;=80%),"Mayor",IF(AF23&gt;80%,"Catastrófico",""))))))</f>
        <v>Leve</v>
      </c>
      <c r="AF23" s="33">
        <f>IF(U23="","",IF(U23="preventivo",$P$7,IF(U23="detectivo",$P$7,IF(U23="correctivo",$P$7-($P$7*Y23),""))))</f>
        <v>0</v>
      </c>
      <c r="AG23" s="9" t="s">
        <v>133</v>
      </c>
      <c r="AH23" s="94" t="s">
        <v>202</v>
      </c>
      <c r="AI23" s="73" t="s">
        <v>294</v>
      </c>
      <c r="AJ23" s="156" t="s">
        <v>295</v>
      </c>
      <c r="AK23" s="194">
        <v>44926</v>
      </c>
      <c r="AL23" s="70" t="s">
        <v>296</v>
      </c>
      <c r="AM23" s="185" t="s">
        <v>297</v>
      </c>
    </row>
    <row r="24" spans="1:39" ht="70.5" x14ac:dyDescent="0.25">
      <c r="A24" s="61"/>
      <c r="B24" s="55"/>
      <c r="C24" s="70"/>
      <c r="D24" s="70"/>
      <c r="E24" s="70"/>
      <c r="F24" s="165"/>
      <c r="G24" s="55"/>
      <c r="H24" s="55"/>
      <c r="I24" s="70"/>
      <c r="J24" s="175"/>
      <c r="K24" s="170"/>
      <c r="L24" s="59"/>
      <c r="M24" s="55"/>
      <c r="N24" s="55"/>
      <c r="O24" s="55"/>
      <c r="P24" s="59"/>
      <c r="Q24" s="93"/>
      <c r="R24" s="46">
        <v>2</v>
      </c>
      <c r="S24" s="71" t="s">
        <v>298</v>
      </c>
      <c r="T24" s="9" t="str">
        <f t="shared" ref="T24:T30" si="15">IF(U24="","",IF(U24="Preventivo","Probabilidad",IF(U24="Detectivo","Probabilidad",IF(U24="Correctivo","Impacto",""))))</f>
        <v>Probabilidad</v>
      </c>
      <c r="U24" s="31" t="s">
        <v>135</v>
      </c>
      <c r="V24" s="32">
        <f t="shared" si="13"/>
        <v>0.25</v>
      </c>
      <c r="W24" s="31" t="s">
        <v>143</v>
      </c>
      <c r="X24" s="32">
        <f t="shared" si="14"/>
        <v>0.15</v>
      </c>
      <c r="Y24" s="32">
        <f t="shared" ref="Y24:Y30" si="16">V24+X24</f>
        <v>0.4</v>
      </c>
      <c r="Z24" s="31" t="s">
        <v>189</v>
      </c>
      <c r="AA24" s="31" t="s">
        <v>219</v>
      </c>
      <c r="AB24" s="31" t="s">
        <v>191</v>
      </c>
      <c r="AC24" s="31" t="str">
        <f>IF(AD24="","",IF(AD24&lt;=20%,"Muy baja",IF(AND(AD24&gt;20%,AD24&lt;=40%),"Baja",IF(AND(AD24&gt;40%,AD24&lt;=60%),"Media",IF(AND(AD24&gt;60%,AD24&lt;=80%),"Alta",IF(AD24&gt;80%,"Muy alta",""))))))</f>
        <v>Muy baja</v>
      </c>
      <c r="AD24" s="33">
        <f>IF(U24="","",IF(U24="preventivo",$AD$7-($AD$7*Y24),IF(U24="detectivo",$AD$7-($AD$7*Y24),IF(U24="correctivo",$AD$7,""))))</f>
        <v>5.183999999999999E-2</v>
      </c>
      <c r="AE24" s="31" t="str">
        <f t="shared" ref="AE24:AE25" si="17">IF(AF24="","",IF(AF24&lt;=20%,"Leve",IF(AND(AF24&gt;20%,AF24&lt;=40%),"Menor",IF(AND(AF24&gt;40%,AF24&lt;=60%),"Moderado",IF(AND(AF24&gt;60%,AF24&lt;=80%),"Mayor",IF(AF24&gt;80%,"Catastrófico",""))))))</f>
        <v>Catastrófico</v>
      </c>
      <c r="AF24" s="33">
        <f>IF(U24="","",IF(U24="preventivo",$AF$7,IF(U24="detectivo",$AF$7,IF(U24="correctivo",$AF$7-($AF$7*Y24),""))))</f>
        <v>1</v>
      </c>
      <c r="AG24" s="9" t="s">
        <v>133</v>
      </c>
      <c r="AH24" s="94"/>
      <c r="AI24" s="73"/>
      <c r="AJ24" s="156"/>
      <c r="AK24" s="194"/>
      <c r="AL24" s="70"/>
      <c r="AM24" s="185"/>
    </row>
    <row r="25" spans="1:39" ht="70.5" x14ac:dyDescent="0.25">
      <c r="A25" s="61"/>
      <c r="B25" s="55"/>
      <c r="C25" s="70"/>
      <c r="D25" s="70"/>
      <c r="E25" s="70"/>
      <c r="F25" s="165"/>
      <c r="G25" s="55"/>
      <c r="H25" s="55"/>
      <c r="I25" s="70"/>
      <c r="J25" s="175"/>
      <c r="K25" s="170"/>
      <c r="L25" s="59"/>
      <c r="M25" s="55"/>
      <c r="N25" s="49"/>
      <c r="O25" s="55"/>
      <c r="P25" s="59"/>
      <c r="Q25" s="93"/>
      <c r="R25" s="46">
        <v>3</v>
      </c>
      <c r="S25" s="71" t="s">
        <v>299</v>
      </c>
      <c r="T25" s="9" t="str">
        <f t="shared" si="15"/>
        <v>Probabilidad</v>
      </c>
      <c r="U25" s="31" t="s">
        <v>135</v>
      </c>
      <c r="V25" s="32">
        <f t="shared" si="13"/>
        <v>0.25</v>
      </c>
      <c r="W25" s="31" t="s">
        <v>143</v>
      </c>
      <c r="X25" s="32">
        <f t="shared" si="14"/>
        <v>0.15</v>
      </c>
      <c r="Y25" s="32">
        <f t="shared" si="16"/>
        <v>0.4</v>
      </c>
      <c r="Z25" s="31" t="s">
        <v>189</v>
      </c>
      <c r="AA25" s="31" t="s">
        <v>190</v>
      </c>
      <c r="AB25" s="31" t="s">
        <v>191</v>
      </c>
      <c r="AC25" s="31" t="str">
        <f t="shared" ref="AC25" si="18">IF(AD25="","",IF(AD25&lt;=20%,"Muy baja",IF(AND(AD25&gt;20%,AD25&lt;=40%),"Baja",IF(AND(AD25&gt;40%,AD25&lt;=60%),"Media",IF(AND(AD25&gt;60%,AD25&lt;=80%),"Alta",IF(AD25&gt;80%,"Muy alta",""))))))</f>
        <v>Muy baja</v>
      </c>
      <c r="AD25" s="33">
        <f>IF(U25="","",IF(U25="preventivo",$AD$8-($AD$8*Y25),IF(U25="detectivo",$AD$8-($AD$8*Y25),IF(U25="correctivo",$AD$8,""))))</f>
        <v>0</v>
      </c>
      <c r="AE25" s="31" t="str">
        <f t="shared" si="17"/>
        <v>Leve</v>
      </c>
      <c r="AF25" s="33">
        <f>IF(U25="","",IF(U25="preventivo",$AF$8,IF(U25="detectivo",$AF$8,IF(U25="correctivo",$AF$8-($AF$8*Y25),""))))</f>
        <v>0</v>
      </c>
      <c r="AG25" s="9" t="s">
        <v>133</v>
      </c>
      <c r="AH25" s="94"/>
      <c r="AI25" s="73"/>
      <c r="AJ25" s="156"/>
      <c r="AK25" s="194"/>
      <c r="AL25" s="70"/>
      <c r="AM25" s="185"/>
    </row>
    <row r="26" spans="1:39" ht="70.5" x14ac:dyDescent="0.25">
      <c r="A26" s="61" t="s">
        <v>300</v>
      </c>
      <c r="B26" s="55" t="s">
        <v>87</v>
      </c>
      <c r="C26" s="70" t="s">
        <v>301</v>
      </c>
      <c r="D26" s="70" t="s">
        <v>302</v>
      </c>
      <c r="E26" s="70" t="s">
        <v>303</v>
      </c>
      <c r="F26" s="163" t="s">
        <v>304</v>
      </c>
      <c r="G26" s="55" t="s">
        <v>59</v>
      </c>
      <c r="H26" s="55" t="s">
        <v>90</v>
      </c>
      <c r="I26" s="70" t="s">
        <v>156</v>
      </c>
      <c r="J26" s="175">
        <v>700</v>
      </c>
      <c r="K26" s="170" t="str">
        <f>IF(J26="","",IF(J26&lt;=2,"Muy baja",IF(AND(J26&gt;2,J26&lt;=24),"Baja",IF(AND(J26&gt;24,J26&lt;=500),"Media",IF(AND(J26&gt;500,J26&lt;=5000),"Alta",IF(J26&gt;5000,"Muy alta",""))))))</f>
        <v>Alta</v>
      </c>
      <c r="L26" s="59">
        <f>IF(K26="","",IF(K26="Muy baja",20%,IF(K26="Baja",40%,IF(K26="Media",60%,IF(K26="Alta",80%,IF(K26="Muy Alta",100%,""))))))</f>
        <v>0.8</v>
      </c>
      <c r="M26" s="55" t="s">
        <v>121</v>
      </c>
      <c r="N26" s="55">
        <f>MATCH(M26,[6]Calculos!$P$2:$P$11,0)</f>
        <v>8</v>
      </c>
      <c r="O26" s="55" t="str">
        <f>LOOKUP(N26,[6]Calculos!$Q$2:$R$11)</f>
        <v>Moderado</v>
      </c>
      <c r="P26" s="59">
        <f>IF(O26="","",IF(O26="Leve",20%,IF(O26="Menor",40%,IF(O26="Moderado",60%,IF(O26="Mayor",80%,IF(O26="Catastrófico",100%,""))))))</f>
        <v>0.6</v>
      </c>
      <c r="Q26" s="57" t="s">
        <v>133</v>
      </c>
      <c r="R26" s="101">
        <v>1</v>
      </c>
      <c r="S26" s="102" t="s">
        <v>305</v>
      </c>
      <c r="T26" s="9" t="str">
        <f t="shared" si="15"/>
        <v>Probabilidad</v>
      </c>
      <c r="U26" s="31" t="s">
        <v>135</v>
      </c>
      <c r="V26" s="32">
        <f t="shared" si="13"/>
        <v>0.25</v>
      </c>
      <c r="W26" s="31" t="s">
        <v>141</v>
      </c>
      <c r="X26" s="32">
        <f t="shared" si="14"/>
        <v>0.25</v>
      </c>
      <c r="Y26" s="32">
        <f t="shared" si="16"/>
        <v>0.5</v>
      </c>
      <c r="Z26" s="31" t="s">
        <v>189</v>
      </c>
      <c r="AA26" s="31" t="s">
        <v>190</v>
      </c>
      <c r="AB26" s="31" t="s">
        <v>191</v>
      </c>
      <c r="AC26" s="31" t="str">
        <f>IF(AD26="","",IF(AD26&lt;=20%,"Muy baja",IF(AND(AD26&gt;20%,AD26&lt;=40%),"Baja",IF(AND(AD26&gt;40%,AD26&lt;=60%),"Media",IF(AND(AD26&gt;60%,AD26&lt;=80%),"Alta",IF(AD26&gt;80%,"Muy alta",""))))))</f>
        <v>Muy baja</v>
      </c>
      <c r="AD26" s="33">
        <f>IF(U26="","",IF(U26="preventivo",$L$13-($L$13*Y26),IF(U26="detectivo",$L$13-($L$13*Y26),IF(U26="correctivo",$L$13,""))))</f>
        <v>0.2</v>
      </c>
      <c r="AE26" s="31" t="str">
        <f>IF(AF26="","",IF(AF26&lt;=20%,"Leve",IF(AND(AF26&gt;20%,AF26&lt;=40%),"Menor",IF(AND(AF26&gt;40%,AF26&lt;=60%),"Moderado",IF(AND(AF26&gt;60%,AF26&lt;=80%),"Mayor",IF(AF26&gt;80%,"Catastrófico",""))))))</f>
        <v>Mayor</v>
      </c>
      <c r="AF26" s="33">
        <f>IF(U26="","",IF(U26="preventivo",$P$13,IF(U26="detectivo",$P$13,IF(U26="correctivo",$P$13-($P$13*Y26),""))))</f>
        <v>0.8</v>
      </c>
      <c r="AG26" s="9" t="s">
        <v>126</v>
      </c>
      <c r="AH26" s="94" t="s">
        <v>202</v>
      </c>
      <c r="AI26" s="160" t="s">
        <v>326</v>
      </c>
      <c r="AJ26" s="55" t="s">
        <v>306</v>
      </c>
      <c r="AK26" s="158">
        <v>44591</v>
      </c>
      <c r="AL26" s="70" t="s">
        <v>307</v>
      </c>
      <c r="AM26" s="183" t="s">
        <v>308</v>
      </c>
    </row>
    <row r="27" spans="1:39" ht="70.5" x14ac:dyDescent="0.25">
      <c r="A27" s="61"/>
      <c r="B27" s="55"/>
      <c r="C27" s="70"/>
      <c r="D27" s="70"/>
      <c r="E27" s="70"/>
      <c r="F27" s="163"/>
      <c r="G27" s="55"/>
      <c r="H27" s="55"/>
      <c r="I27" s="70"/>
      <c r="J27" s="175"/>
      <c r="K27" s="170"/>
      <c r="L27" s="59"/>
      <c r="M27" s="55"/>
      <c r="N27" s="55"/>
      <c r="O27" s="55"/>
      <c r="P27" s="59"/>
      <c r="Q27" s="57"/>
      <c r="R27" s="101">
        <v>2</v>
      </c>
      <c r="S27" s="102" t="s">
        <v>309</v>
      </c>
      <c r="T27" s="9" t="str">
        <f t="shared" si="15"/>
        <v>Probabilidad</v>
      </c>
      <c r="U27" s="31" t="s">
        <v>135</v>
      </c>
      <c r="V27" s="32">
        <f t="shared" si="13"/>
        <v>0.25</v>
      </c>
      <c r="W27" s="31" t="s">
        <v>141</v>
      </c>
      <c r="X27" s="32">
        <f t="shared" si="14"/>
        <v>0.25</v>
      </c>
      <c r="Y27" s="32">
        <f t="shared" si="16"/>
        <v>0.5</v>
      </c>
      <c r="Z27" s="31" t="s">
        <v>189</v>
      </c>
      <c r="AA27" s="31" t="s">
        <v>190</v>
      </c>
      <c r="AB27" s="31" t="s">
        <v>191</v>
      </c>
      <c r="AC27" s="31" t="str">
        <f t="shared" ref="AC27:AC30" si="19">IF(AD27="","",IF(AD27&lt;=20%,"Muy baja",IF(AND(AD27&gt;20%,AD27&lt;=40%),"Baja",IF(AND(AD27&gt;40%,AD27&lt;=60%),"Media",IF(AND(AD27&gt;60%,AD27&lt;=80%),"Alta",IF(AD27&gt;80%,"Muy alta",""))))))</f>
        <v>Muy baja</v>
      </c>
      <c r="AD27" s="33">
        <f>IF(U27="","",IF(U27="preventivo",$AD$13-($AD$13*Y27),IF(U27="detectivo",$AD$13-($AD$13*Y27),IF(U27="correctivo",$AD$13,""))))</f>
        <v>0</v>
      </c>
      <c r="AE27" s="31" t="str">
        <f t="shared" ref="AE27:AE30" si="20">IF(AF27="","",IF(AF27&lt;=20%,"Leve",IF(AND(AF27&gt;20%,AF27&lt;=40%),"Menor",IF(AND(AF27&gt;40%,AF27&lt;=60%),"Moderado",IF(AND(AF27&gt;60%,AF27&lt;=80%),"Mayor",IF(AF27&gt;80%,"Catastrófico",""))))))</f>
        <v>Leve</v>
      </c>
      <c r="AF27" s="33">
        <f>IF(U27="","",IF(U27="preventivo",$AF$13,IF(U27="detectivo",$AF$13,IF(U27="correctivo",$AF$13-($AF$13*Y27),""))))</f>
        <v>0</v>
      </c>
      <c r="AG27" s="9" t="s">
        <v>126</v>
      </c>
      <c r="AH27" s="94"/>
      <c r="AI27" s="161"/>
      <c r="AJ27" s="55"/>
      <c r="AK27" s="57"/>
      <c r="AL27" s="103"/>
      <c r="AM27" s="183"/>
    </row>
    <row r="28" spans="1:39" ht="70.5" x14ac:dyDescent="0.25">
      <c r="A28" s="61"/>
      <c r="B28" s="55"/>
      <c r="C28" s="70"/>
      <c r="D28" s="70"/>
      <c r="E28" s="70"/>
      <c r="F28" s="163"/>
      <c r="G28" s="55"/>
      <c r="H28" s="55"/>
      <c r="I28" s="70"/>
      <c r="J28" s="175"/>
      <c r="K28" s="170"/>
      <c r="L28" s="59"/>
      <c r="M28" s="55"/>
      <c r="N28" s="55"/>
      <c r="O28" s="55"/>
      <c r="P28" s="59"/>
      <c r="Q28" s="57"/>
      <c r="R28" s="101">
        <v>3</v>
      </c>
      <c r="S28" s="102" t="s">
        <v>310</v>
      </c>
      <c r="T28" s="9" t="str">
        <f t="shared" si="15"/>
        <v>Probabilidad</v>
      </c>
      <c r="U28" s="31" t="s">
        <v>135</v>
      </c>
      <c r="V28" s="32">
        <f t="shared" si="13"/>
        <v>0.25</v>
      </c>
      <c r="W28" s="31" t="s">
        <v>143</v>
      </c>
      <c r="X28" s="32">
        <f t="shared" si="14"/>
        <v>0.15</v>
      </c>
      <c r="Y28" s="32">
        <f t="shared" si="16"/>
        <v>0.4</v>
      </c>
      <c r="Z28" s="31" t="s">
        <v>189</v>
      </c>
      <c r="AA28" s="31" t="s">
        <v>190</v>
      </c>
      <c r="AB28" s="31" t="s">
        <v>191</v>
      </c>
      <c r="AC28" s="31" t="str">
        <f t="shared" si="19"/>
        <v>Baja</v>
      </c>
      <c r="AD28" s="33">
        <f>IF(U28="","",IF(U28="preventivo",$AD$14-($AD$14*Y28),IF(U28="detectivo",$AD$14-($AD$14*Y28),IF(U28="correctivo",$AD$14,""))))</f>
        <v>0.252</v>
      </c>
      <c r="AE28" s="31" t="str">
        <f t="shared" si="20"/>
        <v>Catastrófico</v>
      </c>
      <c r="AF28" s="33">
        <f>IF(U28="","",IF(U28="preventivo",$AF$14,IF(U28="detectivo",$AF$14,IF(U28="correctivo",$AF$14-($AF$14*Y28),""))))</f>
        <v>1</v>
      </c>
      <c r="AG28" s="9" t="s">
        <v>126</v>
      </c>
      <c r="AH28" s="94"/>
      <c r="AI28" s="161"/>
      <c r="AJ28" s="55"/>
      <c r="AK28" s="57"/>
      <c r="AL28" s="103"/>
      <c r="AM28" s="183"/>
    </row>
    <row r="29" spans="1:39" ht="70.5" x14ac:dyDescent="0.25">
      <c r="A29" s="61"/>
      <c r="B29" s="55"/>
      <c r="C29" s="70"/>
      <c r="D29" s="70"/>
      <c r="E29" s="70"/>
      <c r="F29" s="163"/>
      <c r="G29" s="55"/>
      <c r="H29" s="55"/>
      <c r="I29" s="70"/>
      <c r="J29" s="175"/>
      <c r="K29" s="170"/>
      <c r="L29" s="59"/>
      <c r="M29" s="55"/>
      <c r="N29" s="55"/>
      <c r="O29" s="55"/>
      <c r="P29" s="59"/>
      <c r="Q29" s="57"/>
      <c r="R29" s="101">
        <v>4</v>
      </c>
      <c r="S29" s="102" t="s">
        <v>311</v>
      </c>
      <c r="T29" s="9" t="str">
        <f t="shared" si="15"/>
        <v>Probabilidad</v>
      </c>
      <c r="U29" s="31" t="s">
        <v>135</v>
      </c>
      <c r="V29" s="32">
        <f t="shared" si="13"/>
        <v>0.25</v>
      </c>
      <c r="W29" s="31" t="s">
        <v>141</v>
      </c>
      <c r="X29" s="32">
        <f t="shared" si="14"/>
        <v>0.25</v>
      </c>
      <c r="Y29" s="32">
        <f t="shared" si="16"/>
        <v>0.5</v>
      </c>
      <c r="Z29" s="31" t="s">
        <v>189</v>
      </c>
      <c r="AA29" s="31" t="s">
        <v>190</v>
      </c>
      <c r="AB29" s="31" t="s">
        <v>191</v>
      </c>
      <c r="AC29" s="31" t="str">
        <f t="shared" si="19"/>
        <v>Baja</v>
      </c>
      <c r="AD29" s="33">
        <f>IF(U29="","",IF(U29="preventivo",$AD$15-($AD$15*Y29),IF(U29="detectivo",$AD$15-($AD$15*Y29),IF(U29="correctivo",$AD$15,""))))</f>
        <v>0.21</v>
      </c>
      <c r="AE29" s="31" t="str">
        <f t="shared" si="20"/>
        <v>Mayor</v>
      </c>
      <c r="AF29" s="33">
        <f>IF(U29="","",IF(U29="preventivo",$AF$15,IF(U29="detectivo",$AF$15,IF(U29="correctivo",$AF$15-($AF$15*Y29),""))))</f>
        <v>0.75</v>
      </c>
      <c r="AG29" s="9" t="s">
        <v>126</v>
      </c>
      <c r="AH29" s="94"/>
      <c r="AI29" s="161"/>
      <c r="AJ29" s="55"/>
      <c r="AK29" s="57"/>
      <c r="AL29" s="103"/>
      <c r="AM29" s="183"/>
    </row>
    <row r="30" spans="1:39" ht="70.5" x14ac:dyDescent="0.25">
      <c r="A30" s="61"/>
      <c r="B30" s="55"/>
      <c r="C30" s="70"/>
      <c r="D30" s="70"/>
      <c r="E30" s="70"/>
      <c r="F30" s="163"/>
      <c r="G30" s="55"/>
      <c r="H30" s="55"/>
      <c r="I30" s="70"/>
      <c r="J30" s="175"/>
      <c r="K30" s="170"/>
      <c r="L30" s="59"/>
      <c r="M30" s="55"/>
      <c r="N30" s="55"/>
      <c r="O30" s="55"/>
      <c r="P30" s="59"/>
      <c r="Q30" s="57"/>
      <c r="R30" s="101">
        <v>5</v>
      </c>
      <c r="S30" s="104" t="s">
        <v>312</v>
      </c>
      <c r="T30" s="9" t="str">
        <f t="shared" si="15"/>
        <v>Probabilidad</v>
      </c>
      <c r="U30" s="31" t="s">
        <v>135</v>
      </c>
      <c r="V30" s="32">
        <f t="shared" si="13"/>
        <v>0.25</v>
      </c>
      <c r="W30" s="31" t="s">
        <v>141</v>
      </c>
      <c r="X30" s="32">
        <f t="shared" si="14"/>
        <v>0.25</v>
      </c>
      <c r="Y30" s="32">
        <f t="shared" si="16"/>
        <v>0.5</v>
      </c>
      <c r="Z30" s="31" t="s">
        <v>189</v>
      </c>
      <c r="AA30" s="31" t="s">
        <v>190</v>
      </c>
      <c r="AB30" s="31" t="s">
        <v>191</v>
      </c>
      <c r="AC30" s="31" t="str">
        <f t="shared" si="19"/>
        <v>Muy baja</v>
      </c>
      <c r="AD30" s="33">
        <f>IF(U30="","",IF(U30="preventivo",$AD$16-($AD$16*Y30),IF(U30="detectivo",$AD$16-($AD$16*Y30),IF(U30="correctivo",$AD$16,""))))</f>
        <v>0.126</v>
      </c>
      <c r="AE30" s="31" t="str">
        <f t="shared" si="20"/>
        <v>Mayor</v>
      </c>
      <c r="AF30" s="33">
        <f>IF(U30="","",IF(U30="preventivo",$AF$16,IF(U30="detectivo",$AF$16,IF(U30="correctivo",$AF$16-($AF$16*Y30),""))))</f>
        <v>0.75</v>
      </c>
      <c r="AG30" s="9" t="s">
        <v>126</v>
      </c>
      <c r="AH30" s="94"/>
      <c r="AI30" s="161"/>
      <c r="AJ30" s="55"/>
      <c r="AK30" s="57"/>
      <c r="AL30" s="103"/>
      <c r="AM30" s="183"/>
    </row>
    <row r="31" spans="1:39" ht="89.25" customHeight="1" x14ac:dyDescent="0.25">
      <c r="A31" s="105" t="s">
        <v>313</v>
      </c>
      <c r="B31" s="55" t="s">
        <v>86</v>
      </c>
      <c r="C31" s="70" t="s">
        <v>314</v>
      </c>
      <c r="D31" s="100" t="s">
        <v>315</v>
      </c>
      <c r="E31" s="70" t="s">
        <v>316</v>
      </c>
      <c r="F31" s="166" t="s">
        <v>317</v>
      </c>
      <c r="G31" s="157" t="s">
        <v>59</v>
      </c>
      <c r="H31" s="55" t="s">
        <v>90</v>
      </c>
      <c r="I31" s="70" t="s">
        <v>156</v>
      </c>
      <c r="J31" s="175">
        <v>2</v>
      </c>
      <c r="K31" s="170" t="str">
        <f>IF(J31="","",IF(J31&lt;=2,"Muy baja",IF(AND(J31&gt;2,J31&lt;=24),"Baja",IF(AND(J31&gt;24,J31&lt;=500),"Media",IF(AND(J31&gt;500,J31&lt;=5000),"Alta",IF(J31&gt;5000,"Muy alta",""))))))</f>
        <v>Muy baja</v>
      </c>
      <c r="L31" s="59">
        <f>IF(K31="","",IF(K31="Muy baja",20%,IF(K31="Baja",40%,IF(K31="Media",60%,IF(K31="Alta",80%,IF(K31="Muy Alta",100%,""))))))</f>
        <v>0.2</v>
      </c>
      <c r="M31" s="55" t="s">
        <v>122</v>
      </c>
      <c r="N31" s="55">
        <f>MATCH(M31,[7]Hoja2!$P$2:$P$11,0)</f>
        <v>9</v>
      </c>
      <c r="O31" s="55" t="str">
        <f>LOOKUP(N31,[7]Hoja2!$Q$2:$R$11)</f>
        <v>Mayor</v>
      </c>
      <c r="P31" s="59">
        <f>IF(O31="","",IF(O31="Leve",20%,IF(O31="Menor",40%,IF(O31="Moderado",60%,IF(O31="Mayor",80%,IF(O31="Catastrófico",100%,""))))))</f>
        <v>0.8</v>
      </c>
      <c r="Q31" s="57" t="s">
        <v>133</v>
      </c>
      <c r="R31" s="46">
        <v>1</v>
      </c>
      <c r="S31" s="49" t="s">
        <v>318</v>
      </c>
      <c r="T31" s="9" t="str">
        <f>IF(U31="","",IF(U31="Preventivo","Probabilidad",IF(U31="Detectivo","Probabilidad",IF(U31="Correctivo","Impacto",""))))</f>
        <v>Probabilidad</v>
      </c>
      <c r="U31" s="31" t="s">
        <v>135</v>
      </c>
      <c r="V31" s="32">
        <f t="shared" si="13"/>
        <v>0.25</v>
      </c>
      <c r="W31" s="31" t="s">
        <v>143</v>
      </c>
      <c r="X31" s="32">
        <f t="shared" si="14"/>
        <v>0.15</v>
      </c>
      <c r="Y31" s="32">
        <f>V31+X31</f>
        <v>0.4</v>
      </c>
      <c r="Z31" s="31" t="s">
        <v>203</v>
      </c>
      <c r="AA31" s="31" t="s">
        <v>190</v>
      </c>
      <c r="AB31" s="31" t="s">
        <v>212</v>
      </c>
      <c r="AC31" s="31" t="str">
        <f>IF(AD31="","",IF(AD31&lt;=20%,"Muy baja",IF(AND(AD31&gt;20%,AD31&lt;=40%),"Baja",IF(AND(AD31&gt;40%,AD31&lt;=60%),"Media",IF(AND(AD31&gt;60%,AD31&lt;=80%),"Alta",IF(AD31&gt;80%,"Muy alta",""))))))</f>
        <v>Muy baja</v>
      </c>
      <c r="AD31" s="33">
        <f>IF(U31="","",IF(U31="preventivo",$L$7-($L$7*Y31),IF(U31="detectivo",$L$7-($L$7*Y31),IF(U31="correctivo",$L$7,""))))</f>
        <v>0</v>
      </c>
      <c r="AE31" s="31" t="str">
        <f>IF(AF31="","",IF(AF31&lt;=20%,"Leve",IF(AND(AF31&gt;20%,AF31&lt;=40%),"Menor",IF(AND(AF31&gt;40%,AF31&lt;=60%),"Moderado",IF(AND(AF31&gt;60%,AF31&lt;=80%),"Mayor",IF(AF31&gt;80%,"Catastrófico",""))))))</f>
        <v>Leve</v>
      </c>
      <c r="AF31" s="33">
        <f>IF(U31="","",IF(U31="preventivo",$P$7,IF(U31="detectivo",$P$7,IF(U31="correctivo",$P$7-($P$7*Y31),""))))</f>
        <v>0</v>
      </c>
      <c r="AG31" s="9" t="s">
        <v>133</v>
      </c>
      <c r="AH31" s="94" t="s">
        <v>270</v>
      </c>
      <c r="AI31" s="70" t="s">
        <v>319</v>
      </c>
      <c r="AJ31" s="160" t="s">
        <v>320</v>
      </c>
      <c r="AK31" s="158">
        <v>44926</v>
      </c>
      <c r="AL31" s="70" t="s">
        <v>321</v>
      </c>
      <c r="AM31" s="186" t="s">
        <v>322</v>
      </c>
    </row>
    <row r="32" spans="1:39" ht="60" customHeight="1" x14ac:dyDescent="0.25">
      <c r="A32" s="105"/>
      <c r="B32" s="55"/>
      <c r="C32" s="70"/>
      <c r="D32" s="100"/>
      <c r="E32" s="70"/>
      <c r="F32" s="163"/>
      <c r="G32" s="157"/>
      <c r="H32" s="55"/>
      <c r="I32" s="70"/>
      <c r="J32" s="175"/>
      <c r="K32" s="170"/>
      <c r="L32" s="59"/>
      <c r="M32" s="55"/>
      <c r="N32" s="55"/>
      <c r="O32" s="55"/>
      <c r="P32" s="59"/>
      <c r="Q32" s="57"/>
      <c r="R32" s="46">
        <v>2</v>
      </c>
      <c r="S32" s="49" t="s">
        <v>323</v>
      </c>
      <c r="T32" s="9" t="str">
        <f>IF(U32="","",IF(U32="Preventivo","Probabilidad",IF(U32="Detectivo","Probabilidad",IF(U32="Correctivo","Impacto",""))))</f>
        <v>Probabilidad</v>
      </c>
      <c r="U32" s="31" t="s">
        <v>135</v>
      </c>
      <c r="V32" s="32">
        <f t="shared" si="13"/>
        <v>0.25</v>
      </c>
      <c r="W32" s="31" t="s">
        <v>143</v>
      </c>
      <c r="X32" s="32">
        <f t="shared" si="14"/>
        <v>0.15</v>
      </c>
      <c r="Y32" s="32">
        <f t="shared" ref="Y32:Y34" si="21">V32+X32</f>
        <v>0.4</v>
      </c>
      <c r="Z32" s="31" t="s">
        <v>203</v>
      </c>
      <c r="AA32" s="31" t="s">
        <v>190</v>
      </c>
      <c r="AB32" s="31" t="s">
        <v>212</v>
      </c>
      <c r="AC32" s="31" t="str">
        <f>IF(AD32="","",IF(AD32&lt;=20%,"Muy baja",IF(AND(AD32&gt;20%,AD32&lt;=40%),"Baja",IF(AND(AD32&gt;40%,AD32&lt;=60%),"Media",IF(AND(AD32&gt;60%,AD32&lt;=80%),"Alta",IF(AD32&gt;80%,"Muy alta",""))))))</f>
        <v>Muy baja</v>
      </c>
      <c r="AD32" s="33">
        <f>IF(U32="","",IF(U32="preventivo",$AD$7-($AD$7*Y32),IF(U32="detectivo",$AD$7-($AD$7*Y32),IF(U32="correctivo",$AD$7,""))))</f>
        <v>5.183999999999999E-2</v>
      </c>
      <c r="AE32" s="31" t="str">
        <f t="shared" ref="AE32:AE34" si="22">IF(AF32="","",IF(AF32&lt;=20%,"Leve",IF(AND(AF32&gt;20%,AF32&lt;=40%),"Menor",IF(AND(AF32&gt;40%,AF32&lt;=60%),"Moderado",IF(AND(AF32&gt;60%,AF32&lt;=80%),"Mayor",IF(AF32&gt;80%,"Catastrófico",""))))))</f>
        <v>Catastrófico</v>
      </c>
      <c r="AF32" s="33">
        <f>IF(U32="","",IF(U32="preventivo",$AF$7,IF(U32="detectivo",$AF$7,IF(U32="correctivo",$AF$7-($AF$7*Y32),""))))</f>
        <v>1</v>
      </c>
      <c r="AG32" s="9" t="s">
        <v>133</v>
      </c>
      <c r="AH32" s="94"/>
      <c r="AI32" s="103"/>
      <c r="AJ32" s="161"/>
      <c r="AK32" s="57"/>
      <c r="AL32" s="103"/>
      <c r="AM32" s="187"/>
    </row>
    <row r="33" spans="1:39" ht="56.25" customHeight="1" x14ac:dyDescent="0.25">
      <c r="A33" s="105"/>
      <c r="B33" s="55"/>
      <c r="C33" s="70"/>
      <c r="D33" s="100"/>
      <c r="E33" s="70"/>
      <c r="F33" s="163"/>
      <c r="G33" s="157"/>
      <c r="H33" s="55"/>
      <c r="I33" s="70"/>
      <c r="J33" s="175"/>
      <c r="K33" s="170"/>
      <c r="L33" s="59"/>
      <c r="M33" s="55"/>
      <c r="N33" s="55"/>
      <c r="O33" s="55"/>
      <c r="P33" s="59"/>
      <c r="Q33" s="57"/>
      <c r="R33" s="46">
        <v>3</v>
      </c>
      <c r="S33" s="49" t="s">
        <v>324</v>
      </c>
      <c r="T33" s="9" t="str">
        <f>IF(U33="","",IF(U33="Preventivo","Probabilidad",IF(U33="Detectivo","Probabilidad",IF(U33="Correctivo","Impacto",""))))</f>
        <v>Probabilidad</v>
      </c>
      <c r="U33" s="31" t="s">
        <v>135</v>
      </c>
      <c r="V33" s="32">
        <f t="shared" si="13"/>
        <v>0.25</v>
      </c>
      <c r="W33" s="31" t="s">
        <v>143</v>
      </c>
      <c r="X33" s="32">
        <f t="shared" si="14"/>
        <v>0.15</v>
      </c>
      <c r="Y33" s="32">
        <f t="shared" si="21"/>
        <v>0.4</v>
      </c>
      <c r="Z33" s="31" t="s">
        <v>203</v>
      </c>
      <c r="AA33" s="31" t="s">
        <v>190</v>
      </c>
      <c r="AB33" s="31" t="s">
        <v>212</v>
      </c>
      <c r="AC33" s="31" t="str">
        <f>IF(AD33="","",IF(AD33&lt;=20%,"Muy baja",IF(AND(AD33&gt;20%,AD33&lt;=40%),"Baja",IF(AND(AD33&gt;40%,AD33&lt;=60%),"Media",IF(AND(AD33&gt;60%,AD33&lt;=80%),"Alta",IF(AD33&gt;80%,"Muy alta",""))))))</f>
        <v>Muy baja</v>
      </c>
      <c r="AD33" s="33">
        <f>IF(U33="","",IF(U33="preventivo",$AD$8-($AD$8*Y33),IF(U33="detectivo",$AD$8-($AD$8*Y33),IF(U33="correctivo",$AD$8,""))))</f>
        <v>0</v>
      </c>
      <c r="AE33" s="31" t="str">
        <f t="shared" si="22"/>
        <v>Leve</v>
      </c>
      <c r="AF33" s="33">
        <f>IF(U33="","",IF(U33="preventivo",$AF$8,IF(U33="detectivo",$AF$8,IF(U33="correctivo",$AF$8-($AF$8*Y33),""))))</f>
        <v>0</v>
      </c>
      <c r="AG33" s="9" t="s">
        <v>133</v>
      </c>
      <c r="AH33" s="94"/>
      <c r="AI33" s="103"/>
      <c r="AJ33" s="161"/>
      <c r="AK33" s="57"/>
      <c r="AL33" s="103"/>
      <c r="AM33" s="187"/>
    </row>
    <row r="34" spans="1:39" ht="54" customHeight="1" thickBot="1" x14ac:dyDescent="0.3">
      <c r="A34" s="106"/>
      <c r="B34" s="56"/>
      <c r="C34" s="178"/>
      <c r="D34" s="179"/>
      <c r="E34" s="178"/>
      <c r="F34" s="180"/>
      <c r="G34" s="181"/>
      <c r="H34" s="56"/>
      <c r="I34" s="178"/>
      <c r="J34" s="182"/>
      <c r="K34" s="188"/>
      <c r="L34" s="60"/>
      <c r="M34" s="56"/>
      <c r="N34" s="56"/>
      <c r="O34" s="56"/>
      <c r="P34" s="60"/>
      <c r="Q34" s="58"/>
      <c r="R34" s="47">
        <v>4</v>
      </c>
      <c r="S34" s="107" t="s">
        <v>325</v>
      </c>
      <c r="T34" s="34" t="str">
        <f t="shared" ref="T34" si="23">IF(U34="","",IF(U34="Preventivo","Probabilidad",IF(U34="Detectivo","Probabilidad",IF(U34="Correctivo","Impacto",""))))</f>
        <v>Probabilidad</v>
      </c>
      <c r="U34" s="35" t="s">
        <v>135</v>
      </c>
      <c r="V34" s="36">
        <f t="shared" si="13"/>
        <v>0.25</v>
      </c>
      <c r="W34" s="35" t="s">
        <v>143</v>
      </c>
      <c r="X34" s="36">
        <f t="shared" si="14"/>
        <v>0.15</v>
      </c>
      <c r="Y34" s="36">
        <f t="shared" si="21"/>
        <v>0.4</v>
      </c>
      <c r="Z34" s="35" t="s">
        <v>203</v>
      </c>
      <c r="AA34" s="35" t="s">
        <v>190</v>
      </c>
      <c r="AB34" s="35" t="s">
        <v>212</v>
      </c>
      <c r="AC34" s="35" t="str">
        <f>IF(AD34="","",IF(AD34&lt;=20%,"Muy baja",IF(AND(AD34&gt;20%,AD34&lt;=40%),"Baja",IF(AND(AD34&gt;40%,AD34&lt;=60%),"Media",IF(AND(AD34&gt;60%,AD34&lt;=80%),"Alta",IF(AD34&gt;80%,"Muy alta",""))))))</f>
        <v>Muy baja</v>
      </c>
      <c r="AD34" s="108">
        <f>IF(U34="","",IF(U34="preventivo",$AD$9-($AD$9*Y34),IF(U34="detectivo",$AD$9-($AD$9*Y34),IF(U34="correctivo",$AD$9,""))))</f>
        <v>9.0719999999999995E-2</v>
      </c>
      <c r="AE34" s="35" t="str">
        <f t="shared" si="22"/>
        <v>Catastrófico</v>
      </c>
      <c r="AF34" s="108">
        <f>IF(U34="","",IF(U34="preventivo",$AF$9,IF(U34="detectivo",$AF$9,IF(U34="correctivo",$AF$9-($AF$9*Y34),""))))</f>
        <v>1</v>
      </c>
      <c r="AG34" s="34" t="s">
        <v>133</v>
      </c>
      <c r="AH34" s="189"/>
      <c r="AI34" s="190"/>
      <c r="AJ34" s="191"/>
      <c r="AK34" s="58"/>
      <c r="AL34" s="190"/>
      <c r="AM34" s="192"/>
    </row>
  </sheetData>
  <mergeCells count="238">
    <mergeCell ref="AJ31:AJ34"/>
    <mergeCell ref="AK31:AK34"/>
    <mergeCell ref="AL31:AL34"/>
    <mergeCell ref="AM31:AM34"/>
    <mergeCell ref="AI26:AI30"/>
    <mergeCell ref="AJ26:AJ30"/>
    <mergeCell ref="AK26:AK30"/>
    <mergeCell ref="AL26:AL30"/>
    <mergeCell ref="AM26:AM30"/>
    <mergeCell ref="A31:A34"/>
    <mergeCell ref="B31:B34"/>
    <mergeCell ref="C31:C34"/>
    <mergeCell ref="D31:D34"/>
    <mergeCell ref="E31:E34"/>
    <mergeCell ref="F31:F34"/>
    <mergeCell ref="G31:G34"/>
    <mergeCell ref="H31:H34"/>
    <mergeCell ref="I31:I34"/>
    <mergeCell ref="J31:J34"/>
    <mergeCell ref="K31:K34"/>
    <mergeCell ref="L31:L34"/>
    <mergeCell ref="M31:M34"/>
    <mergeCell ref="N31:N34"/>
    <mergeCell ref="O31:O34"/>
    <mergeCell ref="P31:P34"/>
    <mergeCell ref="Q31:Q34"/>
    <mergeCell ref="AH31:AH34"/>
    <mergeCell ref="AI31:AI34"/>
    <mergeCell ref="AI23:AI25"/>
    <mergeCell ref="AJ23:AJ25"/>
    <mergeCell ref="AK23:AK25"/>
    <mergeCell ref="AL23:AL25"/>
    <mergeCell ref="AM23:AM25"/>
    <mergeCell ref="N23:N24"/>
    <mergeCell ref="A26:A30"/>
    <mergeCell ref="B26:B30"/>
    <mergeCell ref="C26:C30"/>
    <mergeCell ref="D26:D30"/>
    <mergeCell ref="E26:E30"/>
    <mergeCell ref="F26:F30"/>
    <mergeCell ref="G26:G30"/>
    <mergeCell ref="H26:H30"/>
    <mergeCell ref="I26:I30"/>
    <mergeCell ref="J26:J30"/>
    <mergeCell ref="K26:K30"/>
    <mergeCell ref="L26:L30"/>
    <mergeCell ref="M26:M30"/>
    <mergeCell ref="N26:N30"/>
    <mergeCell ref="O26:O30"/>
    <mergeCell ref="P26:P30"/>
    <mergeCell ref="Q26:Q30"/>
    <mergeCell ref="AH26:AH30"/>
    <mergeCell ref="J23:J25"/>
    <mergeCell ref="K23:K25"/>
    <mergeCell ref="L23:L25"/>
    <mergeCell ref="M23:M25"/>
    <mergeCell ref="O23:O25"/>
    <mergeCell ref="P23:P25"/>
    <mergeCell ref="Q23:Q25"/>
    <mergeCell ref="AH23:AH25"/>
    <mergeCell ref="A23:A25"/>
    <mergeCell ref="B23:B25"/>
    <mergeCell ref="C23:C25"/>
    <mergeCell ref="D23:D25"/>
    <mergeCell ref="E23:E25"/>
    <mergeCell ref="F23:F25"/>
    <mergeCell ref="G23:G25"/>
    <mergeCell ref="H23:H25"/>
    <mergeCell ref="I23:I25"/>
    <mergeCell ref="A8:A9"/>
    <mergeCell ref="B8:B9"/>
    <mergeCell ref="C8:C9"/>
    <mergeCell ref="D8:D9"/>
    <mergeCell ref="E8:E9"/>
    <mergeCell ref="F8:F9"/>
    <mergeCell ref="G8:G9"/>
    <mergeCell ref="H8:H9"/>
    <mergeCell ref="I8:I9"/>
    <mergeCell ref="J8:J9"/>
    <mergeCell ref="AH8:AH9"/>
    <mergeCell ref="AI8:AI9"/>
    <mergeCell ref="AJ8:AJ9"/>
    <mergeCell ref="AL8:AL9"/>
    <mergeCell ref="AM8:AM9"/>
    <mergeCell ref="K8:K9"/>
    <mergeCell ref="L8:L9"/>
    <mergeCell ref="M8:M9"/>
    <mergeCell ref="N8:N9"/>
    <mergeCell ref="O8:O9"/>
    <mergeCell ref="P8:P9"/>
    <mergeCell ref="Q8:Q9"/>
    <mergeCell ref="AH20:AH22"/>
    <mergeCell ref="AL20:AL22"/>
    <mergeCell ref="AM20:AM22"/>
    <mergeCell ref="AI20:AI22"/>
    <mergeCell ref="AJ20:AJ22"/>
    <mergeCell ref="AK20:AK22"/>
    <mergeCell ref="AB17:AB19"/>
    <mergeCell ref="AC17:AC19"/>
    <mergeCell ref="AD17:AD19"/>
    <mergeCell ref="AE17:AE19"/>
    <mergeCell ref="AF17:AF19"/>
    <mergeCell ref="AG17:AG19"/>
    <mergeCell ref="A20:A22"/>
    <mergeCell ref="B20:B22"/>
    <mergeCell ref="C20:C22"/>
    <mergeCell ref="D20:D22"/>
    <mergeCell ref="E20:E22"/>
    <mergeCell ref="F20:F22"/>
    <mergeCell ref="G20:G22"/>
    <mergeCell ref="H20:H22"/>
    <mergeCell ref="I20:I22"/>
    <mergeCell ref="J20:J22"/>
    <mergeCell ref="K20:K22"/>
    <mergeCell ref="L20:L22"/>
    <mergeCell ref="M20:M22"/>
    <mergeCell ref="N20:N22"/>
    <mergeCell ref="O20:O22"/>
    <mergeCell ref="P20:P22"/>
    <mergeCell ref="Q20:Q22"/>
    <mergeCell ref="AL17:AL19"/>
    <mergeCell ref="AM17:AM19"/>
    <mergeCell ref="J17:J19"/>
    <mergeCell ref="K17:K19"/>
    <mergeCell ref="L17:L19"/>
    <mergeCell ref="M17:M19"/>
    <mergeCell ref="N17:N19"/>
    <mergeCell ref="O17:O19"/>
    <mergeCell ref="P17:P19"/>
    <mergeCell ref="Q17:Q19"/>
    <mergeCell ref="AH17:AH19"/>
    <mergeCell ref="S17:S19"/>
    <mergeCell ref="T17:T19"/>
    <mergeCell ref="U17:U19"/>
    <mergeCell ref="V17:V19"/>
    <mergeCell ref="W17:W19"/>
    <mergeCell ref="X17:X19"/>
    <mergeCell ref="Y17:Y19"/>
    <mergeCell ref="Z17:Z19"/>
    <mergeCell ref="AA17:AA19"/>
    <mergeCell ref="A17:A19"/>
    <mergeCell ref="B17:B19"/>
    <mergeCell ref="C17:C19"/>
    <mergeCell ref="D17:D19"/>
    <mergeCell ref="E17:E19"/>
    <mergeCell ref="F17:F19"/>
    <mergeCell ref="G17:G19"/>
    <mergeCell ref="H17:H19"/>
    <mergeCell ref="I17:I19"/>
    <mergeCell ref="A14:A16"/>
    <mergeCell ref="B14:B16"/>
    <mergeCell ref="C14:C16"/>
    <mergeCell ref="D14:D16"/>
    <mergeCell ref="F14:F16"/>
    <mergeCell ref="E14:E16"/>
    <mergeCell ref="M14:M16"/>
    <mergeCell ref="O14:O16"/>
    <mergeCell ref="H14:H16"/>
    <mergeCell ref="I14:I16"/>
    <mergeCell ref="J14:J16"/>
    <mergeCell ref="K14:K16"/>
    <mergeCell ref="L14:L16"/>
    <mergeCell ref="N14:N16"/>
    <mergeCell ref="G14:G16"/>
    <mergeCell ref="P14:P16"/>
    <mergeCell ref="Q14:Q16"/>
    <mergeCell ref="AL3:AL4"/>
    <mergeCell ref="AI2:AM2"/>
    <mergeCell ref="R2:AB2"/>
    <mergeCell ref="AI3:AI4"/>
    <mergeCell ref="AH10:AH12"/>
    <mergeCell ref="H10:H12"/>
    <mergeCell ref="I10:I12"/>
    <mergeCell ref="J10:J12"/>
    <mergeCell ref="K10:K12"/>
    <mergeCell ref="L10:L12"/>
    <mergeCell ref="A10:A12"/>
    <mergeCell ref="B10:B12"/>
    <mergeCell ref="C10:C12"/>
    <mergeCell ref="D10:D12"/>
    <mergeCell ref="F10:F12"/>
    <mergeCell ref="E10:E12"/>
    <mergeCell ref="G10:G12"/>
    <mergeCell ref="M10:M12"/>
    <mergeCell ref="O10:O12"/>
    <mergeCell ref="AH3:AH4"/>
    <mergeCell ref="AH5:AH7"/>
    <mergeCell ref="M5:M7"/>
    <mergeCell ref="O5:O7"/>
    <mergeCell ref="P5:P7"/>
    <mergeCell ref="Q5:Q7"/>
    <mergeCell ref="P10:P12"/>
    <mergeCell ref="Q10:Q12"/>
    <mergeCell ref="O3:O4"/>
    <mergeCell ref="P3:P4"/>
    <mergeCell ref="Q3:Q4"/>
    <mergeCell ref="R3:R4"/>
    <mergeCell ref="N5:N7"/>
    <mergeCell ref="N10:N12"/>
    <mergeCell ref="J5:J7"/>
    <mergeCell ref="K5:K7"/>
    <mergeCell ref="L5:L7"/>
    <mergeCell ref="A5:A7"/>
    <mergeCell ref="B5:B7"/>
    <mergeCell ref="C5:C7"/>
    <mergeCell ref="D5:D7"/>
    <mergeCell ref="F5:F7"/>
    <mergeCell ref="E5:E7"/>
    <mergeCell ref="G5:G7"/>
    <mergeCell ref="I3:I4"/>
    <mergeCell ref="H3:H4"/>
    <mergeCell ref="F3:F4"/>
    <mergeCell ref="D3:D4"/>
    <mergeCell ref="C3:C4"/>
    <mergeCell ref="B3:B4"/>
    <mergeCell ref="E3:E4"/>
    <mergeCell ref="H5:H7"/>
    <mergeCell ref="I5:I7"/>
    <mergeCell ref="A1:AM1"/>
    <mergeCell ref="AE3:AE4"/>
    <mergeCell ref="AF3:AF4"/>
    <mergeCell ref="AG3:AG4"/>
    <mergeCell ref="AJ3:AJ4"/>
    <mergeCell ref="S3:S4"/>
    <mergeCell ref="T3:T4"/>
    <mergeCell ref="U3:AB3"/>
    <mergeCell ref="AC3:AC4"/>
    <mergeCell ref="AD3:AD4"/>
    <mergeCell ref="M3:M4"/>
    <mergeCell ref="A3:A4"/>
    <mergeCell ref="AK3:AK4"/>
    <mergeCell ref="AM3:AM4"/>
    <mergeCell ref="L3:L4"/>
    <mergeCell ref="G3:G4"/>
    <mergeCell ref="K3:K4"/>
    <mergeCell ref="J3:J4"/>
    <mergeCell ref="A2:J2"/>
    <mergeCell ref="K2:Q2"/>
  </mergeCells>
  <conditionalFormatting sqref="K5 K13">
    <cfRule type="cellIs" dxfId="460" priority="651" operator="equal">
      <formula>"Muy alta"</formula>
    </cfRule>
    <cfRule type="cellIs" dxfId="459" priority="652" operator="equal">
      <formula>"Alta"</formula>
    </cfRule>
    <cfRule type="cellIs" dxfId="458" priority="653" operator="equal">
      <formula>"Media"</formula>
    </cfRule>
    <cfRule type="cellIs" dxfId="457" priority="654" operator="equal">
      <formula>"Baja"</formula>
    </cfRule>
    <cfRule type="cellIs" dxfId="456" priority="655" operator="equal">
      <formula>"Muy baja"</formula>
    </cfRule>
  </conditionalFormatting>
  <conditionalFormatting sqref="O5 O13">
    <cfRule type="cellIs" dxfId="455" priority="646" operator="equal">
      <formula>"Catastrófico"</formula>
    </cfRule>
    <cfRule type="cellIs" dxfId="454" priority="647" operator="equal">
      <formula>"Mayor"</formula>
    </cfRule>
    <cfRule type="cellIs" dxfId="453" priority="648" operator="equal">
      <formula>"Moderado"</formula>
    </cfRule>
    <cfRule type="cellIs" dxfId="452" priority="649" operator="equal">
      <formula>"Menor"</formula>
    </cfRule>
    <cfRule type="cellIs" dxfId="451" priority="650" operator="equal">
      <formula>"Leve"</formula>
    </cfRule>
  </conditionalFormatting>
  <conditionalFormatting sqref="Q5">
    <cfRule type="cellIs" dxfId="450" priority="642" operator="equal">
      <formula>"Bajo"</formula>
    </cfRule>
    <cfRule type="cellIs" dxfId="449" priority="643" operator="equal">
      <formula>"Moderado"</formula>
    </cfRule>
    <cfRule type="cellIs" dxfId="448" priority="644" operator="equal">
      <formula>"Alto"</formula>
    </cfRule>
    <cfRule type="cellIs" dxfId="447" priority="645" operator="equal">
      <formula>"Extremo"</formula>
    </cfRule>
  </conditionalFormatting>
  <conditionalFormatting sqref="AC5:AC7">
    <cfRule type="cellIs" dxfId="446" priority="635" operator="equal">
      <formula>"Muy alta"</formula>
    </cfRule>
    <cfRule type="cellIs" dxfId="445" priority="636" operator="equal">
      <formula>"Alta"</formula>
    </cfRule>
    <cfRule type="cellIs" dxfId="444" priority="637" operator="equal">
      <formula>"Media"</formula>
    </cfRule>
    <cfRule type="cellIs" dxfId="443" priority="640" operator="equal">
      <formula>"Muy baja"</formula>
    </cfRule>
    <cfRule type="cellIs" dxfId="442" priority="641" operator="equal">
      <formula>"Baja"</formula>
    </cfRule>
  </conditionalFormatting>
  <conditionalFormatting sqref="AF5:AF7">
    <cfRule type="cellIs" dxfId="441" priority="630" operator="equal">
      <formula>"Muy alta"</formula>
    </cfRule>
    <cfRule type="cellIs" dxfId="440" priority="631" operator="equal">
      <formula>"Alta"</formula>
    </cfRule>
    <cfRule type="cellIs" dxfId="439" priority="632" operator="equal">
      <formula>"Media"</formula>
    </cfRule>
    <cfRule type="cellIs" dxfId="438" priority="633" operator="equal">
      <formula>"Muy baja"</formula>
    </cfRule>
    <cfRule type="cellIs" dxfId="437" priority="634" operator="equal">
      <formula>"Baja"</formula>
    </cfRule>
  </conditionalFormatting>
  <conditionalFormatting sqref="AE5:AE7">
    <cfRule type="cellIs" dxfId="436" priority="625" operator="equal">
      <formula>"Catastrófico"</formula>
    </cfRule>
    <cfRule type="cellIs" dxfId="435" priority="626" operator="equal">
      <formula>"Mayor"</formula>
    </cfRule>
    <cfRule type="cellIs" dxfId="434" priority="627" operator="equal">
      <formula>"Moderado"</formula>
    </cfRule>
    <cfRule type="cellIs" dxfId="433" priority="628" operator="equal">
      <formula>"Menor"</formula>
    </cfRule>
    <cfRule type="cellIs" dxfId="432" priority="629" operator="equal">
      <formula>"Leve"</formula>
    </cfRule>
  </conditionalFormatting>
  <conditionalFormatting sqref="AG5:AG7">
    <cfRule type="cellIs" dxfId="431" priority="611" operator="equal">
      <formula>"Bajo"</formula>
    </cfRule>
    <cfRule type="cellIs" dxfId="430" priority="612" operator="equal">
      <formula>"Moderado"</formula>
    </cfRule>
    <cfRule type="cellIs" dxfId="429" priority="613" operator="equal">
      <formula>"Alto"</formula>
    </cfRule>
    <cfRule type="cellIs" dxfId="428" priority="614" operator="equal">
      <formula>"Extremo"</formula>
    </cfRule>
  </conditionalFormatting>
  <conditionalFormatting sqref="Q10">
    <cfRule type="cellIs" dxfId="427" priority="313" operator="equal">
      <formula>"Catastrófico"</formula>
    </cfRule>
    <cfRule type="cellIs" dxfId="426" priority="314" operator="equal">
      <formula>"Mayor"</formula>
    </cfRule>
    <cfRule type="cellIs" dxfId="425" priority="315" operator="equal">
      <formula>"Moderado"</formula>
    </cfRule>
    <cfRule type="cellIs" dxfId="424" priority="316" operator="equal">
      <formula>"Menor"</formula>
    </cfRule>
    <cfRule type="cellIs" dxfId="423" priority="317" operator="equal">
      <formula>"Leve"</formula>
    </cfRule>
  </conditionalFormatting>
  <conditionalFormatting sqref="O14 O17">
    <cfRule type="cellIs" dxfId="422" priority="459" operator="equal">
      <formula>"Catastrófico"</formula>
    </cfRule>
    <cfRule type="cellIs" dxfId="421" priority="460" operator="equal">
      <formula>"Mayor"</formula>
    </cfRule>
    <cfRule type="cellIs" dxfId="420" priority="461" operator="equal">
      <formula>"Moderado"</formula>
    </cfRule>
    <cfRule type="cellIs" dxfId="419" priority="462" operator="equal">
      <formula>"Menor"</formula>
    </cfRule>
    <cfRule type="cellIs" dxfId="418" priority="463" operator="equal">
      <formula>"Leve"</formula>
    </cfRule>
  </conditionalFormatting>
  <conditionalFormatting sqref="K14 K17">
    <cfRule type="cellIs" dxfId="403" priority="440" operator="equal">
      <formula>"Muy alta"</formula>
    </cfRule>
    <cfRule type="cellIs" dxfId="402" priority="441" operator="equal">
      <formula>"Alta"</formula>
    </cfRule>
    <cfRule type="cellIs" dxfId="401" priority="442" operator="equal">
      <formula>"Media"</formula>
    </cfRule>
    <cfRule type="cellIs" dxfId="400" priority="443" operator="equal">
      <formula>"Baja"</formula>
    </cfRule>
    <cfRule type="cellIs" dxfId="399" priority="444" operator="equal">
      <formula>"Muy baja"</formula>
    </cfRule>
  </conditionalFormatting>
  <conditionalFormatting sqref="AC10:AC12">
    <cfRule type="cellIs" dxfId="393" priority="377" operator="equal">
      <formula>"Muy alta"</formula>
    </cfRule>
    <cfRule type="cellIs" dxfId="392" priority="378" operator="equal">
      <formula>"Alta"</formula>
    </cfRule>
    <cfRule type="cellIs" dxfId="391" priority="379" operator="equal">
      <formula>"Media"</formula>
    </cfRule>
    <cfRule type="cellIs" dxfId="390" priority="380" operator="equal">
      <formula>"Muy baja"</formula>
    </cfRule>
    <cfRule type="cellIs" dxfId="389" priority="381" operator="equal">
      <formula>"Baja"</formula>
    </cfRule>
  </conditionalFormatting>
  <conditionalFormatting sqref="O10">
    <cfRule type="cellIs" dxfId="349" priority="386" operator="equal">
      <formula>"Catastrófico"</formula>
    </cfRule>
    <cfRule type="cellIs" dxfId="348" priority="387" operator="equal">
      <formula>"Mayor"</formula>
    </cfRule>
    <cfRule type="cellIs" dxfId="347" priority="388" operator="equal">
      <formula>"Moderado"</formula>
    </cfRule>
    <cfRule type="cellIs" dxfId="346" priority="389" operator="equal">
      <formula>"Menor"</formula>
    </cfRule>
    <cfRule type="cellIs" dxfId="345" priority="390" operator="equal">
      <formula>"Leve"</formula>
    </cfRule>
  </conditionalFormatting>
  <conditionalFormatting sqref="AE10:AE12">
    <cfRule type="cellIs" dxfId="339" priority="372" operator="equal">
      <formula>"Catastrófico"</formula>
    </cfRule>
    <cfRule type="cellIs" dxfId="338" priority="373" operator="equal">
      <formula>"Mayor"</formula>
    </cfRule>
    <cfRule type="cellIs" dxfId="337" priority="374" operator="equal">
      <formula>"Moderado"</formula>
    </cfRule>
    <cfRule type="cellIs" dxfId="336" priority="375" operator="equal">
      <formula>"Menor"</formula>
    </cfRule>
    <cfRule type="cellIs" dxfId="335" priority="376" operator="equal">
      <formula>"Leve"</formula>
    </cfRule>
  </conditionalFormatting>
  <conditionalFormatting sqref="AG10:AG12">
    <cfRule type="cellIs" dxfId="334" priority="368" operator="equal">
      <formula>"Bajo"</formula>
    </cfRule>
    <cfRule type="cellIs" dxfId="333" priority="369" operator="equal">
      <formula>"Moderado"</formula>
    </cfRule>
    <cfRule type="cellIs" dxfId="332" priority="370" operator="equal">
      <formula>"Alto"</formula>
    </cfRule>
    <cfRule type="cellIs" dxfId="331" priority="371" operator="equal">
      <formula>"Extremo"</formula>
    </cfRule>
  </conditionalFormatting>
  <conditionalFormatting sqref="K10">
    <cfRule type="cellIs" dxfId="330" priority="363" operator="equal">
      <formula>"Muy alta"</formula>
    </cfRule>
    <cfRule type="cellIs" dxfId="329" priority="364" operator="equal">
      <formula>"Alta"</formula>
    </cfRule>
    <cfRule type="cellIs" dxfId="328" priority="365" operator="equal">
      <formula>"Media"</formula>
    </cfRule>
    <cfRule type="cellIs" dxfId="327" priority="366" operator="equal">
      <formula>"Baja"</formula>
    </cfRule>
    <cfRule type="cellIs" dxfId="326" priority="367" operator="equal">
      <formula>"Muy baja"</formula>
    </cfRule>
  </conditionalFormatting>
  <conditionalFormatting sqref="AF10:AF12">
    <cfRule type="cellIs" dxfId="325" priority="358" operator="equal">
      <formula>"Muy alta"</formula>
    </cfRule>
    <cfRule type="cellIs" dxfId="324" priority="359" operator="equal">
      <formula>"Alta"</formula>
    </cfRule>
    <cfRule type="cellIs" dxfId="323" priority="360" operator="equal">
      <formula>"Media"</formula>
    </cfRule>
    <cfRule type="cellIs" dxfId="322" priority="361" operator="equal">
      <formula>"Muy baja"</formula>
    </cfRule>
    <cfRule type="cellIs" dxfId="321" priority="362" operator="equal">
      <formula>"Baja"</formula>
    </cfRule>
  </conditionalFormatting>
  <conditionalFormatting sqref="Q17">
    <cfRule type="cellIs" dxfId="320" priority="322" operator="equal">
      <formula>"Bajo"</formula>
    </cfRule>
    <cfRule type="cellIs" dxfId="319" priority="323" operator="equal">
      <formula>"Moderado"</formula>
    </cfRule>
    <cfRule type="cellIs" dxfId="318" priority="324" operator="equal">
      <formula>"Alto"</formula>
    </cfRule>
    <cfRule type="cellIs" dxfId="317" priority="325" operator="equal">
      <formula>"Extremo"</formula>
    </cfRule>
  </conditionalFormatting>
  <conditionalFormatting sqref="Q14">
    <cfRule type="cellIs" dxfId="316" priority="318" operator="equal">
      <formula>"Bajo"</formula>
    </cfRule>
    <cfRule type="cellIs" dxfId="315" priority="319" operator="equal">
      <formula>"Moderado"</formula>
    </cfRule>
    <cfRule type="cellIs" dxfId="314" priority="320" operator="equal">
      <formula>"Alto"</formula>
    </cfRule>
    <cfRule type="cellIs" dxfId="313" priority="321" operator="equal">
      <formula>"Extremo"</formula>
    </cfRule>
  </conditionalFormatting>
  <conditionalFormatting sqref="AG13">
    <cfRule type="cellIs" dxfId="312" priority="276" operator="equal">
      <formula>"Bajo"</formula>
    </cfRule>
    <cfRule type="cellIs" dxfId="311" priority="277" operator="equal">
      <formula>"Moderado"</formula>
    </cfRule>
    <cfRule type="cellIs" dxfId="310" priority="278" operator="equal">
      <formula>"Alto"</formula>
    </cfRule>
    <cfRule type="cellIs" dxfId="309" priority="279" operator="equal">
      <formula>"Extremo"</formula>
    </cfRule>
  </conditionalFormatting>
  <conditionalFormatting sqref="AC13">
    <cfRule type="cellIs" dxfId="308" priority="271" operator="equal">
      <formula>"Muy alta"</formula>
    </cfRule>
    <cfRule type="cellIs" dxfId="307" priority="272" operator="equal">
      <formula>"Alta"</formula>
    </cfRule>
    <cfRule type="cellIs" dxfId="306" priority="273" operator="equal">
      <formula>"Media"</formula>
    </cfRule>
    <cfRule type="cellIs" dxfId="305" priority="274" operator="equal">
      <formula>"Muy baja"</formula>
    </cfRule>
    <cfRule type="cellIs" dxfId="304" priority="275" operator="equal">
      <formula>"Baja"</formula>
    </cfRule>
  </conditionalFormatting>
  <conditionalFormatting sqref="AF13">
    <cfRule type="cellIs" dxfId="303" priority="266" operator="equal">
      <formula>"Muy alta"</formula>
    </cfRule>
    <cfRule type="cellIs" dxfId="302" priority="267" operator="equal">
      <formula>"Alta"</formula>
    </cfRule>
    <cfRule type="cellIs" dxfId="301" priority="268" operator="equal">
      <formula>"Media"</formula>
    </cfRule>
    <cfRule type="cellIs" dxfId="300" priority="269" operator="equal">
      <formula>"Muy baja"</formula>
    </cfRule>
    <cfRule type="cellIs" dxfId="299" priority="270" operator="equal">
      <formula>"Baja"</formula>
    </cfRule>
  </conditionalFormatting>
  <conditionalFormatting sqref="AE13">
    <cfRule type="cellIs" dxfId="298" priority="261" operator="equal">
      <formula>"Catastrófico"</formula>
    </cfRule>
    <cfRule type="cellIs" dxfId="297" priority="262" operator="equal">
      <formula>"Mayor"</formula>
    </cfRule>
    <cfRule type="cellIs" dxfId="296" priority="263" operator="equal">
      <formula>"Moderado"</formula>
    </cfRule>
    <cfRule type="cellIs" dxfId="295" priority="264" operator="equal">
      <formula>"Menor"</formula>
    </cfRule>
    <cfRule type="cellIs" dxfId="294" priority="265" operator="equal">
      <formula>"Leve"</formula>
    </cfRule>
  </conditionalFormatting>
  <conditionalFormatting sqref="Q13">
    <cfRule type="cellIs" dxfId="293" priority="257" operator="equal">
      <formula>"Bajo"</formula>
    </cfRule>
    <cfRule type="cellIs" dxfId="292" priority="258" operator="equal">
      <formula>"Moderado"</formula>
    </cfRule>
    <cfRule type="cellIs" dxfId="291" priority="259" operator="equal">
      <formula>"Alto"</formula>
    </cfRule>
    <cfRule type="cellIs" dxfId="290" priority="260" operator="equal">
      <formula>"Extremo"</formula>
    </cfRule>
  </conditionalFormatting>
  <conditionalFormatting sqref="AG14:AG16">
    <cfRule type="cellIs" dxfId="289" priority="253" operator="equal">
      <formula>"Bajo"</formula>
    </cfRule>
    <cfRule type="cellIs" dxfId="288" priority="254" operator="equal">
      <formula>"Moderado"</formula>
    </cfRule>
    <cfRule type="cellIs" dxfId="287" priority="255" operator="equal">
      <formula>"Alto"</formula>
    </cfRule>
    <cfRule type="cellIs" dxfId="286" priority="256" operator="equal">
      <formula>"Extremo"</formula>
    </cfRule>
  </conditionalFormatting>
  <conditionalFormatting sqref="AC14:AC16">
    <cfRule type="cellIs" dxfId="285" priority="248" operator="equal">
      <formula>"Muy alta"</formula>
    </cfRule>
    <cfRule type="cellIs" dxfId="284" priority="249" operator="equal">
      <formula>"Alta"</formula>
    </cfRule>
    <cfRule type="cellIs" dxfId="283" priority="250" operator="equal">
      <formula>"Media"</formula>
    </cfRule>
    <cfRule type="cellIs" dxfId="282" priority="251" operator="equal">
      <formula>"Muy baja"</formula>
    </cfRule>
    <cfRule type="cellIs" dxfId="281" priority="252" operator="equal">
      <formula>"Baja"</formula>
    </cfRule>
  </conditionalFormatting>
  <conditionalFormatting sqref="AE14:AE16">
    <cfRule type="cellIs" dxfId="280" priority="243" operator="equal">
      <formula>"Catastrófico"</formula>
    </cfRule>
    <cfRule type="cellIs" dxfId="279" priority="244" operator="equal">
      <formula>"Mayor"</formula>
    </cfRule>
    <cfRule type="cellIs" dxfId="278" priority="245" operator="equal">
      <formula>"Moderado"</formula>
    </cfRule>
    <cfRule type="cellIs" dxfId="277" priority="246" operator="equal">
      <formula>"Menor"</formula>
    </cfRule>
    <cfRule type="cellIs" dxfId="276" priority="247" operator="equal">
      <formula>"Leve"</formula>
    </cfRule>
  </conditionalFormatting>
  <conditionalFormatting sqref="AF14:AF16">
    <cfRule type="cellIs" dxfId="275" priority="238" operator="equal">
      <formula>"Muy alta"</formula>
    </cfRule>
    <cfRule type="cellIs" dxfId="274" priority="239" operator="equal">
      <formula>"Alta"</formula>
    </cfRule>
    <cfRule type="cellIs" dxfId="273" priority="240" operator="equal">
      <formula>"Media"</formula>
    </cfRule>
    <cfRule type="cellIs" dxfId="272" priority="241" operator="equal">
      <formula>"Muy baja"</formula>
    </cfRule>
    <cfRule type="cellIs" dxfId="271" priority="242" operator="equal">
      <formula>"Baja"</formula>
    </cfRule>
  </conditionalFormatting>
  <conditionalFormatting sqref="AG17">
    <cfRule type="cellIs" dxfId="270" priority="234" operator="equal">
      <formula>"Bajo"</formula>
    </cfRule>
    <cfRule type="cellIs" dxfId="269" priority="235" operator="equal">
      <formula>"Moderado"</formula>
    </cfRule>
    <cfRule type="cellIs" dxfId="268" priority="236" operator="equal">
      <formula>"Alto"</formula>
    </cfRule>
    <cfRule type="cellIs" dxfId="267" priority="237" operator="equal">
      <formula>"Extremo"</formula>
    </cfRule>
  </conditionalFormatting>
  <conditionalFormatting sqref="AC17">
    <cfRule type="cellIs" dxfId="266" priority="229" operator="equal">
      <formula>"Muy alta"</formula>
    </cfRule>
    <cfRule type="cellIs" dxfId="265" priority="230" operator="equal">
      <formula>"Alta"</formula>
    </cfRule>
    <cfRule type="cellIs" dxfId="264" priority="231" operator="equal">
      <formula>"Media"</formula>
    </cfRule>
    <cfRule type="cellIs" dxfId="263" priority="232" operator="equal">
      <formula>"Muy baja"</formula>
    </cfRule>
    <cfRule type="cellIs" dxfId="262" priority="233" operator="equal">
      <formula>"Baja"</formula>
    </cfRule>
  </conditionalFormatting>
  <conditionalFormatting sqref="AF17">
    <cfRule type="cellIs" dxfId="261" priority="224" operator="equal">
      <formula>"Muy alta"</formula>
    </cfRule>
    <cfRule type="cellIs" dxfId="260" priority="225" operator="equal">
      <formula>"Alta"</formula>
    </cfRule>
    <cfRule type="cellIs" dxfId="259" priority="226" operator="equal">
      <formula>"Media"</formula>
    </cfRule>
    <cfRule type="cellIs" dxfId="258" priority="227" operator="equal">
      <formula>"Muy baja"</formula>
    </cfRule>
    <cfRule type="cellIs" dxfId="257" priority="228" operator="equal">
      <formula>"Baja"</formula>
    </cfRule>
  </conditionalFormatting>
  <conditionalFormatting sqref="AE17">
    <cfRule type="cellIs" dxfId="256" priority="219" operator="equal">
      <formula>"Catastrófico"</formula>
    </cfRule>
    <cfRule type="cellIs" dxfId="255" priority="220" operator="equal">
      <formula>"Mayor"</formula>
    </cfRule>
    <cfRule type="cellIs" dxfId="254" priority="221" operator="equal">
      <formula>"Moderado"</formula>
    </cfRule>
    <cfRule type="cellIs" dxfId="253" priority="222" operator="equal">
      <formula>"Menor"</formula>
    </cfRule>
    <cfRule type="cellIs" dxfId="252" priority="223" operator="equal">
      <formula>"Leve"</formula>
    </cfRule>
  </conditionalFormatting>
  <conditionalFormatting sqref="AC9">
    <cfRule type="cellIs" dxfId="237" priority="185" operator="equal">
      <formula>"Muy alta"</formula>
    </cfRule>
    <cfRule type="cellIs" dxfId="236" priority="186" operator="equal">
      <formula>"Alta"</formula>
    </cfRule>
    <cfRule type="cellIs" dxfId="235" priority="187" operator="equal">
      <formula>"Media"</formula>
    </cfRule>
    <cfRule type="cellIs" dxfId="234" priority="188" operator="equal">
      <formula>"Muy baja"</formula>
    </cfRule>
    <cfRule type="cellIs" dxfId="233" priority="189" operator="equal">
      <formula>"Baja"</formula>
    </cfRule>
  </conditionalFormatting>
  <conditionalFormatting sqref="O8">
    <cfRule type="cellIs" dxfId="217" priority="214" operator="equal">
      <formula>"Catastrófico"</formula>
    </cfRule>
    <cfRule type="cellIs" dxfId="216" priority="215" operator="equal">
      <formula>"Mayor"</formula>
    </cfRule>
    <cfRule type="cellIs" dxfId="215" priority="216" operator="equal">
      <formula>"Moderado"</formula>
    </cfRule>
    <cfRule type="cellIs" dxfId="214" priority="217" operator="equal">
      <formula>"Menor"</formula>
    </cfRule>
    <cfRule type="cellIs" dxfId="213" priority="218" operator="equal">
      <formula>"Leve"</formula>
    </cfRule>
  </conditionalFormatting>
  <conditionalFormatting sqref="Q8 AG8:AG9">
    <cfRule type="cellIs" dxfId="212" priority="210" operator="equal">
      <formula>"Bajo"</formula>
    </cfRule>
    <cfRule type="cellIs" dxfId="211" priority="211" operator="equal">
      <formula>"Moderado"</formula>
    </cfRule>
    <cfRule type="cellIs" dxfId="210" priority="212" operator="equal">
      <formula>"Alto"</formula>
    </cfRule>
    <cfRule type="cellIs" dxfId="209" priority="213" operator="equal">
      <formula>"Extremo"</formula>
    </cfRule>
  </conditionalFormatting>
  <conditionalFormatting sqref="K8">
    <cfRule type="cellIs" dxfId="208" priority="205" operator="equal">
      <formula>"Muy alta"</formula>
    </cfRule>
    <cfRule type="cellIs" dxfId="207" priority="206" operator="equal">
      <formula>"Alta"</formula>
    </cfRule>
    <cfRule type="cellIs" dxfId="206" priority="207" operator="equal">
      <formula>"Media"</formula>
    </cfRule>
    <cfRule type="cellIs" dxfId="205" priority="208" operator="equal">
      <formula>"Baja"</formula>
    </cfRule>
    <cfRule type="cellIs" dxfId="204" priority="209" operator="equal">
      <formula>"Muy baja"</formula>
    </cfRule>
  </conditionalFormatting>
  <conditionalFormatting sqref="AC8">
    <cfRule type="cellIs" dxfId="203" priority="200" operator="equal">
      <formula>"Muy alta"</formula>
    </cfRule>
    <cfRule type="cellIs" dxfId="202" priority="201" operator="equal">
      <formula>"Alta"</formula>
    </cfRule>
    <cfRule type="cellIs" dxfId="201" priority="202" operator="equal">
      <formula>"Media"</formula>
    </cfRule>
    <cfRule type="cellIs" dxfId="200" priority="203" operator="equal">
      <formula>"Muy baja"</formula>
    </cfRule>
    <cfRule type="cellIs" dxfId="199" priority="204" operator="equal">
      <formula>"Baja"</formula>
    </cfRule>
  </conditionalFormatting>
  <conditionalFormatting sqref="AF8:AF9">
    <cfRule type="cellIs" dxfId="198" priority="195" operator="equal">
      <formula>"Muy alta"</formula>
    </cfRule>
    <cfRule type="cellIs" dxfId="197" priority="196" operator="equal">
      <formula>"Alta"</formula>
    </cfRule>
    <cfRule type="cellIs" dxfId="196" priority="197" operator="equal">
      <formula>"Media"</formula>
    </cfRule>
    <cfRule type="cellIs" dxfId="195" priority="198" operator="equal">
      <formula>"Muy baja"</formula>
    </cfRule>
    <cfRule type="cellIs" dxfId="194" priority="199" operator="equal">
      <formula>"Baja"</formula>
    </cfRule>
  </conditionalFormatting>
  <conditionalFormatting sqref="AE8:AE9">
    <cfRule type="cellIs" dxfId="193" priority="190" operator="equal">
      <formula>"Catastrófico"</formula>
    </cfRule>
    <cfRule type="cellIs" dxfId="192" priority="191" operator="equal">
      <formula>"Mayor"</formula>
    </cfRule>
    <cfRule type="cellIs" dxfId="191" priority="192" operator="equal">
      <formula>"Moderado"</formula>
    </cfRule>
    <cfRule type="cellIs" dxfId="190" priority="193" operator="equal">
      <formula>"Menor"</formula>
    </cfRule>
    <cfRule type="cellIs" dxfId="189" priority="194" operator="equal">
      <formula>"Leve"</formula>
    </cfRule>
  </conditionalFormatting>
  <conditionalFormatting sqref="K20">
    <cfRule type="cellIs" dxfId="183" priority="180" operator="equal">
      <formula>"Muy alta"</formula>
    </cfRule>
    <cfRule type="cellIs" dxfId="182" priority="181" operator="equal">
      <formula>"Alta"</formula>
    </cfRule>
    <cfRule type="cellIs" dxfId="181" priority="182" operator="equal">
      <formula>"Media"</formula>
    </cfRule>
    <cfRule type="cellIs" dxfId="180" priority="183" operator="equal">
      <formula>"Baja"</formula>
    </cfRule>
    <cfRule type="cellIs" dxfId="179" priority="184" operator="equal">
      <formula>"Muy baja"</formula>
    </cfRule>
  </conditionalFormatting>
  <conditionalFormatting sqref="O20">
    <cfRule type="cellIs" dxfId="178" priority="175" operator="equal">
      <formula>"Catastrófico"</formula>
    </cfRule>
    <cfRule type="cellIs" dxfId="177" priority="176" operator="equal">
      <formula>"Mayor"</formula>
    </cfRule>
    <cfRule type="cellIs" dxfId="176" priority="177" operator="equal">
      <formula>"Moderado"</formula>
    </cfRule>
    <cfRule type="cellIs" dxfId="175" priority="178" operator="equal">
      <formula>"Menor"</formula>
    </cfRule>
    <cfRule type="cellIs" dxfId="174" priority="179" operator="equal">
      <formula>"Leve"</formula>
    </cfRule>
  </conditionalFormatting>
  <conditionalFormatting sqref="Q20 AG20:AG22">
    <cfRule type="cellIs" dxfId="173" priority="171" operator="equal">
      <formula>"Bajo"</formula>
    </cfRule>
    <cfRule type="cellIs" dxfId="172" priority="172" operator="equal">
      <formula>"Moderado"</formula>
    </cfRule>
    <cfRule type="cellIs" dxfId="171" priority="173" operator="equal">
      <formula>"Alto"</formula>
    </cfRule>
    <cfRule type="cellIs" dxfId="170" priority="174" operator="equal">
      <formula>"Extremo"</formula>
    </cfRule>
  </conditionalFormatting>
  <conditionalFormatting sqref="AC20:AC22">
    <cfRule type="cellIs" dxfId="169" priority="166" operator="equal">
      <formula>"Muy alta"</formula>
    </cfRule>
    <cfRule type="cellIs" dxfId="168" priority="167" operator="equal">
      <formula>"Alta"</formula>
    </cfRule>
    <cfRule type="cellIs" dxfId="167" priority="168" operator="equal">
      <formula>"Media"</formula>
    </cfRule>
    <cfRule type="cellIs" dxfId="166" priority="169" operator="equal">
      <formula>"Muy baja"</formula>
    </cfRule>
    <cfRule type="cellIs" dxfId="165" priority="170" operator="equal">
      <formula>"Baja"</formula>
    </cfRule>
  </conditionalFormatting>
  <conditionalFormatting sqref="AF20:AF22">
    <cfRule type="cellIs" dxfId="164" priority="161" operator="equal">
      <formula>"Muy alta"</formula>
    </cfRule>
    <cfRule type="cellIs" dxfId="163" priority="162" operator="equal">
      <formula>"Alta"</formula>
    </cfRule>
    <cfRule type="cellIs" dxfId="162" priority="163" operator="equal">
      <formula>"Media"</formula>
    </cfRule>
    <cfRule type="cellIs" dxfId="161" priority="164" operator="equal">
      <formula>"Muy baja"</formula>
    </cfRule>
    <cfRule type="cellIs" dxfId="160" priority="165" operator="equal">
      <formula>"Baja"</formula>
    </cfRule>
  </conditionalFormatting>
  <conditionalFormatting sqref="AE20:AE22">
    <cfRule type="cellIs" dxfId="159" priority="156" operator="equal">
      <formula>"Catastrófico"</formula>
    </cfRule>
    <cfRule type="cellIs" dxfId="158" priority="157" operator="equal">
      <formula>"Mayor"</formula>
    </cfRule>
    <cfRule type="cellIs" dxfId="157" priority="158" operator="equal">
      <formula>"Moderado"</formula>
    </cfRule>
    <cfRule type="cellIs" dxfId="156" priority="159" operator="equal">
      <formula>"Menor"</formula>
    </cfRule>
    <cfRule type="cellIs" dxfId="155" priority="160" operator="equal">
      <formula>"Leve"</formula>
    </cfRule>
  </conditionalFormatting>
  <conditionalFormatting sqref="K23">
    <cfRule type="cellIs" dxfId="125" priority="122" operator="equal">
      <formula>"Muy alta"</formula>
    </cfRule>
    <cfRule type="cellIs" dxfId="124" priority="123" operator="equal">
      <formula>"Alta"</formula>
    </cfRule>
    <cfRule type="cellIs" dxfId="123" priority="124" operator="equal">
      <formula>"Media"</formula>
    </cfRule>
    <cfRule type="cellIs" dxfId="122" priority="125" operator="equal">
      <formula>"Baja"</formula>
    </cfRule>
    <cfRule type="cellIs" dxfId="121" priority="126" operator="equal">
      <formula>"Muy baja"</formula>
    </cfRule>
  </conditionalFormatting>
  <conditionalFormatting sqref="O23">
    <cfRule type="cellIs" dxfId="120" priority="117" operator="equal">
      <formula>"Catastrófico"</formula>
    </cfRule>
    <cfRule type="cellIs" dxfId="119" priority="118" operator="equal">
      <formula>"Mayor"</formula>
    </cfRule>
    <cfRule type="cellIs" dxfId="118" priority="119" operator="equal">
      <formula>"Moderado"</formula>
    </cfRule>
    <cfRule type="cellIs" dxfId="117" priority="120" operator="equal">
      <formula>"Menor"</formula>
    </cfRule>
    <cfRule type="cellIs" dxfId="116" priority="121" operator="equal">
      <formula>"Leve"</formula>
    </cfRule>
  </conditionalFormatting>
  <conditionalFormatting sqref="AG23:AG25">
    <cfRule type="cellIs" dxfId="115" priority="113" operator="equal">
      <formula>"Bajo"</formula>
    </cfRule>
    <cfRule type="cellIs" dxfId="114" priority="114" operator="equal">
      <formula>"Moderado"</formula>
    </cfRule>
    <cfRule type="cellIs" dxfId="113" priority="115" operator="equal">
      <formula>"Alto"</formula>
    </cfRule>
    <cfRule type="cellIs" dxfId="112" priority="116" operator="equal">
      <formula>"Extremo"</formula>
    </cfRule>
  </conditionalFormatting>
  <conditionalFormatting sqref="AC23:AC25 AF23:AF25">
    <cfRule type="cellIs" dxfId="111" priority="108" operator="equal">
      <formula>"Muy alta"</formula>
    </cfRule>
    <cfRule type="cellIs" dxfId="110" priority="109" operator="equal">
      <formula>"Alta"</formula>
    </cfRule>
    <cfRule type="cellIs" dxfId="109" priority="110" operator="equal">
      <formula>"Media"</formula>
    </cfRule>
    <cfRule type="cellIs" dxfId="108" priority="111" operator="equal">
      <formula>"Muy baja"</formula>
    </cfRule>
    <cfRule type="cellIs" dxfId="107" priority="112" operator="equal">
      <formula>"Baja"</formula>
    </cfRule>
  </conditionalFormatting>
  <conditionalFormatting sqref="AE23:AE25">
    <cfRule type="cellIs" dxfId="106" priority="103" operator="equal">
      <formula>"Catastrófico"</formula>
    </cfRule>
    <cfRule type="cellIs" dxfId="105" priority="104" operator="equal">
      <formula>"Mayor"</formula>
    </cfRule>
    <cfRule type="cellIs" dxfId="104" priority="105" operator="equal">
      <formula>"Moderado"</formula>
    </cfRule>
    <cfRule type="cellIs" dxfId="103" priority="106" operator="equal">
      <formula>"Menor"</formula>
    </cfRule>
    <cfRule type="cellIs" dxfId="102" priority="107" operator="equal">
      <formula>"Leve"</formula>
    </cfRule>
  </conditionalFormatting>
  <conditionalFormatting sqref="Q23">
    <cfRule type="cellIs" dxfId="101" priority="99" operator="equal">
      <formula>"Bajo"</formula>
    </cfRule>
    <cfRule type="cellIs" dxfId="100" priority="100" operator="equal">
      <formula>"Moderado"</formula>
    </cfRule>
    <cfRule type="cellIs" dxfId="99" priority="101" operator="equal">
      <formula>"Alto"</formula>
    </cfRule>
    <cfRule type="cellIs" dxfId="98" priority="102" operator="equal">
      <formula>"Extremo"</formula>
    </cfRule>
  </conditionalFormatting>
  <conditionalFormatting sqref="O26">
    <cfRule type="cellIs" dxfId="97" priority="94" operator="equal">
      <formula>"Catastrófico"</formula>
    </cfRule>
    <cfRule type="cellIs" dxfId="96" priority="95" operator="equal">
      <formula>"Mayor"</formula>
    </cfRule>
    <cfRule type="cellIs" dxfId="95" priority="96" operator="equal">
      <formula>"Moderado"</formula>
    </cfRule>
    <cfRule type="cellIs" dxfId="94" priority="97" operator="equal">
      <formula>"Menor"</formula>
    </cfRule>
    <cfRule type="cellIs" dxfId="93" priority="98" operator="equal">
      <formula>"Leve"</formula>
    </cfRule>
  </conditionalFormatting>
  <conditionalFormatting sqref="AG26:AG30">
    <cfRule type="cellIs" dxfId="92" priority="90" operator="equal">
      <formula>"Bajo"</formula>
    </cfRule>
    <cfRule type="cellIs" dxfId="91" priority="91" operator="equal">
      <formula>"Moderado"</formula>
    </cfRule>
    <cfRule type="cellIs" dxfId="90" priority="92" operator="equal">
      <formula>"Alto"</formula>
    </cfRule>
    <cfRule type="cellIs" dxfId="89" priority="93" operator="equal">
      <formula>"Extremo"</formula>
    </cfRule>
  </conditionalFormatting>
  <conditionalFormatting sqref="K26">
    <cfRule type="cellIs" dxfId="88" priority="85" operator="equal">
      <formula>"Muy alta"</formula>
    </cfRule>
    <cfRule type="cellIs" dxfId="87" priority="86" operator="equal">
      <formula>"Alta"</formula>
    </cfRule>
    <cfRule type="cellIs" dxfId="86" priority="87" operator="equal">
      <formula>"Media"</formula>
    </cfRule>
    <cfRule type="cellIs" dxfId="85" priority="88" operator="equal">
      <formula>"Baja"</formula>
    </cfRule>
    <cfRule type="cellIs" dxfId="84" priority="89" operator="equal">
      <formula>"Muy baja"</formula>
    </cfRule>
  </conditionalFormatting>
  <conditionalFormatting sqref="AC26">
    <cfRule type="cellIs" dxfId="83" priority="80" operator="equal">
      <formula>"Muy alta"</formula>
    </cfRule>
    <cfRule type="cellIs" dxfId="82" priority="81" operator="equal">
      <formula>"Alta"</formula>
    </cfRule>
    <cfRule type="cellIs" dxfId="81" priority="82" operator="equal">
      <formula>"Media"</formula>
    </cfRule>
    <cfRule type="cellIs" dxfId="80" priority="83" operator="equal">
      <formula>"Muy baja"</formula>
    </cfRule>
    <cfRule type="cellIs" dxfId="79" priority="84" operator="equal">
      <formula>"Baja"</formula>
    </cfRule>
  </conditionalFormatting>
  <conditionalFormatting sqref="AF26:AF30">
    <cfRule type="cellIs" dxfId="78" priority="75" operator="equal">
      <formula>"Muy alta"</formula>
    </cfRule>
    <cfRule type="cellIs" dxfId="77" priority="76" operator="equal">
      <formula>"Alta"</formula>
    </cfRule>
    <cfRule type="cellIs" dxfId="76" priority="77" operator="equal">
      <formula>"Media"</formula>
    </cfRule>
    <cfRule type="cellIs" dxfId="75" priority="78" operator="equal">
      <formula>"Muy baja"</formula>
    </cfRule>
    <cfRule type="cellIs" dxfId="74" priority="79" operator="equal">
      <formula>"Baja"</formula>
    </cfRule>
  </conditionalFormatting>
  <conditionalFormatting sqref="AE26:AE30">
    <cfRule type="cellIs" dxfId="73" priority="70" operator="equal">
      <formula>"Catastrófico"</formula>
    </cfRule>
    <cfRule type="cellIs" dxfId="72" priority="71" operator="equal">
      <formula>"Mayor"</formula>
    </cfRule>
    <cfRule type="cellIs" dxfId="71" priority="72" operator="equal">
      <formula>"Moderado"</formula>
    </cfRule>
    <cfRule type="cellIs" dxfId="70" priority="73" operator="equal">
      <formula>"Menor"</formula>
    </cfRule>
    <cfRule type="cellIs" dxfId="69" priority="74" operator="equal">
      <formula>"Leve"</formula>
    </cfRule>
  </conditionalFormatting>
  <conditionalFormatting sqref="AC27:AC30">
    <cfRule type="cellIs" dxfId="68" priority="65" operator="equal">
      <formula>"Muy alta"</formula>
    </cfRule>
    <cfRule type="cellIs" dxfId="67" priority="66" operator="equal">
      <formula>"Alta"</formula>
    </cfRule>
    <cfRule type="cellIs" dxfId="66" priority="67" operator="equal">
      <formula>"Media"</formula>
    </cfRule>
    <cfRule type="cellIs" dxfId="65" priority="68" operator="equal">
      <formula>"Muy baja"</formula>
    </cfRule>
    <cfRule type="cellIs" dxfId="64" priority="69" operator="equal">
      <formula>"Baja"</formula>
    </cfRule>
  </conditionalFormatting>
  <conditionalFormatting sqref="Q26">
    <cfRule type="cellIs" dxfId="63" priority="61" operator="equal">
      <formula>"Bajo"</formula>
    </cfRule>
    <cfRule type="cellIs" dxfId="62" priority="62" operator="equal">
      <formula>"Moderado"</formula>
    </cfRule>
    <cfRule type="cellIs" dxfId="61" priority="63" operator="equal">
      <formula>"Alto"</formula>
    </cfRule>
    <cfRule type="cellIs" dxfId="60" priority="64" operator="equal">
      <formula>"Extremo"</formula>
    </cfRule>
  </conditionalFormatting>
  <conditionalFormatting sqref="K31">
    <cfRule type="cellIs" dxfId="59" priority="56" operator="equal">
      <formula>"Muy alta"</formula>
    </cfRule>
    <cfRule type="cellIs" dxfId="58" priority="57" operator="equal">
      <formula>"Alta"</formula>
    </cfRule>
    <cfRule type="cellIs" dxfId="57" priority="58" operator="equal">
      <formula>"Media"</formula>
    </cfRule>
    <cfRule type="cellIs" dxfId="56" priority="59" operator="equal">
      <formula>"Baja"</formula>
    </cfRule>
    <cfRule type="cellIs" dxfId="55" priority="60" operator="equal">
      <formula>"Muy baja"</formula>
    </cfRule>
  </conditionalFormatting>
  <conditionalFormatting sqref="O31">
    <cfRule type="cellIs" dxfId="54" priority="51" operator="equal">
      <formula>"Catastrófico"</formula>
    </cfRule>
    <cfRule type="cellIs" dxfId="53" priority="52" operator="equal">
      <formula>"Mayor"</formula>
    </cfRule>
    <cfRule type="cellIs" dxfId="52" priority="53" operator="equal">
      <formula>"Moderado"</formula>
    </cfRule>
    <cfRule type="cellIs" dxfId="51" priority="54" operator="equal">
      <formula>"Menor"</formula>
    </cfRule>
    <cfRule type="cellIs" dxfId="50" priority="55" operator="equal">
      <formula>"Leve"</formula>
    </cfRule>
  </conditionalFormatting>
  <conditionalFormatting sqref="AC31:AC32 AC34">
    <cfRule type="cellIs" dxfId="45" priority="42" operator="equal">
      <formula>"Muy alta"</formula>
    </cfRule>
    <cfRule type="cellIs" dxfId="44" priority="43" operator="equal">
      <formula>"Alta"</formula>
    </cfRule>
    <cfRule type="cellIs" dxfId="43" priority="44" operator="equal">
      <formula>"Media"</formula>
    </cfRule>
    <cfRule type="cellIs" dxfId="42" priority="45" operator="equal">
      <formula>"Muy baja"</formula>
    </cfRule>
    <cfRule type="cellIs" dxfId="41" priority="46" operator="equal">
      <formula>"Baja"</formula>
    </cfRule>
  </conditionalFormatting>
  <conditionalFormatting sqref="AF31:AF32 AF34">
    <cfRule type="cellIs" dxfId="40" priority="37" operator="equal">
      <formula>"Muy alta"</formula>
    </cfRule>
    <cfRule type="cellIs" dxfId="39" priority="38" operator="equal">
      <formula>"Alta"</formula>
    </cfRule>
    <cfRule type="cellIs" dxfId="38" priority="39" operator="equal">
      <formula>"Media"</formula>
    </cfRule>
    <cfRule type="cellIs" dxfId="37" priority="40" operator="equal">
      <formula>"Muy baja"</formula>
    </cfRule>
    <cfRule type="cellIs" dxfId="36" priority="41" operator="equal">
      <formula>"Baja"</formula>
    </cfRule>
  </conditionalFormatting>
  <conditionalFormatting sqref="AE31:AE32 AE34">
    <cfRule type="cellIs" dxfId="35" priority="32" operator="equal">
      <formula>"Catastrófico"</formula>
    </cfRule>
    <cfRule type="cellIs" dxfId="34" priority="33" operator="equal">
      <formula>"Mayor"</formula>
    </cfRule>
    <cfRule type="cellIs" dxfId="33" priority="34" operator="equal">
      <formula>"Moderado"</formula>
    </cfRule>
    <cfRule type="cellIs" dxfId="32" priority="35" operator="equal">
      <formula>"Menor"</formula>
    </cfRule>
    <cfRule type="cellIs" dxfId="31" priority="36" operator="equal">
      <formula>"Leve"</formula>
    </cfRule>
  </conditionalFormatting>
  <conditionalFormatting sqref="AG31:AG32 AG34">
    <cfRule type="cellIs" dxfId="30" priority="28" operator="equal">
      <formula>"Bajo"</formula>
    </cfRule>
    <cfRule type="cellIs" dxfId="29" priority="29" operator="equal">
      <formula>"Moderado"</formula>
    </cfRule>
    <cfRule type="cellIs" dxfId="28" priority="30" operator="equal">
      <formula>"Alto"</formula>
    </cfRule>
    <cfRule type="cellIs" dxfId="27" priority="31" operator="equal">
      <formula>"Extremo"</formula>
    </cfRule>
  </conditionalFormatting>
  <conditionalFormatting sqref="AC33">
    <cfRule type="cellIs" dxfId="26" priority="23" operator="equal">
      <formula>"Muy alta"</formula>
    </cfRule>
    <cfRule type="cellIs" dxfId="25" priority="24" operator="equal">
      <formula>"Alta"</formula>
    </cfRule>
    <cfRule type="cellIs" dxfId="24" priority="25" operator="equal">
      <formula>"Media"</formula>
    </cfRule>
    <cfRule type="cellIs" dxfId="23" priority="26" operator="equal">
      <formula>"Muy baja"</formula>
    </cfRule>
    <cfRule type="cellIs" dxfId="22" priority="27" operator="equal">
      <formula>"Baja"</formula>
    </cfRule>
  </conditionalFormatting>
  <conditionalFormatting sqref="AF33">
    <cfRule type="cellIs" dxfId="21" priority="18" operator="equal">
      <formula>"Muy alta"</formula>
    </cfRule>
    <cfRule type="cellIs" dxfId="20" priority="19" operator="equal">
      <formula>"Alta"</formula>
    </cfRule>
    <cfRule type="cellIs" dxfId="19" priority="20" operator="equal">
      <formula>"Media"</formula>
    </cfRule>
    <cfRule type="cellIs" dxfId="18" priority="21" operator="equal">
      <formula>"Muy baja"</formula>
    </cfRule>
    <cfRule type="cellIs" dxfId="17" priority="22" operator="equal">
      <formula>"Baja"</formula>
    </cfRule>
  </conditionalFormatting>
  <conditionalFormatting sqref="AE33">
    <cfRule type="cellIs" dxfId="16" priority="13" operator="equal">
      <formula>"Catastrófico"</formula>
    </cfRule>
    <cfRule type="cellIs" dxfId="15" priority="14" operator="equal">
      <formula>"Mayor"</formula>
    </cfRule>
    <cfRule type="cellIs" dxfId="14" priority="15" operator="equal">
      <formula>"Moderado"</formula>
    </cfRule>
    <cfRule type="cellIs" dxfId="13" priority="16" operator="equal">
      <formula>"Menor"</formula>
    </cfRule>
    <cfRule type="cellIs" dxfId="12" priority="17" operator="equal">
      <formula>"Leve"</formula>
    </cfRule>
  </conditionalFormatting>
  <conditionalFormatting sqref="AG33">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conditionalFormatting sqref="Q31">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6">
    <dataValidation type="list" allowBlank="1" showInputMessage="1" showErrorMessage="1" sqref="Z5:Z17 Z20:Z34">
      <formula1>"Documentado,Sin documentar"</formula1>
    </dataValidation>
    <dataValidation type="list" allowBlank="1" showInputMessage="1" showErrorMessage="1" sqref="AA5:AA17 AA20:AA34">
      <formula1>"Continua, Aleatoria"</formula1>
    </dataValidation>
    <dataValidation type="list" allowBlank="1" showInputMessage="1" showErrorMessage="1" sqref="AB20:AB34 AB5:AB9 AB11:AB17">
      <formula1>"Con registro, Sin registro"</formula1>
    </dataValidation>
    <dataValidation type="list" allowBlank="1" showInputMessage="1" showErrorMessage="1" sqref="AH5:AH17 AH20:AH23 AH26:AH34">
      <formula1>"Aceptar,Evitar,Reducir (transferir),Reducir (mitigar)"</formula1>
    </dataValidation>
    <dataValidation type="list" allowBlank="1" showInputMessage="1" showErrorMessage="1" sqref="G5:G20 G23 G26:G34">
      <formula1>"Procesos, Talento humano, Tecnología, Infraestructura, Evento externo"</formula1>
    </dataValidation>
    <dataValidation type="list" allowBlank="1" showInputMessage="1" showErrorMessage="1" sqref="AB10">
      <formula1>"Con registro, Sin registro"</formula1>
    </dataValidation>
  </dataValidations>
  <pageMargins left="0.7" right="0.7"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8">
        <x14:dataValidation type="list" allowBlank="1" showInputMessage="1" showErrorMessage="1">
          <x14:formula1>
            <xm:f>Calculos!$D$2:$D$4</xm:f>
          </x14:formula1>
          <xm:sqref>B5</xm:sqref>
        </x14:dataValidation>
        <x14:dataValidation type="list" allowBlank="1" showInputMessage="1" showErrorMessage="1">
          <x14:formula1>
            <xm:f>Calculos!$F$2:$F$8</xm:f>
          </x14:formula1>
          <xm:sqref>H5</xm:sqref>
        </x14:dataValidation>
        <x14:dataValidation type="list" allowBlank="1" showInputMessage="1" showErrorMessage="1">
          <x14:formula1>
            <xm:f>Calculos!$H$2:$H$6</xm:f>
          </x14:formula1>
          <xm:sqref>I5</xm:sqref>
        </x14:dataValidation>
        <x14:dataValidation type="list" allowBlank="1" showInputMessage="1" showErrorMessage="1">
          <x14:formula1>
            <xm:f>Calculos!$P$2:$P$11</xm:f>
          </x14:formula1>
          <xm:sqref>M5</xm:sqref>
        </x14:dataValidation>
        <x14:dataValidation type="list" allowBlank="1" showInputMessage="1" showErrorMessage="1">
          <x14:formula1>
            <xm:f>Calculos!$AC$2:$AC$4</xm:f>
          </x14:formula1>
          <xm:sqref>U5:U7</xm:sqref>
        </x14:dataValidation>
        <x14:dataValidation type="list" allowBlank="1" showInputMessage="1" showErrorMessage="1">
          <x14:formula1>
            <xm:f>Calculos!$AC$5:$AC$6</xm:f>
          </x14:formula1>
          <xm:sqref>W5:W7</xm:sqref>
        </x14:dataValidation>
        <x14:dataValidation type="list" allowBlank="1" showInputMessage="1" showErrorMessage="1">
          <x14:formula1>
            <xm:f>'C:\Users\yperez\OneDrive - Universidad del Magdalena\Unimagdalena\Escritorio\Riesgos\Mapas de riesgos gestión 2022\[07. IN Riesgos de gestión VIN 2022 vf.xlsx]Calculos'!#REF!</xm:f>
          </x14:formula1>
          <xm:sqref>M10 M13</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W14:W17</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U14:U17</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M17 M14</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I17 I14</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H14 H17</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B14 B17</xm:sqref>
        </x14:dataValidation>
        <x14:dataValidation type="list" allowBlank="1" showInputMessage="1" showErrorMessage="1">
          <x14:formula1>
            <xm:f>'C:\Users\yperez\OneDrive - Universidad del Magdalena\Unimagdalena\Escritorio\Riesgos\Mapas de riesgos gestión 2022\[07. IN Riesgos de gestión VIN 2022 vf.xlsx]Calculos'!#REF!</xm:f>
          </x14:formula1>
          <xm:sqref>B10:B13</xm:sqref>
        </x14:dataValidation>
        <x14:dataValidation type="list" allowBlank="1" showInputMessage="1" showErrorMessage="1">
          <x14:formula1>
            <xm:f>'C:\Users\yperez\OneDrive - Universidad del Magdalena\Unimagdalena\Escritorio\Riesgos\Mapas de riesgos gestión 2022\[07. IN Riesgos de gestión VIN 2022 vf.xlsx]Calculos'!#REF!</xm:f>
          </x14:formula1>
          <xm:sqref>H10:H13</xm:sqref>
        </x14:dataValidation>
        <x14:dataValidation type="list" allowBlank="1" showInputMessage="1" showErrorMessage="1">
          <x14:formula1>
            <xm:f>'C:\Users\yperez\OneDrive - Universidad del Magdalena\Unimagdalena\Escritorio\Riesgos\Mapas de riesgos gestión 2022\[07. IN Riesgos de gestión VIN 2022 vf.xlsx]Calculos'!#REF!</xm:f>
          </x14:formula1>
          <xm:sqref>I10:I13</xm:sqref>
        </x14:dataValidation>
        <x14:dataValidation type="list" allowBlank="1" showInputMessage="1" showErrorMessage="1">
          <x14:formula1>
            <xm:f>'C:\Users\yperez\OneDrive - Universidad del Magdalena\Unimagdalena\Escritorio\Riesgos\Mapas de riesgos gestión 2022\[07. IN Riesgos de gestión VIN 2022 vf.xlsx]Calculos'!#REF!</xm:f>
          </x14:formula1>
          <xm:sqref>W10:W13</xm:sqref>
        </x14:dataValidation>
        <x14:dataValidation type="list" allowBlank="1" showInputMessage="1" showErrorMessage="1">
          <x14:formula1>
            <xm:f>'C:\Users\yperez\OneDrive - Universidad del Magdalena\Unimagdalena\Escritorio\Riesgos\Mapas de riesgos gestión 2022\[07. IN Riesgos de gestión VIN 2022 vf.xlsx]Calculos'!#REF!</xm:f>
          </x14:formula1>
          <xm:sqref>U10:U13</xm:sqref>
        </x14:dataValidation>
        <x14:dataValidation type="list" allowBlank="1" showInputMessage="1" showErrorMessage="1">
          <x14:formula1>
            <xm:f>'[04. CC Riesgos de gestión 2022 vf.xlsx]Calculos'!#REF!</xm:f>
          </x14:formula1>
          <xm:sqref>W8:W9</xm:sqref>
        </x14:dataValidation>
        <x14:dataValidation type="list" allowBlank="1" showInputMessage="1" showErrorMessage="1">
          <x14:formula1>
            <xm:f>'[04. CC Riesgos de gestión 2022 vf.xlsx]Calculos'!#REF!</xm:f>
          </x14:formula1>
          <xm:sqref>U8:U9</xm:sqref>
        </x14:dataValidation>
        <x14:dataValidation type="list" allowBlank="1" showInputMessage="1" showErrorMessage="1">
          <x14:formula1>
            <xm:f>'[04. CC Riesgos de gestión 2022 vf.xlsx]Calculos'!#REF!</xm:f>
          </x14:formula1>
          <xm:sqref>M8</xm:sqref>
        </x14:dataValidation>
        <x14:dataValidation type="list" allowBlank="1" showInputMessage="1" showErrorMessage="1">
          <x14:formula1>
            <xm:f>'[04. CC Riesgos de gestión 2022 vf.xlsx]Calculos'!#REF!</xm:f>
          </x14:formula1>
          <xm:sqref>I8</xm:sqref>
        </x14:dataValidation>
        <x14:dataValidation type="list" allowBlank="1" showInputMessage="1" showErrorMessage="1">
          <x14:formula1>
            <xm:f>'[04. CC Riesgos de gestión 2022 vf.xlsx]Calculos'!#REF!</xm:f>
          </x14:formula1>
          <xm:sqref>H8</xm:sqref>
        </x14:dataValidation>
        <x14:dataValidation type="list" allowBlank="1" showInputMessage="1" showErrorMessage="1">
          <x14:formula1>
            <xm:f>'[04. CC Riesgos de gestión 2022 vf.xlsx]Calculos'!#REF!</xm:f>
          </x14:formula1>
          <xm:sqref>B8</xm:sqref>
        </x14:dataValidation>
        <x14:dataValidation type="list" allowBlank="1" showInputMessage="1" showErrorMessage="1">
          <x14:formula1>
            <xm:f>'C:\Users\yperez\OneDrive - Universidad del Magdalena\Unimagdalena\Escritorio\Riesgos\Mapas de riesgos gestión 2022\[10. GJ Riesgos de gestión 2022 vf.xlsx]Calculos'!#REF!</xm:f>
          </x14:formula1>
          <xm:sqref>W20:W22</xm:sqref>
        </x14:dataValidation>
        <x14:dataValidation type="list" allowBlank="1" showInputMessage="1" showErrorMessage="1">
          <x14:formula1>
            <xm:f>'C:\Users\yperez\OneDrive - Universidad del Magdalena\Unimagdalena\Escritorio\Riesgos\Mapas de riesgos gestión 2022\[10. GJ Riesgos de gestión 2022 vf.xlsx]Calculos'!#REF!</xm:f>
          </x14:formula1>
          <xm:sqref>U20:U22</xm:sqref>
        </x14:dataValidation>
        <x14:dataValidation type="list" allowBlank="1" showInputMessage="1" showErrorMessage="1">
          <x14:formula1>
            <xm:f>'C:\Users\yperez\OneDrive - Universidad del Magdalena\Unimagdalena\Escritorio\Riesgos\Mapas de riesgos gestión 2022\[10. GJ Riesgos de gestión 2022 vf.xlsx]Calculos'!#REF!</xm:f>
          </x14:formula1>
          <xm:sqref>M20</xm:sqref>
        </x14:dataValidation>
        <x14:dataValidation type="list" allowBlank="1" showInputMessage="1" showErrorMessage="1">
          <x14:formula1>
            <xm:f>'C:\Users\yperez\OneDrive - Universidad del Magdalena\Unimagdalena\Escritorio\Riesgos\Mapas de riesgos gestión 2022\[10. GJ Riesgos de gestión 2022 vf.xlsx]Calculos'!#REF!</xm:f>
          </x14:formula1>
          <xm:sqref>I20</xm:sqref>
        </x14:dataValidation>
        <x14:dataValidation type="list" allowBlank="1" showInputMessage="1" showErrorMessage="1">
          <x14:formula1>
            <xm:f>'C:\Users\yperez\OneDrive - Universidad del Magdalena\Unimagdalena\Escritorio\Riesgos\Mapas de riesgos gestión 2022\[10. GJ Riesgos de gestión 2022 vf.xlsx]Calculos'!#REF!</xm:f>
          </x14:formula1>
          <xm:sqref>H20</xm:sqref>
        </x14:dataValidation>
        <x14:dataValidation type="list" allowBlank="1" showInputMessage="1" showErrorMessage="1">
          <x14:formula1>
            <xm:f>'C:\Users\yperez\OneDrive - Universidad del Magdalena\Unimagdalena\Escritorio\Riesgos\Mapas de riesgos gestión 2022\[10. GJ Riesgos de gestión 2022 vf.xlsx]Calculos'!#REF!</xm:f>
          </x14:formula1>
          <xm:sqref>B20</xm:sqref>
        </x14:dataValidation>
        <x14:dataValidation type="list" allowBlank="1" showInputMessage="1" showErrorMessage="1">
          <x14:formula1>
            <xm:f>'C:\Users\yperez\OneDrive - Universidad del Magdalena\Unimagdalena\Escritorio\Riesgos\Mapas de riesgos gestión 2022\[11. CO Riesgos de gestión 2022 vf.xlsx]Calculos'!#REF!</xm:f>
          </x14:formula1>
          <xm:sqref>W23:W25</xm:sqref>
        </x14:dataValidation>
        <x14:dataValidation type="list" allowBlank="1" showInputMessage="1" showErrorMessage="1">
          <x14:formula1>
            <xm:f>'C:\Users\yperez\OneDrive - Universidad del Magdalena\Unimagdalena\Escritorio\Riesgos\Mapas de riesgos gestión 2022\[11. CO Riesgos de gestión 2022 vf.xlsx]Calculos'!#REF!</xm:f>
          </x14:formula1>
          <xm:sqref>U23:U25</xm:sqref>
        </x14:dataValidation>
        <x14:dataValidation type="list" allowBlank="1" showInputMessage="1" showErrorMessage="1">
          <x14:formula1>
            <xm:f>'C:\Users\yperez\OneDrive - Universidad del Magdalena\Unimagdalena\Escritorio\Riesgos\Mapas de riesgos gestión 2022\[11. CO Riesgos de gestión 2022 vf.xlsx]Calculos'!#REF!</xm:f>
          </x14:formula1>
          <xm:sqref>M23</xm:sqref>
        </x14:dataValidation>
        <x14:dataValidation type="list" allowBlank="1" showInputMessage="1" showErrorMessage="1">
          <x14:formula1>
            <xm:f>'C:\Users\yperez\OneDrive - Universidad del Magdalena\Unimagdalena\Escritorio\Riesgos\Mapas de riesgos gestión 2022\[11. CO Riesgos de gestión 2022 vf.xlsx]Calculos'!#REF!</xm:f>
          </x14:formula1>
          <xm:sqref>I23</xm:sqref>
        </x14:dataValidation>
        <x14:dataValidation type="list" allowBlank="1" showInputMessage="1" showErrorMessage="1">
          <x14:formula1>
            <xm:f>'C:\Users\yperez\OneDrive - Universidad del Magdalena\Unimagdalena\Escritorio\Riesgos\Mapas de riesgos gestión 2022\[11. CO Riesgos de gestión 2022 vf.xlsx]Calculos'!#REF!</xm:f>
          </x14:formula1>
          <xm:sqref>H23</xm:sqref>
        </x14:dataValidation>
        <x14:dataValidation type="list" allowBlank="1" showInputMessage="1" showErrorMessage="1">
          <x14:formula1>
            <xm:f>'C:\Users\yperez\OneDrive - Universidad del Magdalena\Unimagdalena\Escritorio\Riesgos\Mapas de riesgos gestión 2022\[11. CO Riesgos de gestión 2022 vf.xlsx]Calculos'!#REF!</xm:f>
          </x14:formula1>
          <xm:sqref>B23</xm:sqref>
        </x14:dataValidation>
        <x14:dataValidation type="list" allowBlank="1" showInputMessage="1" showErrorMessage="1">
          <x14:formula1>
            <xm:f>'C:\Users\yperez\OneDrive - Universidad del Magdalena\Unimagdalena\Escritorio\Riesgos\Mapas de riesgos gestión 2022\[15. GD Riesgos de gestión 2022 vf.xlsx]Calculos'!#REF!</xm:f>
          </x14:formula1>
          <xm:sqref>W26:W30</xm:sqref>
        </x14:dataValidation>
        <x14:dataValidation type="list" allowBlank="1" showInputMessage="1" showErrorMessage="1">
          <x14:formula1>
            <xm:f>'C:\Users\yperez\OneDrive - Universidad del Magdalena\Unimagdalena\Escritorio\Riesgos\Mapas de riesgos gestión 2022\[15. GD Riesgos de gestión 2022 vf.xlsx]Calculos'!#REF!</xm:f>
          </x14:formula1>
          <xm:sqref>U26:U30</xm:sqref>
        </x14:dataValidation>
        <x14:dataValidation type="list" allowBlank="1" showInputMessage="1" showErrorMessage="1">
          <x14:formula1>
            <xm:f>'C:\Users\yperez\OneDrive - Universidad del Magdalena\Unimagdalena\Escritorio\Riesgos\Mapas de riesgos gestión 2022\[15. GD Riesgos de gestión 2022 vf.xlsx]Calculos'!#REF!</xm:f>
          </x14:formula1>
          <xm:sqref>M26</xm:sqref>
        </x14:dataValidation>
        <x14:dataValidation type="list" allowBlank="1" showInputMessage="1" showErrorMessage="1">
          <x14:formula1>
            <xm:f>'C:\Users\yperez\OneDrive - Universidad del Magdalena\Unimagdalena\Escritorio\Riesgos\Mapas de riesgos gestión 2022\[15. GD Riesgos de gestión 2022 vf.xlsx]Calculos'!#REF!</xm:f>
          </x14:formula1>
          <xm:sqref>I26</xm:sqref>
        </x14:dataValidation>
        <x14:dataValidation type="list" allowBlank="1" showInputMessage="1" showErrorMessage="1">
          <x14:formula1>
            <xm:f>'C:\Users\yperez\OneDrive - Universidad del Magdalena\Unimagdalena\Escritorio\Riesgos\Mapas de riesgos gestión 2022\[15. GD Riesgos de gestión 2022 vf.xlsx]Calculos'!#REF!</xm:f>
          </x14:formula1>
          <xm:sqref>H26</xm:sqref>
        </x14:dataValidation>
        <x14:dataValidation type="list" allowBlank="1" showInputMessage="1" showErrorMessage="1">
          <x14:formula1>
            <xm:f>'C:\Users\yperez\OneDrive - Universidad del Magdalena\Unimagdalena\Escritorio\Riesgos\Mapas de riesgos gestión 2022\[15. GD Riesgos de gestión 2022 vf.xlsx]Calculos'!#REF!</xm:f>
          </x14:formula1>
          <xm:sqref>B26</xm:sqref>
        </x14:dataValidation>
        <x14:dataValidation type="list" allowBlank="1" showInputMessage="1" showErrorMessage="1">
          <x14:formula1>
            <xm:f>'[19. AR Riesgos de gestión 2022 vf.xlsx]Hoja2'!#REF!</xm:f>
          </x14:formula1>
          <xm:sqref>W31:W34</xm:sqref>
        </x14:dataValidation>
        <x14:dataValidation type="list" allowBlank="1" showInputMessage="1" showErrorMessage="1">
          <x14:formula1>
            <xm:f>'[19. AR Riesgos de gestión 2022 vf.xlsx]Hoja2'!#REF!</xm:f>
          </x14:formula1>
          <xm:sqref>U31:U34</xm:sqref>
        </x14:dataValidation>
        <x14:dataValidation type="list" allowBlank="1" showInputMessage="1" showErrorMessage="1">
          <x14:formula1>
            <xm:f>'[19. AR Riesgos de gestión 2022 vf.xlsx]Hoja2'!#REF!</xm:f>
          </x14:formula1>
          <xm:sqref>M31</xm:sqref>
        </x14:dataValidation>
        <x14:dataValidation type="list" allowBlank="1" showInputMessage="1" showErrorMessage="1">
          <x14:formula1>
            <xm:f>'[19. AR Riesgos de gestión 2022 vf.xlsx]Hoja2'!#REF!</xm:f>
          </x14:formula1>
          <xm:sqref>I31</xm:sqref>
        </x14:dataValidation>
        <x14:dataValidation type="list" allowBlank="1" showInputMessage="1" showErrorMessage="1">
          <x14:formula1>
            <xm:f>'[19. AR Riesgos de gestión 2022 vf.xlsx]Hoja2'!#REF!</xm:f>
          </x14:formula1>
          <xm:sqref>H31</xm:sqref>
        </x14:dataValidation>
        <x14:dataValidation type="list" allowBlank="1" showInputMessage="1" showErrorMessage="1">
          <x14:formula1>
            <xm:f>'[19. AR Riesgos de gestión 2022 vf.xlsx]Hoja2'!#REF!</xm:f>
          </x14:formula1>
          <xm:sqref>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opLeftCell="A22" workbookViewId="0">
      <selection activeCell="D5" sqref="D5"/>
    </sheetView>
  </sheetViews>
  <sheetFormatPr baseColWidth="10" defaultRowHeight="15" x14ac:dyDescent="0.25"/>
  <cols>
    <col min="1" max="1" width="14.140625" style="10" bestFit="1" customWidth="1"/>
    <col min="2" max="2" width="27.85546875" style="10" customWidth="1"/>
    <col min="3" max="3" width="34.42578125" style="10" customWidth="1"/>
    <col min="4" max="4" width="3.28515625" customWidth="1"/>
    <col min="10" max="12" width="10" customWidth="1"/>
    <col min="13" max="13" width="2.42578125" style="39" customWidth="1"/>
    <col min="22" max="22" width="2.85546875" customWidth="1"/>
  </cols>
  <sheetData>
    <row r="1" spans="1:25" x14ac:dyDescent="0.25">
      <c r="A1" s="65" t="s">
        <v>166</v>
      </c>
      <c r="B1" s="65"/>
      <c r="C1" s="65"/>
      <c r="E1" s="63" t="s">
        <v>9</v>
      </c>
      <c r="F1" s="63"/>
      <c r="G1" s="63"/>
      <c r="H1" s="63"/>
      <c r="I1" s="63"/>
      <c r="J1" s="63"/>
      <c r="K1" s="63"/>
      <c r="L1" s="63"/>
      <c r="M1" s="38"/>
      <c r="N1" s="63" t="s">
        <v>159</v>
      </c>
      <c r="O1" s="63"/>
      <c r="P1" s="63"/>
      <c r="Q1" s="63"/>
      <c r="R1" s="63"/>
      <c r="S1" s="63"/>
      <c r="T1" s="63"/>
      <c r="U1" s="63"/>
      <c r="V1" s="38"/>
      <c r="W1" s="64" t="s">
        <v>160</v>
      </c>
      <c r="X1" s="64"/>
      <c r="Y1" s="64"/>
    </row>
    <row r="2" spans="1:25" x14ac:dyDescent="0.25">
      <c r="A2" s="37" t="s">
        <v>162</v>
      </c>
      <c r="B2" s="37" t="s">
        <v>163</v>
      </c>
      <c r="C2" s="37" t="s">
        <v>164</v>
      </c>
    </row>
    <row r="3" spans="1:25" s="10" customFormat="1" ht="90" x14ac:dyDescent="0.25">
      <c r="A3" s="9" t="s">
        <v>59</v>
      </c>
      <c r="B3" s="5" t="s">
        <v>165</v>
      </c>
      <c r="C3" s="5" t="s">
        <v>167</v>
      </c>
      <c r="M3" s="40"/>
    </row>
    <row r="4" spans="1:25" ht="75" x14ac:dyDescent="0.25">
      <c r="A4" s="5" t="s">
        <v>168</v>
      </c>
      <c r="B4" s="5" t="s">
        <v>169</v>
      </c>
      <c r="C4" s="5" t="s">
        <v>170</v>
      </c>
    </row>
    <row r="5" spans="1:25" ht="60" x14ac:dyDescent="0.25">
      <c r="A5" s="9" t="s">
        <v>171</v>
      </c>
      <c r="B5" s="5" t="s">
        <v>172</v>
      </c>
      <c r="C5" s="5" t="s">
        <v>173</v>
      </c>
    </row>
    <row r="6" spans="1:25" ht="60" x14ac:dyDescent="0.25">
      <c r="A6" s="9" t="s">
        <v>174</v>
      </c>
      <c r="B6" s="5" t="s">
        <v>175</v>
      </c>
      <c r="C6" s="5" t="s">
        <v>176</v>
      </c>
    </row>
    <row r="7" spans="1:25" ht="60" x14ac:dyDescent="0.25">
      <c r="A7" s="5" t="s">
        <v>177</v>
      </c>
      <c r="B7" s="5" t="s">
        <v>178</v>
      </c>
      <c r="C7" s="5" t="s">
        <v>179</v>
      </c>
    </row>
    <row r="10" spans="1:25" x14ac:dyDescent="0.25">
      <c r="B10" s="62" t="s">
        <v>180</v>
      </c>
      <c r="C10" s="62"/>
      <c r="D10" s="62"/>
      <c r="E10" s="62"/>
      <c r="F10" s="62"/>
      <c r="G10" s="62"/>
    </row>
  </sheetData>
  <mergeCells count="5">
    <mergeCell ref="B10:G10"/>
    <mergeCell ref="N1:U1"/>
    <mergeCell ref="W1:Y1"/>
    <mergeCell ref="A1:C1"/>
    <mergeCell ref="E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pane ySplit="1" topLeftCell="A29" activePane="bottomLeft" state="frozen"/>
      <selection pane="bottomLeft" activeCell="W2" sqref="W2"/>
    </sheetView>
  </sheetViews>
  <sheetFormatPr baseColWidth="10" defaultRowHeight="15" x14ac:dyDescent="0.25"/>
  <cols>
    <col min="1" max="1" width="41.140625" bestFit="1" customWidth="1"/>
    <col min="2" max="2" width="91.5703125" style="6" customWidth="1"/>
    <col min="3" max="3" width="3.7109375" customWidth="1"/>
    <col min="4" max="4" width="15.7109375" customWidth="1"/>
    <col min="5" max="5" width="3.28515625" customWidth="1"/>
    <col min="6" max="6" width="21.85546875" bestFit="1" customWidth="1"/>
    <col min="7" max="7" width="4.7109375" customWidth="1"/>
    <col min="8" max="8" width="48.5703125" customWidth="1"/>
    <col min="10" max="10" width="19" customWidth="1"/>
    <col min="11" max="11" width="14.7109375" bestFit="1" customWidth="1"/>
    <col min="12" max="12" width="26.7109375" customWidth="1"/>
    <col min="16" max="16" width="48.42578125" customWidth="1"/>
    <col min="17" max="17" width="5.42578125" customWidth="1"/>
    <col min="18" max="18" width="10.85546875" bestFit="1" customWidth="1"/>
    <col min="19" max="19" width="3" style="45" customWidth="1"/>
    <col min="20" max="20" width="4" bestFit="1" customWidth="1"/>
    <col min="21" max="21" width="3.7109375" bestFit="1" customWidth="1"/>
    <col min="22" max="22" width="15.28515625" customWidth="1"/>
    <col min="28" max="28" width="3.7109375" bestFit="1" customWidth="1"/>
    <col min="30" max="30" width="34.140625" customWidth="1"/>
    <col min="31" max="31" width="4.7109375" bestFit="1" customWidth="1"/>
  </cols>
  <sheetData>
    <row r="1" spans="1:31" ht="29.25" thickBot="1" x14ac:dyDescent="0.3">
      <c r="A1" s="3" t="s">
        <v>59</v>
      </c>
      <c r="B1" s="4" t="s">
        <v>60</v>
      </c>
      <c r="D1" s="8" t="s">
        <v>5</v>
      </c>
      <c r="F1" s="7" t="s">
        <v>9</v>
      </c>
      <c r="H1" s="4" t="s">
        <v>89</v>
      </c>
      <c r="J1" s="16" t="s">
        <v>97</v>
      </c>
      <c r="K1" s="16" t="s">
        <v>98</v>
      </c>
      <c r="L1" s="17" t="s">
        <v>97</v>
      </c>
      <c r="M1" s="17" t="s">
        <v>114</v>
      </c>
      <c r="P1" s="20" t="s">
        <v>17</v>
      </c>
      <c r="Q1" s="23" t="s">
        <v>130</v>
      </c>
      <c r="R1" s="43" t="s">
        <v>129</v>
      </c>
      <c r="S1" s="42"/>
      <c r="T1" s="41"/>
      <c r="W1" s="66" t="s">
        <v>5</v>
      </c>
      <c r="X1" s="66"/>
      <c r="Y1" s="66"/>
      <c r="Z1" s="66"/>
      <c r="AA1" s="66"/>
    </row>
    <row r="2" spans="1:31" ht="45.75" thickBot="1" x14ac:dyDescent="0.3">
      <c r="A2" s="1" t="s">
        <v>31</v>
      </c>
      <c r="B2" s="19" t="s">
        <v>69</v>
      </c>
      <c r="D2" s="9" t="s">
        <v>151</v>
      </c>
      <c r="F2" s="5" t="s">
        <v>90</v>
      </c>
      <c r="H2" s="5" t="s">
        <v>152</v>
      </c>
      <c r="J2" s="14" t="s">
        <v>99</v>
      </c>
      <c r="K2" s="14" t="s">
        <v>100</v>
      </c>
      <c r="L2" s="13" t="s">
        <v>107</v>
      </c>
      <c r="M2" s="15">
        <v>0.2</v>
      </c>
      <c r="P2" s="13" t="s">
        <v>115</v>
      </c>
      <c r="Q2" s="22">
        <v>1</v>
      </c>
      <c r="R2" s="44" t="s">
        <v>124</v>
      </c>
      <c r="S2" s="42"/>
      <c r="T2" s="22"/>
      <c r="V2" s="21"/>
      <c r="W2" s="22" t="s">
        <v>124</v>
      </c>
      <c r="X2" s="22" t="s">
        <v>125</v>
      </c>
      <c r="Y2" s="22" t="s">
        <v>126</v>
      </c>
      <c r="Z2" s="22" t="s">
        <v>127</v>
      </c>
      <c r="AA2" s="22" t="s">
        <v>131</v>
      </c>
      <c r="AB2" s="68" t="s">
        <v>145</v>
      </c>
      <c r="AC2" s="25" t="s">
        <v>135</v>
      </c>
      <c r="AD2" s="11" t="s">
        <v>136</v>
      </c>
      <c r="AE2" s="26">
        <v>0.25</v>
      </c>
    </row>
    <row r="3" spans="1:31" ht="60" x14ac:dyDescent="0.25">
      <c r="A3" s="1" t="s">
        <v>32</v>
      </c>
      <c r="B3" s="19" t="s">
        <v>68</v>
      </c>
      <c r="D3" s="9" t="s">
        <v>86</v>
      </c>
      <c r="F3" s="9" t="s">
        <v>91</v>
      </c>
      <c r="H3" s="5" t="s">
        <v>153</v>
      </c>
      <c r="J3" s="14" t="s">
        <v>112</v>
      </c>
      <c r="K3" s="14" t="s">
        <v>113</v>
      </c>
      <c r="L3" s="13" t="s">
        <v>108</v>
      </c>
      <c r="M3" s="15">
        <v>0.4</v>
      </c>
      <c r="P3" s="13" t="s">
        <v>116</v>
      </c>
      <c r="Q3" s="22">
        <v>2</v>
      </c>
      <c r="R3" s="44" t="s">
        <v>125</v>
      </c>
      <c r="S3" s="42"/>
      <c r="T3" s="22">
        <v>100</v>
      </c>
      <c r="U3" s="67" t="s">
        <v>114</v>
      </c>
      <c r="V3" s="14" t="s">
        <v>106</v>
      </c>
      <c r="W3" s="24" t="s">
        <v>133</v>
      </c>
      <c r="X3" s="24" t="s">
        <v>133</v>
      </c>
      <c r="Y3" s="24" t="s">
        <v>133</v>
      </c>
      <c r="Z3" s="24" t="s">
        <v>133</v>
      </c>
      <c r="AA3" s="24" t="s">
        <v>132</v>
      </c>
      <c r="AB3" s="68"/>
      <c r="AC3" s="30" t="s">
        <v>137</v>
      </c>
      <c r="AD3" s="27" t="s">
        <v>140</v>
      </c>
      <c r="AE3" s="29">
        <v>0.15</v>
      </c>
    </row>
    <row r="4" spans="1:31" ht="39" thickBot="1" x14ac:dyDescent="0.3">
      <c r="A4" s="1" t="s">
        <v>33</v>
      </c>
      <c r="B4" s="19" t="s">
        <v>81</v>
      </c>
      <c r="D4" s="5" t="s">
        <v>87</v>
      </c>
      <c r="F4" s="9" t="s">
        <v>92</v>
      </c>
      <c r="H4" s="5" t="s">
        <v>154</v>
      </c>
      <c r="J4" s="14" t="s">
        <v>101</v>
      </c>
      <c r="K4" s="14" t="s">
        <v>102</v>
      </c>
      <c r="L4" s="13" t="s">
        <v>109</v>
      </c>
      <c r="M4" s="15">
        <v>0.6</v>
      </c>
      <c r="P4" s="13" t="s">
        <v>117</v>
      </c>
      <c r="Q4" s="22">
        <v>3</v>
      </c>
      <c r="R4" s="44" t="s">
        <v>126</v>
      </c>
      <c r="S4" s="42"/>
      <c r="T4" s="22">
        <v>80</v>
      </c>
      <c r="U4" s="67"/>
      <c r="V4" s="14" t="s">
        <v>104</v>
      </c>
      <c r="W4" s="24" t="s">
        <v>126</v>
      </c>
      <c r="X4" s="24" t="s">
        <v>126</v>
      </c>
      <c r="Y4" s="24" t="s">
        <v>133</v>
      </c>
      <c r="Z4" s="24" t="s">
        <v>133</v>
      </c>
      <c r="AA4" s="24" t="s">
        <v>132</v>
      </c>
      <c r="AB4" s="68"/>
      <c r="AC4" s="28" t="s">
        <v>138</v>
      </c>
      <c r="AD4" s="18" t="s">
        <v>139</v>
      </c>
      <c r="AE4" s="12">
        <v>0.1</v>
      </c>
    </row>
    <row r="5" spans="1:31" ht="77.25" thickBot="1" x14ac:dyDescent="0.3">
      <c r="A5" s="1" t="s">
        <v>34</v>
      </c>
      <c r="B5" s="19" t="s">
        <v>61</v>
      </c>
      <c r="F5" s="9" t="s">
        <v>93</v>
      </c>
      <c r="H5" s="5" t="s">
        <v>155</v>
      </c>
      <c r="J5" s="14" t="s">
        <v>103</v>
      </c>
      <c r="K5" s="14" t="s">
        <v>104</v>
      </c>
      <c r="L5" s="13" t="s">
        <v>110</v>
      </c>
      <c r="M5" s="15">
        <v>0.8</v>
      </c>
      <c r="P5" s="13" t="s">
        <v>118</v>
      </c>
      <c r="Q5" s="22">
        <v>4</v>
      </c>
      <c r="R5" s="44" t="s">
        <v>127</v>
      </c>
      <c r="S5" s="42"/>
      <c r="T5" s="22">
        <v>60</v>
      </c>
      <c r="U5" s="67"/>
      <c r="V5" s="14" t="s">
        <v>102</v>
      </c>
      <c r="W5" s="24" t="s">
        <v>126</v>
      </c>
      <c r="X5" s="24" t="s">
        <v>126</v>
      </c>
      <c r="Y5" s="24" t="s">
        <v>126</v>
      </c>
      <c r="Z5" s="24" t="s">
        <v>133</v>
      </c>
      <c r="AA5" s="24" t="s">
        <v>132</v>
      </c>
      <c r="AB5" s="68" t="s">
        <v>26</v>
      </c>
      <c r="AC5" s="25" t="s">
        <v>141</v>
      </c>
      <c r="AD5" s="11" t="s">
        <v>142</v>
      </c>
      <c r="AE5" s="26">
        <v>0.25</v>
      </c>
    </row>
    <row r="6" spans="1:31" ht="75.75" thickBot="1" x14ac:dyDescent="0.3">
      <c r="A6" s="1" t="s">
        <v>35</v>
      </c>
      <c r="B6" s="19" t="s">
        <v>63</v>
      </c>
      <c r="F6" s="9" t="s">
        <v>94</v>
      </c>
      <c r="H6" s="5" t="s">
        <v>156</v>
      </c>
      <c r="J6" s="14" t="s">
        <v>105</v>
      </c>
      <c r="K6" s="14" t="s">
        <v>106</v>
      </c>
      <c r="L6" s="13" t="s">
        <v>111</v>
      </c>
      <c r="M6" s="15">
        <v>1</v>
      </c>
      <c r="P6" s="13" t="s">
        <v>119</v>
      </c>
      <c r="Q6" s="22">
        <v>5</v>
      </c>
      <c r="R6" s="44" t="s">
        <v>131</v>
      </c>
      <c r="S6" s="42"/>
      <c r="T6" s="22">
        <v>40</v>
      </c>
      <c r="U6" s="67"/>
      <c r="V6" s="14" t="s">
        <v>113</v>
      </c>
      <c r="W6" s="24" t="s">
        <v>134</v>
      </c>
      <c r="X6" s="24" t="s">
        <v>126</v>
      </c>
      <c r="Y6" s="24" t="s">
        <v>126</v>
      </c>
      <c r="Z6" s="24" t="s">
        <v>133</v>
      </c>
      <c r="AA6" s="24" t="s">
        <v>132</v>
      </c>
      <c r="AB6" s="68"/>
      <c r="AC6" s="28" t="s">
        <v>143</v>
      </c>
      <c r="AD6" s="18" t="s">
        <v>144</v>
      </c>
      <c r="AE6" s="12">
        <v>0.15</v>
      </c>
    </row>
    <row r="7" spans="1:31" ht="45" x14ac:dyDescent="0.25">
      <c r="A7" s="2" t="s">
        <v>36</v>
      </c>
      <c r="B7" s="19" t="s">
        <v>72</v>
      </c>
      <c r="F7" s="5" t="s">
        <v>95</v>
      </c>
      <c r="P7" s="13" t="s">
        <v>120</v>
      </c>
      <c r="Q7" s="22">
        <v>6</v>
      </c>
      <c r="R7" s="44" t="s">
        <v>124</v>
      </c>
      <c r="S7" s="42"/>
      <c r="T7" s="22">
        <v>20</v>
      </c>
      <c r="U7" s="67"/>
      <c r="V7" s="14" t="s">
        <v>100</v>
      </c>
      <c r="W7" s="24" t="s">
        <v>134</v>
      </c>
      <c r="X7" s="24" t="s">
        <v>134</v>
      </c>
      <c r="Y7" s="24" t="s">
        <v>126</v>
      </c>
      <c r="Z7" s="24" t="s">
        <v>133</v>
      </c>
      <c r="AA7" s="24" t="s">
        <v>132</v>
      </c>
    </row>
    <row r="8" spans="1:31" ht="38.25" x14ac:dyDescent="0.25">
      <c r="A8" s="2" t="s">
        <v>71</v>
      </c>
      <c r="B8" s="19" t="s">
        <v>72</v>
      </c>
      <c r="F8" s="5" t="s">
        <v>96</v>
      </c>
      <c r="P8" s="13" t="s">
        <v>128</v>
      </c>
      <c r="Q8" s="22">
        <v>7</v>
      </c>
      <c r="R8" s="44" t="s">
        <v>125</v>
      </c>
      <c r="S8" s="42"/>
      <c r="T8" s="42"/>
    </row>
    <row r="9" spans="1:31" ht="25.5" x14ac:dyDescent="0.25">
      <c r="A9" s="2" t="s">
        <v>37</v>
      </c>
      <c r="B9" s="19" t="s">
        <v>67</v>
      </c>
      <c r="P9" s="13" t="s">
        <v>121</v>
      </c>
      <c r="Q9" s="22">
        <v>8</v>
      </c>
      <c r="R9" s="44" t="s">
        <v>126</v>
      </c>
      <c r="S9" s="42"/>
      <c r="T9" s="42"/>
    </row>
    <row r="10" spans="1:31" ht="38.25" x14ac:dyDescent="0.25">
      <c r="A10" s="2" t="s">
        <v>74</v>
      </c>
      <c r="B10" s="19" t="s">
        <v>75</v>
      </c>
      <c r="P10" s="13" t="s">
        <v>122</v>
      </c>
      <c r="Q10" s="22">
        <v>9</v>
      </c>
      <c r="R10" s="44" t="s">
        <v>127</v>
      </c>
      <c r="S10" s="42"/>
      <c r="T10" s="42"/>
    </row>
    <row r="11" spans="1:31" ht="25.5" x14ac:dyDescent="0.25">
      <c r="A11" s="1" t="s">
        <v>57</v>
      </c>
      <c r="B11" s="19" t="s">
        <v>72</v>
      </c>
      <c r="P11" s="13" t="s">
        <v>123</v>
      </c>
      <c r="Q11" s="22">
        <v>10</v>
      </c>
      <c r="R11" s="44" t="s">
        <v>131</v>
      </c>
      <c r="S11" s="42"/>
      <c r="T11" s="42"/>
    </row>
    <row r="12" spans="1:31" ht="28.5" x14ac:dyDescent="0.25">
      <c r="A12" s="2" t="s">
        <v>54</v>
      </c>
      <c r="B12" s="19" t="s">
        <v>72</v>
      </c>
    </row>
    <row r="13" spans="1:31" ht="25.5" x14ac:dyDescent="0.25">
      <c r="A13" s="2" t="s">
        <v>55</v>
      </c>
      <c r="B13" s="19" t="s">
        <v>72</v>
      </c>
    </row>
    <row r="14" spans="1:31" ht="25.5" x14ac:dyDescent="0.25">
      <c r="A14" s="2" t="s">
        <v>56</v>
      </c>
      <c r="B14" s="19" t="s">
        <v>72</v>
      </c>
    </row>
    <row r="15" spans="1:31" ht="25.5" x14ac:dyDescent="0.25">
      <c r="A15" s="2" t="s">
        <v>53</v>
      </c>
      <c r="B15" s="19" t="s">
        <v>72</v>
      </c>
    </row>
    <row r="16" spans="1:31" ht="25.5" x14ac:dyDescent="0.25">
      <c r="A16" s="2" t="s">
        <v>58</v>
      </c>
      <c r="B16" s="19" t="s">
        <v>72</v>
      </c>
    </row>
    <row r="17" spans="1:2" ht="51" x14ac:dyDescent="0.25">
      <c r="A17" s="2" t="s">
        <v>38</v>
      </c>
      <c r="B17" s="19" t="s">
        <v>65</v>
      </c>
    </row>
    <row r="18" spans="1:2" ht="38.25" x14ac:dyDescent="0.25">
      <c r="A18" s="1" t="s">
        <v>39</v>
      </c>
      <c r="B18" s="19" t="s">
        <v>77</v>
      </c>
    </row>
    <row r="19" spans="1:2" ht="38.25" x14ac:dyDescent="0.25">
      <c r="A19" s="1" t="s">
        <v>40</v>
      </c>
      <c r="B19" s="19" t="s">
        <v>79</v>
      </c>
    </row>
    <row r="20" spans="1:2" ht="25.5" x14ac:dyDescent="0.25">
      <c r="A20" s="1" t="s">
        <v>41</v>
      </c>
      <c r="B20" s="19" t="s">
        <v>66</v>
      </c>
    </row>
    <row r="21" spans="1:2" ht="25.5" x14ac:dyDescent="0.25">
      <c r="A21" s="1" t="s">
        <v>42</v>
      </c>
      <c r="B21" s="19" t="s">
        <v>73</v>
      </c>
    </row>
    <row r="22" spans="1:2" ht="25.5" x14ac:dyDescent="0.25">
      <c r="A22" s="2" t="s">
        <v>43</v>
      </c>
      <c r="B22" s="19" t="s">
        <v>78</v>
      </c>
    </row>
    <row r="23" spans="1:2" ht="51" x14ac:dyDescent="0.25">
      <c r="A23" s="1" t="s">
        <v>44</v>
      </c>
      <c r="B23" s="19" t="s">
        <v>76</v>
      </c>
    </row>
    <row r="24" spans="1:2" ht="25.5" x14ac:dyDescent="0.25">
      <c r="A24" s="1" t="s">
        <v>45</v>
      </c>
      <c r="B24" s="19" t="s">
        <v>82</v>
      </c>
    </row>
    <row r="25" spans="1:2" ht="38.25" x14ac:dyDescent="0.25">
      <c r="A25" s="1" t="s">
        <v>46</v>
      </c>
      <c r="B25" s="19" t="s">
        <v>64</v>
      </c>
    </row>
    <row r="26" spans="1:2" ht="25.5" x14ac:dyDescent="0.25">
      <c r="A26" s="1" t="s">
        <v>47</v>
      </c>
      <c r="B26" s="19" t="s">
        <v>62</v>
      </c>
    </row>
    <row r="27" spans="1:2" ht="25.5" x14ac:dyDescent="0.25">
      <c r="A27" s="1" t="s">
        <v>48</v>
      </c>
      <c r="B27" s="19" t="s">
        <v>84</v>
      </c>
    </row>
    <row r="28" spans="1:2" ht="38.25" x14ac:dyDescent="0.25">
      <c r="A28" s="1" t="s">
        <v>49</v>
      </c>
      <c r="B28" s="19" t="s">
        <v>80</v>
      </c>
    </row>
    <row r="29" spans="1:2" ht="51" x14ac:dyDescent="0.25">
      <c r="A29" s="1" t="s">
        <v>50</v>
      </c>
      <c r="B29" s="19" t="s">
        <v>85</v>
      </c>
    </row>
    <row r="30" spans="1:2" ht="25.5" x14ac:dyDescent="0.25">
      <c r="A30" s="1" t="s">
        <v>51</v>
      </c>
      <c r="B30" s="19" t="s">
        <v>83</v>
      </c>
    </row>
    <row r="31" spans="1:2" ht="25.5" x14ac:dyDescent="0.25">
      <c r="A31" s="1" t="s">
        <v>52</v>
      </c>
      <c r="B31" s="19" t="s">
        <v>70</v>
      </c>
    </row>
  </sheetData>
  <mergeCells count="4">
    <mergeCell ref="W1:AA1"/>
    <mergeCell ref="U3:U7"/>
    <mergeCell ref="AB2:AB4"/>
    <mergeCell ref="AB5:AB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vt:lpstr>
      <vt:lpstr>Información</vt:lpstr>
      <vt:lpstr>Calculos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Estudiante</dc:creator>
  <cp:lastModifiedBy>Yineth Perez</cp:lastModifiedBy>
  <dcterms:created xsi:type="dcterms:W3CDTF">2021-07-06T22:32:56Z</dcterms:created>
  <dcterms:modified xsi:type="dcterms:W3CDTF">2022-05-13T17:55:40Z</dcterms:modified>
</cp:coreProperties>
</file>