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perez\OneDrive - Universidad del Magdalena\Unimagdalena\Escritorio\Riesgos\Mapas de Gestión\Mapa de riesgos de gestión 2023\"/>
    </mc:Choice>
  </mc:AlternateContent>
  <bookViews>
    <workbookView xWindow="5460" yWindow="3390" windowWidth="15375" windowHeight="7875"/>
  </bookViews>
  <sheets>
    <sheet name="Riesgos" sheetId="1" r:id="rId1"/>
    <sheet name="Información" sheetId="3" r:id="rId2"/>
    <sheet name="Calculos"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36" i="1" l="1"/>
  <c r="AG35" i="1"/>
  <c r="AF36" i="1"/>
  <c r="AD36" i="1"/>
  <c r="AD35" i="1"/>
  <c r="AF35" i="1"/>
  <c r="AE35" i="1" s="1"/>
  <c r="X36" i="1"/>
  <c r="V36" i="1"/>
  <c r="Y36" i="1" s="1"/>
  <c r="T36" i="1"/>
  <c r="X35" i="1"/>
  <c r="V35" i="1"/>
  <c r="Y35" i="1" s="1"/>
  <c r="AC35" i="1" s="1"/>
  <c r="T35" i="1"/>
  <c r="X34" i="1" l="1"/>
  <c r="V34" i="1"/>
  <c r="X33" i="1"/>
  <c r="V33" i="1"/>
  <c r="Y33" i="1" s="1"/>
  <c r="X32" i="1"/>
  <c r="Y32" i="1" s="1"/>
  <c r="V32" i="1"/>
  <c r="X31" i="1"/>
  <c r="V31" i="1"/>
  <c r="Y31" i="1" s="1"/>
  <c r="N31" i="1"/>
  <c r="O31" i="1" s="1"/>
  <c r="P31" i="1" s="1"/>
  <c r="AF33" i="1" s="1"/>
  <c r="K31" i="1"/>
  <c r="L31" i="1" s="1"/>
  <c r="AD32" i="1" s="1"/>
  <c r="AD31" i="1" l="1"/>
  <c r="AD33" i="1"/>
  <c r="AC33" i="1" s="1"/>
  <c r="Y34" i="1"/>
  <c r="AD34" i="1" s="1"/>
  <c r="AC34" i="1" s="1"/>
  <c r="AE33" i="1"/>
  <c r="AG33" i="1" s="1"/>
  <c r="AF34" i="1"/>
  <c r="AE34" i="1" s="1"/>
  <c r="AF32" i="1"/>
  <c r="AE32" i="1" s="1"/>
  <c r="AF31" i="1"/>
  <c r="AE31" i="1" s="1"/>
  <c r="AC32" i="1"/>
  <c r="AC31" i="1"/>
  <c r="AG34" i="1" l="1"/>
  <c r="X30" i="1"/>
  <c r="V30" i="1"/>
  <c r="T30" i="1"/>
  <c r="X29" i="1"/>
  <c r="V29" i="1"/>
  <c r="Y29" i="1" s="1"/>
  <c r="T29" i="1"/>
  <c r="X28" i="1"/>
  <c r="V28" i="1"/>
  <c r="T28" i="1"/>
  <c r="N28" i="1"/>
  <c r="O28" i="1" s="1"/>
  <c r="P28" i="1" s="1"/>
  <c r="AF28" i="1" s="1"/>
  <c r="AE28" i="1" s="1"/>
  <c r="K28" i="1"/>
  <c r="L28" i="1" s="1"/>
  <c r="AD29" i="1" s="1"/>
  <c r="Y28" i="1" l="1"/>
  <c r="AD28" i="1" s="1"/>
  <c r="AC28" i="1" s="1"/>
  <c r="AG28" i="1" s="1"/>
  <c r="Q28" i="1"/>
  <c r="AF30" i="1"/>
  <c r="AE30" i="1" s="1"/>
  <c r="AF29" i="1"/>
  <c r="AE29" i="1" s="1"/>
  <c r="Y30" i="1"/>
  <c r="AD30" i="1" s="1"/>
  <c r="AC29" i="1"/>
  <c r="AG29" i="1" l="1"/>
  <c r="X27" i="1" l="1"/>
  <c r="V27" i="1"/>
  <c r="X26" i="1"/>
  <c r="V26" i="1"/>
  <c r="Y26" i="1" s="1"/>
  <c r="X25" i="1"/>
  <c r="V25" i="1"/>
  <c r="Y25" i="1" l="1"/>
  <c r="Y27" i="1"/>
  <c r="X24" i="1"/>
  <c r="V24" i="1"/>
  <c r="X23" i="1"/>
  <c r="V23" i="1"/>
  <c r="X22" i="1"/>
  <c r="V22" i="1"/>
  <c r="Y22" i="1" s="1"/>
  <c r="N22" i="1"/>
  <c r="O22" i="1" s="1"/>
  <c r="P22" i="1" s="1"/>
  <c r="Y24" i="1" l="1"/>
  <c r="Y23" i="1"/>
  <c r="X19" i="1" l="1"/>
  <c r="V19" i="1"/>
  <c r="T19" i="1"/>
  <c r="N19" i="1"/>
  <c r="O19" i="1" s="1"/>
  <c r="P19" i="1" s="1"/>
  <c r="AF19" i="1" s="1"/>
  <c r="AE19" i="1" s="1"/>
  <c r="K19" i="1"/>
  <c r="L19" i="1" s="1"/>
  <c r="Y19" i="1" l="1"/>
  <c r="AD19" i="1" s="1"/>
  <c r="AC19" i="1" s="1"/>
  <c r="X18" i="1" l="1"/>
  <c r="V18" i="1"/>
  <c r="X17" i="1"/>
  <c r="V17" i="1"/>
  <c r="Y17" i="1" s="1"/>
  <c r="T18" i="1"/>
  <c r="T17" i="1"/>
  <c r="N17" i="1"/>
  <c r="O17" i="1" s="1"/>
  <c r="P17" i="1" s="1"/>
  <c r="K17" i="1"/>
  <c r="L17" i="1" s="1"/>
  <c r="Y18" i="1" l="1"/>
  <c r="X16" i="1"/>
  <c r="V16" i="1"/>
  <c r="X15" i="1"/>
  <c r="V15" i="1"/>
  <c r="X14" i="1"/>
  <c r="V14" i="1"/>
  <c r="X13" i="1"/>
  <c r="V13" i="1"/>
  <c r="T16" i="1"/>
  <c r="T15" i="1"/>
  <c r="T14" i="1"/>
  <c r="T13" i="1"/>
  <c r="Y13" i="1" l="1"/>
  <c r="Y16" i="1"/>
  <c r="Y14" i="1"/>
  <c r="Y15" i="1"/>
  <c r="AF8" i="1" l="1"/>
  <c r="AF10" i="1" s="1"/>
  <c r="X12" i="1"/>
  <c r="V12" i="1"/>
  <c r="X11" i="1"/>
  <c r="V11" i="1"/>
  <c r="X10" i="1"/>
  <c r="V10" i="1"/>
  <c r="X9" i="1"/>
  <c r="V9" i="1"/>
  <c r="X8" i="1"/>
  <c r="V8" i="1"/>
  <c r="T8" i="1"/>
  <c r="T9" i="1"/>
  <c r="T10" i="1"/>
  <c r="T11" i="1"/>
  <c r="T12" i="1"/>
  <c r="N8" i="1"/>
  <c r="O8" i="1" s="1"/>
  <c r="P8" i="1" s="1"/>
  <c r="K8" i="1"/>
  <c r="L8" i="1" s="1"/>
  <c r="Y10" i="1" l="1"/>
  <c r="Y11" i="1"/>
  <c r="Y12" i="1"/>
  <c r="AD18" i="1"/>
  <c r="AC18" i="1" s="1"/>
  <c r="AD17" i="1"/>
  <c r="AC17" i="1" s="1"/>
  <c r="AF18" i="1"/>
  <c r="AE18" i="1" s="1"/>
  <c r="AF17" i="1"/>
  <c r="AE17" i="1" s="1"/>
  <c r="Y8" i="1"/>
  <c r="AD8" i="1" s="1"/>
  <c r="AC30" i="1" s="1"/>
  <c r="AG30" i="1" s="1"/>
  <c r="Y9" i="1"/>
  <c r="AF12" i="1"/>
  <c r="AE12" i="1" s="1"/>
  <c r="AE10" i="1"/>
  <c r="AE8" i="1"/>
  <c r="AG17" i="1" l="1"/>
  <c r="AG18" i="1"/>
  <c r="AD10" i="1"/>
  <c r="AC8" i="1"/>
  <c r="AG8" i="1" s="1"/>
  <c r="AC10" i="1" l="1"/>
  <c r="AG10" i="1" s="1"/>
  <c r="AD12" i="1"/>
  <c r="AC12" i="1" s="1"/>
  <c r="AG12" i="1" s="1"/>
  <c r="N35" i="1" l="1"/>
  <c r="O35" i="1" s="1"/>
  <c r="P35" i="1" s="1"/>
  <c r="K35" i="1"/>
  <c r="L35" i="1" s="1"/>
  <c r="T34" i="1" l="1"/>
  <c r="T33" i="1"/>
  <c r="T32" i="1"/>
  <c r="T31" i="1"/>
  <c r="T27" i="1" l="1"/>
  <c r="T26" i="1"/>
  <c r="AF25" i="1"/>
  <c r="AE25" i="1" s="1"/>
  <c r="T25" i="1"/>
  <c r="N25" i="1"/>
  <c r="O25" i="1" s="1"/>
  <c r="P25" i="1" s="1"/>
  <c r="K25" i="1"/>
  <c r="L25" i="1" s="1"/>
  <c r="AD25" i="1" l="1"/>
  <c r="AC25" i="1" s="1"/>
  <c r="N13" i="1" l="1"/>
  <c r="O13" i="1" s="1"/>
  <c r="P13" i="1" s="1"/>
  <c r="K13" i="1"/>
  <c r="L13" i="1" s="1"/>
  <c r="AD14" i="1" l="1"/>
  <c r="AC14" i="1" s="1"/>
  <c r="AG14" i="1" s="1"/>
  <c r="AD13" i="1"/>
  <c r="AC13" i="1" s="1"/>
  <c r="AG13" i="1" s="1"/>
  <c r="AD15" i="1"/>
  <c r="AF14" i="1"/>
  <c r="AE14" i="1" s="1"/>
  <c r="AF13" i="1"/>
  <c r="AE13" i="1" s="1"/>
  <c r="AF15" i="1"/>
  <c r="AD27" i="1"/>
  <c r="AC27" i="1" s="1"/>
  <c r="AE15" i="1" l="1"/>
  <c r="AE36" i="1"/>
  <c r="AC15" i="1"/>
  <c r="AG15" i="1" s="1"/>
  <c r="AC36" i="1"/>
  <c r="AF27" i="1"/>
  <c r="AE27" i="1" s="1"/>
  <c r="T24" i="1" l="1"/>
  <c r="T23" i="1"/>
  <c r="T22" i="1"/>
  <c r="K22" i="1"/>
  <c r="L22" i="1" l="1"/>
  <c r="Q22" i="1"/>
  <c r="N5" i="1"/>
  <c r="O5" i="1" s="1"/>
  <c r="T7" i="1"/>
  <c r="V7" i="1"/>
  <c r="X7" i="1"/>
  <c r="Y7" i="1" l="1"/>
  <c r="T6" i="1"/>
  <c r="T5" i="1"/>
  <c r="X6" i="1" l="1"/>
  <c r="V6" i="1"/>
  <c r="X5" i="1"/>
  <c r="V5" i="1"/>
  <c r="P5" i="1"/>
  <c r="K5" i="1"/>
  <c r="L5" i="1" l="1"/>
  <c r="Q5" i="1"/>
  <c r="Y6" i="1"/>
  <c r="Y5" i="1"/>
  <c r="AD5" i="1" l="1"/>
  <c r="AD6" i="1" s="1"/>
  <c r="AD7" i="1" s="1"/>
  <c r="AF5" i="1"/>
  <c r="AD9" i="1" l="1"/>
  <c r="AD16" i="1" s="1"/>
  <c r="AD26" i="1"/>
  <c r="AC26" i="1" s="1"/>
  <c r="AF6" i="1"/>
  <c r="AF7" i="1" s="1"/>
  <c r="AF9" i="1" s="1"/>
  <c r="AF16" i="1" s="1"/>
  <c r="AC6" i="1"/>
  <c r="AE5" i="1"/>
  <c r="AC5" i="1"/>
  <c r="AC16" i="1" l="1"/>
  <c r="AG16" i="1" s="1"/>
  <c r="AE16" i="1"/>
  <c r="AF11" i="1"/>
  <c r="AE11" i="1" s="1"/>
  <c r="AE9" i="1"/>
  <c r="AD11" i="1"/>
  <c r="AC11" i="1" s="1"/>
  <c r="AG11" i="1" s="1"/>
  <c r="AC9" i="1"/>
  <c r="AG9" i="1" s="1"/>
  <c r="AE7" i="1"/>
  <c r="AF26" i="1"/>
  <c r="AE26" i="1" s="1"/>
  <c r="AE6" i="1"/>
  <c r="AG6" i="1" s="1"/>
  <c r="AG5" i="1"/>
  <c r="AC7" i="1" l="1"/>
  <c r="AG7" i="1" s="1"/>
</calcChain>
</file>

<file path=xl/comments1.xml><?xml version="1.0" encoding="utf-8"?>
<comments xmlns="http://schemas.openxmlformats.org/spreadsheetml/2006/main">
  <authors>
    <author>Estudiante</author>
    <author>XIMENA PORTILLO PUENTES</author>
    <author>Unimagdalena</author>
    <author>Equipo</author>
  </authors>
  <commentList>
    <comment ref="A3" authorId="0" shapeId="0">
      <text>
        <r>
          <rPr>
            <b/>
            <sz val="9"/>
            <color indexed="81"/>
            <rFont val="Tahoma"/>
            <family val="2"/>
          </rPr>
          <t>Ximena Portillo:</t>
        </r>
        <r>
          <rPr>
            <sz val="9"/>
            <color indexed="81"/>
            <rFont val="Tahoma"/>
            <family val="2"/>
          </rPr>
          <t xml:space="preserve">
Codigo del proceso+ enumeración.
Ejemplo: GC-1</t>
        </r>
      </text>
    </comment>
    <comment ref="C3" authorId="0" shapeId="0">
      <text>
        <r>
          <rPr>
            <b/>
            <sz val="9"/>
            <color indexed="81"/>
            <rFont val="Tahoma"/>
            <family val="2"/>
          </rPr>
          <t xml:space="preserve">Ximena Portillo:
</t>
        </r>
        <r>
          <rPr>
            <sz val="9"/>
            <color indexed="81"/>
            <rFont val="Tahoma"/>
            <family val="2"/>
          </rPr>
          <t>Circunstancias bajo las cuales se presenta el riesgo, pero no constituyen la causa principal o base para que se presente el riesgo</t>
        </r>
      </text>
    </comment>
    <comment ref="D3" authorId="0" shapeId="0">
      <text>
        <r>
          <rPr>
            <b/>
            <sz val="9"/>
            <color indexed="81"/>
            <rFont val="Tahoma"/>
            <family val="2"/>
          </rPr>
          <t>Ximena Portillo:</t>
        </r>
        <r>
          <rPr>
            <sz val="9"/>
            <color indexed="81"/>
            <rFont val="Tahoma"/>
            <family val="2"/>
          </rPr>
          <t xml:space="preserve">
Causa principal o básica, corresponde a las razones por la cuales se puede presentar el riesgo.</t>
        </r>
      </text>
    </comment>
    <comment ref="F3" authorId="0" shapeId="0">
      <text>
        <r>
          <rPr>
            <b/>
            <sz val="9"/>
            <color indexed="81"/>
            <rFont val="Tahoma"/>
            <family val="2"/>
          </rPr>
          <t xml:space="preserve">Ximena Portillo:
</t>
        </r>
        <r>
          <rPr>
            <sz val="9"/>
            <color indexed="81"/>
            <rFont val="Tahoma"/>
            <family val="2"/>
          </rPr>
          <t xml:space="preserve">En la redacción del riesgo se debe incluir la causa inmediata y la causa raiz.
</t>
        </r>
        <r>
          <rPr>
            <u/>
            <sz val="9"/>
            <color indexed="81"/>
            <rFont val="Tahoma"/>
            <family val="2"/>
          </rPr>
          <t>Ej: Generación de multas y sanción del ente regulador debido a adquisición de bienes y servicios fuera de los requerimientos normativos</t>
        </r>
      </text>
    </comment>
    <comment ref="G3" authorId="1" shapeId="0">
      <text>
        <r>
          <rPr>
            <b/>
            <sz val="9"/>
            <color indexed="81"/>
            <rFont val="Tahoma"/>
            <family val="2"/>
          </rPr>
          <t>XIMENA PORTILLO PUENTES:</t>
        </r>
        <r>
          <rPr>
            <sz val="9"/>
            <color indexed="81"/>
            <rFont val="Tahoma"/>
            <family val="2"/>
          </rPr>
          <t xml:space="preserve">
En la hoja de información se encuentra la definición d ecada factor</t>
        </r>
      </text>
    </comment>
    <comment ref="H3" authorId="1" shapeId="0">
      <text>
        <r>
          <rPr>
            <b/>
            <sz val="9"/>
            <color indexed="81"/>
            <rFont val="Tahoma"/>
            <family val="2"/>
          </rPr>
          <t>XIMENA PORTILLO PUENTES:</t>
        </r>
        <r>
          <rPr>
            <sz val="9"/>
            <color indexed="81"/>
            <rFont val="Tahoma"/>
            <family val="2"/>
          </rPr>
          <t xml:space="preserve">
En la hoja de información se encuentra la definición de cada clasificación</t>
        </r>
      </text>
    </comment>
    <comment ref="I3" authorId="1" shapeId="0">
      <text>
        <r>
          <rPr>
            <b/>
            <sz val="9"/>
            <color indexed="81"/>
            <rFont val="Tahoma"/>
            <family val="2"/>
          </rPr>
          <t>XIMENA PORTILLO PUENTES:</t>
        </r>
        <r>
          <rPr>
            <sz val="9"/>
            <color indexed="81"/>
            <rFont val="Tahoma"/>
            <family val="2"/>
          </rPr>
          <t xml:space="preserve">
Escoger el objetivo de calidad que impacte el riesgo</t>
        </r>
      </text>
    </comment>
    <comment ref="J3" authorId="0" shapeId="0">
      <text>
        <r>
          <rPr>
            <b/>
            <sz val="9"/>
            <color indexed="81"/>
            <rFont val="Tahoma"/>
            <family val="2"/>
          </rPr>
          <t>Ximena Portillo:</t>
        </r>
        <r>
          <rPr>
            <sz val="9"/>
            <color indexed="81"/>
            <rFont val="Tahoma"/>
            <family val="2"/>
          </rPr>
          <t xml:space="preserve">
Defina el # de veces que se ejecuta la actividad durante el año</t>
        </r>
      </text>
    </comment>
    <comment ref="J13" authorId="2" shapeId="0">
      <text>
        <r>
          <rPr>
            <b/>
            <sz val="9"/>
            <color indexed="81"/>
            <rFont val="Tahoma"/>
            <charset val="1"/>
          </rPr>
          <t>Unimagdalena:</t>
        </r>
        <r>
          <rPr>
            <sz val="9"/>
            <color indexed="81"/>
            <rFont val="Tahoma"/>
            <charset val="1"/>
          </rPr>
          <t xml:space="preserve">
Sumatoria de los productos publicados en cada año. (Meta para 2023)</t>
        </r>
      </text>
    </comment>
    <comment ref="E28" authorId="3" shapeId="0">
      <text>
        <r>
          <rPr>
            <b/>
            <sz val="9"/>
            <color indexed="81"/>
            <rFont val="Tahoma"/>
            <family val="2"/>
          </rPr>
          <t>Equipo:</t>
        </r>
        <r>
          <rPr>
            <sz val="9"/>
            <color indexed="81"/>
            <rFont val="Tahoma"/>
            <family val="2"/>
          </rPr>
          <t xml:space="preserve">
De este listado de causa, identificar la causa raíz y la causa inmediata, en caso de no existir se debe definir.</t>
        </r>
      </text>
    </comment>
    <comment ref="E31" authorId="3" shapeId="0">
      <text>
        <r>
          <rPr>
            <b/>
            <sz val="9"/>
            <color indexed="81"/>
            <rFont val="Tahoma"/>
            <family val="2"/>
          </rPr>
          <t>Equipo:</t>
        </r>
        <r>
          <rPr>
            <sz val="9"/>
            <color indexed="81"/>
            <rFont val="Tahoma"/>
            <family val="2"/>
          </rPr>
          <t xml:space="preserve">
De este listado de causa, identificar la causa raiz y la causa inmediata, en caso de no existir se debe definir.</t>
        </r>
      </text>
    </comment>
  </commentList>
</comments>
</file>

<file path=xl/sharedStrings.xml><?xml version="1.0" encoding="utf-8"?>
<sst xmlns="http://schemas.openxmlformats.org/spreadsheetml/2006/main" count="616" uniqueCount="331">
  <si>
    <t>Identificación del riesgo</t>
  </si>
  <si>
    <t>Análisis del riesgo inherente</t>
  </si>
  <si>
    <t>Evaluación del riesgo - Valoración de los controles</t>
  </si>
  <si>
    <t>Plan de Acción</t>
  </si>
  <si>
    <t xml:space="preserve">Referencia </t>
  </si>
  <si>
    <t>Impacto</t>
  </si>
  <si>
    <t>Causa Inmediata</t>
  </si>
  <si>
    <t>Causa Raíz</t>
  </si>
  <si>
    <t>Descripción del Riesgo</t>
  </si>
  <si>
    <t>Clasificación del Riesgo</t>
  </si>
  <si>
    <t>Probabilidad Inherente</t>
  </si>
  <si>
    <t>%</t>
  </si>
  <si>
    <t>Criterios de impacto</t>
  </si>
  <si>
    <t>Impacto 
Inherente</t>
  </si>
  <si>
    <t>Zona de Riesgo Inherente</t>
  </si>
  <si>
    <t>No. Control</t>
  </si>
  <si>
    <t>Descripción del Control</t>
  </si>
  <si>
    <t>Afectación</t>
  </si>
  <si>
    <t>Atributos</t>
  </si>
  <si>
    <t>Probabilidad Residual Final</t>
  </si>
  <si>
    <t>Impacto Residual Final</t>
  </si>
  <si>
    <t>Zona de Riesgo Final</t>
  </si>
  <si>
    <t>Tratamiento</t>
  </si>
  <si>
    <t>Responsable</t>
  </si>
  <si>
    <t>Fecha Implementación</t>
  </si>
  <si>
    <t>Tipo</t>
  </si>
  <si>
    <t>Implementación</t>
  </si>
  <si>
    <t>Calificación</t>
  </si>
  <si>
    <t>Documentación</t>
  </si>
  <si>
    <t>Frecuencia</t>
  </si>
  <si>
    <t>Evidencia</t>
  </si>
  <si>
    <t>01 Dirección y Planeación</t>
  </si>
  <si>
    <t>02 Acreditación</t>
  </si>
  <si>
    <t>03 Gestión de la Calidad</t>
  </si>
  <si>
    <t>04 Comunicaciones</t>
  </si>
  <si>
    <t>05 Relaciones Interinstitucionales</t>
  </si>
  <si>
    <t>06 Gestión Académica</t>
  </si>
  <si>
    <t>06 Clinica Odontologica</t>
  </si>
  <si>
    <t>07 Gestión de Investigación</t>
  </si>
  <si>
    <t>08 Gestión de Extensión y Proyección Social</t>
  </si>
  <si>
    <t>09 Apoyo Tecnológico TIC</t>
  </si>
  <si>
    <t>10 Gestión Jurídica</t>
  </si>
  <si>
    <t>11 Gestión de Contratación</t>
  </si>
  <si>
    <t>12 Gestión Financiera</t>
  </si>
  <si>
    <t>13 Gestión de Recursos Educativos</t>
  </si>
  <si>
    <t>14 Gestión de Bienestar Universitario</t>
  </si>
  <si>
    <t>15 Gestión Documental</t>
  </si>
  <si>
    <t>16 Gestión Administrativa</t>
  </si>
  <si>
    <t>17 Gestión del Talento Humano</t>
  </si>
  <si>
    <t>18 Gestión de Biblioteca</t>
  </si>
  <si>
    <t>19 Gestión de Admisiones y Registro</t>
  </si>
  <si>
    <t>20 Gestión y Rendición de Cuentas</t>
  </si>
  <si>
    <t>21 Evaluación Independiente</t>
  </si>
  <si>
    <t>06 Facultad de Ciencias de la Salud</t>
  </si>
  <si>
    <t>06 Facultad de Ciencias Empresariales y Economicas</t>
  </si>
  <si>
    <t>06 Facultad de Ingenieria</t>
  </si>
  <si>
    <t>06 Facultad de Humanidades</t>
  </si>
  <si>
    <t>06 Facultad de Ciencias de la Educación</t>
  </si>
  <si>
    <t>06 Facultad de Ciencias Básicas</t>
  </si>
  <si>
    <t>Procesos</t>
  </si>
  <si>
    <t>Objetivo</t>
  </si>
  <si>
    <t>Administrar los medios y canales de comunicación de la Institución con el propósito de mantener informada a la comunidad universitaria y demás partes interesadas</t>
  </si>
  <si>
    <t>Administrar, mantener y controlar los bienes muebles e inmuebles de la Universidad para la prestación de sus servicios y el desarrollo de actividades requeridas.</t>
  </si>
  <si>
    <t>Articular al ámbito global los ejes de docencia, investigación y extensión de la Universidad del Magdalena y promover, coordinar y supervisar la movilidad internacional de la comunidad universitaria.</t>
  </si>
  <si>
    <t>Asegurar el manejo y control de la información documentada de la Institución, identificando los medios adecuados para la conservación y protección de la información atendiendo los requisitos legales y reglamentarios aplicables.</t>
  </si>
  <si>
    <t>Asegurar, fomentar y facilitar el desarrollo de la investigación, proporcionando las condiciones para la generación, apropiación y transferencia de conocimiento, tecnología e innovación en cumplimiento de la misión de la Universidad del Magdalena, articulada con las necesidades del entorno y de acuerdo con las políticas y lineamientos institucionales de manera eficiente, eficaz y efectiva</t>
  </si>
  <si>
    <t>Asesorar jurídicamente a la Universidad del Magdalena y asistir las actuaciones prejudiciales, judiciales y administrativas conforme a las disposiciones del ordenamiento jurídico vigente.</t>
  </si>
  <si>
    <t>Contribuir a los procesos formativos de los estudiantes del programa de odontología a través de la practica de sus conocimientos e interacción directa con el paciente.</t>
  </si>
  <si>
    <t>Contribuir al mejoramiento permanente de la calidad integral de cada uno de los programas académicos y servicios que ofrece la Universidad y la Institución en general; a partir de procesos de autoevaluación y aseguramiento de la calidad, que permitan la obtención y renovación de los registros calificados y de la acreditación por alta calidad, tanto de sus programas como la institucional.</t>
  </si>
  <si>
    <t>Definir el marco estratégico de mediano y largo plazo de la Institución acorde a la misión y al cumplimiento de las disposiciones legales y reglamentarias</t>
  </si>
  <si>
    <t>Diseñar mecanismos que permitan evaluar y verificar permanentemente el Sistema de Control interno y la administración del riesgo a nivel institucional.</t>
  </si>
  <si>
    <t>06 CREO-  Centro para la Regionalización de la Educación y las Oportunidades</t>
  </si>
  <si>
    <t>Diseñar y desarrollar los programas académicos de pregrado, posgrado y formación para el trabajo y desarrollo en cumplimiento de la misión institucional.</t>
  </si>
  <si>
    <t>Establecer mecanismos e instrumentos para asegurar la correcta ejecución de la contratación de acuerdo a la normatividad aplicable en la institución.</t>
  </si>
  <si>
    <t>06 Sistema de Gestión Centro de Conciliación</t>
  </si>
  <si>
    <t>Fortalecer las competencias adquiridas por el estudiantes en las diferentes áreas del derecho durante su desarrollo académico a través de la practica jurídica y la interacción con el usuario en las diferentes etapas de un proceso jurídico.</t>
  </si>
  <si>
    <t>Gestionar los equipos y suministros para la docencia y prácticas académicas; además de administrar el servicio audiovisual y los espacios físicos (auditorios, salones, salas de atención a estudiantes y salas de internet) adscritos a ésta. Así como apoyar la gestión administrativa de los laboratorios orientados a los procesos de docencia e investigación de la institución.</t>
  </si>
  <si>
    <t>Gestionar proyectos y servicios que aporten de manera efectiva a la solución de los problemas del entorno, así como a la difusión del patrimonio cultural y al fortalecimiento de la relación y cooperación universidad – empresa – estado en articulación con sus egresados y la sociedad en general.</t>
  </si>
  <si>
    <t>Gestionar y administrar eficientemente los recursos financieros de la Universidad del Magdalena, de tal forma que le permita a la Dirección Universitaria ejecutar sus acciones con transparencia, seguridad y confiabilidad</t>
  </si>
  <si>
    <t>Gestionar, incorporar y asegurar los recursos de tecnologías de la información y las comunicaciones; para mejorar y optimizar los procesos Institucionales, garantizando la confidencialidad, integridad y disponibilidad de la información.</t>
  </si>
  <si>
    <t>Gestionar, organizar, conservar y promover el uso efectivo de los recursos y servicios de información bajo criterios de calidad, cantidad y oportunidad teniendo en cuenta las directrices y necesidades de la comunidad universitaria, para contribuir al desarrollo académico, de investigación y extensión social.</t>
  </si>
  <si>
    <t>Planificar e implementar las políticas de seguimiento, medición y análisis del Sistema de Gestión Integral de la Calidad para demostrar su conformidad con las normas aplicables y mejorar continuamente en la búsqueda de eficiencia, eficacia y efectividad de su desempeño.</t>
  </si>
  <si>
    <t>Prestar los servicios de bienestar Universitario a la comunidad universitaria, de acuerdo a las condiciones establecidas por la institución</t>
  </si>
  <si>
    <t>Realizar la evaluación de la gestión y la rendición de cuentas a la sociedad de la ejecución y logros de los planes institucionales de conformidad con los requisitos legales y la normatividad interna</t>
  </si>
  <si>
    <t>Realizar las actividades necesarias para la vinculación, permanencia y bienestar laboral del personal vinculado a la institución.</t>
  </si>
  <si>
    <t>Dirigir, coordinar, supervisar y controlar de manera eficiente, efectiva y eficaz la ejecución de los planes, programas, políticas y reglamentación, formulada y adoptada en la institución en lo referente a los servicios de inscripción, admisión, matrícula, registro de información académica y control de estudiantes a través del uso y disposición de sistemas informáticos que ofrezcan información actualizada a quien lo requiera</t>
  </si>
  <si>
    <t>Reputacional</t>
  </si>
  <si>
    <t>Economico y reputacional</t>
  </si>
  <si>
    <t>Objetivo de calidad</t>
  </si>
  <si>
    <t>Objetivos de calidad COGUI+</t>
  </si>
  <si>
    <t>Ejecucion y Administracion de procesos</t>
  </si>
  <si>
    <t>Fraude Externo</t>
  </si>
  <si>
    <t>Fraude Interno</t>
  </si>
  <si>
    <t>Fallas Tecnologica</t>
  </si>
  <si>
    <t>Relaciones Laborales</t>
  </si>
  <si>
    <t>Usuarios, productos y practicas organizacionales</t>
  </si>
  <si>
    <t>Daños Activos Fisicos</t>
  </si>
  <si>
    <t>Frecuencia de la actividad</t>
  </si>
  <si>
    <t>Probabilidad frente al riesgo</t>
  </si>
  <si>
    <t>1 vez al año</t>
  </si>
  <si>
    <t>Muy baja</t>
  </si>
  <si>
    <t>Mensual</t>
  </si>
  <si>
    <t>Media</t>
  </si>
  <si>
    <t xml:space="preserve">Semanal </t>
  </si>
  <si>
    <t>Alta</t>
  </si>
  <si>
    <t>Diaria</t>
  </si>
  <si>
    <t>Muy alta</t>
  </si>
  <si>
    <t>La actividad que conlleva el riesgo se ejecuta como máximo 2 veces por año</t>
  </si>
  <si>
    <t>La actividad que conlleva el riesgo se ejecuta de 3 a 24 veces por año</t>
  </si>
  <si>
    <t>La actividad que conlleva el riesgo se ejecuta de 24 a 500 veces por año</t>
  </si>
  <si>
    <t>La actividad que conlleva el riesgo se ejecuta mínimo 500 veces al año máximo 5000 veces al año</t>
  </si>
  <si>
    <t>La actividad que conlleva el riesgo se ejecuta más de 500 veces por año</t>
  </si>
  <si>
    <t>Semestral, Trimestral, Bimensual</t>
  </si>
  <si>
    <t>Baja</t>
  </si>
  <si>
    <t>Probabilidad</t>
  </si>
  <si>
    <t>Afectación menor a 10 SMLMV</t>
  </si>
  <si>
    <t>Entre 10 y 50 SMLMV</t>
  </si>
  <si>
    <t>Entre 50 y 100 SMLMV</t>
  </si>
  <si>
    <t>Entre 100 y 500 SMLMV</t>
  </si>
  <si>
    <t>Mayor a 500 SMLMV</t>
  </si>
  <si>
    <t>El riesgo afecta la imagen de algún área de la universidad</t>
  </si>
  <si>
    <t>El riesgo afecta la imagen de la universidad con algunos usuarios de relevancia frente al logro de los objetivos</t>
  </si>
  <si>
    <t>El riesgo afecta la imagen de la universidad con efecto publicitario sostenido a nivel departamental o municipal</t>
  </si>
  <si>
    <t>El riesgo afecta la imagen de la universidad a nivel nacional, con efecto publicitario sostenido a nivel país.</t>
  </si>
  <si>
    <t>Leve</t>
  </si>
  <si>
    <t>Menor</t>
  </si>
  <si>
    <t>Moderado</t>
  </si>
  <si>
    <t>Mayor</t>
  </si>
  <si>
    <t>El riesgo afecta la imagen institucional internamente, de conocimiento general nivel interno, de alta dirección y/o de proveedores.</t>
  </si>
  <si>
    <t>Nivel</t>
  </si>
  <si>
    <t>Num</t>
  </si>
  <si>
    <t>Catastrófico</t>
  </si>
  <si>
    <t>Extremo</t>
  </si>
  <si>
    <t>Alto</t>
  </si>
  <si>
    <t>Bajo</t>
  </si>
  <si>
    <t>Preventivo</t>
  </si>
  <si>
    <t>Va hacia las causas del riesgo, aseguran el resultado final esperado.</t>
  </si>
  <si>
    <t>Detectivo</t>
  </si>
  <si>
    <t>Correctivo</t>
  </si>
  <si>
    <t>Dado que permiten reducir el impacto de la materialización del riesgo, tienen un costo en su implementación.</t>
  </si>
  <si>
    <t>Detecta que algo ocurre y devuelve el proceso a los controles preventivos.Se pueden generar reprocesos.</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</si>
  <si>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</si>
  <si>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</si>
  <si>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</si>
  <si>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</si>
  <si>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tipo</t>
  </si>
  <si>
    <t>Valor Tipo</t>
  </si>
  <si>
    <t>Valor Implementación</t>
  </si>
  <si>
    <t>Acciones de control</t>
  </si>
  <si>
    <t>Evidencias de implementación</t>
  </si>
  <si>
    <t>Indicador</t>
  </si>
  <si>
    <t>Economica</t>
  </si>
  <si>
    <t>1. Asegurar la acreditación de programas bajo estándares nacionales e internacionales y renovación de acreditación institucional.</t>
  </si>
  <si>
    <t>2. Asegurar la certificación de programas de formación para el trabajo y desarrollo humano bajo estándares de la norma NTC 5555:2011 y propias de los programas.</t>
  </si>
  <si>
    <t>3. Fortalecer el desarrollo y bienestar del talento humano</t>
  </si>
  <si>
    <t>4. Contribuir con la transformación del territorio mediante la creación, la transferencia, la apropiación social y la aplicación de conocimiento científico, tecnológico, arte y cultura.</t>
  </si>
  <si>
    <t>5. Fortalecer el sistema de gestión institucional integral mediante el diseño, implementación y articulación de sistemas de gestión bajo el cumplimiento de estándares nacionales ó internacionales</t>
  </si>
  <si>
    <t>Subcausas</t>
  </si>
  <si>
    <t>Frecuencia con la cual se realiza la actividad en el año</t>
  </si>
  <si>
    <t xml:space="preserve"> Criterios para definir el nivel de impacto</t>
  </si>
  <si>
    <t>Objetivo de la Calidad</t>
  </si>
  <si>
    <t>Factores de riesgo</t>
  </si>
  <si>
    <t xml:space="preserve">Factor </t>
  </si>
  <si>
    <t xml:space="preserve">Definición </t>
  </si>
  <si>
    <t>Descripción</t>
  </si>
  <si>
    <t>Eventos relacionados con 
errores en las actividades que deben realizar los servidores de la organización.</t>
  </si>
  <si>
    <t>Factores del riesgo</t>
  </si>
  <si>
    <t>*Falta de procedimientos
*Errores de grabación, autorización
*Errores en cálculos para pagos internos y externos
*Falta de capacitación, temas relacionados con el personal</t>
  </si>
  <si>
    <t>Talento 
humano</t>
  </si>
  <si>
    <t>Incluye seguridad y salud en el trabajo.
Se analiza posible dolo e 
intención frente a la corrupción.</t>
  </si>
  <si>
    <t>*Hurto activos
*Posibles comportamientos no éticos de los empleados
*Fraude interno (corrupción, soborno)</t>
  </si>
  <si>
    <t>Tecnología</t>
  </si>
  <si>
    <t>Eventos relacionados con la 
infraestructura tecnológica de la entidad.</t>
  </si>
  <si>
    <t>*Daño de equipos
*Caída de aplicaciones
*Caída de redes
*Errores en programas</t>
  </si>
  <si>
    <t>Infraestructura</t>
  </si>
  <si>
    <t>Eventos relacionados con la 
infraestructura física de la 
entidad.</t>
  </si>
  <si>
    <t>*Derrumbes
*Incendios
*Inundaciones
*Daños a activos fijos</t>
  </si>
  <si>
    <t>Evento 
externo</t>
  </si>
  <si>
    <t>Situaciones externas que 
afectan la entidad.</t>
  </si>
  <si>
    <t>*Suplantación de identidad
*Asalto a la oficina
*Atentados, vandalismo, orden público</t>
  </si>
  <si>
    <t>Relación entre factores de riesgos y clasificación del riesgo</t>
  </si>
  <si>
    <t>AC-1</t>
  </si>
  <si>
    <t>Documentado</t>
  </si>
  <si>
    <t>Continua</t>
  </si>
  <si>
    <t>Con registro</t>
  </si>
  <si>
    <t>(Número de comunicaciones remitidas/Número de comunicaciones programadas)*100</t>
  </si>
  <si>
    <t>Reducir (mitigar)</t>
  </si>
  <si>
    <t>Sin documentar</t>
  </si>
  <si>
    <t>Ejecución y Administración de procesos</t>
  </si>
  <si>
    <t>Vicerrectoría de Investigación
Unidades de gestión</t>
  </si>
  <si>
    <t>EX - 2</t>
  </si>
  <si>
    <t>Desconocimiento de la competitividad de los programas académicos en el territorio.</t>
  </si>
  <si>
    <t>Utilización de medios poco efectivos para la comunicación entre la institución y el sector externo.</t>
  </si>
  <si>
    <t>Desconocimiento de la competitividad de los programas académicos en el territorio producto de la utilización de medios poco efectivos para la comunicación.</t>
  </si>
  <si>
    <t>Motivar al graduado a mantener sus datos actualizados.</t>
  </si>
  <si>
    <t>Sin registro</t>
  </si>
  <si>
    <t>Aceptar</t>
  </si>
  <si>
    <t>Implementar estrategias de motivación para actualización de datos.</t>
  </si>
  <si>
    <t>Director (a) Centro de Egresados</t>
  </si>
  <si>
    <t>Jornadas de carnetización y actualización de información</t>
  </si>
  <si>
    <t>Aleatoria</t>
  </si>
  <si>
    <t>Convocatorias de carnetización.</t>
  </si>
  <si>
    <t>Boletines de prensa, fotografías del evento.</t>
  </si>
  <si>
    <t>Socialización a las empresas sobre la oferta académica de la institución y los perfiles que se están formando.</t>
  </si>
  <si>
    <t>Número de empleadores y empresarios asistentes al encuentro.</t>
  </si>
  <si>
    <t>IDI-04</t>
  </si>
  <si>
    <t>Desconocimiento de los resultados finales productos de los proyectos  y actividades  investigación, creación, innovación y emprendimiento ejecutados u orientados al trabajo en conjunto con las comunidades</t>
  </si>
  <si>
    <t>Debilidad en formas de transferencia y divulgación del conocimiento para los procesos de apropiación social.</t>
  </si>
  <si>
    <t>*Dificultad en la estandarización del proceso de consolidación de los resultados obtenidos en las actividades.
*Desconocimiento de los canales e insumos basadas en la producción de contenidos digitales y la integración transmedia.
*No se cuenta con la gestión adecuada en la realización de  eventos de socialización y actualización en las comunidades</t>
  </si>
  <si>
    <t>Se cuenta con un equipo profesional en producción audiovisual para la creación de contenido de divulgación y transferencia así como en la realización de eventos</t>
  </si>
  <si>
    <t>Evitar</t>
  </si>
  <si>
    <t>Grupo de Contratación</t>
  </si>
  <si>
    <t xml:space="preserve">Pérdida de acreditación de alta calidad institucional  y/o de los programas </t>
  </si>
  <si>
    <t xml:space="preserve">Incumplimiento  de los lineamientos establecidos por el CNA
</t>
  </si>
  <si>
    <t>1. Inadecuados seguimientos y/o desconocimiento de las fechas de vencimiento de los procesos.</t>
  </si>
  <si>
    <t>Pérdida de acreditación de alta calidad institucional y/o  de programas debido al incumplimiento de los lineamientos establecidos por el CNA</t>
  </si>
  <si>
    <t xml:space="preserve">2. Insuficientes evidencias para demostrar el cumplimiento de los requisitos exigidos por el CNA.
</t>
  </si>
  <si>
    <t>3. Inadecuada interpretación de los lineamientos del CNA para la presentación de los informes.</t>
  </si>
  <si>
    <t xml:space="preserve"> Mapa de Riesgos de Gestión Institucional 2023</t>
  </si>
  <si>
    <t>La OAC establece los procedimientos, formatos y guías publicados en la plataforma COGUI+</t>
  </si>
  <si>
    <t xml:space="preserve">La OAC socializa los lineamientos del CNA  a través de talleres, seminarios, reuniones y/o comunicaciones </t>
  </si>
  <si>
    <t xml:space="preserve">La OAC realiza seguimiento y acompañamiento permanente al desarrollo de los procesos de autoevaluación </t>
  </si>
  <si>
    <t xml:space="preserve">1. Generar alertas periódicas a las unidades académicas con  copia a la alta dirección para notificar las fechas de próximo vencimiento de cuatro (4) procesos de autoevaluación con fines de renovación de  acreditación en alta calidad
</t>
  </si>
  <si>
    <t xml:space="preserve">2. Socializar los lineamientos y requerimientos del CNA  a los programas académicos  y realizar jornadas de trabajo de seguimiento  a las etapas del proceso de autoevaluación con fines de acreditación 
</t>
  </si>
  <si>
    <t>Oficina de Aseguramiento de la Calidad</t>
  </si>
  <si>
    <t>Diciembre 31 de 2023</t>
  </si>
  <si>
    <t>Correos electrónicos</t>
  </si>
  <si>
    <t>Comunicaciones remitidas,listas de asistencia y/o actas de reunión .</t>
  </si>
  <si>
    <t>(Número de comunicaciones, listas de asistencia y/o actas de reuniones de jornadas de trabajo realizadas / Número de comunicaciones, Número de listas de asistencia y/o actas de reuniones de jornadas de trabajo programadas)*100</t>
  </si>
  <si>
    <t>GC-1</t>
  </si>
  <si>
    <t>Demoras en la atención por parte de la dependencia generadoras de las respuestas</t>
  </si>
  <si>
    <t>Falta de seguimiento al trámite de las PQR's</t>
  </si>
  <si>
    <t>Fallas técnicas en la plataforma COGUI
Desconocimiento en la gestión de pqr.</t>
  </si>
  <si>
    <t>Incumplimiento en los tiempo de respuesta a los usuarios del buzón de PQR</t>
  </si>
  <si>
    <t>Sistema para la administración de PQR</t>
  </si>
  <si>
    <t>Revisión de  PQRS en el sistema y direccionamiento  a los responsables de su tramite</t>
  </si>
  <si>
    <t>Seguimiento a las respuestas mediante plantilla de seguimiento para el control de las respuestas de pqr</t>
  </si>
  <si>
    <t>Informes trimestral de PQRS.</t>
  </si>
  <si>
    <t>Auditorias internas y externas</t>
  </si>
  <si>
    <t>Sensibilizar a los procesos en la gestión de pqr y el uso de la herramienta de pqr.</t>
  </si>
  <si>
    <t>Grupo de Gestión de la Calidad</t>
  </si>
  <si>
    <t>Actividades de sensibilización (Correos electrónicos)</t>
  </si>
  <si>
    <t>(Numero de pqr respondidas oportunamente/ numero de pqr que ingresaron al sistema)x100</t>
  </si>
  <si>
    <t>CC-1</t>
  </si>
  <si>
    <t>Inoportuna o inexacta divulgación de los productos comunicativos y publicitarios ante los usuarios internos y externos.</t>
  </si>
  <si>
    <t>Fallas en el origen de la información recibida y/o en la construcción del mensaje.</t>
  </si>
  <si>
    <t>1. Dependencia en la toma de decisiones. 
2. Demora en la revisión de los productos comunicativos por parte de la Alta Dirección y/o jefes.
3. Fallas en el proceso de revisión de los productos comunicativos. 
4. Equipos obsoletos y falta de software para producción de contenidos comunicativos.</t>
  </si>
  <si>
    <t>Inoportuna o inexacta divulgación de los productos comunicativos y publicitarios ante los usuarios internos y externos, debido a las fallas en el origen de la información recibida y/o en la construcción del mensaje.</t>
  </si>
  <si>
    <t>Revisión pertinente del material a comunicar por parte de la dependencia que origina la información</t>
  </si>
  <si>
    <t xml:space="preserve">Aprobación rápida  por parte de la Alta Dirección y/o jefes. </t>
  </si>
  <si>
    <t>Orientaciones por parte del jefe de Comunicaciones.</t>
  </si>
  <si>
    <t>Selección adecuada del talento humano.</t>
  </si>
  <si>
    <t>1. Enviar los contenidos a revisión de la dependencia correspondiente.
2. Comunicar oportunamente el envío de los contenidos para revisión inmediata. 
3. Revisar los contenidos con rigor antes de su publicación.
4. Capacitar periódicamente al talento humano de la Dirección de Comunicaciones.
5. Gestionar la solicitud de adquisición y mantenimiento de equipos e instalación de software requeridos para optimizar el trabajo.</t>
  </si>
  <si>
    <t>Director de Comunicaciones.</t>
  </si>
  <si>
    <t>1.  Correo electrónico enviado con el boletín para revisión.
2. Respuesta por correo electrónico sobre corrección y aprobación del contenido.
3. Asistencias o actas de capacitaciones.
4. Solicitudes de adquisición y mantenimiento de equipos e instalación de software</t>
  </si>
  <si>
    <t>Número de fe de erratas enviadas / Número de productos comunicativos publicados.</t>
  </si>
  <si>
    <t>RI - 1</t>
  </si>
  <si>
    <t>Gestionar la movilidad internacional entrante sin requisitos migratorios</t>
  </si>
  <si>
    <t>Falta de acompañamiento o asesoría por parte de la ORI</t>
  </si>
  <si>
    <t>1. Desconocimiento sobre procedimientos para movilidad internacional.
2. Fallas en el reporte a la ORI sobre la vinculación, admisión y contratación de extrajeros dentro de los tiempos establecidos</t>
  </si>
  <si>
    <t>Gestionar la movilidad internacional entrante sin requisitos migratorios debido a la falta de acompañamiento o asesoría por parte de la ORI</t>
  </si>
  <si>
    <t>Guía de tramites migratorios</t>
  </si>
  <si>
    <t xml:space="preserve">Formato de Registro de movilidad entrante </t>
  </si>
  <si>
    <t>Envío semestral de comunicación oficial a todas las dependencias de la institución desde correo de rectoría y vicerrectoría académica solicitando la Información sobre  vinculación, contratación, admisión y visita de extranjeros.</t>
  </si>
  <si>
    <t>Jefe de oficina de Relaciones Internacionales</t>
  </si>
  <si>
    <t>Correos diseñados por la Oficina de Relaciones Internacionales, enviados desde rectoría y vicerrectoría académica</t>
  </si>
  <si>
    <t>Número de comunicaciones enviadas /Número de comunicaciones planificadas</t>
  </si>
  <si>
    <t>Inadecuada apropiación social del conocimiento y su impacto en las comunidades y en la institución</t>
  </si>
  <si>
    <t>Eventos de socialización y actualización en las comunidades para la apropiación social del conocimientos.</t>
  </si>
  <si>
    <t>Eventos de divulgación en las comunidades</t>
  </si>
  <si>
    <t>Número de eventos.</t>
  </si>
  <si>
    <t>Productos para la socialización y actualización en las comunidades para la apropiación social del conocimientos y divulgación generados</t>
  </si>
  <si>
    <t>Productos generados que hayan sido transferidos a las comunidades para su apropiación social</t>
  </si>
  <si>
    <t>Número de productos generados</t>
  </si>
  <si>
    <t>Iniciativas de apropiación social del conocimiento basada en la producción de contenidos digitales y la integración transmedia desarrolladas</t>
  </si>
  <si>
    <t>Iniciativas de apropiación social generadas</t>
  </si>
  <si>
    <t>Número de iniciativas</t>
  </si>
  <si>
    <t>Junio 2023
Diciembre 2023</t>
  </si>
  <si>
    <t>Soporte documentado de las estrategias implementadas para la motivación de la actualización de datos y 
Registro en Base de Datos.</t>
  </si>
  <si>
    <t>Número de graduados carnetizados y actualizados en el 2023.</t>
  </si>
  <si>
    <t>Feria de empleabilidad y emprendimiento</t>
  </si>
  <si>
    <t>Mayo de 2023</t>
  </si>
  <si>
    <t>CO-2</t>
  </si>
  <si>
    <t>Cargue incompleto de los documentos que se generan en los procesos de contratación  a las diferentes plataformas del estado ( SECOP, SIA OBSERVA, SIGEP II, Etc.).</t>
  </si>
  <si>
    <t>Alto número de documentos a cargar en cada plataforma frente a la disponibilidad de tiempo para hacerlo del personal disponible o encargado del proceso.</t>
  </si>
  <si>
    <t xml:space="preserve">1. Inestabilidad de la plataforma   
2.Falta de personal para el desarrollo de actividades         </t>
  </si>
  <si>
    <t>Incumplimiento en la publicación de los documentos contractuales en las plataformas de los distintos Entes del Estado</t>
  </si>
  <si>
    <t>Capacitaciones al personal administrativo sobre el uso de las plataformas de los  entes del estado  e informar los cambios es materia contractual.</t>
  </si>
  <si>
    <t>Mesas de trabajo con ejercicios prácticos</t>
  </si>
  <si>
    <t>Verificación del cumplimiento en el cargue de la documentación contractual en las plataformas de los  entes del estado</t>
  </si>
  <si>
    <t xml:space="preserve"> 1. Visitas programadas a los Ordenadores del gasto para verificar el cumplimiento en el cargue de los procesos contractuales en las plataformas de los entes de control.
2. Verificación por medio de muestras  del cumplimiento de los requisitos internos y externos de carácter contractual en las plataformas de los entes de control</t>
  </si>
  <si>
    <t>1. # de Visitas programadas realizadas
2. Actas de verificación muéstrales</t>
  </si>
  <si>
    <t>1. # de Visitas realizadas/# de Visitas programadas (2 vistas por Ordenador) 
2. Actas de verificación muéstrales realizadas/Actas de verificación muéstrales programadas (3)</t>
  </si>
  <si>
    <t>RE-1</t>
  </si>
  <si>
    <t>Demora en el proceso de contratación y autorización  de los insumos para la realización de prácticas en los laboratorios.</t>
  </si>
  <si>
    <t xml:space="preserve">Poca destinación de recursos económicos  para el mantenimiento y la ejecución de las prácticas aprobadas y programadas                                   </t>
  </si>
  <si>
    <r>
      <t xml:space="preserve">1. Mala planificación en la distribución del personal para cubrir algunos turnos en los laboratorios.                                                                                 2. Inadecuada solicitud de requerimientos de insumos para la ejecución de las practicas de laboratorios                              
3. Falta de fluido eléctrico, suministro de agua y gas 
4. Falta de  equipos de laboratorios. 
5. Alteraciones del orden público (Protestas, Paros, Bloqueos). 
6. Agente externo - Pandemias   </t>
    </r>
    <r>
      <rPr>
        <sz val="11"/>
        <color rgb="FFFF0000"/>
        <rFont val="Calibri"/>
        <family val="2"/>
        <scheme val="minor"/>
      </rPr>
      <t xml:space="preserve"> </t>
    </r>
    <r>
      <rPr>
        <sz val="11"/>
        <rFont val="Calibri"/>
        <family val="2"/>
        <scheme val="minor"/>
      </rPr>
      <t xml:space="preserve">                                                                                 7. Emergencias o incidentes(incendio,  inundación, etc..).
8. Falta de personal para la prestación del servicio</t>
    </r>
  </si>
  <si>
    <t xml:space="preserve">Incumplimiento en la realización de las prácticas de laboratorios. </t>
  </si>
  <si>
    <t xml:space="preserve"> Asignación de espacios en los laboratorios para clases regulares teniendo en cuenta la planificación académica                                    </t>
  </si>
  <si>
    <t>Guías de práctica en los laboratorios en el sistema de información SIARE</t>
  </si>
  <si>
    <t>Solicitud de necesidades de insumos y reactivos para los laboratorios de la universidad a la Dirección Administrativo</t>
  </si>
  <si>
    <t xml:space="preserve">1. Definir los insumos necesarios para las prácticas de laboratorios con anterioridad y presentarlos cuando se realice la planificación del presupuesto para que estos puedan ser evaluados para la compra en un siguiente periodo. 
2.Una vez recibida las necesidades se hace la verificación y depuración de los listados considerando los históricos de consumo y el inventario global. 
3. Resocializar el cargue de guías de laboratorios en el sistema de información SIARE, con los docentes, la Dirección Curricular Docente, las Facultades y Direcciones de Programas
4. Apoyar con la información necesaria a las facultades en formulación de proyectos de fortalecimiento de los laboratorios.                                                          5. Solicitar a las direcciones de programa que los docentes ajusten las guías de laboratorios en el sistema siare, de acuerdo al micro diseño.
</t>
  </si>
  <si>
    <t>P.E. del Grupo de Recursos Educativos y Administración de Laboratorios</t>
  </si>
  <si>
    <t>1. Solicitud de insumos y reactivo. 
2.Compra de equipos, insumos y reactivos.                
3. Plan de mantenimiento e infraestructura</t>
  </si>
  <si>
    <t xml:space="preserve"> Número de Guía de laboratorios realizadas / Número de Guías de laboratorios programadas.</t>
  </si>
  <si>
    <t>AD-1</t>
  </si>
  <si>
    <t xml:space="preserve">
Fallas en el cumplimiento de la programación y/o ejecución de las actividades de mantenimiento establecidas en el plan.</t>
  </si>
  <si>
    <t>Falta de mantenimiento a la infraestructura y equipos</t>
  </si>
  <si>
    <t xml:space="preserve">1. Baja asignación presupuestal para la realización de los mantenimientos. Obsolescencia de los equipos. 
2. Falta de personal.
3. Incumplimiento de proveedores. 
4. No ejecución de los planes de mantenimiento. 
5. Falla en el fluido eléctrico.
6. Falla de servicios públicos
7. No realizar los mantenimientos preventivos en la fecha planeada.
8. Registros de mantenimiento mal elaborados que no permiten la identificación de fallas
9. Órdenes de trabajo sin cerrar, que no permiten el seguimiento y control de las actividades realizadas en el mantenimiento
10. No contar con información confiable, oportuna y veraz para realizar los análisis de criticidad y fallas  </t>
  </si>
  <si>
    <t xml:space="preserve">Daño o deterioro de la infraestructura y los equipos </t>
  </si>
  <si>
    <t>Daños Activos Físicos</t>
  </si>
  <si>
    <t>Planes de mantenimientos a la infraestructura física, bienes muebles e inmuebles.</t>
  </si>
  <si>
    <t>Asignación presupuestal anual para atender gastos de mantenimiento preventivo y correctivo de los bienes mueble e inmuebles.</t>
  </si>
  <si>
    <t>Seguimiento mensual del numero de ordenes de trabajo sin cerrar preventivas y correctivas en el Sistema de información</t>
  </si>
  <si>
    <t>Aplicación de la documentación del proceso</t>
  </si>
  <si>
    <t>1. Elaborar  el plan de mantenimiento de la infraestructura física, bienes muebles e inmuebles
2. Generación de ordenes de trabajo 
3. Capacitación del personal operativo sobre el manejo de las ordenes de trabajo
4. Seguimiento y cierre de ordenes de trabajo.</t>
  </si>
  <si>
    <t>Dirección Administrativa</t>
  </si>
  <si>
    <t>Diciembre de 2023</t>
  </si>
  <si>
    <t>1. Plan de mantenimiento elaborado
2. Ordenes de trabajo elaboradas y ejecutadas
3. Listados de asistencias a capacitaciones en manejo de ordenes de trabajo
4. Indicadores de gestión donde se evidencia el cierre de las ordenes de trabajo</t>
  </si>
  <si>
    <t>1. Plan de mantenimiento elaborado.
2. Porcentaje de ejecución de ordenes de trabajo= (Número de ordenes ejecutadas /Número de ordenes generadas)* 100.
3. Porcentaje de ordenes abiertas =  (Número de ordenes abiertas /número total de ordene)*100.
4. Número de capacitaciones realizadas.</t>
  </si>
  <si>
    <t>AR-3</t>
  </si>
  <si>
    <t xml:space="preserve">Aplicación errónea  de homologación de asignaturas
</t>
  </si>
  <si>
    <t>Error involuntario</t>
  </si>
  <si>
    <t xml:space="preserve"> Falta de capacitación o entrenamiento del personal. 
Error en la comunicación enviada por las Direcciones de programa.
 Autorizaciones ambiguas o incompletas.
Fallo en el sistema de información.</t>
  </si>
  <si>
    <t>Aplicación errónea  de homologación de asignaturas debido a fallas humanas</t>
  </si>
  <si>
    <t>Uso de un programa como apoyo al proceso de homologación de asignaturas.</t>
  </si>
  <si>
    <t xml:space="preserve">Verificación  de  aprobación del aspirante modalidad de traslado. </t>
  </si>
  <si>
    <t>Validar que se cumplan con los requisitos y notas homologadas para cada aspirante que solicita  homologación.
Enviar estudio de homologación al estudiante para su aprobación de asignaturas a homologar y su cambio de programa.
Verificar la aprobación del cambio de programa del aspirante a traslado por medio de comunicación vigente. (Oficio radicado o correo electrónico)</t>
  </si>
  <si>
    <t>Jefe de Grupo de Admisiones y Registro</t>
  </si>
  <si>
    <t>1. Estudio de homologación enviado para su aprobación.
2. Aceptación del estudio de traslado por parte del estudiante.
3. Asignaturas Homologadas
4. Identificación en el sistema como estudiante de traslado.</t>
  </si>
  <si>
    <t>Nombre:
Tasa de estudiantes nuevos matriculados  por modalidad de traslado con estudio de homologación realizados de manera correcta.
Fórmula:
(Nro. de estudiantes que ingresan a un programa académico en modalidad de Traslado en un periodo dado - Nro. de estudiantes que ingresan a un programa académico en modalidad de Traslado en un periodo dado que reportan inconsistencia en su estudio de homologación antes de aceptar el traslado) / Nro. de estudiantes que ingresan a un programa académico en modalidad de Traslado en un periodo 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</si>
</sst>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b/>
      <sz val="18"/>
      <color theme="1"/>
      <name val="Arial Narrow"/>
      <family val="2"/>
    </font>
    <font>
      <b/>
      <sz val="11"/>
      <color theme="1"/>
      <name val="Arial Narrow"/>
      <family val="2"/>
    </font>
    <font>
      <b/>
      <sz val="14"/>
      <color theme="1"/>
      <name val="Arial Narrow"/>
      <family val="2"/>
    </font>
    <font>
      <sz val="11"/>
      <name val="Arial"/>
      <family val="2"/>
    </font>
    <font>
      <sz val="10"/>
      <color theme="1"/>
      <name val="Calibri"/>
      <family val="2"/>
      <scheme val="minor"/>
    </font>
    <font>
      <sz val="11"/>
      <color theme="1"/>
      <name val="Arial"/>
      <family val="2"/>
    </font>
    <font>
      <sz val="9"/>
      <color indexed="81"/>
      <name val="Tahoma"/>
      <family val="2"/>
    </font>
    <font>
      <b/>
      <sz val="9"/>
      <color indexed="81"/>
      <name val="Tahoma"/>
      <family val="2"/>
    </font>
    <font>
      <sz val="10"/>
      <color theme="1"/>
      <name val="Arial"/>
      <family val="2"/>
    </font>
    <font>
      <u/>
      <sz val="9"/>
      <color indexed="81"/>
      <name val="Tahoma"/>
      <family val="2"/>
    </font>
    <font>
      <sz val="11"/>
      <color rgb="FFFF0000"/>
      <name val="Calibri"/>
      <family val="2"/>
      <scheme val="minor"/>
    </font>
    <font>
      <sz val="11"/>
      <name val="Calibri"/>
      <family val="2"/>
      <scheme val="minor"/>
    </font>
    <font>
      <b/>
      <sz val="9"/>
      <color indexed="81"/>
      <name val="Tahoma"/>
      <charset val="1"/>
    </font>
    <font>
      <sz val="9"/>
      <color indexed="81"/>
      <name val="Tahoma"/>
      <charset val="1"/>
    </font>
    <font>
      <sz val="11"/>
      <color theme="1"/>
      <name val="Calibri Light"/>
      <family val="2"/>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rgb="FFEEECE1"/>
        <bgColor indexed="64"/>
      </patternFill>
    </fill>
    <fill>
      <patternFill patternType="solid">
        <fgColor theme="6" tint="0.59999389629810485"/>
        <bgColor indexed="64"/>
      </patternFill>
    </fill>
    <fill>
      <patternFill patternType="solid">
        <fgColor theme="6"/>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medium">
        <color rgb="FF000000"/>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ashed">
        <color theme="9" tint="-0.24994659260841701"/>
      </left>
      <right style="dashed">
        <color theme="9" tint="-0.24994659260841701"/>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dashed">
        <color theme="9" tint="-0.24994659260841701"/>
      </right>
      <top style="medium">
        <color indexed="64"/>
      </top>
      <bottom/>
      <diagonal/>
    </border>
    <border>
      <left style="dashed">
        <color theme="9" tint="-0.24994659260841701"/>
      </left>
      <right style="dashed">
        <color theme="9" tint="-0.24994659260841701"/>
      </right>
      <top style="medium">
        <color indexed="64"/>
      </top>
      <bottom style="dashed">
        <color theme="9" tint="-0.24994659260841701"/>
      </bottom>
      <diagonal/>
    </border>
    <border>
      <left style="dashed">
        <color theme="9" tint="-0.24994659260841701"/>
      </left>
      <right style="dashed">
        <color theme="9" tint="-0.24994659260841701"/>
      </right>
      <top style="medium">
        <color indexed="64"/>
      </top>
      <bottom/>
      <diagonal/>
    </border>
    <border>
      <left style="dashed">
        <color theme="9" tint="-0.24994659260841701"/>
      </left>
      <right/>
      <top style="medium">
        <color indexed="64"/>
      </top>
      <bottom/>
      <diagonal/>
    </border>
    <border>
      <left style="medium">
        <color indexed="64"/>
      </left>
      <right style="dashed">
        <color theme="9" tint="-0.24994659260841701"/>
      </right>
      <top/>
      <bottom style="medium">
        <color indexed="64"/>
      </bottom>
      <diagonal/>
    </border>
    <border>
      <left style="dashed">
        <color theme="9" tint="-0.24994659260841701"/>
      </left>
      <right style="dashed">
        <color theme="9" tint="-0.24994659260841701"/>
      </right>
      <top style="dashed">
        <color theme="9" tint="-0.24994659260841701"/>
      </top>
      <bottom style="medium">
        <color indexed="64"/>
      </bottom>
      <diagonal/>
    </border>
    <border>
      <left style="dashed">
        <color theme="9" tint="-0.24994659260841701"/>
      </left>
      <right/>
      <top/>
      <bottom style="medium">
        <color indexed="64"/>
      </bottom>
      <diagonal/>
    </border>
    <border>
      <left/>
      <right style="dashed">
        <color theme="9" tint="-0.24994659260841701"/>
      </right>
      <top style="medium">
        <color indexed="64"/>
      </top>
      <bottom style="medium">
        <color indexed="64"/>
      </bottom>
      <diagonal/>
    </border>
    <border>
      <left style="dashed">
        <color theme="9" tint="-0.24994659260841701"/>
      </left>
      <right/>
      <top style="medium">
        <color indexed="64"/>
      </top>
      <bottom style="medium">
        <color indexed="64"/>
      </bottom>
      <diagonal/>
    </border>
    <border>
      <left/>
      <right style="hair">
        <color indexed="64"/>
      </right>
      <top style="medium">
        <color indexed="64"/>
      </top>
      <bottom style="medium">
        <color indexed="64"/>
      </bottom>
      <diagonal/>
    </border>
    <border>
      <left/>
      <right style="dashed">
        <color theme="9" tint="-0.24994659260841701"/>
      </right>
      <top style="medium">
        <color indexed="64"/>
      </top>
      <bottom/>
      <diagonal/>
    </border>
    <border>
      <left/>
      <right style="dashed">
        <color theme="9" tint="-0.24994659260841701"/>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ashed">
        <color theme="9" tint="-0.24994659260841701"/>
      </left>
      <right style="medium">
        <color indexed="64"/>
      </right>
      <top style="medium">
        <color indexed="64"/>
      </top>
      <bottom style="dashed">
        <color theme="9" tint="-0.24994659260841701"/>
      </bottom>
      <diagonal/>
    </border>
    <border>
      <left style="dashed">
        <color theme="9" tint="-0.24994659260841701"/>
      </left>
      <right style="medium">
        <color indexed="64"/>
      </right>
      <top style="dashed">
        <color theme="9" tint="-0.24994659260841701"/>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298">
    <xf numFmtId="0" fontId="0" fillId="0" borderId="0" xfId="0"/>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4" fillId="4" borderId="1" xfId="0" applyFont="1" applyFill="1"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4" borderId="1" xfId="0" applyFill="1" applyBorder="1"/>
    <xf numFmtId="0" fontId="0" fillId="4" borderId="1" xfId="0" applyFill="1" applyBorder="1" applyAlignment="1">
      <alignment vertical="center"/>
    </xf>
    <xf numFmtId="0" fontId="0" fillId="0" borderId="1" xfId="0" applyBorder="1" applyAlignment="1">
      <alignment vertical="center"/>
    </xf>
    <xf numFmtId="0" fontId="0" fillId="0" borderId="0" xfId="0" applyAlignment="1">
      <alignment vertical="center"/>
    </xf>
    <xf numFmtId="0" fontId="9" fillId="0" borderId="4" xfId="0" applyFont="1" applyBorder="1" applyAlignment="1">
      <alignment horizontal="justify" vertical="center" wrapText="1"/>
    </xf>
    <xf numFmtId="9" fontId="9" fillId="0" borderId="5"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6" fillId="0" borderId="1" xfId="0" applyFont="1" applyBorder="1" applyAlignment="1">
      <alignment horizontal="justify" vertical="center" wrapText="1"/>
    </xf>
    <xf numFmtId="9" fontId="9" fillId="0" borderId="1" xfId="0" applyNumberFormat="1" applyFont="1" applyBorder="1" applyAlignment="1">
      <alignment horizontal="center" vertical="center" wrapText="1"/>
    </xf>
    <xf numFmtId="0" fontId="6" fillId="5" borderId="1" xfId="0" applyFont="1" applyFill="1" applyBorder="1" applyAlignment="1">
      <alignment horizontal="justify" vertical="center" wrapText="1"/>
    </xf>
    <xf numFmtId="0" fontId="9" fillId="5" borderId="1" xfId="0" applyFont="1" applyFill="1" applyBorder="1" applyAlignment="1">
      <alignment horizontal="justify" vertical="center" wrapText="1"/>
    </xf>
    <xf numFmtId="0" fontId="9" fillId="0" borderId="5" xfId="0" applyFont="1" applyBorder="1" applyAlignment="1">
      <alignment horizontal="justify" vertical="center" wrapText="1"/>
    </xf>
    <xf numFmtId="0" fontId="5" fillId="0" borderId="1" xfId="0" applyFont="1" applyBorder="1" applyAlignment="1">
      <alignment vertical="center" wrapText="1"/>
    </xf>
    <xf numFmtId="0" fontId="9" fillId="6" borderId="1" xfId="0" applyFont="1" applyFill="1" applyBorder="1" applyAlignment="1">
      <alignment horizontal="justify" vertical="center" wrapText="1"/>
    </xf>
    <xf numFmtId="0" fontId="0" fillId="0" borderId="1" xfId="0" applyBorder="1"/>
    <xf numFmtId="0" fontId="9" fillId="3"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0" fillId="0" borderId="1" xfId="0" applyBorder="1" applyAlignment="1">
      <alignment horizontal="center" vertical="center"/>
    </xf>
    <xf numFmtId="0" fontId="9" fillId="0" borderId="2" xfId="0" applyFont="1" applyBorder="1" applyAlignment="1">
      <alignment horizontal="center" vertical="center" wrapText="1"/>
    </xf>
    <xf numFmtId="9" fontId="9" fillId="0" borderId="4" xfId="0" applyNumberFormat="1" applyFont="1" applyBorder="1" applyAlignment="1">
      <alignment horizontal="center" vertical="center" wrapText="1"/>
    </xf>
    <xf numFmtId="0" fontId="9" fillId="0" borderId="6" xfId="0" applyFont="1" applyBorder="1" applyAlignment="1">
      <alignment horizontal="justify" vertical="center" wrapText="1"/>
    </xf>
    <xf numFmtId="0" fontId="9" fillId="0" borderId="3" xfId="0" applyFont="1" applyBorder="1" applyAlignment="1">
      <alignment horizontal="center" vertical="center" wrapText="1"/>
    </xf>
    <xf numFmtId="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9" fontId="0" fillId="0" borderId="1" xfId="0" applyNumberFormat="1" applyBorder="1" applyAlignment="1">
      <alignment horizontal="center" vertical="center" textRotation="90"/>
    </xf>
    <xf numFmtId="164" fontId="0" fillId="0" borderId="1" xfId="0" applyNumberFormat="1" applyBorder="1" applyAlignment="1">
      <alignment horizontal="center" vertical="center" textRotation="90"/>
    </xf>
    <xf numFmtId="0" fontId="0" fillId="0" borderId="13" xfId="0" applyBorder="1" applyAlignment="1">
      <alignment vertical="center"/>
    </xf>
    <xf numFmtId="9" fontId="0" fillId="0" borderId="13" xfId="0" applyNumberFormat="1" applyBorder="1" applyAlignment="1">
      <alignment horizontal="center" vertical="center" textRotation="90"/>
    </xf>
    <xf numFmtId="0" fontId="0" fillId="7" borderId="1" xfId="0" applyFill="1" applyBorder="1" applyAlignment="1">
      <alignment vertical="center"/>
    </xf>
    <xf numFmtId="0" fontId="0" fillId="3" borderId="0" xfId="0" applyFill="1" applyAlignment="1">
      <alignment horizontal="center"/>
    </xf>
    <xf numFmtId="0" fontId="0" fillId="3" borderId="0" xfId="0" applyFill="1"/>
    <xf numFmtId="0" fontId="0" fillId="3" borderId="0" xfId="0" applyFill="1" applyAlignment="1">
      <alignment vertical="center"/>
    </xf>
    <xf numFmtId="0" fontId="9" fillId="6"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0" fillId="3" borderId="0" xfId="0" applyFill="1" applyBorder="1"/>
    <xf numFmtId="0" fontId="0" fillId="0" borderId="18" xfId="0" applyBorder="1" applyAlignment="1">
      <alignment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textRotation="90"/>
    </xf>
    <xf numFmtId="164" fontId="0" fillId="0" borderId="13" xfId="0" applyNumberFormat="1" applyBorder="1" applyAlignment="1">
      <alignment horizontal="center" vertical="center" textRotation="90"/>
    </xf>
    <xf numFmtId="0" fontId="2" fillId="2" borderId="3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2" xfId="0" applyFont="1" applyFill="1" applyBorder="1" applyAlignment="1">
      <alignment horizontal="center" vertical="center" textRotation="90"/>
    </xf>
    <xf numFmtId="0" fontId="2" fillId="8" borderId="32" xfId="0" applyFont="1" applyFill="1" applyBorder="1" applyAlignment="1">
      <alignment horizontal="center" vertical="center" textRotation="90"/>
    </xf>
    <xf numFmtId="0" fontId="2" fillId="2" borderId="24" xfId="0" applyFont="1" applyFill="1" applyBorder="1" applyAlignment="1">
      <alignment vertical="center"/>
    </xf>
    <xf numFmtId="0" fontId="2" fillId="2" borderId="25" xfId="0" applyFont="1" applyFill="1" applyBorder="1" applyAlignment="1">
      <alignment vertical="center"/>
    </xf>
    <xf numFmtId="0" fontId="12" fillId="0" borderId="1" xfId="0" applyFont="1" applyBorder="1" applyAlignment="1">
      <alignment horizontal="left" vertical="center" wrapText="1"/>
    </xf>
    <xf numFmtId="0" fontId="0" fillId="0" borderId="1" xfId="0" applyBorder="1" applyAlignment="1">
      <alignment vertical="center" wrapText="1"/>
    </xf>
    <xf numFmtId="0" fontId="0" fillId="0" borderId="13" xfId="0" applyBorder="1" applyAlignment="1">
      <alignment horizontal="left" vertical="center" wrapText="1"/>
    </xf>
    <xf numFmtId="0" fontId="0" fillId="0" borderId="13" xfId="0" applyBorder="1" applyAlignment="1">
      <alignment vertical="center" wrapText="1"/>
    </xf>
    <xf numFmtId="0" fontId="0" fillId="0" borderId="13" xfId="0" applyBorder="1" applyAlignment="1">
      <alignment horizontal="center" vertical="center" textRotation="90"/>
    </xf>
    <xf numFmtId="0" fontId="0" fillId="0" borderId="13" xfId="0" applyBorder="1" applyAlignment="1">
      <alignment horizontal="center" vertical="center"/>
    </xf>
    <xf numFmtId="0" fontId="0" fillId="0" borderId="13" xfId="0" applyBorder="1" applyAlignment="1">
      <alignment horizontal="left" vertical="center" wrapText="1"/>
    </xf>
    <xf numFmtId="0" fontId="0" fillId="0" borderId="1" xfId="0" applyBorder="1" applyAlignment="1">
      <alignment vertical="center" wrapText="1"/>
    </xf>
    <xf numFmtId="0" fontId="0" fillId="0" borderId="13" xfId="0" applyBorder="1" applyAlignment="1">
      <alignment horizontal="center" vertical="center" textRotation="90"/>
    </xf>
    <xf numFmtId="0" fontId="0" fillId="0" borderId="9" xfId="0" applyBorder="1" applyAlignment="1">
      <alignment vertical="center" wrapText="1"/>
    </xf>
    <xf numFmtId="0" fontId="0" fillId="3" borderId="9" xfId="0" quotePrefix="1" applyFill="1" applyBorder="1" applyAlignment="1">
      <alignment vertical="center" wrapText="1"/>
    </xf>
    <xf numFmtId="0" fontId="0" fillId="0" borderId="17" xfId="0" quotePrefix="1" applyBorder="1" applyAlignment="1">
      <alignment vertical="center" wrapText="1"/>
    </xf>
    <xf numFmtId="0" fontId="0" fillId="0" borderId="46" xfId="0" applyBorder="1" applyAlignment="1">
      <alignment vertical="center" wrapText="1"/>
    </xf>
    <xf numFmtId="0" fontId="0" fillId="0" borderId="9" xfId="0" applyBorder="1" applyAlignment="1">
      <alignment horizontal="center" vertical="center"/>
    </xf>
    <xf numFmtId="0" fontId="0" fillId="0" borderId="9" xfId="0" applyBorder="1" applyAlignment="1">
      <alignment vertical="center"/>
    </xf>
    <xf numFmtId="0" fontId="0" fillId="0" borderId="9" xfId="0" applyBorder="1" applyAlignment="1">
      <alignment horizontal="center" vertical="center" textRotation="90"/>
    </xf>
    <xf numFmtId="9" fontId="0" fillId="0" borderId="9" xfId="0" applyNumberFormat="1" applyBorder="1" applyAlignment="1">
      <alignment horizontal="center" vertical="center" textRotation="90"/>
    </xf>
    <xf numFmtId="0" fontId="0" fillId="0" borderId="46" xfId="0" applyBorder="1" applyAlignment="1">
      <alignment horizontal="center" vertical="center"/>
    </xf>
    <xf numFmtId="0" fontId="0" fillId="0" borderId="46" xfId="0" applyBorder="1" applyAlignment="1">
      <alignment vertical="center"/>
    </xf>
    <xf numFmtId="0" fontId="0" fillId="0" borderId="46" xfId="0" applyBorder="1" applyAlignment="1">
      <alignment horizontal="center" vertical="center" textRotation="90"/>
    </xf>
    <xf numFmtId="9" fontId="0" fillId="0" borderId="46" xfId="0" applyNumberFormat="1" applyBorder="1" applyAlignment="1">
      <alignment horizontal="center" vertical="center" textRotation="90"/>
    </xf>
    <xf numFmtId="164" fontId="0" fillId="0" borderId="46" xfId="0" applyNumberFormat="1" applyBorder="1" applyAlignment="1">
      <alignment horizontal="center" vertical="center" textRotation="90"/>
    </xf>
    <xf numFmtId="164" fontId="0" fillId="0" borderId="9" xfId="0" applyNumberFormat="1" applyBorder="1" applyAlignment="1">
      <alignment horizontal="center" vertical="center" textRotation="90"/>
    </xf>
    <xf numFmtId="0" fontId="5" fillId="3" borderId="9" xfId="0" applyFont="1" applyFill="1" applyBorder="1" applyAlignment="1">
      <alignment horizontal="left" vertical="center" wrapText="1"/>
    </xf>
    <xf numFmtId="14" fontId="5" fillId="0" borderId="9" xfId="0" applyNumberFormat="1" applyFont="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xf>
    <xf numFmtId="0" fontId="0" fillId="0" borderId="46" xfId="0" applyBorder="1" applyAlignment="1">
      <alignment horizontal="center" vertical="center" wrapText="1"/>
    </xf>
    <xf numFmtId="0" fontId="0" fillId="0" borderId="56" xfId="0" applyBorder="1" applyAlignment="1">
      <alignment vertical="center"/>
    </xf>
    <xf numFmtId="0" fontId="0" fillId="0" borderId="10" xfId="0" applyBorder="1" applyAlignment="1">
      <alignment horizontal="center" vertical="center" textRotation="90"/>
    </xf>
    <xf numFmtId="9" fontId="0" fillId="0" borderId="10" xfId="0" applyNumberFormat="1" applyBorder="1" applyAlignment="1">
      <alignment horizontal="center" vertical="center" textRotation="90"/>
    </xf>
    <xf numFmtId="164" fontId="0" fillId="0" borderId="10" xfId="0" applyNumberFormat="1" applyBorder="1" applyAlignment="1">
      <alignment horizontal="center" vertical="center" textRotation="90"/>
    </xf>
    <xf numFmtId="0" fontId="0" fillId="0" borderId="14" xfId="0" applyBorder="1" applyAlignment="1">
      <alignment horizontal="center" vertical="center" textRotation="90"/>
    </xf>
    <xf numFmtId="9" fontId="0" fillId="0" borderId="14" xfId="0" applyNumberFormat="1" applyBorder="1" applyAlignment="1">
      <alignment horizontal="center" vertical="center" textRotation="90"/>
    </xf>
    <xf numFmtId="164" fontId="0" fillId="0" borderId="14" xfId="0" applyNumberFormat="1" applyBorder="1" applyAlignment="1">
      <alignment horizontal="center" vertical="center" textRotation="90"/>
    </xf>
    <xf numFmtId="0" fontId="0" fillId="0" borderId="14" xfId="0" applyBorder="1" applyAlignment="1">
      <alignment vertical="center"/>
    </xf>
    <xf numFmtId="0" fontId="0" fillId="0" borderId="9" xfId="0"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vertical="center" textRotation="90"/>
    </xf>
    <xf numFmtId="9" fontId="0" fillId="0" borderId="9" xfId="0" applyNumberFormat="1" applyBorder="1" applyAlignment="1">
      <alignment vertical="center" textRotation="90"/>
    </xf>
    <xf numFmtId="0" fontId="0" fillId="0" borderId="14" xfId="0" applyBorder="1" applyAlignment="1">
      <alignment vertical="center" wrapText="1"/>
    </xf>
    <xf numFmtId="0" fontId="0" fillId="0" borderId="14" xfId="0" applyBorder="1" applyAlignment="1">
      <alignment vertical="center" textRotation="90"/>
    </xf>
    <xf numFmtId="9" fontId="0" fillId="0" borderId="14" xfId="0" applyNumberFormat="1" applyBorder="1" applyAlignment="1">
      <alignment vertical="center" textRotation="90"/>
    </xf>
    <xf numFmtId="0" fontId="0" fillId="0" borderId="13" xfId="0" applyBorder="1"/>
    <xf numFmtId="9" fontId="0" fillId="0" borderId="13" xfId="0" applyNumberFormat="1" applyBorder="1" applyAlignment="1">
      <alignment horizontal="center" vertical="center" textRotation="90"/>
    </xf>
    <xf numFmtId="164" fontId="0" fillId="0" borderId="13" xfId="0" applyNumberFormat="1" applyBorder="1" applyAlignment="1">
      <alignment horizontal="center" vertical="center" textRotation="90"/>
    </xf>
    <xf numFmtId="0" fontId="0" fillId="0" borderId="17" xfId="0" applyBorder="1" applyAlignment="1">
      <alignment vertical="center" wrapText="1"/>
    </xf>
    <xf numFmtId="14" fontId="0" fillId="0" borderId="1" xfId="0" applyNumberFormat="1" applyBorder="1" applyAlignment="1">
      <alignment vertical="center"/>
    </xf>
    <xf numFmtId="0" fontId="0" fillId="0" borderId="19" xfId="0" applyBorder="1" applyAlignment="1">
      <alignment vertical="center" wrapText="1"/>
    </xf>
    <xf numFmtId="14" fontId="0" fillId="0" borderId="10" xfId="0" applyNumberFormat="1" applyBorder="1" applyAlignment="1">
      <alignment vertical="center"/>
    </xf>
    <xf numFmtId="14" fontId="0" fillId="0" borderId="14" xfId="0" applyNumberFormat="1" applyBorder="1" applyAlignment="1">
      <alignment vertical="center"/>
    </xf>
    <xf numFmtId="0" fontId="12" fillId="0" borderId="9" xfId="0" applyFont="1" applyBorder="1" applyAlignment="1">
      <alignment horizontal="left" vertical="center" wrapText="1"/>
    </xf>
    <xf numFmtId="0" fontId="12" fillId="0" borderId="13" xfId="0" applyFont="1" applyBorder="1" applyAlignment="1">
      <alignment horizontal="left" vertical="center" wrapText="1"/>
    </xf>
    <xf numFmtId="0" fontId="12" fillId="0" borderId="19" xfId="0" applyFont="1" applyBorder="1" applyAlignment="1">
      <alignment horizontal="center" vertical="center" wrapText="1"/>
    </xf>
    <xf numFmtId="0" fontId="15" fillId="0" borderId="22" xfId="0" applyFont="1" applyBorder="1" applyAlignment="1">
      <alignment vertical="center" wrapText="1"/>
    </xf>
    <xf numFmtId="0" fontId="12" fillId="0" borderId="1" xfId="0" applyFont="1" applyBorder="1" applyAlignment="1">
      <alignment vertical="center" wrapText="1"/>
    </xf>
    <xf numFmtId="0" fontId="12" fillId="0" borderId="13" xfId="0" applyFont="1" applyBorder="1" applyAlignment="1">
      <alignmen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textRotation="90"/>
    </xf>
    <xf numFmtId="0" fontId="0" fillId="0" borderId="1" xfId="0" applyBorder="1" applyAlignment="1">
      <alignment horizontal="center" vertical="center" textRotation="90"/>
    </xf>
    <xf numFmtId="0" fontId="0" fillId="0" borderId="13" xfId="0" applyBorder="1" applyAlignment="1">
      <alignment horizontal="center" vertical="center" textRotation="90"/>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0" fillId="0" borderId="4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9" fontId="0" fillId="0" borderId="9" xfId="0" applyNumberFormat="1" applyBorder="1" applyAlignment="1">
      <alignment horizontal="center" vertical="center"/>
    </xf>
    <xf numFmtId="9" fontId="0" fillId="0" borderId="1" xfId="0" applyNumberFormat="1" applyBorder="1" applyAlignment="1">
      <alignment horizontal="center" vertical="center"/>
    </xf>
    <xf numFmtId="9" fontId="0" fillId="0" borderId="13" xfId="0" applyNumberFormat="1" applyBorder="1" applyAlignment="1">
      <alignment horizontal="center" vertical="center"/>
    </xf>
    <xf numFmtId="0" fontId="0" fillId="3" borderId="9" xfId="0" applyFill="1" applyBorder="1" applyAlignment="1">
      <alignment horizontal="left" vertical="center" wrapText="1"/>
    </xf>
    <xf numFmtId="0" fontId="0" fillId="3" borderId="1" xfId="0" applyFill="1" applyBorder="1" applyAlignment="1">
      <alignment horizontal="left" vertical="center" wrapText="1"/>
    </xf>
    <xf numFmtId="0" fontId="0" fillId="3" borderId="13" xfId="0"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3" xfId="0" applyFont="1" applyFill="1" applyBorder="1" applyAlignment="1">
      <alignment horizontal="left" vertical="center" wrapText="1"/>
    </xf>
    <xf numFmtId="14" fontId="5" fillId="0" borderId="9" xfId="0" applyNumberFormat="1" applyFont="1" applyBorder="1" applyAlignment="1">
      <alignment horizontal="left" vertical="center" wrapText="1"/>
    </xf>
    <xf numFmtId="14" fontId="5" fillId="0" borderId="1" xfId="0" applyNumberFormat="1" applyFont="1" applyBorder="1" applyAlignment="1">
      <alignment horizontal="left" vertical="center" wrapText="1"/>
    </xf>
    <xf numFmtId="14" fontId="5" fillId="0" borderId="13" xfId="0" applyNumberFormat="1" applyFont="1"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3" xfId="0" applyBorder="1" applyAlignment="1">
      <alignment horizontal="left" vertical="center" wrapText="1"/>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14" fontId="0" fillId="0" borderId="10" xfId="0" applyNumberFormat="1"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50" xfId="0" applyBorder="1" applyAlignment="1">
      <alignment horizontal="center" vertical="center" wrapText="1"/>
    </xf>
    <xf numFmtId="0" fontId="0" fillId="0" borderId="48" xfId="0" applyBorder="1" applyAlignment="1">
      <alignment horizontal="center" vertical="center" wrapText="1"/>
    </xf>
    <xf numFmtId="9" fontId="0" fillId="0" borderId="9" xfId="0" applyNumberFormat="1" applyBorder="1" applyAlignment="1">
      <alignment horizontal="center" vertical="center" textRotation="90"/>
    </xf>
    <xf numFmtId="9" fontId="0" fillId="0" borderId="1" xfId="0" applyNumberFormat="1" applyBorder="1" applyAlignment="1">
      <alignment horizontal="center" vertical="center" textRotation="90"/>
    </xf>
    <xf numFmtId="9" fontId="0" fillId="0" borderId="13" xfId="0" applyNumberFormat="1" applyBorder="1" applyAlignment="1">
      <alignment horizontal="center" vertical="center" textRotation="90"/>
    </xf>
    <xf numFmtId="164" fontId="0" fillId="0" borderId="9" xfId="0" applyNumberFormat="1" applyBorder="1" applyAlignment="1">
      <alignment horizontal="center" vertical="center" textRotation="90"/>
    </xf>
    <xf numFmtId="164" fontId="0" fillId="0" borderId="1" xfId="0" applyNumberFormat="1" applyBorder="1" applyAlignment="1">
      <alignment horizontal="center" vertical="center" textRotation="90"/>
    </xf>
    <xf numFmtId="164" fontId="0" fillId="0" borderId="13" xfId="0" applyNumberFormat="1" applyBorder="1" applyAlignment="1">
      <alignment horizontal="center" vertical="center" textRotation="90"/>
    </xf>
    <xf numFmtId="0" fontId="0" fillId="0" borderId="10" xfId="0" applyBorder="1" applyAlignment="1">
      <alignment horizontal="center" vertical="center" textRotation="90"/>
    </xf>
    <xf numFmtId="0" fontId="0" fillId="0" borderId="45" xfId="0" applyBorder="1" applyAlignment="1">
      <alignment horizontal="center" vertical="center" textRotation="90"/>
    </xf>
    <xf numFmtId="0" fontId="0" fillId="0" borderId="14" xfId="0" applyBorder="1" applyAlignment="1">
      <alignment horizontal="center" vertical="center" textRotation="90"/>
    </xf>
    <xf numFmtId="0" fontId="5" fillId="3" borderId="10" xfId="0" applyFont="1" applyFill="1" applyBorder="1" applyAlignment="1">
      <alignment horizontal="center" vertical="center" wrapText="1"/>
    </xf>
    <xf numFmtId="0" fontId="5" fillId="3" borderId="45" xfId="0" applyFont="1" applyFill="1" applyBorder="1" applyAlignment="1">
      <alignment horizontal="center" vertical="center" wrapText="1"/>
    </xf>
    <xf numFmtId="14" fontId="5" fillId="0" borderId="10" xfId="0" applyNumberFormat="1" applyFont="1" applyBorder="1" applyAlignment="1">
      <alignment horizontal="center" vertical="center" wrapText="1"/>
    </xf>
    <xf numFmtId="0" fontId="5" fillId="0" borderId="45" xfId="0" applyFont="1" applyBorder="1" applyAlignment="1">
      <alignment horizontal="center" vertical="center" wrapText="1"/>
    </xf>
    <xf numFmtId="0" fontId="0" fillId="0" borderId="10" xfId="0" applyBorder="1" applyAlignment="1">
      <alignment horizontal="center" vertical="center" wrapText="1"/>
    </xf>
    <xf numFmtId="0" fontId="0" fillId="0" borderId="45" xfId="0" applyBorder="1" applyAlignment="1">
      <alignment horizontal="center" vertical="center" wrapText="1"/>
    </xf>
    <xf numFmtId="0" fontId="0" fillId="0" borderId="49" xfId="0" applyBorder="1" applyAlignment="1">
      <alignment horizontal="center" vertical="center" wrapText="1"/>
    </xf>
    <xf numFmtId="14" fontId="0" fillId="0" borderId="10" xfId="0" applyNumberFormat="1" applyBorder="1" applyAlignment="1">
      <alignment horizontal="center" vertical="center"/>
    </xf>
    <xf numFmtId="14" fontId="0" fillId="0" borderId="45" xfId="0" applyNumberFormat="1" applyBorder="1" applyAlignment="1">
      <alignment horizontal="center" vertical="center"/>
    </xf>
    <xf numFmtId="14" fontId="0" fillId="0" borderId="14" xfId="0" applyNumberFormat="1" applyBorder="1" applyAlignment="1">
      <alignment horizontal="center" vertical="center"/>
    </xf>
    <xf numFmtId="0" fontId="0" fillId="3" borderId="44" xfId="0" applyFill="1" applyBorder="1" applyAlignment="1">
      <alignment horizontal="center" vertical="center"/>
    </xf>
    <xf numFmtId="0" fontId="0" fillId="3" borderId="12" xfId="0" applyFill="1" applyBorder="1" applyAlignment="1">
      <alignment horizontal="center" vertical="center"/>
    </xf>
    <xf numFmtId="0" fontId="12" fillId="0" borderId="10" xfId="0" applyFont="1" applyBorder="1" applyAlignment="1">
      <alignment horizontal="left" vertical="center" wrapText="1"/>
    </xf>
    <xf numFmtId="0" fontId="12" fillId="0" borderId="14" xfId="0" applyFont="1" applyBorder="1" applyAlignment="1">
      <alignment horizontal="left" vertical="center" wrapText="1"/>
    </xf>
    <xf numFmtId="0" fontId="0" fillId="3" borderId="46" xfId="0" applyFill="1" applyBorder="1" applyAlignment="1">
      <alignment horizontal="left" vertical="center" wrapText="1"/>
    </xf>
    <xf numFmtId="0" fontId="0" fillId="3" borderId="14" xfId="0"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14" xfId="0" applyFont="1" applyFill="1" applyBorder="1" applyAlignment="1">
      <alignment horizontal="left" vertical="center" wrapText="1"/>
    </xf>
    <xf numFmtId="14" fontId="5" fillId="0" borderId="46"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55" xfId="0" applyBorder="1" applyAlignment="1">
      <alignment horizontal="center" vertical="center"/>
    </xf>
    <xf numFmtId="0" fontId="0" fillId="0" borderId="46" xfId="0" applyBorder="1" applyAlignment="1">
      <alignment horizontal="center" vertical="center" wrapText="1"/>
    </xf>
    <xf numFmtId="0" fontId="12" fillId="0" borderId="9" xfId="0" applyFont="1" applyBorder="1" applyAlignment="1">
      <alignment horizontal="left" vertical="center" wrapText="1"/>
    </xf>
    <xf numFmtId="0" fontId="12" fillId="0" borderId="1" xfId="0" applyFont="1" applyBorder="1" applyAlignment="1">
      <alignment horizontal="left" vertical="center" wrapText="1"/>
    </xf>
    <xf numFmtId="0" fontId="12" fillId="0" borderId="46" xfId="0" applyFont="1" applyBorder="1" applyAlignment="1">
      <alignment horizontal="left" vertical="center" wrapText="1"/>
    </xf>
    <xf numFmtId="0" fontId="0" fillId="0" borderId="46" xfId="0" applyBorder="1" applyAlignment="1">
      <alignment horizontal="center" vertical="center"/>
    </xf>
    <xf numFmtId="9" fontId="0" fillId="0" borderId="46" xfId="0" applyNumberFormat="1" applyBorder="1" applyAlignment="1">
      <alignment horizontal="center" vertical="center"/>
    </xf>
    <xf numFmtId="0" fontId="0" fillId="3" borderId="45" xfId="0" applyFill="1" applyBorder="1" applyAlignment="1">
      <alignment horizontal="center"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6" xfId="0" applyFont="1" applyFill="1" applyBorder="1" applyAlignment="1">
      <alignment horizontal="center" vertical="center"/>
    </xf>
    <xf numFmtId="0" fontId="2" fillId="8" borderId="28" xfId="0" applyFont="1" applyFill="1" applyBorder="1" applyAlignment="1">
      <alignment horizontal="center" vertical="center" textRotation="90" wrapText="1"/>
    </xf>
    <xf numFmtId="0" fontId="2" fillId="8" borderId="32" xfId="0" applyFont="1" applyFill="1" applyBorder="1" applyAlignment="1">
      <alignment horizontal="center" vertical="center" textRotation="90" wrapText="1"/>
    </xf>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2" borderId="27" xfId="0" applyFont="1" applyFill="1" applyBorder="1" applyAlignment="1">
      <alignment horizontal="center" vertical="center" textRotation="90"/>
    </xf>
    <xf numFmtId="0" fontId="3" fillId="2" borderId="31" xfId="0" applyFont="1" applyFill="1" applyBorder="1" applyAlignment="1">
      <alignment horizontal="center" vertical="center" textRotation="90"/>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8" borderId="30" xfId="0" applyFont="1" applyFill="1" applyBorder="1" applyAlignment="1">
      <alignment horizontal="center" vertical="center"/>
    </xf>
    <xf numFmtId="0" fontId="2" fillId="8" borderId="33" xfId="0" applyFont="1" applyFill="1" applyBorder="1" applyAlignment="1">
      <alignment horizontal="center" vertical="center"/>
    </xf>
    <xf numFmtId="0" fontId="2" fillId="8" borderId="37"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2" xfId="0" applyFont="1" applyFill="1"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30" xfId="0" applyFont="1" applyFill="1" applyBorder="1" applyAlignment="1">
      <alignment horizontal="center" vertical="center" textRotation="90" wrapText="1"/>
    </xf>
    <xf numFmtId="0" fontId="2" fillId="2" borderId="33" xfId="0" applyFont="1" applyFill="1" applyBorder="1" applyAlignment="1">
      <alignment horizontal="center" vertical="center" textRotation="90" wrapText="1"/>
    </xf>
    <xf numFmtId="0" fontId="2" fillId="8" borderId="30"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2" borderId="29" xfId="0" applyFont="1" applyFill="1" applyBorder="1" applyAlignment="1">
      <alignment horizontal="center" vertical="center" textRotation="90" wrapText="1"/>
    </xf>
    <xf numFmtId="0" fontId="2" fillId="2" borderId="15" xfId="0" applyFont="1" applyFill="1" applyBorder="1" applyAlignment="1">
      <alignment horizontal="center" vertical="center" textRotation="90" wrapText="1"/>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0" borderId="45" xfId="0" applyBorder="1" applyAlignment="1">
      <alignment horizontal="left" vertical="center" wrapText="1"/>
    </xf>
    <xf numFmtId="0" fontId="0" fillId="0" borderId="10" xfId="0" applyBorder="1" applyAlignment="1">
      <alignment vertical="center" wrapText="1"/>
    </xf>
    <xf numFmtId="0" fontId="0" fillId="0" borderId="45" xfId="0" applyBorder="1" applyAlignment="1">
      <alignment vertical="center" wrapText="1"/>
    </xf>
    <xf numFmtId="0" fontId="0" fillId="0" borderId="14" xfId="0" applyBorder="1" applyAlignment="1">
      <alignment vertical="center" wrapText="1"/>
    </xf>
    <xf numFmtId="0" fontId="5"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17" fontId="0" fillId="0" borderId="9" xfId="0" applyNumberFormat="1" applyBorder="1" applyAlignment="1">
      <alignment horizontal="center" vertical="center"/>
    </xf>
    <xf numFmtId="0" fontId="0" fillId="3" borderId="10" xfId="0" applyFill="1" applyBorder="1" applyAlignment="1">
      <alignment horizontal="center" vertical="center"/>
    </xf>
    <xf numFmtId="0" fontId="0" fillId="3" borderId="45" xfId="0" applyFill="1" applyBorder="1" applyAlignment="1">
      <alignment horizontal="center" vertical="center"/>
    </xf>
    <xf numFmtId="0" fontId="0" fillId="3" borderId="14" xfId="0" applyFill="1" applyBorder="1" applyAlignment="1">
      <alignment horizontal="center" vertical="center"/>
    </xf>
    <xf numFmtId="0" fontId="0" fillId="0" borderId="45" xfId="0" applyBorder="1" applyAlignment="1">
      <alignment horizontal="left" vertical="center"/>
    </xf>
    <xf numFmtId="0" fontId="0" fillId="0" borderId="14" xfId="0" applyBorder="1" applyAlignment="1">
      <alignment horizontal="left"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39" xfId="0" applyBorder="1" applyAlignment="1">
      <alignment horizontal="center" vertical="center"/>
    </xf>
    <xf numFmtId="9" fontId="0" fillId="0" borderId="20" xfId="0" applyNumberFormat="1"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9" borderId="9" xfId="0" applyFill="1" applyBorder="1" applyAlignment="1">
      <alignment horizontal="center" vertical="center"/>
    </xf>
    <xf numFmtId="0" fontId="0" fillId="9" borderId="1" xfId="0" applyFill="1" applyBorder="1" applyAlignment="1">
      <alignment horizontal="center" vertical="center"/>
    </xf>
    <xf numFmtId="0" fontId="0" fillId="9" borderId="13" xfId="0" applyFill="1" applyBorder="1" applyAlignment="1">
      <alignment horizontal="center" vertical="center"/>
    </xf>
    <xf numFmtId="0" fontId="12" fillId="0" borderId="13" xfId="0" applyFont="1" applyBorder="1" applyAlignment="1">
      <alignment horizontal="left" vertical="center" wrapText="1"/>
    </xf>
    <xf numFmtId="0" fontId="12" fillId="3" borderId="9" xfId="0" applyFont="1" applyFill="1" applyBorder="1" applyAlignment="1">
      <alignment horizontal="left" vertical="center" wrapText="1"/>
    </xf>
    <xf numFmtId="0" fontId="0" fillId="0" borderId="9"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13" xfId="0" applyNumberFormat="1" applyBorder="1" applyAlignment="1">
      <alignment horizontal="center" vertical="center" wrapText="1"/>
    </xf>
    <xf numFmtId="0" fontId="0" fillId="5" borderId="0" xfId="0" applyFill="1" applyAlignment="1">
      <alignment horizontal="center" vertical="center"/>
    </xf>
    <xf numFmtId="0" fontId="0" fillId="7" borderId="0" xfId="0" applyFill="1" applyAlignment="1">
      <alignment horizontal="center"/>
    </xf>
    <xf numFmtId="0" fontId="0" fillId="5" borderId="0" xfId="0" applyFill="1" applyAlignment="1">
      <alignment horizontal="center"/>
    </xf>
    <xf numFmtId="0" fontId="0" fillId="7" borderId="1" xfId="0"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center" textRotation="90"/>
    </xf>
    <xf numFmtId="0" fontId="0" fillId="0" borderId="8" xfId="0" applyBorder="1" applyAlignment="1">
      <alignment horizontal="center" vertical="center" textRotation="90"/>
    </xf>
    <xf numFmtId="0" fontId="12" fillId="0" borderId="10" xfId="0" applyFont="1" applyBorder="1" applyAlignment="1">
      <alignment horizontal="center" vertical="center" wrapText="1"/>
    </xf>
    <xf numFmtId="0" fontId="0" fillId="0" borderId="10" xfId="0" applyBorder="1" applyAlignment="1">
      <alignment horizontal="center" vertical="center"/>
    </xf>
    <xf numFmtId="0" fontId="12" fillId="0" borderId="52" xfId="0" applyFont="1" applyBorder="1" applyAlignment="1">
      <alignment horizontal="center" vertical="center"/>
    </xf>
    <xf numFmtId="0" fontId="0" fillId="0" borderId="57" xfId="0" applyBorder="1" applyAlignment="1">
      <alignment horizontal="center" vertical="center" textRotation="90"/>
    </xf>
    <xf numFmtId="0" fontId="12" fillId="0" borderId="50" xfId="0" applyFont="1" applyBorder="1" applyAlignment="1">
      <alignment horizontal="center" vertical="center" wrapText="1"/>
    </xf>
    <xf numFmtId="0" fontId="12" fillId="0" borderId="54" xfId="0" applyFont="1" applyBorder="1" applyAlignment="1">
      <alignment horizontal="center" vertical="center"/>
    </xf>
    <xf numFmtId="0" fontId="12" fillId="0" borderId="14" xfId="0" applyFont="1" applyBorder="1" applyAlignment="1">
      <alignment horizontal="center" vertical="center" wrapText="1"/>
    </xf>
    <xf numFmtId="0" fontId="0" fillId="0" borderId="14" xfId="0" applyBorder="1" applyAlignment="1">
      <alignment horizontal="center" vertical="center"/>
    </xf>
    <xf numFmtId="0" fontId="12" fillId="0" borderId="13" xfId="0" applyFont="1" applyBorder="1" applyAlignment="1">
      <alignment horizontal="center" vertical="center" textRotation="90"/>
    </xf>
    <xf numFmtId="0" fontId="0" fillId="0" borderId="58" xfId="0" applyBorder="1" applyAlignment="1">
      <alignment horizontal="center" vertical="center" textRotation="90"/>
    </xf>
    <xf numFmtId="0" fontId="12" fillId="0" borderId="48" xfId="0" applyFont="1" applyBorder="1" applyAlignment="1">
      <alignment horizontal="center" vertical="center"/>
    </xf>
    <xf numFmtId="0" fontId="0" fillId="0" borderId="59" xfId="0" applyBorder="1" applyAlignment="1">
      <alignment horizontal="center" vertical="center"/>
    </xf>
    <xf numFmtId="0" fontId="0" fillId="0" borderId="16" xfId="0" applyBorder="1" applyAlignment="1">
      <alignment horizontal="center" vertical="center"/>
    </xf>
    <xf numFmtId="0" fontId="0" fillId="0" borderId="60" xfId="0" applyBorder="1" applyAlignment="1">
      <alignment horizontal="center" vertical="center"/>
    </xf>
  </cellXfs>
  <cellStyles count="1">
    <cellStyle name="Normal" xfId="0" builtinId="0"/>
  </cellStyles>
  <dxfs count="341">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126777</xdr:colOff>
      <xdr:row>0</xdr:row>
      <xdr:rowOff>21168</xdr:rowOff>
    </xdr:from>
    <xdr:to>
      <xdr:col>12</xdr:col>
      <xdr:colOff>211667</xdr:colOff>
      <xdr:row>0</xdr:row>
      <xdr:rowOff>656168</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7777" y="21168"/>
          <a:ext cx="539973"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133349</xdr:colOff>
      <xdr:row>1</xdr:row>
      <xdr:rowOff>57150</xdr:rowOff>
    </xdr:from>
    <xdr:to>
      <xdr:col>11</xdr:col>
      <xdr:colOff>535888</xdr:colOff>
      <xdr:row>7</xdr:row>
      <xdr:rowOff>0</xdr:rowOff>
    </xdr:to>
    <xdr:pic>
      <xdr:nvPicPr>
        <xdr:cNvPr id="2" name="Imagen 1"/>
        <xdr:cNvPicPr>
          <a:picLocks noChangeAspect="1"/>
        </xdr:cNvPicPr>
      </xdr:nvPicPr>
      <xdr:blipFill>
        <a:blip xmlns:r="http://schemas.openxmlformats.org/officeDocument/2006/relationships" r:embed="rId1"/>
        <a:stretch>
          <a:fillRect/>
        </a:stretch>
      </xdr:blipFill>
      <xdr:spPr>
        <a:xfrm>
          <a:off x="5219699" y="247650"/>
          <a:ext cx="5546039" cy="4705350"/>
        </a:xfrm>
        <a:prstGeom prst="rect">
          <a:avLst/>
        </a:prstGeom>
      </xdr:spPr>
    </xdr:pic>
    <xdr:clientData/>
  </xdr:twoCellAnchor>
  <xdr:twoCellAnchor editAs="oneCell">
    <xdr:from>
      <xdr:col>13</xdr:col>
      <xdr:colOff>28575</xdr:colOff>
      <xdr:row>1</xdr:row>
      <xdr:rowOff>28575</xdr:rowOff>
    </xdr:from>
    <xdr:to>
      <xdr:col>20</xdr:col>
      <xdr:colOff>733425</xdr:colOff>
      <xdr:row>5</xdr:row>
      <xdr:rowOff>197361</xdr:rowOff>
    </xdr:to>
    <xdr:pic>
      <xdr:nvPicPr>
        <xdr:cNvPr id="4" name="Imagen 3"/>
        <xdr:cNvPicPr>
          <a:picLocks noChangeAspect="1"/>
        </xdr:cNvPicPr>
      </xdr:nvPicPr>
      <xdr:blipFill>
        <a:blip xmlns:r="http://schemas.openxmlformats.org/officeDocument/2006/relationships" r:embed="rId2"/>
        <a:stretch>
          <a:fillRect/>
        </a:stretch>
      </xdr:blipFill>
      <xdr:spPr>
        <a:xfrm>
          <a:off x="10887075" y="219075"/>
          <a:ext cx="6038850" cy="3407286"/>
        </a:xfrm>
        <a:prstGeom prst="rect">
          <a:avLst/>
        </a:prstGeom>
      </xdr:spPr>
    </xdr:pic>
    <xdr:clientData/>
  </xdr:twoCellAnchor>
  <xdr:twoCellAnchor editAs="oneCell">
    <xdr:from>
      <xdr:col>22</xdr:col>
      <xdr:colOff>1</xdr:colOff>
      <xdr:row>1</xdr:row>
      <xdr:rowOff>9525</xdr:rowOff>
    </xdr:from>
    <xdr:to>
      <xdr:col>24</xdr:col>
      <xdr:colOff>752475</xdr:colOff>
      <xdr:row>5</xdr:row>
      <xdr:rowOff>612618</xdr:rowOff>
    </xdr:to>
    <xdr:pic>
      <xdr:nvPicPr>
        <xdr:cNvPr id="5" name="Imagen 4"/>
        <xdr:cNvPicPr>
          <a:picLocks noChangeAspect="1"/>
        </xdr:cNvPicPr>
      </xdr:nvPicPr>
      <xdr:blipFill rotWithShape="1">
        <a:blip xmlns:r="http://schemas.openxmlformats.org/officeDocument/2006/relationships" r:embed="rId3"/>
        <a:srcRect t="7985"/>
        <a:stretch/>
      </xdr:blipFill>
      <xdr:spPr>
        <a:xfrm>
          <a:off x="17306926" y="200025"/>
          <a:ext cx="2276474" cy="3841593"/>
        </a:xfrm>
        <a:prstGeom prst="rect">
          <a:avLst/>
        </a:prstGeom>
      </xdr:spPr>
    </xdr:pic>
    <xdr:clientData/>
  </xdr:twoCellAnchor>
  <xdr:twoCellAnchor editAs="oneCell">
    <xdr:from>
      <xdr:col>1</xdr:col>
      <xdr:colOff>104775</xdr:colOff>
      <xdr:row>10</xdr:row>
      <xdr:rowOff>85725</xdr:rowOff>
    </xdr:from>
    <xdr:to>
      <xdr:col>6</xdr:col>
      <xdr:colOff>656419</xdr:colOff>
      <xdr:row>32</xdr:row>
      <xdr:rowOff>180439</xdr:rowOff>
    </xdr:to>
    <xdr:pic>
      <xdr:nvPicPr>
        <xdr:cNvPr id="3" name="Imagen 2"/>
        <xdr:cNvPicPr>
          <a:picLocks noChangeAspect="1"/>
        </xdr:cNvPicPr>
      </xdr:nvPicPr>
      <xdr:blipFill>
        <a:blip xmlns:r="http://schemas.openxmlformats.org/officeDocument/2006/relationships" r:embed="rId4"/>
        <a:stretch>
          <a:fillRect/>
        </a:stretch>
      </xdr:blipFill>
      <xdr:spPr>
        <a:xfrm>
          <a:off x="1047750" y="5610225"/>
          <a:ext cx="6447619" cy="42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03.%20GC%20Riesgos%20de%20gesti&#243;n%202023%20OK.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yperez/OneDrive%20-%20Universidad%20del%20Magdalena/Unimagdalena/Escritorio/Riesgos/Mapas%20de%20riesgos%20gesti&#243;n%202022/19.%20AR%20Riesgos%20de%20gesti&#243;n%202022%20v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yperez/OneDrive%20-%20Universidad%20del%20Magdalena/Unimagdalena/Escritorio/Riesgos/Mapas%20de%20riesgos%20gesti&#243;n%202022/08%20EX%20Riesgos%20de%20gesti&#243;n%202022%20vf.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02.%20AC%20Riesgos%20de%20gestio&#769;n%202023%20-%20Ok.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11.%20CO%20Riesgos%20de%20gesti&#243;n%20202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19.%20AR%20Riesgos%20de%20gesti&#243;n%202023%20-%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perez/OneDrive%20-%20Universidad%20del%20Magdalena/Unimagdalena/Escritorio/Riesgos/Mapas%20de%20riesgos%20gesti&#243;n%202022/04.%20CC%20Riesgos%20de%20gestio&#769;n%202022%20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04.%20CC%20Riesgos%20de%20gestio&#769;n%202023%20-%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05.%20RI%20Riesgos%20de%20gesti&#243;n%202023%20-%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07.%20IDI%20Riesgos%20de%20gesti&#243;n%202023%20-%20Ok.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08.%20EX%20Riesgos%20de%20gesti&#243;n%202023%20-%20Ok.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yperez/OneDrive%20-%20Universidad%20del%20Magdalena/Unimagdalena/Escritorio/Riesgos/Mapas%20de%20riesgos%20gesti&#243;n%202022/11.%20CO%20Riesgos%20de%20gesti&#243;n%202022%20v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13.%20RE%20Riesgos%20de%20gesti&#243;n%202023%20-%20Ok.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Riesgos%20de%20gesti&#243;n%20por%20a&#241;o/Mapas%20de%20riesgos%20de%20gesti&#243;n%202023/16.%20AD%20Riesgos%20de%20gesti&#243;n%202023%20-%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row r="8">
          <cell r="AE8" t="str">
            <v>Moderado</v>
          </cell>
        </row>
        <row r="9">
          <cell r="AE9" t="str">
            <v>Moderado</v>
          </cell>
        </row>
        <row r="10">
          <cell r="AE10" t="str">
            <v>Moderado</v>
          </cell>
        </row>
        <row r="11">
          <cell r="AE11" t="str">
            <v>Moderado</v>
          </cell>
        </row>
        <row r="12">
          <cell r="AE12" t="str">
            <v>Moderado</v>
          </cell>
        </row>
        <row r="14">
          <cell r="AE14" t="str">
            <v>Moderado</v>
          </cell>
        </row>
        <row r="15">
          <cell r="AE15" t="str">
            <v>Moderado</v>
          </cell>
        </row>
        <row r="16">
          <cell r="AE16" t="str">
            <v>Moderado</v>
          </cell>
        </row>
      </sheetData>
      <sheetData sheetId="1"/>
      <sheetData sheetId="2">
        <row r="2">
          <cell r="P2" t="str">
            <v>Afectación menor a 10 SMLMV</v>
          </cell>
          <cell r="Q2">
            <v>1</v>
          </cell>
          <cell r="R2" t="str">
            <v>Leve</v>
          </cell>
          <cell r="V2"/>
          <cell r="W2" t="str">
            <v>Leve</v>
          </cell>
          <cell r="X2" t="str">
            <v>Menor</v>
          </cell>
          <cell r="Y2" t="str">
            <v>Moderado</v>
          </cell>
          <cell r="Z2" t="str">
            <v>Mayor</v>
          </cell>
          <cell r="AA2" t="str">
            <v>Catastrófico</v>
          </cell>
        </row>
        <row r="3">
          <cell r="P3" t="str">
            <v>Entre 10 y 50 SMLMV</v>
          </cell>
          <cell r="Q3">
            <v>2</v>
          </cell>
          <cell r="R3" t="str">
            <v>Menor</v>
          </cell>
          <cell r="V3" t="str">
            <v>Muy alta</v>
          </cell>
          <cell r="W3" t="str">
            <v>Alto</v>
          </cell>
          <cell r="X3" t="str">
            <v>Alto</v>
          </cell>
          <cell r="Y3" t="str">
            <v>Alto</v>
          </cell>
          <cell r="Z3" t="str">
            <v>Alto</v>
          </cell>
          <cell r="AA3" t="str">
            <v>Extremo</v>
          </cell>
        </row>
        <row r="4">
          <cell r="P4" t="str">
            <v>Entre 50 y 100 SMLMV</v>
          </cell>
          <cell r="Q4">
            <v>3</v>
          </cell>
          <cell r="R4" t="str">
            <v>Moderado</v>
          </cell>
          <cell r="V4" t="str">
            <v>Alta</v>
          </cell>
          <cell r="W4" t="str">
            <v>Moderado</v>
          </cell>
          <cell r="X4" t="str">
            <v>Moderado</v>
          </cell>
          <cell r="Y4" t="str">
            <v>Alto</v>
          </cell>
          <cell r="Z4" t="str">
            <v>Alto</v>
          </cell>
          <cell r="AA4" t="str">
            <v>Extremo</v>
          </cell>
        </row>
        <row r="5">
          <cell r="P5" t="str">
            <v>Entre 100 y 500 SMLMV</v>
          </cell>
          <cell r="Q5">
            <v>4</v>
          </cell>
          <cell r="R5" t="str">
            <v>Mayor</v>
          </cell>
          <cell r="V5" t="str">
            <v>Media</v>
          </cell>
          <cell r="W5" t="str">
            <v>Moderado</v>
          </cell>
          <cell r="X5" t="str">
            <v>Moderado</v>
          </cell>
          <cell r="Y5" t="str">
            <v>Moderado</v>
          </cell>
          <cell r="Z5" t="str">
            <v>Alto</v>
          </cell>
          <cell r="AA5" t="str">
            <v>Extremo</v>
          </cell>
        </row>
        <row r="6">
          <cell r="P6" t="str">
            <v>Mayor a 500 SMLMV</v>
          </cell>
          <cell r="Q6">
            <v>5</v>
          </cell>
          <cell r="R6" t="str">
            <v>Catastrófico</v>
          </cell>
          <cell r="V6" t="str">
            <v>Baja</v>
          </cell>
          <cell r="W6" t="str">
            <v>Bajo</v>
          </cell>
          <cell r="X6" t="str">
            <v>Moderado</v>
          </cell>
          <cell r="Y6" t="str">
            <v>Moderado</v>
          </cell>
          <cell r="Z6" t="str">
            <v>Alto</v>
          </cell>
          <cell r="AA6" t="str">
            <v>Extremo</v>
          </cell>
        </row>
        <row r="7">
          <cell r="P7" t="str">
            <v>El riesgo afecta la imagen de algún área de la universidad</v>
          </cell>
          <cell r="Q7">
            <v>6</v>
          </cell>
          <cell r="R7" t="str">
            <v>Leve</v>
          </cell>
          <cell r="V7" t="str">
            <v>Muy baja</v>
          </cell>
          <cell r="W7" t="str">
            <v>Bajo</v>
          </cell>
          <cell r="X7" t="str">
            <v>Bajo</v>
          </cell>
          <cell r="Y7" t="str">
            <v>Moderado</v>
          </cell>
          <cell r="Z7" t="str">
            <v>Alto</v>
          </cell>
          <cell r="AA7" t="str">
            <v>Extremo</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2">
          <cell r="P2" t="str">
            <v>Afectación menor a 10 SMLMV</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row r="8">
          <cell r="AE8" t="str">
            <v>Moderado</v>
          </cell>
        </row>
      </sheetData>
      <sheetData sheetId="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row r="13">
          <cell r="AE13" t="str">
            <v>Moderado</v>
          </cell>
        </row>
      </sheetData>
      <sheetData sheetId="1"/>
      <sheetData sheetId="2">
        <row r="2">
          <cell r="V2"/>
          <cell r="W2" t="str">
            <v>Leve</v>
          </cell>
          <cell r="X2" t="str">
            <v>Menor</v>
          </cell>
          <cell r="Y2" t="str">
            <v>Moderado</v>
          </cell>
          <cell r="Z2" t="str">
            <v>Mayor</v>
          </cell>
          <cell r="AA2" t="str">
            <v>Catastrófico</v>
          </cell>
        </row>
        <row r="3">
          <cell r="V3" t="str">
            <v>Muy alta</v>
          </cell>
          <cell r="W3" t="str">
            <v>Alto</v>
          </cell>
          <cell r="X3" t="str">
            <v>Alto</v>
          </cell>
          <cell r="Y3" t="str">
            <v>Alto</v>
          </cell>
          <cell r="Z3" t="str">
            <v>Alto</v>
          </cell>
          <cell r="AA3" t="str">
            <v>Extremo</v>
          </cell>
        </row>
        <row r="4">
          <cell r="V4" t="str">
            <v>Alta</v>
          </cell>
          <cell r="W4" t="str">
            <v>Moderado</v>
          </cell>
          <cell r="X4" t="str">
            <v>Moderado</v>
          </cell>
          <cell r="Y4" t="str">
            <v>Alto</v>
          </cell>
          <cell r="Z4" t="str">
            <v>Alto</v>
          </cell>
          <cell r="AA4" t="str">
            <v>Extremo</v>
          </cell>
        </row>
        <row r="5">
          <cell r="V5" t="str">
            <v>Media</v>
          </cell>
          <cell r="W5" t="str">
            <v>Moderado</v>
          </cell>
          <cell r="X5" t="str">
            <v>Moderado</v>
          </cell>
          <cell r="Y5" t="str">
            <v>Moderado</v>
          </cell>
          <cell r="Z5" t="str">
            <v>Alto</v>
          </cell>
          <cell r="AA5" t="str">
            <v>Extremo</v>
          </cell>
        </row>
        <row r="6">
          <cell r="V6" t="str">
            <v>Baja</v>
          </cell>
          <cell r="W6" t="str">
            <v>Bajo</v>
          </cell>
          <cell r="X6" t="str">
            <v>Moderado</v>
          </cell>
          <cell r="Y6" t="str">
            <v>Moderado</v>
          </cell>
          <cell r="Z6" t="str">
            <v>Alto</v>
          </cell>
          <cell r="AA6" t="str">
            <v>Extremo</v>
          </cell>
        </row>
        <row r="7">
          <cell r="V7" t="str">
            <v>Muy baja</v>
          </cell>
          <cell r="W7" t="str">
            <v>Bajo</v>
          </cell>
          <cell r="X7" t="str">
            <v>Bajo</v>
          </cell>
          <cell r="Y7" t="str">
            <v>Moderado</v>
          </cell>
          <cell r="Z7" t="str">
            <v>Alto</v>
          </cell>
          <cell r="AA7" t="str">
            <v>Extremo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Hoja2"/>
    </sheetNames>
    <sheetDataSet>
      <sheetData sheetId="0"/>
      <sheetData sheetId="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sheetData sheetId="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sheetData sheetId="1" refreshError="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sheetData sheetId="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sheetName val="Información"/>
      <sheetName val="Calculos"/>
    </sheetNames>
    <sheetDataSet>
      <sheetData sheetId="0"/>
      <sheetData sheetId="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36"/>
  <sheetViews>
    <sheetView tabSelected="1" topLeftCell="D1" zoomScale="70" zoomScaleNormal="70" workbookViewId="0">
      <selection activeCell="I5" sqref="I5:I7"/>
    </sheetView>
  </sheetViews>
  <sheetFormatPr baseColWidth="10" defaultRowHeight="15" x14ac:dyDescent="0.25"/>
  <cols>
    <col min="1" max="1" width="7.42578125" customWidth="1"/>
    <col min="2" max="3" width="17.42578125" customWidth="1"/>
    <col min="4" max="4" width="24.7109375" customWidth="1"/>
    <col min="5" max="5" width="38.140625" customWidth="1"/>
    <col min="6" max="7" width="26.42578125" customWidth="1"/>
    <col min="8" max="8" width="30" customWidth="1"/>
    <col min="9" max="9" width="69.28515625" customWidth="1"/>
    <col min="10" max="10" width="13.28515625" customWidth="1"/>
    <col min="11" max="11" width="12.85546875" customWidth="1"/>
    <col min="12" max="12" width="6.85546875" customWidth="1"/>
    <col min="13" max="13" width="41.7109375" customWidth="1"/>
    <col min="14" max="14" width="7.140625" hidden="1" customWidth="1"/>
    <col min="15" max="15" width="22" customWidth="1"/>
    <col min="16" max="16" width="8.42578125" customWidth="1"/>
    <col min="17" max="17" width="15" customWidth="1"/>
    <col min="18" max="18" width="7.5703125" style="10" customWidth="1"/>
    <col min="19" max="19" width="41.28515625" customWidth="1"/>
    <col min="20" max="20" width="13.140625" customWidth="1"/>
    <col min="21" max="23" width="4" bestFit="1" customWidth="1"/>
    <col min="24" max="24" width="4" customWidth="1"/>
    <col min="25" max="25" width="5.42578125" customWidth="1"/>
    <col min="26" max="28" width="4" bestFit="1" customWidth="1"/>
    <col min="29" max="29" width="9.85546875" customWidth="1"/>
    <col min="30" max="30" width="6.140625" bestFit="1" customWidth="1"/>
    <col min="31" max="31" width="9.5703125" customWidth="1"/>
    <col min="32" max="32" width="6.140625" bestFit="1" customWidth="1"/>
    <col min="33" max="33" width="20" customWidth="1"/>
    <col min="34" max="34" width="8.42578125" customWidth="1"/>
    <col min="35" max="35" width="39.42578125" customWidth="1"/>
    <col min="36" max="36" width="30.42578125" customWidth="1"/>
    <col min="37" max="37" width="15.140625" customWidth="1"/>
    <col min="38" max="38" width="23.5703125" customWidth="1"/>
    <col min="39" max="39" width="32.85546875" style="10" customWidth="1"/>
  </cols>
  <sheetData>
    <row r="1" spans="1:39" ht="55.5" customHeight="1" thickBot="1" x14ac:dyDescent="0.3">
      <c r="A1" s="198" t="s">
        <v>218</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200"/>
    </row>
    <row r="2" spans="1:39" ht="17.25" thickBot="1" x14ac:dyDescent="0.3">
      <c r="A2" s="221" t="s">
        <v>0</v>
      </c>
      <c r="B2" s="222"/>
      <c r="C2" s="222"/>
      <c r="D2" s="222"/>
      <c r="E2" s="222"/>
      <c r="F2" s="222"/>
      <c r="G2" s="222"/>
      <c r="H2" s="222"/>
      <c r="I2" s="222"/>
      <c r="J2" s="223"/>
      <c r="K2" s="224" t="s">
        <v>1</v>
      </c>
      <c r="L2" s="224"/>
      <c r="M2" s="224"/>
      <c r="N2" s="224"/>
      <c r="O2" s="224"/>
      <c r="P2" s="224"/>
      <c r="Q2" s="225"/>
      <c r="R2" s="233" t="s">
        <v>2</v>
      </c>
      <c r="S2" s="224"/>
      <c r="T2" s="224"/>
      <c r="U2" s="224"/>
      <c r="V2" s="224"/>
      <c r="W2" s="224"/>
      <c r="X2" s="224"/>
      <c r="Y2" s="224"/>
      <c r="Z2" s="224"/>
      <c r="AA2" s="224"/>
      <c r="AB2" s="234"/>
      <c r="AC2" s="56"/>
      <c r="AD2" s="56"/>
      <c r="AE2" s="56"/>
      <c r="AF2" s="56"/>
      <c r="AG2" s="56"/>
      <c r="AH2" s="57"/>
      <c r="AI2" s="231" t="s">
        <v>3</v>
      </c>
      <c r="AJ2" s="224"/>
      <c r="AK2" s="224"/>
      <c r="AL2" s="224"/>
      <c r="AM2" s="232"/>
    </row>
    <row r="3" spans="1:39" ht="16.5" customHeight="1" x14ac:dyDescent="0.25">
      <c r="A3" s="211" t="s">
        <v>4</v>
      </c>
      <c r="B3" s="226" t="s">
        <v>5</v>
      </c>
      <c r="C3" s="205" t="s">
        <v>6</v>
      </c>
      <c r="D3" s="205" t="s">
        <v>7</v>
      </c>
      <c r="E3" s="209" t="s">
        <v>157</v>
      </c>
      <c r="F3" s="205" t="s">
        <v>8</v>
      </c>
      <c r="G3" s="209" t="s">
        <v>161</v>
      </c>
      <c r="H3" s="209" t="s">
        <v>9</v>
      </c>
      <c r="I3" s="209" t="s">
        <v>88</v>
      </c>
      <c r="J3" s="219" t="s">
        <v>158</v>
      </c>
      <c r="K3" s="217" t="s">
        <v>10</v>
      </c>
      <c r="L3" s="215" t="s">
        <v>11</v>
      </c>
      <c r="M3" s="209" t="s">
        <v>12</v>
      </c>
      <c r="N3" s="52"/>
      <c r="O3" s="239" t="s">
        <v>13</v>
      </c>
      <c r="P3" s="215" t="s">
        <v>11</v>
      </c>
      <c r="Q3" s="240" t="s">
        <v>14</v>
      </c>
      <c r="R3" s="242" t="s">
        <v>15</v>
      </c>
      <c r="S3" s="205" t="s">
        <v>16</v>
      </c>
      <c r="T3" s="207" t="s">
        <v>17</v>
      </c>
      <c r="U3" s="205" t="s">
        <v>18</v>
      </c>
      <c r="V3" s="205"/>
      <c r="W3" s="205"/>
      <c r="X3" s="205"/>
      <c r="Y3" s="205"/>
      <c r="Z3" s="205"/>
      <c r="AA3" s="205"/>
      <c r="AB3" s="205"/>
      <c r="AC3" s="201" t="s">
        <v>19</v>
      </c>
      <c r="AD3" s="201" t="s">
        <v>11</v>
      </c>
      <c r="AE3" s="201" t="s">
        <v>20</v>
      </c>
      <c r="AF3" s="201" t="s">
        <v>11</v>
      </c>
      <c r="AG3" s="201" t="s">
        <v>21</v>
      </c>
      <c r="AH3" s="237" t="s">
        <v>22</v>
      </c>
      <c r="AI3" s="235" t="s">
        <v>148</v>
      </c>
      <c r="AJ3" s="203" t="s">
        <v>23</v>
      </c>
      <c r="AK3" s="203" t="s">
        <v>24</v>
      </c>
      <c r="AL3" s="203" t="s">
        <v>149</v>
      </c>
      <c r="AM3" s="213" t="s">
        <v>150</v>
      </c>
    </row>
    <row r="4" spans="1:39" ht="105.75" thickBot="1" x14ac:dyDescent="0.3">
      <c r="A4" s="212"/>
      <c r="B4" s="227"/>
      <c r="C4" s="206"/>
      <c r="D4" s="206"/>
      <c r="E4" s="210"/>
      <c r="F4" s="206"/>
      <c r="G4" s="210"/>
      <c r="H4" s="210"/>
      <c r="I4" s="210"/>
      <c r="J4" s="220"/>
      <c r="K4" s="218"/>
      <c r="L4" s="216"/>
      <c r="M4" s="210"/>
      <c r="N4" s="53"/>
      <c r="O4" s="216"/>
      <c r="P4" s="216"/>
      <c r="Q4" s="241"/>
      <c r="R4" s="243"/>
      <c r="S4" s="206"/>
      <c r="T4" s="208"/>
      <c r="U4" s="54" t="s">
        <v>25</v>
      </c>
      <c r="V4" s="55" t="s">
        <v>146</v>
      </c>
      <c r="W4" s="54" t="s">
        <v>26</v>
      </c>
      <c r="X4" s="55" t="s">
        <v>147</v>
      </c>
      <c r="Y4" s="55" t="s">
        <v>27</v>
      </c>
      <c r="Z4" s="54" t="s">
        <v>28</v>
      </c>
      <c r="AA4" s="54" t="s">
        <v>29</v>
      </c>
      <c r="AB4" s="54" t="s">
        <v>30</v>
      </c>
      <c r="AC4" s="202"/>
      <c r="AD4" s="202"/>
      <c r="AE4" s="202"/>
      <c r="AF4" s="202"/>
      <c r="AG4" s="202"/>
      <c r="AH4" s="238"/>
      <c r="AI4" s="236"/>
      <c r="AJ4" s="204"/>
      <c r="AK4" s="204"/>
      <c r="AL4" s="204"/>
      <c r="AM4" s="214"/>
    </row>
    <row r="5" spans="1:39" s="10" customFormat="1" ht="119.25" customHeight="1" x14ac:dyDescent="0.25">
      <c r="A5" s="125" t="s">
        <v>181</v>
      </c>
      <c r="B5" s="118" t="s">
        <v>86</v>
      </c>
      <c r="C5" s="118" t="s">
        <v>212</v>
      </c>
      <c r="D5" s="118" t="s">
        <v>213</v>
      </c>
      <c r="E5" s="67" t="s">
        <v>214</v>
      </c>
      <c r="F5" s="118" t="s">
        <v>215</v>
      </c>
      <c r="G5" s="118" t="s">
        <v>59</v>
      </c>
      <c r="H5" s="118" t="s">
        <v>90</v>
      </c>
      <c r="I5" s="118" t="s">
        <v>152</v>
      </c>
      <c r="J5" s="295">
        <v>3</v>
      </c>
      <c r="K5" s="132" t="str">
        <f>IF(J5="","",IF(J5&lt;=2,"Muy baja",IF(AND(J5&gt;2,J5&lt;=24),"Baja",IF(AND(J5&gt;24,J5&lt;=500),"Media",IF(AND(J5&gt;500,J5&lt;=5000),"Alta",IF(J5&gt;5000,"Muy alta",""))))))</f>
        <v>Baja</v>
      </c>
      <c r="L5" s="135">
        <f>IF(K5="","",IF(K5="Muy baja",20%,IF(K5="Baja",40%,IF(K5="Media",60%,IF(K5="Alta",80%,IF(K5="Muy Alta",100%,""))))))</f>
        <v>0.4</v>
      </c>
      <c r="M5" s="118" t="s">
        <v>123</v>
      </c>
      <c r="N5" s="118">
        <f>MATCH(M5,Calculos!$P$2:$P$11,0)</f>
        <v>10</v>
      </c>
      <c r="O5" s="118" t="str">
        <f>LOOKUP(N5,Calculos!$Q$2:$R$11)</f>
        <v>Catastrófico</v>
      </c>
      <c r="P5" s="135">
        <f>IF(O5="","",IF(O5="Leve",20%,IF(O5="Menor",40%,IF(O5="Moderado",60%,IF(O5="Mayor",80%,IF(O5="Catastrófico",100%,""))))))</f>
        <v>1</v>
      </c>
      <c r="Q5" s="132" t="str">
        <f>VLOOKUP(K5,Calculos!$V$2:$AA$7,MATCH(Riesgos!O5,Calculos!$V$2:$AA$2,0),FALSE)</f>
        <v>Extremo</v>
      </c>
      <c r="R5" s="71">
        <v>1</v>
      </c>
      <c r="S5" s="67" t="s">
        <v>219</v>
      </c>
      <c r="T5" s="72" t="str">
        <f>IF(U5="","",IF(U5="Preventivo","Probabilidad",IF(U5="Detectivo","Probabilidad",IF(U5="Correctivo","Impacto",""))))</f>
        <v>Probabilidad</v>
      </c>
      <c r="U5" s="73" t="s">
        <v>135</v>
      </c>
      <c r="V5" s="74">
        <f t="shared" ref="V5:V19" si="0">IF(U5="","",IF(U5="preventivo",25%,IF(U5="detectivo",15%,IF(U5="correctivo",10%,""))))</f>
        <v>0.25</v>
      </c>
      <c r="W5" s="73" t="s">
        <v>143</v>
      </c>
      <c r="X5" s="74">
        <f t="shared" ref="X5:X19" si="1">IF(W5="","",IF(W5="Automático",25%,IF(W5="manual",15%,"")))</f>
        <v>0.15</v>
      </c>
      <c r="Y5" s="74">
        <f>V5+X5</f>
        <v>0.4</v>
      </c>
      <c r="Z5" s="73" t="s">
        <v>182</v>
      </c>
      <c r="AA5" s="73" t="s">
        <v>183</v>
      </c>
      <c r="AB5" s="73" t="s">
        <v>184</v>
      </c>
      <c r="AC5" s="73" t="str">
        <f>IF(AD5="","",IF(AD5&lt;=20%,"Muy baja",IF(AND(AD5&gt;20%,AD5&lt;=40%),"Baja",IF(AND(AD5&gt;40%,AD5&lt;=60%),"Media",IF(AND(AD5&gt;60%,AD5&lt;=80%),"Alta",IF(AD5&gt;80%,"Muy alta",""))))))</f>
        <v>Baja</v>
      </c>
      <c r="AD5" s="80">
        <f>IF(U5="","",IF(U5="preventivo",$L$5-($L$5*Y5),IF(U5="detectivo",$L$5-($L$5*Y5),IF(U5="correctivo",$L$5,""))))</f>
        <v>0.24</v>
      </c>
      <c r="AE5" s="73" t="str">
        <f>IF(AF5="","",IF(AF5&lt;=20%,"Leve",IF(AND(AF5&gt;20%,AF5&lt;=40%),"Menor",IF(AND(AF5&gt;40%,AF5&lt;=60%),"Moderado",IF(AND(AF5&gt;60%,AF5&lt;=80%),"Mayor",IF(AF5&gt;80%,"Catastrófico",""))))))</f>
        <v>Catastrófico</v>
      </c>
      <c r="AF5" s="80">
        <f>IF(U5="","",IF(U5="preventivo",$P$5,IF(U5="detectivo",$P$5,IF(U5="correctivo",$P$5-($P$5*Y5),""))))</f>
        <v>1</v>
      </c>
      <c r="AG5" s="72" t="str">
        <f>VLOOKUP(AC5,Calculos!$V$2:$AA$7,MATCH(Riesgos!AE5,Calculos!$V$2:$AA$2,0),FALSE)</f>
        <v>Extremo</v>
      </c>
      <c r="AH5" s="120" t="s">
        <v>186</v>
      </c>
      <c r="AI5" s="68" t="s">
        <v>222</v>
      </c>
      <c r="AJ5" s="81" t="s">
        <v>224</v>
      </c>
      <c r="AK5" s="82" t="s">
        <v>225</v>
      </c>
      <c r="AL5" s="67" t="s">
        <v>226</v>
      </c>
      <c r="AM5" s="69" t="s">
        <v>185</v>
      </c>
    </row>
    <row r="6" spans="1:39" ht="83.25" customHeight="1" x14ac:dyDescent="0.25">
      <c r="A6" s="126"/>
      <c r="B6" s="119"/>
      <c r="C6" s="119"/>
      <c r="D6" s="119"/>
      <c r="E6" s="65" t="s">
        <v>216</v>
      </c>
      <c r="F6" s="119"/>
      <c r="G6" s="119"/>
      <c r="H6" s="119"/>
      <c r="I6" s="119"/>
      <c r="J6" s="296"/>
      <c r="K6" s="133"/>
      <c r="L6" s="136"/>
      <c r="M6" s="119"/>
      <c r="N6" s="119"/>
      <c r="O6" s="119"/>
      <c r="P6" s="136"/>
      <c r="Q6" s="133"/>
      <c r="R6" s="47">
        <v>2</v>
      </c>
      <c r="S6" s="59" t="s">
        <v>220</v>
      </c>
      <c r="T6" s="9" t="str">
        <f t="shared" ref="T6:T12" si="2">IF(U6="","",IF(U6="Preventivo","Probabilidad",IF(U6="Detectivo","Probabilidad",IF(U6="Correctivo","Impacto",""))))</f>
        <v>Probabilidad</v>
      </c>
      <c r="U6" s="50" t="s">
        <v>135</v>
      </c>
      <c r="V6" s="31">
        <f t="shared" si="0"/>
        <v>0.25</v>
      </c>
      <c r="W6" s="50" t="s">
        <v>143</v>
      </c>
      <c r="X6" s="31">
        <f t="shared" si="1"/>
        <v>0.15</v>
      </c>
      <c r="Y6" s="31">
        <f t="shared" ref="Y6:Y7" si="3">V6+X6</f>
        <v>0.4</v>
      </c>
      <c r="Z6" s="50" t="s">
        <v>182</v>
      </c>
      <c r="AA6" s="50" t="s">
        <v>183</v>
      </c>
      <c r="AB6" s="50" t="s">
        <v>184</v>
      </c>
      <c r="AC6" s="50" t="str">
        <f>IF(AD6="","",IF(AD6&lt;=20%,"Muy baja",IF(AND(AD6&gt;20%,AD6&lt;=40%),"Baja",IF(AND(AD6&gt;40%,AD6&lt;=60%),"Media",IF(AND(AD6&gt;60%,AD6&lt;=80%),"Alta",IF(AD6&gt;80%,"Muy alta",""))))))</f>
        <v>Muy baja</v>
      </c>
      <c r="AD6" s="32">
        <f>IF(U6="","",IF(U6="preventivo",$AD$5-($AD$5*Y6),IF(U6="detectivo",$AD$5-($AD$5*Y6),IF(U6="correctivo",$AD$5,""))))</f>
        <v>0.14399999999999999</v>
      </c>
      <c r="AE6" s="50" t="str">
        <f t="shared" ref="AE6" si="4">IF(AF6="","",IF(AF6&lt;=20%,"Leve",IF(AND(AF6&gt;20%,AF6&lt;=40%),"Menor",IF(AND(AF6&gt;40%,AF6&lt;=60%),"Moderado",IF(AND(AF6&gt;60%,AF6&lt;=80%),"Mayor",IF(AF6&gt;80%,"Catastrófico",""))))))</f>
        <v>Catastrófico</v>
      </c>
      <c r="AF6" s="32">
        <f>IF(U6="","",IF(U6="preventivo",$AF$5,IF(U6="detectivo",$AF$5,IF(U6="correctivo",$AF$5-($AF$5*Y6),""))))</f>
        <v>1</v>
      </c>
      <c r="AG6" s="9" t="str">
        <f>VLOOKUP(AC6,Calculos!$V$2:$AA$7,MATCH(Riesgos!AE6,Calculos!$V$2:$AA$2,0),FALSE)</f>
        <v>Extremo</v>
      </c>
      <c r="AH6" s="121"/>
      <c r="AI6" s="181" t="s">
        <v>223</v>
      </c>
      <c r="AJ6" s="183" t="s">
        <v>224</v>
      </c>
      <c r="AK6" s="185" t="s">
        <v>225</v>
      </c>
      <c r="AL6" s="187" t="s">
        <v>227</v>
      </c>
      <c r="AM6" s="188" t="s">
        <v>228</v>
      </c>
    </row>
    <row r="7" spans="1:39" ht="85.5" customHeight="1" thickBot="1" x14ac:dyDescent="0.3">
      <c r="A7" s="127"/>
      <c r="B7" s="128"/>
      <c r="C7" s="128"/>
      <c r="D7" s="128"/>
      <c r="E7" s="61" t="s">
        <v>217</v>
      </c>
      <c r="F7" s="128"/>
      <c r="G7" s="128"/>
      <c r="H7" s="128"/>
      <c r="I7" s="128"/>
      <c r="J7" s="297"/>
      <c r="K7" s="134"/>
      <c r="L7" s="137"/>
      <c r="M7" s="128"/>
      <c r="N7" s="128"/>
      <c r="O7" s="128"/>
      <c r="P7" s="137"/>
      <c r="Q7" s="134"/>
      <c r="R7" s="48">
        <v>3</v>
      </c>
      <c r="S7" s="61" t="s">
        <v>221</v>
      </c>
      <c r="T7" s="33" t="str">
        <f t="shared" si="2"/>
        <v>Probabilidad</v>
      </c>
      <c r="U7" s="62" t="s">
        <v>135</v>
      </c>
      <c r="V7" s="34">
        <f t="shared" si="0"/>
        <v>0.25</v>
      </c>
      <c r="W7" s="62" t="s">
        <v>143</v>
      </c>
      <c r="X7" s="34">
        <f t="shared" si="1"/>
        <v>0.15</v>
      </c>
      <c r="Y7" s="34">
        <f t="shared" si="3"/>
        <v>0.4</v>
      </c>
      <c r="Z7" s="62" t="s">
        <v>182</v>
      </c>
      <c r="AA7" s="62" t="s">
        <v>183</v>
      </c>
      <c r="AB7" s="62" t="s">
        <v>184</v>
      </c>
      <c r="AC7" s="62" t="str">
        <f>IF(AD7="","",IF(AD7&lt;=20%,"Muy baja",IF(AND(AD7&gt;20%,AD7&lt;=40%),"Baja",IF(AND(AD7&gt;40%,AD7&lt;=60%),"Media",IF(AND(AD7&gt;60%,AD7&lt;=80%),"Alta",IF(AD7&gt;80%,"Muy alta",""))))))</f>
        <v>Muy baja</v>
      </c>
      <c r="AD7" s="51">
        <f>IF(U7="","",IF(U7="preventivo",$AD$6-($AD$6*Y7),IF(U7="detectivo",$AD$6-($AD$6*Y7),IF(U7="correctivo",$AD$6,""))))</f>
        <v>8.6399999999999991E-2</v>
      </c>
      <c r="AE7" s="62" t="str">
        <f t="shared" ref="AE7:AE12" si="5">IF(AF7="","",IF(AF7&lt;=20%,"Leve",IF(AND(AF7&gt;20%,AF7&lt;=40%),"Menor",IF(AND(AF7&gt;40%,AF7&lt;=60%),"Moderado",IF(AND(AF7&gt;60%,AF7&lt;=80%),"Mayor",IF(AF7&gt;80%,"Catastrófico",""))))))</f>
        <v>Catastrófico</v>
      </c>
      <c r="AF7" s="51">
        <f>IF(U7="","",IF(U7="preventivo",$AF$6,IF(U7="detectivo",$AF$6,IF(U7="correctivo",$AF$6-($AF$6*Y7),""))))</f>
        <v>1</v>
      </c>
      <c r="AG7" s="33" t="str">
        <f>VLOOKUP(AC7,Calculos!$V$2:$AA$7,MATCH(Riesgos!AE7,Calculos!$V$2:$AA$2,0),FALSE)</f>
        <v>Extremo</v>
      </c>
      <c r="AH7" s="122"/>
      <c r="AI7" s="182"/>
      <c r="AJ7" s="184"/>
      <c r="AK7" s="186"/>
      <c r="AL7" s="155"/>
      <c r="AM7" s="189"/>
    </row>
    <row r="8" spans="1:39" ht="71.25" customHeight="1" x14ac:dyDescent="0.25">
      <c r="A8" s="125" t="s">
        <v>229</v>
      </c>
      <c r="B8" s="118" t="s">
        <v>86</v>
      </c>
      <c r="C8" s="147" t="s">
        <v>230</v>
      </c>
      <c r="D8" s="192" t="s">
        <v>231</v>
      </c>
      <c r="E8" s="147" t="s">
        <v>232</v>
      </c>
      <c r="F8" s="147" t="s">
        <v>233</v>
      </c>
      <c r="G8" s="118" t="s">
        <v>59</v>
      </c>
      <c r="H8" s="118" t="s">
        <v>95</v>
      </c>
      <c r="I8" s="118" t="s">
        <v>156</v>
      </c>
      <c r="J8" s="132">
        <v>650</v>
      </c>
      <c r="K8" s="132" t="str">
        <f>IF(J8="","",IF(J8&lt;=2,"Muy baja",IF(AND(J8&gt;2,J8&lt;=24),"Baja",IF(AND(J8&gt;24,J8&lt;=500),"Media",IF(AND(J8&gt;500,J8&lt;=5000),"Alta",IF(J8&gt;5000,"Muy alta",""))))))</f>
        <v>Alta</v>
      </c>
      <c r="L8" s="135">
        <f>IF(K8="","",IF(K8="Muy baja",20%,IF(K8="Baja",40%,IF(K8="Media",60%,IF(K8="Alta",80%,IF(K8="Muy Alta",100%,""))))))</f>
        <v>0.8</v>
      </c>
      <c r="M8" s="118" t="s">
        <v>121</v>
      </c>
      <c r="N8" s="118">
        <f>MATCH(M8,[1]Calculos!$P$2:$P$11,0)</f>
        <v>8</v>
      </c>
      <c r="O8" s="118" t="str">
        <f>LOOKUP(N8,[1]Calculos!$Q$2:$R$11)</f>
        <v>Moderado</v>
      </c>
      <c r="P8" s="135">
        <f>IF(O8="","",IF(O8="Leve",20%,IF(O8="Menor",40%,IF(O8="Moderado",60%,IF(O8="Mayor",80%,IF(O8="Catastrófico",100%,""))))))</f>
        <v>0.6</v>
      </c>
      <c r="Q8" s="132" t="s">
        <v>133</v>
      </c>
      <c r="R8" s="71">
        <v>1</v>
      </c>
      <c r="S8" s="67" t="s">
        <v>234</v>
      </c>
      <c r="T8" s="72" t="str">
        <f t="shared" si="2"/>
        <v>Probabilidad</v>
      </c>
      <c r="U8" s="73" t="s">
        <v>135</v>
      </c>
      <c r="V8" s="74">
        <f t="shared" si="0"/>
        <v>0.25</v>
      </c>
      <c r="W8" s="73" t="s">
        <v>141</v>
      </c>
      <c r="X8" s="74">
        <f t="shared" si="1"/>
        <v>0.25</v>
      </c>
      <c r="Y8" s="74">
        <f>V8+X8</f>
        <v>0.5</v>
      </c>
      <c r="Z8" s="73" t="s">
        <v>182</v>
      </c>
      <c r="AA8" s="73" t="s">
        <v>183</v>
      </c>
      <c r="AB8" s="73" t="s">
        <v>184</v>
      </c>
      <c r="AC8" s="73" t="str">
        <f t="shared" ref="AC8:AC12" si="6">IF(AD8="","",IF(AD8&lt;=20%,"Muy baja",IF(AND(AD8&gt;20%,AD8&lt;=40%),"Baja",IF(AND(AD8&gt;40%,AD8&lt;=60%),"Media",IF(AND(AD8&gt;60%,AD8&lt;=80%),"Alta",IF(AD8&gt;80%,"Muy alta",""))))))</f>
        <v>Muy baja</v>
      </c>
      <c r="AD8" s="80">
        <f>IF(U8="","",IF(U8="preventivo",$L$7-($L$7*Y8),IF(U8="detectivo",$L$7-($L$7*Y8),IF(U8="correctivo",$L$7,""))))</f>
        <v>0</v>
      </c>
      <c r="AE8" s="73" t="str">
        <f t="shared" si="5"/>
        <v>Leve</v>
      </c>
      <c r="AF8" s="80">
        <f>IF(U8="","",IF(U8="preventivo",$P$7,IF(U8="detectivo",$P$7,IF(U8="correctivo",$P$7-($P$7*Y8),""))))</f>
        <v>0</v>
      </c>
      <c r="AG8" s="72" t="str">
        <f>VLOOKUP(AC8,[1]Calculos!$V$2:$AA$7,MATCH([1]Riesgos!AE8,[1]Calculos!$V$2:$AA$2,0),FALSE)</f>
        <v>Moderado</v>
      </c>
      <c r="AH8" s="164" t="s">
        <v>186</v>
      </c>
      <c r="AI8" s="150" t="s">
        <v>239</v>
      </c>
      <c r="AJ8" s="167" t="s">
        <v>240</v>
      </c>
      <c r="AK8" s="169">
        <v>45291</v>
      </c>
      <c r="AL8" s="171" t="s">
        <v>241</v>
      </c>
      <c r="AM8" s="156" t="s">
        <v>242</v>
      </c>
    </row>
    <row r="9" spans="1:39" ht="63.75" customHeight="1" x14ac:dyDescent="0.25">
      <c r="A9" s="126"/>
      <c r="B9" s="119"/>
      <c r="C9" s="148"/>
      <c r="D9" s="193"/>
      <c r="E9" s="148"/>
      <c r="F9" s="148"/>
      <c r="G9" s="119"/>
      <c r="H9" s="119"/>
      <c r="I9" s="119"/>
      <c r="J9" s="133"/>
      <c r="K9" s="133"/>
      <c r="L9" s="136"/>
      <c r="M9" s="119"/>
      <c r="N9" s="119"/>
      <c r="O9" s="119"/>
      <c r="P9" s="136"/>
      <c r="Q9" s="133"/>
      <c r="R9" s="47">
        <v>2</v>
      </c>
      <c r="S9" s="59" t="s">
        <v>235</v>
      </c>
      <c r="T9" s="9" t="str">
        <f t="shared" si="2"/>
        <v>Probabilidad</v>
      </c>
      <c r="U9" s="50" t="s">
        <v>135</v>
      </c>
      <c r="V9" s="31">
        <f t="shared" si="0"/>
        <v>0.25</v>
      </c>
      <c r="W9" s="50" t="s">
        <v>143</v>
      </c>
      <c r="X9" s="31">
        <f t="shared" si="1"/>
        <v>0.15</v>
      </c>
      <c r="Y9" s="31">
        <f t="shared" ref="Y9:Y12" si="7">V9+X9</f>
        <v>0.4</v>
      </c>
      <c r="Z9" s="50" t="s">
        <v>182</v>
      </c>
      <c r="AA9" s="50" t="s">
        <v>183</v>
      </c>
      <c r="AB9" s="50" t="s">
        <v>184</v>
      </c>
      <c r="AC9" s="50" t="str">
        <f t="shared" si="6"/>
        <v>Muy baja</v>
      </c>
      <c r="AD9" s="32">
        <f>IF(U9="","",IF(U9="preventivo",$AD$7-($AD$7*Y9),IF(U9="detectivo",$AD$7-($AD$7*Y9),IF(U9="correctivo",$AD$7,""))))</f>
        <v>5.183999999999999E-2</v>
      </c>
      <c r="AE9" s="50" t="str">
        <f t="shared" si="5"/>
        <v>Catastrófico</v>
      </c>
      <c r="AF9" s="32">
        <f>IF(U9="","",IF(U9="preventivo",$AF$7,IF(U9="detectivo",$AF$7,IF(U9="correctivo",$AF$7-($AF$7*Y9),""))))</f>
        <v>1</v>
      </c>
      <c r="AG9" s="9" t="str">
        <f>VLOOKUP(AC9,[1]Calculos!$V$2:$AA$7,MATCH([1]Riesgos!AE9,[1]Calculos!$V$2:$AA$2,0),FALSE)</f>
        <v>Moderado</v>
      </c>
      <c r="AH9" s="165"/>
      <c r="AI9" s="197"/>
      <c r="AJ9" s="168"/>
      <c r="AK9" s="170"/>
      <c r="AL9" s="172"/>
      <c r="AM9" s="173"/>
    </row>
    <row r="10" spans="1:39" ht="68.25" customHeight="1" x14ac:dyDescent="0.25">
      <c r="A10" s="126"/>
      <c r="B10" s="119"/>
      <c r="C10" s="148"/>
      <c r="D10" s="193"/>
      <c r="E10" s="148"/>
      <c r="F10" s="148"/>
      <c r="G10" s="119"/>
      <c r="H10" s="119"/>
      <c r="I10" s="119"/>
      <c r="J10" s="133"/>
      <c r="K10" s="133"/>
      <c r="L10" s="136"/>
      <c r="M10" s="119"/>
      <c r="N10" s="119"/>
      <c r="O10" s="119"/>
      <c r="P10" s="136"/>
      <c r="Q10" s="133"/>
      <c r="R10" s="47">
        <v>3</v>
      </c>
      <c r="S10" s="59" t="s">
        <v>236</v>
      </c>
      <c r="T10" s="9" t="str">
        <f t="shared" si="2"/>
        <v>Probabilidad</v>
      </c>
      <c r="U10" s="50" t="s">
        <v>135</v>
      </c>
      <c r="V10" s="31">
        <f t="shared" si="0"/>
        <v>0.25</v>
      </c>
      <c r="W10" s="50" t="s">
        <v>143</v>
      </c>
      <c r="X10" s="31">
        <f t="shared" si="1"/>
        <v>0.15</v>
      </c>
      <c r="Y10" s="31">
        <f t="shared" si="7"/>
        <v>0.4</v>
      </c>
      <c r="Z10" s="50" t="s">
        <v>187</v>
      </c>
      <c r="AA10" s="50" t="s">
        <v>183</v>
      </c>
      <c r="AB10" s="50" t="s">
        <v>184</v>
      </c>
      <c r="AC10" s="50" t="str">
        <f t="shared" si="6"/>
        <v>Muy baja</v>
      </c>
      <c r="AD10" s="32">
        <f>IF(U10="","",IF(U10="preventivo",$AD$8-($AD$8*Y10),IF(U10="detectivo",$AD$8-($AD$8*Y10),IF(U10="correctivo",$AD$8,""))))</f>
        <v>0</v>
      </c>
      <c r="AE10" s="50" t="str">
        <f t="shared" si="5"/>
        <v>Leve</v>
      </c>
      <c r="AF10" s="32">
        <f>IF(U10="","",IF(U10="preventivo",$AF$8,IF(U10="detectivo",$AF$8,IF(U10="correctivo",$AF$8-($AF$8*Y10),""))))</f>
        <v>0</v>
      </c>
      <c r="AG10" s="9" t="str">
        <f>VLOOKUP(AC10,[1]Calculos!$V$2:$AA$7,MATCH([1]Riesgos!AE10,[1]Calculos!$V$2:$AA$2,0),FALSE)</f>
        <v>Moderado</v>
      </c>
      <c r="AH10" s="165"/>
      <c r="AI10" s="197"/>
      <c r="AJ10" s="168"/>
      <c r="AK10" s="170"/>
      <c r="AL10" s="172"/>
      <c r="AM10" s="173"/>
    </row>
    <row r="11" spans="1:39" ht="63.75" customHeight="1" x14ac:dyDescent="0.25">
      <c r="A11" s="126"/>
      <c r="B11" s="119"/>
      <c r="C11" s="148"/>
      <c r="D11" s="193"/>
      <c r="E11" s="148"/>
      <c r="F11" s="148"/>
      <c r="G11" s="119"/>
      <c r="H11" s="119"/>
      <c r="I11" s="119"/>
      <c r="J11" s="133"/>
      <c r="K11" s="133"/>
      <c r="L11" s="136"/>
      <c r="M11" s="119"/>
      <c r="N11" s="45"/>
      <c r="O11" s="119"/>
      <c r="P11" s="136"/>
      <c r="Q11" s="133"/>
      <c r="R11" s="47">
        <v>4</v>
      </c>
      <c r="S11" s="59" t="s">
        <v>237</v>
      </c>
      <c r="T11" s="9" t="str">
        <f t="shared" si="2"/>
        <v>Probabilidad</v>
      </c>
      <c r="U11" s="50" t="s">
        <v>137</v>
      </c>
      <c r="V11" s="31">
        <f t="shared" si="0"/>
        <v>0.15</v>
      </c>
      <c r="W11" s="50" t="s">
        <v>143</v>
      </c>
      <c r="X11" s="31">
        <f t="shared" si="1"/>
        <v>0.15</v>
      </c>
      <c r="Y11" s="31">
        <f t="shared" si="7"/>
        <v>0.3</v>
      </c>
      <c r="Z11" s="50" t="s">
        <v>187</v>
      </c>
      <c r="AA11" s="50" t="s">
        <v>183</v>
      </c>
      <c r="AB11" s="50" t="s">
        <v>184</v>
      </c>
      <c r="AC11" s="50" t="str">
        <f t="shared" si="6"/>
        <v>Muy baja</v>
      </c>
      <c r="AD11" s="32">
        <f>IF(U11="","",IF(U11="preventivo",$AD$9-($AD$9*Y11),IF(U11="detectivo",$AD$9-($AD$9*Y11),IF(U11="correctivo",$AD$9,""))))</f>
        <v>3.6287999999999994E-2</v>
      </c>
      <c r="AE11" s="50" t="str">
        <f t="shared" si="5"/>
        <v>Catastrófico</v>
      </c>
      <c r="AF11" s="32">
        <f>IF(U11="","",IF(U11="preventivo",$AF$9,IF(U11="detectivo",$AF$9,IF(U11="correctivo",$AF$9-($AF$9*Y11),""))))</f>
        <v>1</v>
      </c>
      <c r="AG11" s="9" t="str">
        <f>VLOOKUP(AC11,[1]Calculos!$V$2:$AA$7,MATCH([1]Riesgos!AE11,[1]Calculos!$V$2:$AA$2,0),FALSE)</f>
        <v>Moderado</v>
      </c>
      <c r="AH11" s="165"/>
      <c r="AI11" s="197"/>
      <c r="AJ11" s="168"/>
      <c r="AK11" s="170"/>
      <c r="AL11" s="172"/>
      <c r="AM11" s="173"/>
    </row>
    <row r="12" spans="1:39" ht="66.75" customHeight="1" thickBot="1" x14ac:dyDescent="0.3">
      <c r="A12" s="190"/>
      <c r="B12" s="191"/>
      <c r="C12" s="187"/>
      <c r="D12" s="194"/>
      <c r="E12" s="187"/>
      <c r="F12" s="187"/>
      <c r="G12" s="191"/>
      <c r="H12" s="191"/>
      <c r="I12" s="191"/>
      <c r="J12" s="195"/>
      <c r="K12" s="195"/>
      <c r="L12" s="196"/>
      <c r="M12" s="191"/>
      <c r="N12" s="85"/>
      <c r="O12" s="191"/>
      <c r="P12" s="196"/>
      <c r="Q12" s="195"/>
      <c r="R12" s="75">
        <v>5</v>
      </c>
      <c r="S12" s="70" t="s">
        <v>238</v>
      </c>
      <c r="T12" s="76" t="str">
        <f t="shared" si="2"/>
        <v>Impacto</v>
      </c>
      <c r="U12" s="77" t="s">
        <v>138</v>
      </c>
      <c r="V12" s="78">
        <f t="shared" si="0"/>
        <v>0.1</v>
      </c>
      <c r="W12" s="77" t="s">
        <v>143</v>
      </c>
      <c r="X12" s="78">
        <f t="shared" si="1"/>
        <v>0.15</v>
      </c>
      <c r="Y12" s="78">
        <f t="shared" si="7"/>
        <v>0.25</v>
      </c>
      <c r="Z12" s="77" t="s">
        <v>182</v>
      </c>
      <c r="AA12" s="77" t="s">
        <v>183</v>
      </c>
      <c r="AB12" s="77" t="s">
        <v>184</v>
      </c>
      <c r="AC12" s="77" t="str">
        <f t="shared" si="6"/>
        <v>Muy baja</v>
      </c>
      <c r="AD12" s="79">
        <f>IF(U12="","",IF(U12="preventivo",$AD$10-($AD$10*Y12),IF(U12="detectivo",$AD$10-($AD$10*Y12),IF(U12="correctivo",$AD$10,""))))</f>
        <v>0</v>
      </c>
      <c r="AE12" s="77" t="str">
        <f t="shared" si="5"/>
        <v>Leve</v>
      </c>
      <c r="AF12" s="79">
        <f>IF(U12="","",IF(U12="preventivo",$AF$10,IF(U12="detectivo",$AF$10,IF(U12="correctivo",$AF$10-($AF$10*Y12),""))))</f>
        <v>0</v>
      </c>
      <c r="AG12" s="76" t="str">
        <f>VLOOKUP(AC12,[1]Calculos!$V$2:$AA$7,MATCH([1]Riesgos!AE12,[1]Calculos!$V$2:$AA$2,0),FALSE)</f>
        <v>Moderado</v>
      </c>
      <c r="AH12" s="165"/>
      <c r="AI12" s="197"/>
      <c r="AJ12" s="168"/>
      <c r="AK12" s="170"/>
      <c r="AL12" s="172"/>
      <c r="AM12" s="173"/>
    </row>
    <row r="13" spans="1:39" ht="90.75" customHeight="1" x14ac:dyDescent="0.25">
      <c r="A13" s="266" t="s">
        <v>243</v>
      </c>
      <c r="B13" s="171" t="s">
        <v>86</v>
      </c>
      <c r="C13" s="154" t="s">
        <v>244</v>
      </c>
      <c r="D13" s="154" t="s">
        <v>245</v>
      </c>
      <c r="E13" s="154" t="s">
        <v>246</v>
      </c>
      <c r="F13" s="154" t="s">
        <v>247</v>
      </c>
      <c r="G13" s="171" t="s">
        <v>59</v>
      </c>
      <c r="H13" s="171" t="s">
        <v>95</v>
      </c>
      <c r="I13" s="171" t="s">
        <v>155</v>
      </c>
      <c r="J13" s="255">
        <v>975</v>
      </c>
      <c r="K13" s="228" t="str">
        <f>IF(J13="","",IF(J13&lt;=2,"Muy baja",IF(AND(J13&gt;2,J13&lt;=24),"Baja",IF(AND(J13&gt;24,J13&lt;=500),"Media",IF(AND(J13&gt;500,J13&lt;=5000),"Alta",IF(J13&gt;5000,"Muy alta",""))))))</f>
        <v>Alta</v>
      </c>
      <c r="L13" s="135">
        <f>IF(K13="","",IF(K13="Muy baja",20%,IF(K13="Baja",40%,IF(K13="Media",60%,IF(K13="Alta",80%,IF(K13="Muy Alta",100%,""))))))</f>
        <v>0.8</v>
      </c>
      <c r="M13" s="171" t="s">
        <v>121</v>
      </c>
      <c r="N13" s="118">
        <f>MATCH(M13,[2]Calculos!$P$2:$P$11,0)</f>
        <v>8</v>
      </c>
      <c r="O13" s="118" t="str">
        <f>LOOKUP(N13,[2]Calculos!$Q$2:$R$11)</f>
        <v>Moderado</v>
      </c>
      <c r="P13" s="135">
        <f>IF(O13="","",IF(O13="Leve",20%,IF(O13="Menor",40%,IF(O13="Moderado",60%,IF(O13="Mayor",80%,IF(O13="Catastrófico",100%,""))))))</f>
        <v>0.6</v>
      </c>
      <c r="Q13" s="132" t="s">
        <v>133</v>
      </c>
      <c r="R13" s="71">
        <v>1</v>
      </c>
      <c r="S13" s="67" t="s">
        <v>248</v>
      </c>
      <c r="T13" s="72" t="str">
        <f>IF(U13="","",IF(U13="Preventivo","Probabilidad",IF(U13="Detectivo","Probabilidad",IF(U13="Correctivo","Impacto",""))))</f>
        <v>Probabilidad</v>
      </c>
      <c r="U13" s="87" t="s">
        <v>135</v>
      </c>
      <c r="V13" s="88">
        <f t="shared" si="0"/>
        <v>0.25</v>
      </c>
      <c r="W13" s="87" t="s">
        <v>143</v>
      </c>
      <c r="X13" s="88">
        <f t="shared" si="1"/>
        <v>0.15</v>
      </c>
      <c r="Y13" s="88">
        <f>V13+X13</f>
        <v>0.4</v>
      </c>
      <c r="Z13" s="87" t="s">
        <v>187</v>
      </c>
      <c r="AA13" s="87" t="s">
        <v>183</v>
      </c>
      <c r="AB13" s="87" t="s">
        <v>184</v>
      </c>
      <c r="AC13" s="87" t="str">
        <f t="shared" ref="AC13:AC19" si="8">IF(AD13="","",IF(AD13&lt;=20%,"Muy baja",IF(AND(AD13&gt;20%,AD13&lt;=40%),"Baja",IF(AND(AD13&gt;40%,AD13&lt;=60%),"Media",IF(AND(AD13&gt;60%,AD13&lt;=80%),"Alta",IF(AD13&gt;80%,"Muy alta",""))))))</f>
        <v>Media</v>
      </c>
      <c r="AD13" s="89">
        <f>IF(U13="","",IF(U13="preventivo",$L$13-($L$13*Y13),IF(U13="detectivo",$L$13-($L$13*Y13),IF(U13="correctivo",$L$13,""))))</f>
        <v>0.48</v>
      </c>
      <c r="AE13" s="87" t="str">
        <f>IF(AF13="","",IF(AF13&lt;=20%,"Leve",IF(AND(AF13&gt;20%,AF13&lt;=40%),"Menor",IF(AND(AF13&gt;40%,AF13&lt;=60%),"Moderado",IF(AND(AF13&gt;60%,AF13&lt;=80%),"Mayor",IF(AF13&gt;80%,"Catastrófico",""))))))</f>
        <v>Moderado</v>
      </c>
      <c r="AF13" s="89">
        <f>IF(U13="","",IF(U13="preventivo",$P$13,IF(U13="detectivo",$P$13,IF(U13="correctivo",$P$13-($P$13*Y13),""))))</f>
        <v>0.6</v>
      </c>
      <c r="AG13" s="84" t="str">
        <f>VLOOKUP(AC13,[3]Calculos!$V$2:$AA$7,MATCH([3]Riesgos!AE13,[3]Calculos!$V$2:$AA$2,0),FALSE)</f>
        <v>Moderado</v>
      </c>
      <c r="AH13" s="164" t="s">
        <v>210</v>
      </c>
      <c r="AI13" s="154" t="s">
        <v>252</v>
      </c>
      <c r="AJ13" s="171" t="s">
        <v>253</v>
      </c>
      <c r="AK13" s="174">
        <v>45291</v>
      </c>
      <c r="AL13" s="154" t="s">
        <v>254</v>
      </c>
      <c r="AM13" s="156" t="s">
        <v>255</v>
      </c>
    </row>
    <row r="14" spans="1:39" ht="90.75" customHeight="1" x14ac:dyDescent="0.25">
      <c r="A14" s="267"/>
      <c r="B14" s="172"/>
      <c r="C14" s="247"/>
      <c r="D14" s="247"/>
      <c r="E14" s="247"/>
      <c r="F14" s="247"/>
      <c r="G14" s="172"/>
      <c r="H14" s="172"/>
      <c r="I14" s="172"/>
      <c r="J14" s="256"/>
      <c r="K14" s="262"/>
      <c r="L14" s="263"/>
      <c r="M14" s="172"/>
      <c r="N14" s="264"/>
      <c r="O14" s="264"/>
      <c r="P14" s="263"/>
      <c r="Q14" s="265"/>
      <c r="R14" s="47">
        <v>2</v>
      </c>
      <c r="S14" s="59" t="s">
        <v>249</v>
      </c>
      <c r="T14" s="9" t="str">
        <f t="shared" ref="T14:T16" si="9">IF(U14="","",IF(U14="Preventivo","Probabilidad",IF(U14="Detectivo","Probabilidad",IF(U14="Correctivo","Impacto",""))))</f>
        <v>Probabilidad</v>
      </c>
      <c r="U14" s="50" t="s">
        <v>135</v>
      </c>
      <c r="V14" s="31">
        <f t="shared" si="0"/>
        <v>0.25</v>
      </c>
      <c r="W14" s="50" t="s">
        <v>143</v>
      </c>
      <c r="X14" s="31">
        <f t="shared" si="1"/>
        <v>0.15</v>
      </c>
      <c r="Y14" s="31">
        <f t="shared" ref="Y14:Y16" si="10">V14+X14</f>
        <v>0.4</v>
      </c>
      <c r="Z14" s="50" t="s">
        <v>187</v>
      </c>
      <c r="AA14" s="50" t="s">
        <v>183</v>
      </c>
      <c r="AB14" s="50" t="s">
        <v>184</v>
      </c>
      <c r="AC14" s="50" t="str">
        <f t="shared" si="8"/>
        <v>Media</v>
      </c>
      <c r="AD14" s="32">
        <f>IF(U14="","",IF(U14="preventivo",$L$13-($L$13*Y14),IF(U14="detectivo",$L$13-($L$13*Y14),IF(U14="correctivo",$L$13,""))))</f>
        <v>0.48</v>
      </c>
      <c r="AE14" s="50" t="str">
        <f t="shared" ref="AE14:AE16" si="11">IF(AF14="","",IF(AF14&lt;=20%,"Leve",IF(AND(AF14&gt;20%,AF14&lt;=40%),"Menor",IF(AND(AF14&gt;40%,AF14&lt;=60%),"Moderado",IF(AND(AF14&gt;60%,AF14&lt;=80%),"Mayor",IF(AF14&gt;80%,"Catastrófico",""))))))</f>
        <v>Moderado</v>
      </c>
      <c r="AF14" s="32">
        <f>IF(U14="","",IF(U14="preventivo",$P$13,IF(U14="detectivo",$P$13,IF(U14="correctivo",$P$13-($P$13*Y14),""))))</f>
        <v>0.6</v>
      </c>
      <c r="AG14" s="9" t="str">
        <f>VLOOKUP(AC14,[1]Calculos!$V$2:$AA$7,MATCH([1]Riesgos!AE14,[1]Calculos!$V$2:$AA$2,0),FALSE)</f>
        <v>Moderado</v>
      </c>
      <c r="AH14" s="165"/>
      <c r="AI14" s="247"/>
      <c r="AJ14" s="172"/>
      <c r="AK14" s="175"/>
      <c r="AL14" s="258"/>
      <c r="AM14" s="260"/>
    </row>
    <row r="15" spans="1:39" ht="90.75" customHeight="1" x14ac:dyDescent="0.25">
      <c r="A15" s="267"/>
      <c r="B15" s="172"/>
      <c r="C15" s="247"/>
      <c r="D15" s="247"/>
      <c r="E15" s="247"/>
      <c r="F15" s="247"/>
      <c r="G15" s="172"/>
      <c r="H15" s="172"/>
      <c r="I15" s="172"/>
      <c r="J15" s="256"/>
      <c r="K15" s="262"/>
      <c r="L15" s="263"/>
      <c r="M15" s="172"/>
      <c r="N15" s="264"/>
      <c r="O15" s="264"/>
      <c r="P15" s="263"/>
      <c r="Q15" s="265"/>
      <c r="R15" s="47">
        <v>3</v>
      </c>
      <c r="S15" s="70" t="s">
        <v>250</v>
      </c>
      <c r="T15" s="9" t="str">
        <f t="shared" si="9"/>
        <v>Probabilidad</v>
      </c>
      <c r="U15" s="50" t="s">
        <v>135</v>
      </c>
      <c r="V15" s="31">
        <f t="shared" si="0"/>
        <v>0.25</v>
      </c>
      <c r="W15" s="50" t="s">
        <v>143</v>
      </c>
      <c r="X15" s="31">
        <f t="shared" si="1"/>
        <v>0.15</v>
      </c>
      <c r="Y15" s="31">
        <f t="shared" si="10"/>
        <v>0.4</v>
      </c>
      <c r="Z15" s="50" t="s">
        <v>187</v>
      </c>
      <c r="AA15" s="50" t="s">
        <v>183</v>
      </c>
      <c r="AB15" s="50" t="s">
        <v>184</v>
      </c>
      <c r="AC15" s="50" t="str">
        <f t="shared" si="8"/>
        <v>Media</v>
      </c>
      <c r="AD15" s="32">
        <f>IF(U15="","",IF(U15="preventivo",$L$13-($L$13*Y15),IF(U15="detectivo",$L$13-($L$13*Y15),IF(U15="correctivo",$L$13,""))))</f>
        <v>0.48</v>
      </c>
      <c r="AE15" s="50" t="str">
        <f t="shared" si="11"/>
        <v>Moderado</v>
      </c>
      <c r="AF15" s="32">
        <f>IF(U15="","",IF(U15="preventivo",$P$13,IF(U15="detectivo",$P$13,IF(U15="correctivo",$P$13-($P$13*Y15),""))))</f>
        <v>0.6</v>
      </c>
      <c r="AG15" s="9" t="str">
        <f>VLOOKUP(AC15,[1]Calculos!$V$2:$AA$7,MATCH([1]Riesgos!AE15,[1]Calculos!$V$2:$AA$2,0),FALSE)</f>
        <v>Moderado</v>
      </c>
      <c r="AH15" s="165"/>
      <c r="AI15" s="247"/>
      <c r="AJ15" s="172"/>
      <c r="AK15" s="175"/>
      <c r="AL15" s="258"/>
      <c r="AM15" s="260"/>
    </row>
    <row r="16" spans="1:39" ht="78.75" customHeight="1" thickBot="1" x14ac:dyDescent="0.3">
      <c r="A16" s="268"/>
      <c r="B16" s="153"/>
      <c r="C16" s="155"/>
      <c r="D16" s="155"/>
      <c r="E16" s="155"/>
      <c r="F16" s="155"/>
      <c r="G16" s="153"/>
      <c r="H16" s="153"/>
      <c r="I16" s="153"/>
      <c r="J16" s="257"/>
      <c r="K16" s="230"/>
      <c r="L16" s="137"/>
      <c r="M16" s="153"/>
      <c r="N16" s="128"/>
      <c r="O16" s="128"/>
      <c r="P16" s="137"/>
      <c r="Q16" s="134"/>
      <c r="R16" s="48">
        <v>4</v>
      </c>
      <c r="S16" s="61" t="s">
        <v>251</v>
      </c>
      <c r="T16" s="93" t="str">
        <f t="shared" si="9"/>
        <v>Probabilidad</v>
      </c>
      <c r="U16" s="90" t="s">
        <v>135</v>
      </c>
      <c r="V16" s="91">
        <f t="shared" si="0"/>
        <v>0.25</v>
      </c>
      <c r="W16" s="90" t="s">
        <v>143</v>
      </c>
      <c r="X16" s="91">
        <f t="shared" si="1"/>
        <v>0.15</v>
      </c>
      <c r="Y16" s="91">
        <f t="shared" si="10"/>
        <v>0.4</v>
      </c>
      <c r="Z16" s="90" t="s">
        <v>182</v>
      </c>
      <c r="AA16" s="90" t="s">
        <v>183</v>
      </c>
      <c r="AB16" s="90" t="s">
        <v>184</v>
      </c>
      <c r="AC16" s="90" t="str">
        <f t="shared" si="8"/>
        <v>Muy baja</v>
      </c>
      <c r="AD16" s="92">
        <f>IF(U16="","",IF(U16="preventivo",$AD$9-($AD$9*Y16),IF(U16="detectivo",$AD$9-($AD$9*Y16),IF(U16="correctivo",$AD$9,""))))</f>
        <v>3.1103999999999993E-2</v>
      </c>
      <c r="AE16" s="90" t="str">
        <f t="shared" si="11"/>
        <v>Catastrófico</v>
      </c>
      <c r="AF16" s="92">
        <f>IF(U16="","",IF(U16="preventivo",$AF$9,IF(U16="detectivo",$AF$9,IF(U16="correctivo",$AF$9-($AF$9*Y16),""))))</f>
        <v>1</v>
      </c>
      <c r="AG16" s="33" t="str">
        <f>VLOOKUP(AC16,[1]Calculos!$V$2:$AA$7,MATCH([1]Riesgos!AE16,[1]Calculos!$V$2:$AA$2,0),FALSE)</f>
        <v>Moderado</v>
      </c>
      <c r="AH16" s="166"/>
      <c r="AI16" s="155"/>
      <c r="AJ16" s="153"/>
      <c r="AK16" s="176"/>
      <c r="AL16" s="259"/>
      <c r="AM16" s="261"/>
    </row>
    <row r="17" spans="1:39" ht="78.75" customHeight="1" x14ac:dyDescent="0.25">
      <c r="A17" s="177" t="s">
        <v>256</v>
      </c>
      <c r="B17" s="118" t="s">
        <v>87</v>
      </c>
      <c r="C17" s="147" t="s">
        <v>257</v>
      </c>
      <c r="D17" s="147" t="s">
        <v>258</v>
      </c>
      <c r="E17" s="147" t="s">
        <v>259</v>
      </c>
      <c r="F17" s="147" t="s">
        <v>260</v>
      </c>
      <c r="G17" s="118" t="s">
        <v>59</v>
      </c>
      <c r="H17" s="118" t="s">
        <v>90</v>
      </c>
      <c r="I17" s="118" t="s">
        <v>156</v>
      </c>
      <c r="J17" s="132">
        <v>100</v>
      </c>
      <c r="K17" s="132" t="str">
        <f>IF(J17="","",IF(J17&lt;=2,"Muy baja",IF(AND(J17&gt;2,J17&lt;=24),"Baja",IF(AND(J17&gt;24,J17&lt;=500),"Media",IF(AND(J17&gt;500,J17&lt;=5000),"Alta",IF(J17&gt;5000,"Muy alta",""))))))</f>
        <v>Media</v>
      </c>
      <c r="L17" s="135">
        <f>IF(K17="","",IF(K17="Muy baja",20%,IF(K17="Baja",40%,IF(K17="Media",60%,IF(K17="Alta",80%,IF(K17="Muy Alta",100%,""))))))</f>
        <v>0.6</v>
      </c>
      <c r="M17" s="118" t="s">
        <v>123</v>
      </c>
      <c r="N17" s="118">
        <f>MATCH(M17,[4]Hoja2!$P$2:$P$11,0)</f>
        <v>10</v>
      </c>
      <c r="O17" s="118" t="str">
        <f>LOOKUP(N17,[4]Hoja2!$Q$2:$R$11)</f>
        <v>Catastrófico</v>
      </c>
      <c r="P17" s="135">
        <f>IF(O17="","",IF(O17="Leve",20%,IF(O17="Menor",40%,IF(O17="Moderado",60%,IF(O17="Mayor",80%,IF(O17="Catastrófico",100%,""))))))</f>
        <v>1</v>
      </c>
      <c r="Q17" s="132" t="s">
        <v>132</v>
      </c>
      <c r="R17" s="71">
        <v>1</v>
      </c>
      <c r="S17" s="67" t="s">
        <v>261</v>
      </c>
      <c r="T17" s="72" t="str">
        <f>IF(U17="","",IF(U17="Preventivo","Probabilidad",IF(U17="Detectivo","Probabilidad",IF(U17="Correctivo","Impacto",""))))</f>
        <v>Probabilidad</v>
      </c>
      <c r="U17" s="96" t="s">
        <v>135</v>
      </c>
      <c r="V17" s="97">
        <f t="shared" si="0"/>
        <v>0.25</v>
      </c>
      <c r="W17" s="96" t="s">
        <v>143</v>
      </c>
      <c r="X17" s="97">
        <f t="shared" si="1"/>
        <v>0.15</v>
      </c>
      <c r="Y17" s="97">
        <f>V17+X17</f>
        <v>0.4</v>
      </c>
      <c r="Z17" s="96" t="s">
        <v>182</v>
      </c>
      <c r="AA17" s="96" t="s">
        <v>183</v>
      </c>
      <c r="AB17" s="96" t="s">
        <v>184</v>
      </c>
      <c r="AC17" s="73" t="str">
        <f t="shared" si="8"/>
        <v>Media</v>
      </c>
      <c r="AD17" s="80">
        <f>IF(U17="","",IF(U17="preventivo",$L$8-($L$8*Y17),IF(U17="detectivo",$L$8-($L$8*Y17),IF(U17="correctivo",$L$8,""))))</f>
        <v>0.48</v>
      </c>
      <c r="AE17" s="73" t="str">
        <f>IF(AF17="","",IF(AF17&lt;=20%,"Leve",IF(AND(AF17&gt;20%,AF17&lt;=40%),"Menor",IF(AND(AF17&gt;40%,AF17&lt;=60%),"Moderado",IF(AND(AF17&gt;60%,AF17&lt;=80%),"Mayor",IF(AF17&gt;80%,"Catastrófico",""))))))</f>
        <v>Moderado</v>
      </c>
      <c r="AF17" s="80">
        <f>IF(U17="","",IF(U17="preventivo",$P$8,IF(U17="detectivo",$P$8,IF(U17="correctivo",$P$8-($P$8*Y17),""))))</f>
        <v>0.6</v>
      </c>
      <c r="AG17" s="72" t="str">
        <f>VLOOKUP(AC17,Calculos!$V$2:$AA$7,MATCH(Riesgos!AE17,Calculos!$V$2:$AA$2,0),FALSE)</f>
        <v>Moderado</v>
      </c>
      <c r="AH17" s="120" t="s">
        <v>196</v>
      </c>
      <c r="AI17" s="179" t="s">
        <v>263</v>
      </c>
      <c r="AJ17" s="150" t="s">
        <v>264</v>
      </c>
      <c r="AK17" s="152">
        <v>45261</v>
      </c>
      <c r="AL17" s="154" t="s">
        <v>265</v>
      </c>
      <c r="AM17" s="156" t="s">
        <v>266</v>
      </c>
    </row>
    <row r="18" spans="1:39" ht="78.75" customHeight="1" thickBot="1" x14ac:dyDescent="0.3">
      <c r="A18" s="178"/>
      <c r="B18" s="128"/>
      <c r="C18" s="149"/>
      <c r="D18" s="149"/>
      <c r="E18" s="149"/>
      <c r="F18" s="149"/>
      <c r="G18" s="128"/>
      <c r="H18" s="128"/>
      <c r="I18" s="128"/>
      <c r="J18" s="134"/>
      <c r="K18" s="134"/>
      <c r="L18" s="137"/>
      <c r="M18" s="128"/>
      <c r="N18" s="128"/>
      <c r="O18" s="128"/>
      <c r="P18" s="137"/>
      <c r="Q18" s="134"/>
      <c r="R18" s="48">
        <v>2</v>
      </c>
      <c r="S18" s="98" t="s">
        <v>262</v>
      </c>
      <c r="T18" s="93" t="str">
        <f>IF(U18="","",IF(U18="Preventivo","Probabilidad",IF(U18="Detectivo","Probabilidad",IF(U18="Correctivo","Impacto",""))))</f>
        <v>Probabilidad</v>
      </c>
      <c r="U18" s="99" t="s">
        <v>135</v>
      </c>
      <c r="V18" s="100">
        <f t="shared" si="0"/>
        <v>0.25</v>
      </c>
      <c r="W18" s="99" t="s">
        <v>143</v>
      </c>
      <c r="X18" s="100">
        <f t="shared" si="1"/>
        <v>0.15</v>
      </c>
      <c r="Y18" s="100">
        <f>V18+X18</f>
        <v>0.4</v>
      </c>
      <c r="Z18" s="99" t="s">
        <v>182</v>
      </c>
      <c r="AA18" s="99" t="s">
        <v>183</v>
      </c>
      <c r="AB18" s="99" t="s">
        <v>184</v>
      </c>
      <c r="AC18" s="90" t="str">
        <f t="shared" si="8"/>
        <v>Media</v>
      </c>
      <c r="AD18" s="92">
        <f>IF(U18="","",IF(U18="preventivo",$L$8-($L$8*Y18),IF(U18="detectivo",$L$8-($L$8*Y18),IF(U18="correctivo",$L$8,""))))</f>
        <v>0.48</v>
      </c>
      <c r="AE18" s="90" t="str">
        <f>IF(AF18="","",IF(AF18&lt;=20%,"Leve",IF(AND(AF18&gt;20%,AF18&lt;=40%),"Menor",IF(AND(AF18&gt;40%,AF18&lt;=60%),"Moderado",IF(AND(AF18&gt;60%,AF18&lt;=80%),"Mayor",IF(AF18&gt;80%,"Catastrófico",""))))))</f>
        <v>Moderado</v>
      </c>
      <c r="AF18" s="92">
        <f>IF(U18="","",IF(U18="preventivo",$P$8,IF(U18="detectivo",$P$8,IF(U18="correctivo",$P$8-($P$8*Y18),""))))</f>
        <v>0.6</v>
      </c>
      <c r="AG18" s="93" t="str">
        <f>VLOOKUP(AC18,Calculos!$V$2:$AA$7,MATCH(Riesgos!AE18,Calculos!$V$2:$AA$2,0),FALSE)</f>
        <v>Moderado</v>
      </c>
      <c r="AH18" s="122"/>
      <c r="AI18" s="180"/>
      <c r="AJ18" s="151"/>
      <c r="AK18" s="153"/>
      <c r="AL18" s="155"/>
      <c r="AM18" s="157"/>
    </row>
    <row r="19" spans="1:39" ht="74.25" customHeight="1" x14ac:dyDescent="0.25">
      <c r="A19" s="125" t="s">
        <v>205</v>
      </c>
      <c r="B19" s="118" t="s">
        <v>86</v>
      </c>
      <c r="C19" s="147" t="s">
        <v>206</v>
      </c>
      <c r="D19" s="147" t="s">
        <v>207</v>
      </c>
      <c r="E19" s="147" t="s">
        <v>208</v>
      </c>
      <c r="F19" s="147" t="s">
        <v>267</v>
      </c>
      <c r="G19" s="118" t="s">
        <v>59</v>
      </c>
      <c r="H19" s="118" t="s">
        <v>188</v>
      </c>
      <c r="I19" s="118" t="s">
        <v>155</v>
      </c>
      <c r="J19" s="132">
        <v>24</v>
      </c>
      <c r="K19" s="132" t="str">
        <f>IF(J19="","",IF(J19&lt;=2,"Muy baja",IF(AND(J19&gt;2,J19&lt;=24),"Baja",IF(AND(J19&gt;24,J19&lt;=500),"Media",IF(AND(J19&gt;500,J19&lt;=5000),"Alta",IF(J19&gt;5000,"Muy alta",""))))))</f>
        <v>Baja</v>
      </c>
      <c r="L19" s="135">
        <f>IF(K19="","",IF(K19="Muy baja",20%,IF(K19="Baja",40%,IF(K19="Media",60%,IF(K19="Alta",80%,IF(K19="Muy Alta",100%,""))))))</f>
        <v>0.4</v>
      </c>
      <c r="M19" s="118" t="s">
        <v>122</v>
      </c>
      <c r="N19" s="95">
        <f>MATCH(M19,[5]Calculos!$P$2:$P$11,0)</f>
        <v>9</v>
      </c>
      <c r="O19" s="118" t="str">
        <f>LOOKUP(N19,[5]Calculos!$Q$2:$R$11)</f>
        <v>Mayor</v>
      </c>
      <c r="P19" s="135">
        <f>IF(O19="","",IF(O19="Leve",20%,IF(O19="Menor",40%,IF(O19="Moderado",60%,IF(O19="Mayor",80%,IF(O19="Catastrófico",100%,""))))))</f>
        <v>0.8</v>
      </c>
      <c r="Q19" s="132" t="s">
        <v>133</v>
      </c>
      <c r="R19" s="132">
        <v>1</v>
      </c>
      <c r="S19" s="147" t="s">
        <v>209</v>
      </c>
      <c r="T19" s="132" t="str">
        <f t="shared" ref="T19" si="12">IF(U19="","",IF(U19="Preventivo","Probabilidad",IF(U19="Detectivo","Probabilidad",IF(U19="Correctivo","Impacto",""))))</f>
        <v>Probabilidad</v>
      </c>
      <c r="U19" s="120" t="s">
        <v>135</v>
      </c>
      <c r="V19" s="158">
        <f t="shared" si="0"/>
        <v>0.25</v>
      </c>
      <c r="W19" s="120" t="s">
        <v>143</v>
      </c>
      <c r="X19" s="158">
        <f t="shared" si="1"/>
        <v>0.15</v>
      </c>
      <c r="Y19" s="158">
        <f>V19+X19</f>
        <v>0.4</v>
      </c>
      <c r="Z19" s="120" t="s">
        <v>187</v>
      </c>
      <c r="AA19" s="120" t="s">
        <v>183</v>
      </c>
      <c r="AB19" s="120" t="s">
        <v>184</v>
      </c>
      <c r="AC19" s="120" t="str">
        <f t="shared" si="8"/>
        <v>Baja</v>
      </c>
      <c r="AD19" s="161">
        <f>IF(U19="","",IF(U19="preventivo",$L$19-($L$19*Y19),IF(U19="detectivo",$L$19-($L$19*Y19),IF(U19="correctivo",$L$19,""))))</f>
        <v>0.24</v>
      </c>
      <c r="AE19" s="164" t="str">
        <f t="shared" ref="AE19" si="13">IF(AF19="","",IF(AF19&lt;=20%,"Leve",IF(AND(AF19&gt;20%,AF19&lt;=40%),"Menor",IF(AND(AF19&gt;40%,AF19&lt;=60%),"Moderado",IF(AND(AF19&gt;60%,AF19&lt;=80%),"Mayor",IF(AF19&gt;80%,"Catastrófico",""))))))</f>
        <v>Mayor</v>
      </c>
      <c r="AF19" s="161">
        <f>IF(U19="","",IF(U19="preventivo",$P$19,IF(U19="detectivo",$P$19,IF(U19="correctivo",$P$19-($P$19*Y19),""))))</f>
        <v>0.8</v>
      </c>
      <c r="AG19" s="132" t="s">
        <v>133</v>
      </c>
      <c r="AH19" s="120" t="s">
        <v>186</v>
      </c>
      <c r="AI19" s="67" t="s">
        <v>268</v>
      </c>
      <c r="AJ19" s="67" t="s">
        <v>189</v>
      </c>
      <c r="AK19" s="107">
        <v>45291</v>
      </c>
      <c r="AL19" s="67" t="s">
        <v>269</v>
      </c>
      <c r="AM19" s="104" t="s">
        <v>270</v>
      </c>
    </row>
    <row r="20" spans="1:39" ht="111" customHeight="1" x14ac:dyDescent="0.25">
      <c r="A20" s="126"/>
      <c r="B20" s="119"/>
      <c r="C20" s="148"/>
      <c r="D20" s="148"/>
      <c r="E20" s="148"/>
      <c r="F20" s="148"/>
      <c r="G20" s="119"/>
      <c r="H20" s="119"/>
      <c r="I20" s="119"/>
      <c r="J20" s="133"/>
      <c r="K20" s="133"/>
      <c r="L20" s="136"/>
      <c r="M20" s="119"/>
      <c r="N20" s="21"/>
      <c r="O20" s="119"/>
      <c r="P20" s="136"/>
      <c r="Q20" s="133"/>
      <c r="R20" s="133"/>
      <c r="S20" s="148"/>
      <c r="T20" s="133"/>
      <c r="U20" s="121"/>
      <c r="V20" s="159"/>
      <c r="W20" s="121"/>
      <c r="X20" s="159"/>
      <c r="Y20" s="159"/>
      <c r="Z20" s="121"/>
      <c r="AA20" s="121"/>
      <c r="AB20" s="121"/>
      <c r="AC20" s="121"/>
      <c r="AD20" s="162"/>
      <c r="AE20" s="165"/>
      <c r="AF20" s="162"/>
      <c r="AG20" s="133"/>
      <c r="AH20" s="121"/>
      <c r="AI20" s="59" t="s">
        <v>271</v>
      </c>
      <c r="AJ20" s="59" t="s">
        <v>189</v>
      </c>
      <c r="AK20" s="105">
        <v>45291</v>
      </c>
      <c r="AL20" s="59" t="s">
        <v>272</v>
      </c>
      <c r="AM20" s="44" t="s">
        <v>273</v>
      </c>
    </row>
    <row r="21" spans="1:39" ht="135" customHeight="1" thickBot="1" x14ac:dyDescent="0.3">
      <c r="A21" s="127"/>
      <c r="B21" s="128"/>
      <c r="C21" s="149"/>
      <c r="D21" s="149"/>
      <c r="E21" s="149"/>
      <c r="F21" s="149"/>
      <c r="G21" s="128"/>
      <c r="H21" s="128"/>
      <c r="I21" s="128"/>
      <c r="J21" s="134"/>
      <c r="K21" s="134"/>
      <c r="L21" s="137"/>
      <c r="M21" s="128"/>
      <c r="N21" s="101"/>
      <c r="O21" s="128"/>
      <c r="P21" s="137"/>
      <c r="Q21" s="134"/>
      <c r="R21" s="134"/>
      <c r="S21" s="149"/>
      <c r="T21" s="134"/>
      <c r="U21" s="122"/>
      <c r="V21" s="160"/>
      <c r="W21" s="122"/>
      <c r="X21" s="160"/>
      <c r="Y21" s="160"/>
      <c r="Z21" s="122"/>
      <c r="AA21" s="122"/>
      <c r="AB21" s="122"/>
      <c r="AC21" s="122"/>
      <c r="AD21" s="163"/>
      <c r="AE21" s="166"/>
      <c r="AF21" s="163"/>
      <c r="AG21" s="134"/>
      <c r="AH21" s="122"/>
      <c r="AI21" s="61" t="s">
        <v>274</v>
      </c>
      <c r="AJ21" s="61" t="s">
        <v>189</v>
      </c>
      <c r="AK21" s="108">
        <v>45291</v>
      </c>
      <c r="AL21" s="61" t="s">
        <v>275</v>
      </c>
      <c r="AM21" s="106" t="s">
        <v>276</v>
      </c>
    </row>
    <row r="22" spans="1:39" ht="111.75" customHeight="1" x14ac:dyDescent="0.25">
      <c r="A22" s="244" t="s">
        <v>190</v>
      </c>
      <c r="B22" s="171" t="s">
        <v>86</v>
      </c>
      <c r="C22" s="154" t="s">
        <v>191</v>
      </c>
      <c r="D22" s="154" t="s">
        <v>192</v>
      </c>
      <c r="E22" s="154"/>
      <c r="F22" s="248" t="s">
        <v>193</v>
      </c>
      <c r="G22" s="171" t="s">
        <v>59</v>
      </c>
      <c r="H22" s="171" t="s">
        <v>95</v>
      </c>
      <c r="I22" s="154" t="s">
        <v>155</v>
      </c>
      <c r="J22" s="295">
        <v>261</v>
      </c>
      <c r="K22" s="132" t="str">
        <f>IF(J22="","",IF(J22&lt;=2,"Muy baja",IF(AND(J22&gt;2,J22&lt;=24),"Baja",IF(AND(J22&gt;24,J22&lt;=500),"Media",IF(AND(J22&gt;500,J22&lt;=5000),"Alta",IF(J22&gt;5000,"Muy alta",""))))))</f>
        <v>Media</v>
      </c>
      <c r="L22" s="135">
        <f>IF(K22="","",IF(K22="Muy baja",20%,IF(K22="Baja",40%,IF(K22="Media",60%,IF(K22="Alta",80%,IF(K22="Muy Alta",100%,""))))))</f>
        <v>0.6</v>
      </c>
      <c r="M22" s="118" t="s">
        <v>123</v>
      </c>
      <c r="N22" s="118">
        <f>MATCH(M22,[6]Hoja2!$P$2:$P$11,0)</f>
        <v>10</v>
      </c>
      <c r="O22" s="118" t="str">
        <f>LOOKUP(N22,[6]Hoja2!$Q$2:$R$11)</f>
        <v>Catastrófico</v>
      </c>
      <c r="P22" s="135">
        <f>IF(O22="","",IF(O22="Leve",20%,IF(O22="Menor",40%,IF(O22="Moderado",60%,IF(O22="Mayor",80%,IF(O22="Catastrófico",100%,""))))))</f>
        <v>1</v>
      </c>
      <c r="Q22" s="132" t="str">
        <f>VLOOKUP(K22,Calculos!$V$2:$AA$7,MATCH(Riesgos!O22,Calculos!$V$2:$AA$2,0),FALSE)</f>
        <v>Extremo</v>
      </c>
      <c r="R22" s="71">
        <v>1</v>
      </c>
      <c r="S22" s="94" t="s">
        <v>194</v>
      </c>
      <c r="T22" s="72" t="str">
        <f t="shared" ref="T22:T24" si="14">IF(U22="","",IF(U22="Preventivo","Probabilidad",IF(U22="Detectivo","Probabilidad",IF(U22="Correctivo","Impacto",""))))</f>
        <v>Probabilidad</v>
      </c>
      <c r="U22" s="73" t="s">
        <v>137</v>
      </c>
      <c r="V22" s="74">
        <f t="shared" ref="V22:V36" si="15">IF(U22="","",IF(U22="preventivo",25%,IF(U22="detectivo",15%,IF(U22="correctivo",10%,""))))</f>
        <v>0.15</v>
      </c>
      <c r="W22" s="73" t="s">
        <v>143</v>
      </c>
      <c r="X22" s="74">
        <f t="shared" ref="X22:X36" si="16">IF(W22="","",IF(W22="Automático",25%,IF(W22="manual",15%,"")))</f>
        <v>0.15</v>
      </c>
      <c r="Y22" s="74">
        <f>V22+X22</f>
        <v>0.3</v>
      </c>
      <c r="Z22" s="73" t="s">
        <v>187</v>
      </c>
      <c r="AA22" s="73" t="s">
        <v>183</v>
      </c>
      <c r="AB22" s="73" t="s">
        <v>195</v>
      </c>
      <c r="AC22" s="73" t="s">
        <v>102</v>
      </c>
      <c r="AD22" s="80">
        <v>0.42</v>
      </c>
      <c r="AE22" s="73" t="s">
        <v>131</v>
      </c>
      <c r="AF22" s="80">
        <v>1</v>
      </c>
      <c r="AG22" s="72" t="s">
        <v>132</v>
      </c>
      <c r="AH22" s="120" t="s">
        <v>196</v>
      </c>
      <c r="AI22" s="109" t="s">
        <v>197</v>
      </c>
      <c r="AJ22" s="109" t="s">
        <v>198</v>
      </c>
      <c r="AK22" s="109" t="s">
        <v>277</v>
      </c>
      <c r="AL22" s="109" t="s">
        <v>278</v>
      </c>
      <c r="AM22" s="123" t="s">
        <v>279</v>
      </c>
    </row>
    <row r="23" spans="1:39" ht="60" customHeight="1" x14ac:dyDescent="0.25">
      <c r="A23" s="245"/>
      <c r="B23" s="172"/>
      <c r="C23" s="247"/>
      <c r="D23" s="247"/>
      <c r="E23" s="247"/>
      <c r="F23" s="249"/>
      <c r="G23" s="172"/>
      <c r="H23" s="172"/>
      <c r="I23" s="247"/>
      <c r="J23" s="296"/>
      <c r="K23" s="133"/>
      <c r="L23" s="136"/>
      <c r="M23" s="119"/>
      <c r="N23" s="119"/>
      <c r="O23" s="119"/>
      <c r="P23" s="136"/>
      <c r="Q23" s="133"/>
      <c r="R23" s="47">
        <v>2</v>
      </c>
      <c r="S23" s="49" t="s">
        <v>199</v>
      </c>
      <c r="T23" s="9" t="str">
        <f t="shared" si="14"/>
        <v>Impacto</v>
      </c>
      <c r="U23" s="50" t="s">
        <v>138</v>
      </c>
      <c r="V23" s="31">
        <f t="shared" si="15"/>
        <v>0.1</v>
      </c>
      <c r="W23" s="50" t="s">
        <v>143</v>
      </c>
      <c r="X23" s="31">
        <f t="shared" si="16"/>
        <v>0.15</v>
      </c>
      <c r="Y23" s="31">
        <f t="shared" ref="Y23:Y27" si="17">V23+X23</f>
        <v>0.25</v>
      </c>
      <c r="Z23" s="50" t="s">
        <v>182</v>
      </c>
      <c r="AA23" s="50" t="s">
        <v>200</v>
      </c>
      <c r="AB23" s="50" t="s">
        <v>184</v>
      </c>
      <c r="AC23" s="50" t="s">
        <v>102</v>
      </c>
      <c r="AD23" s="32">
        <v>0.42</v>
      </c>
      <c r="AE23" s="50" t="s">
        <v>127</v>
      </c>
      <c r="AF23" s="32">
        <v>0.75</v>
      </c>
      <c r="AG23" s="9" t="s">
        <v>133</v>
      </c>
      <c r="AH23" s="121"/>
      <c r="AI23" s="58" t="s">
        <v>201</v>
      </c>
      <c r="AJ23" s="58" t="s">
        <v>198</v>
      </c>
      <c r="AK23" s="58" t="s">
        <v>277</v>
      </c>
      <c r="AL23" s="58" t="s">
        <v>202</v>
      </c>
      <c r="AM23" s="124"/>
    </row>
    <row r="24" spans="1:39" ht="94.5" customHeight="1" thickBot="1" x14ac:dyDescent="0.3">
      <c r="A24" s="246"/>
      <c r="B24" s="153"/>
      <c r="C24" s="155"/>
      <c r="D24" s="155"/>
      <c r="E24" s="155"/>
      <c r="F24" s="250"/>
      <c r="G24" s="153"/>
      <c r="H24" s="153"/>
      <c r="I24" s="155"/>
      <c r="J24" s="297"/>
      <c r="K24" s="134"/>
      <c r="L24" s="137"/>
      <c r="M24" s="128"/>
      <c r="N24" s="128"/>
      <c r="O24" s="128"/>
      <c r="P24" s="137"/>
      <c r="Q24" s="134"/>
      <c r="R24" s="48">
        <v>3</v>
      </c>
      <c r="S24" s="60" t="s">
        <v>203</v>
      </c>
      <c r="T24" s="33" t="str">
        <f t="shared" si="14"/>
        <v>Probabilidad</v>
      </c>
      <c r="U24" s="62" t="s">
        <v>135</v>
      </c>
      <c r="V24" s="34">
        <f t="shared" si="15"/>
        <v>0.25</v>
      </c>
      <c r="W24" s="62" t="s">
        <v>143</v>
      </c>
      <c r="X24" s="34">
        <f t="shared" si="16"/>
        <v>0.15</v>
      </c>
      <c r="Y24" s="34">
        <f t="shared" si="17"/>
        <v>0.4</v>
      </c>
      <c r="Z24" s="62" t="s">
        <v>187</v>
      </c>
      <c r="AA24" s="62" t="s">
        <v>200</v>
      </c>
      <c r="AB24" s="62" t="s">
        <v>184</v>
      </c>
      <c r="AC24" s="62" t="s">
        <v>113</v>
      </c>
      <c r="AD24" s="51">
        <v>0.252</v>
      </c>
      <c r="AE24" s="62" t="s">
        <v>127</v>
      </c>
      <c r="AF24" s="51">
        <v>0.75</v>
      </c>
      <c r="AG24" s="33" t="s">
        <v>133</v>
      </c>
      <c r="AH24" s="122"/>
      <c r="AI24" s="110" t="s">
        <v>280</v>
      </c>
      <c r="AJ24" s="110" t="s">
        <v>198</v>
      </c>
      <c r="AK24" s="110" t="s">
        <v>281</v>
      </c>
      <c r="AL24" s="110" t="s">
        <v>202</v>
      </c>
      <c r="AM24" s="111" t="s">
        <v>204</v>
      </c>
    </row>
    <row r="25" spans="1:39" ht="70.5" customHeight="1" x14ac:dyDescent="0.25">
      <c r="A25" s="125" t="s">
        <v>282</v>
      </c>
      <c r="B25" s="118" t="s">
        <v>86</v>
      </c>
      <c r="C25" s="118" t="s">
        <v>283</v>
      </c>
      <c r="D25" s="118" t="s">
        <v>284</v>
      </c>
      <c r="E25" s="147" t="s">
        <v>285</v>
      </c>
      <c r="F25" s="147" t="s">
        <v>286</v>
      </c>
      <c r="G25" s="118" t="s">
        <v>59</v>
      </c>
      <c r="H25" s="118" t="s">
        <v>188</v>
      </c>
      <c r="I25" s="118" t="s">
        <v>156</v>
      </c>
      <c r="J25" s="132">
        <v>365</v>
      </c>
      <c r="K25" s="228" t="str">
        <f>IF(J25="","",IF(J25&lt;=2,"Muy baja",IF(AND(J25&gt;2,J25&lt;=24),"Baja",IF(AND(J25&gt;24,J25&lt;=500),"Media",IF(AND(J25&gt;500,J25&lt;=5000),"Alta",IF(J25&gt;5000,"Muy alta",""))))))</f>
        <v>Media</v>
      </c>
      <c r="L25" s="135">
        <f>IF(K25="","",IF(K25="Muy baja",20%,IF(K25="Baja",40%,IF(K25="Media",60%,IF(K25="Alta",80%,IF(K25="Muy Alta",100%,""))))))</f>
        <v>0.6</v>
      </c>
      <c r="M25" s="118" t="s">
        <v>122</v>
      </c>
      <c r="N25" s="118">
        <f>MATCH(M25,[7]Calculos!$P$2:$P$11,0)</f>
        <v>9</v>
      </c>
      <c r="O25" s="118" t="str">
        <f>LOOKUP(N25,[7]Calculos!$Q$2:$R$11)</f>
        <v>Mayor</v>
      </c>
      <c r="P25" s="135">
        <f>IF(O25="","",IF(O25="Leve",20%,IF(O25="Menor",40%,IF(O25="Moderado",60%,IF(O25="Mayor",80%,IF(O25="Catastrófico",100%,""))))))</f>
        <v>0.8</v>
      </c>
      <c r="Q25" s="269" t="s">
        <v>133</v>
      </c>
      <c r="R25" s="71">
        <v>1</v>
      </c>
      <c r="S25" s="94" t="s">
        <v>287</v>
      </c>
      <c r="T25" s="72" t="str">
        <f>IF(U25="","",IF(U25="Preventivo","Probabilidad",IF(U25="Detectivo","Probabilidad",IF(U25="Correctivo","Impacto",""))))</f>
        <v>Probabilidad</v>
      </c>
      <c r="U25" s="73" t="s">
        <v>135</v>
      </c>
      <c r="V25" s="74">
        <f t="shared" si="15"/>
        <v>0.25</v>
      </c>
      <c r="W25" s="73" t="s">
        <v>143</v>
      </c>
      <c r="X25" s="74">
        <f t="shared" si="16"/>
        <v>0.15</v>
      </c>
      <c r="Y25" s="74">
        <f t="shared" si="17"/>
        <v>0.4</v>
      </c>
      <c r="Z25" s="73" t="s">
        <v>182</v>
      </c>
      <c r="AA25" s="73" t="s">
        <v>183</v>
      </c>
      <c r="AB25" s="73" t="s">
        <v>184</v>
      </c>
      <c r="AC25" s="73" t="str">
        <f>IF(AD25="","",IF(AD25&lt;=20%,"Muy baja",IF(AND(AD25&gt;20%,AD25&lt;=40%),"Baja",IF(AND(AD25&gt;40%,AD25&lt;=60%),"Media",IF(AND(AD25&gt;60%,AD25&lt;=80%),"Alta",IF(AD25&gt;80%,"Muy alta",""))))))</f>
        <v>Muy baja</v>
      </c>
      <c r="AD25" s="80">
        <f>IF(U25="","",IF(U25="preventivo",$L$7-($L$7*Y25),IF(U25="detectivo",$L$7-($L$7*Y25),IF(U25="correctivo",$L$7,""))))</f>
        <v>0</v>
      </c>
      <c r="AE25" s="73" t="str">
        <f>IF(AF25="","",IF(AF25&lt;=20%,"Leve",IF(AND(AF25&gt;20%,AF25&lt;=40%),"Menor",IF(AND(AF25&gt;40%,AF25&lt;=60%),"Moderado",IF(AND(AF25&gt;60%,AF25&lt;=80%),"Mayor",IF(AF25&gt;80%,"Catastrófico",""))))))</f>
        <v>Leve</v>
      </c>
      <c r="AF25" s="80">
        <f>IF(U25="","",IF(U25="preventivo",$P$7,IF(U25="detectivo",$P$7,IF(U25="correctivo",$P$7-($P$7*Y25),""))))</f>
        <v>0</v>
      </c>
      <c r="AG25" s="72" t="s">
        <v>133</v>
      </c>
      <c r="AH25" s="164" t="s">
        <v>186</v>
      </c>
      <c r="AI25" s="150" t="s">
        <v>290</v>
      </c>
      <c r="AJ25" s="251" t="s">
        <v>211</v>
      </c>
      <c r="AK25" s="254">
        <v>45261</v>
      </c>
      <c r="AL25" s="171" t="s">
        <v>291</v>
      </c>
      <c r="AM25" s="156" t="s">
        <v>292</v>
      </c>
    </row>
    <row r="26" spans="1:39" ht="70.5" x14ac:dyDescent="0.25">
      <c r="A26" s="126"/>
      <c r="B26" s="119"/>
      <c r="C26" s="119"/>
      <c r="D26" s="119"/>
      <c r="E26" s="148"/>
      <c r="F26" s="148"/>
      <c r="G26" s="119"/>
      <c r="H26" s="119"/>
      <c r="I26" s="119"/>
      <c r="J26" s="133"/>
      <c r="K26" s="229"/>
      <c r="L26" s="136"/>
      <c r="M26" s="119"/>
      <c r="N26" s="119"/>
      <c r="O26" s="119"/>
      <c r="P26" s="136"/>
      <c r="Q26" s="270"/>
      <c r="R26" s="47">
        <v>2</v>
      </c>
      <c r="S26" s="49" t="s">
        <v>288</v>
      </c>
      <c r="T26" s="9" t="str">
        <f t="shared" ref="T26:T36" si="18">IF(U26="","",IF(U26="Preventivo","Probabilidad",IF(U26="Detectivo","Probabilidad",IF(U26="Correctivo","Impacto",""))))</f>
        <v>Probabilidad</v>
      </c>
      <c r="U26" s="50" t="s">
        <v>135</v>
      </c>
      <c r="V26" s="31">
        <f t="shared" si="15"/>
        <v>0.25</v>
      </c>
      <c r="W26" s="50" t="s">
        <v>143</v>
      </c>
      <c r="X26" s="31">
        <f t="shared" si="16"/>
        <v>0.15</v>
      </c>
      <c r="Y26" s="31">
        <f t="shared" si="17"/>
        <v>0.4</v>
      </c>
      <c r="Z26" s="50" t="s">
        <v>182</v>
      </c>
      <c r="AA26" s="50" t="s">
        <v>183</v>
      </c>
      <c r="AB26" s="50" t="s">
        <v>184</v>
      </c>
      <c r="AC26" s="50" t="str">
        <f>IF(AD26="","",IF(AD26&lt;=20%,"Muy baja",IF(AND(AD26&gt;20%,AD26&lt;=40%),"Baja",IF(AND(AD26&gt;40%,AD26&lt;=60%),"Media",IF(AND(AD26&gt;60%,AD26&lt;=80%),"Alta",IF(AD26&gt;80%,"Muy alta",""))))))</f>
        <v>Muy baja</v>
      </c>
      <c r="AD26" s="32">
        <f>IF(U26="","",IF(U26="preventivo",$AD$7-($AD$7*Y26),IF(U26="detectivo",$AD$7-($AD$7*Y26),IF(U26="correctivo",$AD$7,""))))</f>
        <v>5.183999999999999E-2</v>
      </c>
      <c r="AE26" s="50" t="str">
        <f t="shared" ref="AE26:AE27" si="19">IF(AF26="","",IF(AF26&lt;=20%,"Leve",IF(AND(AF26&gt;20%,AF26&lt;=40%),"Menor",IF(AND(AF26&gt;40%,AF26&lt;=60%),"Moderado",IF(AND(AF26&gt;60%,AF26&lt;=80%),"Mayor",IF(AF26&gt;80%,"Catastrófico",""))))))</f>
        <v>Catastrófico</v>
      </c>
      <c r="AF26" s="32">
        <f>IF(U26="","",IF(U26="preventivo",$AF$7,IF(U26="detectivo",$AF$7,IF(U26="correctivo",$AF$7-($AF$7*Y26),""))))</f>
        <v>1</v>
      </c>
      <c r="AG26" s="9" t="s">
        <v>133</v>
      </c>
      <c r="AH26" s="165"/>
      <c r="AI26" s="197"/>
      <c r="AJ26" s="252"/>
      <c r="AK26" s="133"/>
      <c r="AL26" s="172"/>
      <c r="AM26" s="173"/>
    </row>
    <row r="27" spans="1:39" ht="71.25" thickBot="1" x14ac:dyDescent="0.3">
      <c r="A27" s="127"/>
      <c r="B27" s="128"/>
      <c r="C27" s="128"/>
      <c r="D27" s="128"/>
      <c r="E27" s="149"/>
      <c r="F27" s="149"/>
      <c r="G27" s="128"/>
      <c r="H27" s="128"/>
      <c r="I27" s="128"/>
      <c r="J27" s="134"/>
      <c r="K27" s="230"/>
      <c r="L27" s="137"/>
      <c r="M27" s="128"/>
      <c r="N27" s="46"/>
      <c r="O27" s="128"/>
      <c r="P27" s="137"/>
      <c r="Q27" s="271"/>
      <c r="R27" s="48">
        <v>3</v>
      </c>
      <c r="S27" s="60" t="s">
        <v>289</v>
      </c>
      <c r="T27" s="33" t="str">
        <f t="shared" si="18"/>
        <v>Probabilidad</v>
      </c>
      <c r="U27" s="62" t="s">
        <v>137</v>
      </c>
      <c r="V27" s="34">
        <f t="shared" si="15"/>
        <v>0.15</v>
      </c>
      <c r="W27" s="62" t="s">
        <v>143</v>
      </c>
      <c r="X27" s="34">
        <f t="shared" si="16"/>
        <v>0.15</v>
      </c>
      <c r="Y27" s="34">
        <f t="shared" si="17"/>
        <v>0.3</v>
      </c>
      <c r="Z27" s="62" t="s">
        <v>182</v>
      </c>
      <c r="AA27" s="62" t="s">
        <v>200</v>
      </c>
      <c r="AB27" s="62" t="s">
        <v>184</v>
      </c>
      <c r="AC27" s="62" t="str">
        <f t="shared" ref="AC27" si="20">IF(AD27="","",IF(AD27&lt;=20%,"Muy baja",IF(AND(AD27&gt;20%,AD27&lt;=40%),"Baja",IF(AND(AD27&gt;40%,AD27&lt;=60%),"Media",IF(AND(AD27&gt;60%,AD27&lt;=80%),"Alta",IF(AD27&gt;80%,"Muy alta",""))))))</f>
        <v>Baja</v>
      </c>
      <c r="AD27" s="51">
        <f>IF(U27="","",IF(U27="preventivo",$AD$13-($AD$13*Y27),IF(U27="detectivo",$AD$13-($AD$13*Y27),IF(U27="correctivo",$AD$13,""))))</f>
        <v>0.33599999999999997</v>
      </c>
      <c r="AE27" s="62" t="str">
        <f t="shared" si="19"/>
        <v>Moderado</v>
      </c>
      <c r="AF27" s="51">
        <f>IF(U27="","",IF(U27="preventivo",$AF$13,IF(U27="detectivo",$AF$13,IF(U27="correctivo",$AF$13-($AF$13*Y27),""))))</f>
        <v>0.6</v>
      </c>
      <c r="AG27" s="33" t="s">
        <v>133</v>
      </c>
      <c r="AH27" s="166"/>
      <c r="AI27" s="151"/>
      <c r="AJ27" s="253"/>
      <c r="AK27" s="134"/>
      <c r="AL27" s="153"/>
      <c r="AM27" s="157"/>
    </row>
    <row r="28" spans="1:39" ht="93" customHeight="1" thickBot="1" x14ac:dyDescent="0.3">
      <c r="A28" s="125" t="s">
        <v>293</v>
      </c>
      <c r="B28" s="118" t="s">
        <v>86</v>
      </c>
      <c r="C28" s="118" t="s">
        <v>294</v>
      </c>
      <c r="D28" s="118" t="s">
        <v>295</v>
      </c>
      <c r="E28" s="129" t="s">
        <v>296</v>
      </c>
      <c r="F28" s="118" t="s">
        <v>297</v>
      </c>
      <c r="G28" s="118" t="s">
        <v>59</v>
      </c>
      <c r="H28" s="118" t="s">
        <v>188</v>
      </c>
      <c r="I28" s="129" t="s">
        <v>156</v>
      </c>
      <c r="J28" s="129">
        <v>21144</v>
      </c>
      <c r="K28" s="132" t="str">
        <f>IF(J28="","",IF(J28&lt;=2,"Muy baja",IF(AND(J28&gt;2,J28&lt;=24),"Baja",IF(AND(J28&gt;24,J28&lt;=500),"Media",IF(AND(J28&gt;500,J28&lt;=5000),"Alta",IF(J28&gt;5000,"Muy alta",""))))))</f>
        <v>Muy alta</v>
      </c>
      <c r="L28" s="135">
        <f>IF(K28="","",IF(K28="Muy baja",20%,IF(K28="Baja",40%,IF(K28="Media",60%,IF(K28="Alta",80%,IF(K28="Muy Alta",100%,""))))))</f>
        <v>1</v>
      </c>
      <c r="M28" s="118" t="s">
        <v>120</v>
      </c>
      <c r="N28" s="118">
        <f>MATCH(M28,[8]Calculos!$P$2:$P$11,0)</f>
        <v>6</v>
      </c>
      <c r="O28" s="118" t="str">
        <f>LOOKUP(N28,[8]Calculos!$Q$2:$R$11)</f>
        <v>Leve</v>
      </c>
      <c r="P28" s="135">
        <f>IF(O28="","",IF(O28="Leve",20%,IF(O28="Menor",40%,IF(O28="Moderado",60%,IF(O28="Mayor",80%,IF(O28="Catastrófico",100%,""))))))</f>
        <v>0.2</v>
      </c>
      <c r="Q28" s="132" t="str">
        <f>VLOOKUP(K28,Calculos!$V$2:$AA$7,MATCH(Riesgos!O28,Calculos!$V$2:$AA$2,0),FALSE)</f>
        <v>Alto</v>
      </c>
      <c r="R28" s="71">
        <v>1</v>
      </c>
      <c r="S28" s="112" t="s">
        <v>298</v>
      </c>
      <c r="T28" s="72" t="str">
        <f>IF(U28="","",IF(U28="Preventivo","Probabilidad",IF(U28="Detectivo","Probabilidad",IF(U28="Correctivo","Impacto",""))))</f>
        <v>Probabilidad</v>
      </c>
      <c r="U28" s="73" t="s">
        <v>135</v>
      </c>
      <c r="V28" s="74">
        <f t="shared" si="15"/>
        <v>0.25</v>
      </c>
      <c r="W28" s="73" t="s">
        <v>143</v>
      </c>
      <c r="X28" s="74">
        <f t="shared" si="16"/>
        <v>0.15</v>
      </c>
      <c r="Y28" s="74">
        <f>V28+X28</f>
        <v>0.4</v>
      </c>
      <c r="Z28" s="73" t="s">
        <v>182</v>
      </c>
      <c r="AA28" s="73" t="s">
        <v>200</v>
      </c>
      <c r="AB28" s="73" t="s">
        <v>184</v>
      </c>
      <c r="AC28" s="73" t="str">
        <f>IF(AD28="","",IF(AD28&lt;=20%,"Muy baja",IF(AND(AD28&gt;20%,AD28&lt;=40%),"Baja",IF(AND(AD28&gt;40%,AD28&lt;=60%),"Media",IF(AND(AD28&gt;60%,AD28&lt;=80%),"Alta",IF(AD28&gt;80%,"Muy alta",""))))))</f>
        <v>Media</v>
      </c>
      <c r="AD28" s="80">
        <f>IF(U28="","",IF(U28="preventivo",$L$28-($L$28*Y28),IF(U28="detectivo",$L$28-($L$28*Y28),IF(U28="correctivo",$L$28,""))))</f>
        <v>0.6</v>
      </c>
      <c r="AE28" s="73" t="str">
        <f>IF(AF28="","",IF(AF28&lt;=20%,"Leve",IF(AND(AF28&gt;20%,AF28&lt;=40%),"Menor",IF(AND(AF28&gt;40%,AF28&lt;=60%),"Moderado",IF(AND(AF28&gt;60%,AF28&lt;=80%),"Mayor",IF(AF28&gt;80%,"Catastrófico",""))))))</f>
        <v>Leve</v>
      </c>
      <c r="AF28" s="80">
        <f>IF(U28="","",IF(U28="preventivo",$P$28,IF(U28="detectivo",$P$28,IF(U28="correctivo",$P$28-($P$28*Y28),""))))</f>
        <v>0.2</v>
      </c>
      <c r="AG28" s="86" t="str">
        <f>VLOOKUP(AC28,Calculos!$V$2:$AA$7,MATCH(Riesgos!AE28,Calculos!$V$2:$AA$2,0),FALSE)</f>
        <v>Moderado</v>
      </c>
      <c r="AH28" s="120" t="s">
        <v>186</v>
      </c>
      <c r="AI28" s="138" t="s">
        <v>301</v>
      </c>
      <c r="AJ28" s="141" t="s">
        <v>302</v>
      </c>
      <c r="AK28" s="144">
        <v>45291</v>
      </c>
      <c r="AL28" s="147" t="s">
        <v>303</v>
      </c>
      <c r="AM28" s="115" t="s">
        <v>304</v>
      </c>
    </row>
    <row r="29" spans="1:39" ht="100.5" customHeight="1" thickBot="1" x14ac:dyDescent="0.3">
      <c r="A29" s="126"/>
      <c r="B29" s="119"/>
      <c r="C29" s="119"/>
      <c r="D29" s="119"/>
      <c r="E29" s="130"/>
      <c r="F29" s="119"/>
      <c r="G29" s="119"/>
      <c r="H29" s="119"/>
      <c r="I29" s="130"/>
      <c r="J29" s="130"/>
      <c r="K29" s="133"/>
      <c r="L29" s="136"/>
      <c r="M29" s="119"/>
      <c r="N29" s="119"/>
      <c r="O29" s="119"/>
      <c r="P29" s="136"/>
      <c r="Q29" s="133"/>
      <c r="R29" s="47">
        <v>2</v>
      </c>
      <c r="S29" s="59" t="s">
        <v>299</v>
      </c>
      <c r="T29" s="9" t="str">
        <f t="shared" ref="T29:T30" si="21">IF(U29="","",IF(U29="Preventivo","Probabilidad",IF(U29="Detectivo","Probabilidad",IF(U29="Correctivo","Impacto",""))))</f>
        <v>Probabilidad</v>
      </c>
      <c r="U29" s="50" t="s">
        <v>135</v>
      </c>
      <c r="V29" s="31">
        <f t="shared" si="15"/>
        <v>0.25</v>
      </c>
      <c r="W29" s="50" t="s">
        <v>143</v>
      </c>
      <c r="X29" s="31">
        <f t="shared" si="16"/>
        <v>0.15</v>
      </c>
      <c r="Y29" s="31">
        <f t="shared" ref="Y29:Y30" si="22">V29+X29</f>
        <v>0.4</v>
      </c>
      <c r="Z29" s="50" t="s">
        <v>182</v>
      </c>
      <c r="AA29" s="50" t="s">
        <v>183</v>
      </c>
      <c r="AB29" s="50" t="s">
        <v>184</v>
      </c>
      <c r="AC29" s="50" t="str">
        <f>IF(AD29="","",IF(AD29&lt;=20%,"Muy baja",IF(AND(AD29&gt;20%,AD29&lt;=40%),"Baja",IF(AND(AD29&gt;40%,AD29&lt;=60%),"Media",IF(AND(AD29&gt;60%,AD29&lt;=80%),"Alta",IF(AD29&gt;80%,"Muy alta",""))))))</f>
        <v>Media</v>
      </c>
      <c r="AD29" s="80">
        <f>IF(U29="","",IF(U29="preventivo",$L$28-($L$28*Y29),IF(U29="detectivo",$L$28-($L$28*Y29),IF(U29="correctivo",$L$28,""))))</f>
        <v>0.6</v>
      </c>
      <c r="AE29" s="50" t="str">
        <f t="shared" ref="AE29:AE30" si="23">IF(AF29="","",IF(AF29&lt;=20%,"Leve",IF(AND(AF29&gt;20%,AF29&lt;=40%),"Menor",IF(AND(AF29&gt;40%,AF29&lt;=60%),"Moderado",IF(AND(AF29&gt;60%,AF29&lt;=80%),"Mayor",IF(AF29&gt;80%,"Catastrófico",""))))))</f>
        <v>Leve</v>
      </c>
      <c r="AF29" s="80">
        <f t="shared" ref="AF29:AF30" si="24">IF(U29="","",IF(U29="preventivo",$P$28,IF(U29="detectivo",$P$28,IF(U29="correctivo",$P$28-($P$28*Y29),""))))</f>
        <v>0.2</v>
      </c>
      <c r="AG29" s="93" t="str">
        <f>VLOOKUP(AC29,Calculos!$V$2:$AA$7,MATCH(Riesgos!AE29,Calculos!$V$2:$AA$2,0),FALSE)</f>
        <v>Moderado</v>
      </c>
      <c r="AH29" s="121"/>
      <c r="AI29" s="139"/>
      <c r="AJ29" s="142"/>
      <c r="AK29" s="145"/>
      <c r="AL29" s="148"/>
      <c r="AM29" s="116"/>
    </row>
    <row r="30" spans="1:39" ht="189.75" customHeight="1" thickBot="1" x14ac:dyDescent="0.3">
      <c r="A30" s="127"/>
      <c r="B30" s="128"/>
      <c r="C30" s="128"/>
      <c r="D30" s="128"/>
      <c r="E30" s="131"/>
      <c r="F30" s="128"/>
      <c r="G30" s="128"/>
      <c r="H30" s="128"/>
      <c r="I30" s="131"/>
      <c r="J30" s="131"/>
      <c r="K30" s="134"/>
      <c r="L30" s="137"/>
      <c r="M30" s="128"/>
      <c r="N30" s="46"/>
      <c r="O30" s="128"/>
      <c r="P30" s="137"/>
      <c r="Q30" s="134"/>
      <c r="R30" s="48">
        <v>3</v>
      </c>
      <c r="S30" s="61" t="s">
        <v>300</v>
      </c>
      <c r="T30" s="33" t="str">
        <f t="shared" si="21"/>
        <v>Probabilidad</v>
      </c>
      <c r="U30" s="62" t="s">
        <v>135</v>
      </c>
      <c r="V30" s="34">
        <f t="shared" si="15"/>
        <v>0.25</v>
      </c>
      <c r="W30" s="62" t="s">
        <v>143</v>
      </c>
      <c r="X30" s="34">
        <f t="shared" si="16"/>
        <v>0.15</v>
      </c>
      <c r="Y30" s="34">
        <f t="shared" si="22"/>
        <v>0.4</v>
      </c>
      <c r="Z30" s="62" t="s">
        <v>182</v>
      </c>
      <c r="AA30" s="62" t="s">
        <v>183</v>
      </c>
      <c r="AB30" s="62" t="s">
        <v>184</v>
      </c>
      <c r="AC30" s="62" t="str">
        <f>IF(AD30="","",IF(AD30&lt;=20%,"Muy baja",IF(AND(AD30&gt;20%,AD30&lt;=40%),"Baja",IF(AND(AD30&gt;40%,AD30&lt;=60%),"Media",IF(AND(AD30&gt;60%,AD30&lt;=80%),"Alta",IF(AD30&gt;80%,"Muy alta",""))))))</f>
        <v>Media</v>
      </c>
      <c r="AD30" s="80">
        <f>IF(U30="","",IF(U30="preventivo",$L$28-($L$28*Y30),IF(U30="detectivo",$L$28-($L$28*Y30),IF(U30="correctivo",$L$28,""))))</f>
        <v>0.6</v>
      </c>
      <c r="AE30" s="62" t="str">
        <f t="shared" si="23"/>
        <v>Leve</v>
      </c>
      <c r="AF30" s="80">
        <f t="shared" si="24"/>
        <v>0.2</v>
      </c>
      <c r="AG30" s="93" t="str">
        <f>VLOOKUP(AC30,Calculos!$V$2:$AA$7,MATCH(Riesgos!AE30,Calculos!$V$2:$AA$2,0),FALSE)</f>
        <v>Moderado</v>
      </c>
      <c r="AH30" s="122"/>
      <c r="AI30" s="140"/>
      <c r="AJ30" s="143"/>
      <c r="AK30" s="146"/>
      <c r="AL30" s="149"/>
      <c r="AM30" s="117"/>
    </row>
    <row r="31" spans="1:39" ht="71.25" customHeight="1" x14ac:dyDescent="0.25">
      <c r="A31" s="125" t="s">
        <v>305</v>
      </c>
      <c r="B31" s="118" t="s">
        <v>87</v>
      </c>
      <c r="C31" s="129" t="s">
        <v>306</v>
      </c>
      <c r="D31" s="118" t="s">
        <v>307</v>
      </c>
      <c r="E31" s="192" t="s">
        <v>308</v>
      </c>
      <c r="F31" s="118" t="s">
        <v>309</v>
      </c>
      <c r="G31" s="118" t="s">
        <v>174</v>
      </c>
      <c r="H31" s="118" t="s">
        <v>310</v>
      </c>
      <c r="I31" s="118" t="s">
        <v>154</v>
      </c>
      <c r="J31" s="132">
        <v>2</v>
      </c>
      <c r="K31" s="132" t="str">
        <f>IF(J31="","",IF(J31&lt;=2,"Muy baja",IF(AND(J31&gt;2,J31&lt;=24),"Baja",IF(AND(J31&gt;24,J31&lt;=500),"Media",IF(AND(J31&gt;500,J31&lt;=5000),"Alta",IF(J31&gt;5000,"Muy alta",""))))))</f>
        <v>Muy baja</v>
      </c>
      <c r="L31" s="135">
        <f>IF(K31="","",IF(K31="Muy baja",20%,IF(K31="Baja",40%,IF(K31="Media",60%,IF(K31="Alta",80%,IF(K31="Muy Alta",100%,""))))))</f>
        <v>0.2</v>
      </c>
      <c r="M31" s="118" t="s">
        <v>118</v>
      </c>
      <c r="N31" s="118">
        <f>MATCH(M31,[9]Calculos!$P$2:$P$11,0)</f>
        <v>4</v>
      </c>
      <c r="O31" s="118" t="str">
        <f>LOOKUP(N31,[9]Calculos!$Q$2:$R$11)</f>
        <v>Mayor</v>
      </c>
      <c r="P31" s="135">
        <f>IF(O31="","",IF(O31="Leve",20%,IF(O31="Menor",40%,IF(O31="Moderado",60%,IF(O31="Mayor",80%,IF(O31="Catastrófico",100%,""))))))</f>
        <v>0.8</v>
      </c>
      <c r="Q31" s="132" t="s">
        <v>133</v>
      </c>
      <c r="R31" s="71">
        <v>1</v>
      </c>
      <c r="S31" s="67" t="s">
        <v>311</v>
      </c>
      <c r="T31" s="72" t="str">
        <f t="shared" si="18"/>
        <v>Probabilidad</v>
      </c>
      <c r="U31" s="73" t="s">
        <v>135</v>
      </c>
      <c r="V31" s="74">
        <f t="shared" si="15"/>
        <v>0.25</v>
      </c>
      <c r="W31" s="73" t="s">
        <v>141</v>
      </c>
      <c r="X31" s="74">
        <f t="shared" si="16"/>
        <v>0.25</v>
      </c>
      <c r="Y31" s="74">
        <f>V31+X31</f>
        <v>0.5</v>
      </c>
      <c r="Z31" s="73" t="s">
        <v>182</v>
      </c>
      <c r="AA31" s="73" t="s">
        <v>183</v>
      </c>
      <c r="AB31" s="73" t="s">
        <v>184</v>
      </c>
      <c r="AC31" s="73" t="str">
        <f>IF(AD31="","",IF(AD31&lt;=20%,"Muy baja",IF(AND(AD31&gt;20%,AD31&lt;=40%),"Baja",IF(AND(AD31&gt;40%,AD31&lt;=60%),"Media",IF(AND(AD31&gt;60%,AD31&lt;=80%),"Alta",IF(AD31&gt;80%,"Muy alta",""))))))</f>
        <v>Muy baja</v>
      </c>
      <c r="AD31" s="89">
        <f>IF(U31="","",IF(U31="preventivo",$L$31-($L$31*Y31),IF(U31="detectivo",$L$31-($L$31*Y31),IF(U31="correctivo",$L$31,""))))</f>
        <v>0.1</v>
      </c>
      <c r="AE31" s="87" t="str">
        <f>IF(AF31="","",IF(AF31&lt;=20%,"Leve",IF(AND(AF31&gt;20%,AF31&lt;=40%),"Menor",IF(AND(AF31&gt;40%,AF31&lt;=60%),"Moderado",IF(AND(AF31&gt;60%,AF31&lt;=80%),"Mayor",IF(AF31&gt;80%,"Catastrófico",""))))))</f>
        <v>Mayor</v>
      </c>
      <c r="AF31" s="89">
        <f>IF(U31="","",IF(U31="preventivo",$P$31,IF(U31="detectivo",$P$31,IF(U31="correctivo",$P$31-($P$31*Y31),""))))</f>
        <v>0.8</v>
      </c>
      <c r="AG31" s="84" t="s">
        <v>133</v>
      </c>
      <c r="AH31" s="120" t="s">
        <v>186</v>
      </c>
      <c r="AI31" s="273" t="s">
        <v>315</v>
      </c>
      <c r="AJ31" s="251" t="s">
        <v>316</v>
      </c>
      <c r="AK31" s="274" t="s">
        <v>317</v>
      </c>
      <c r="AL31" s="147" t="s">
        <v>318</v>
      </c>
      <c r="AM31" s="115" t="s">
        <v>319</v>
      </c>
    </row>
    <row r="32" spans="1:39" ht="70.5" x14ac:dyDescent="0.25">
      <c r="A32" s="126"/>
      <c r="B32" s="119"/>
      <c r="C32" s="130"/>
      <c r="D32" s="119"/>
      <c r="E32" s="193"/>
      <c r="F32" s="119"/>
      <c r="G32" s="119"/>
      <c r="H32" s="119"/>
      <c r="I32" s="119"/>
      <c r="J32" s="133"/>
      <c r="K32" s="133"/>
      <c r="L32" s="136"/>
      <c r="M32" s="119"/>
      <c r="N32" s="119"/>
      <c r="O32" s="119"/>
      <c r="P32" s="136"/>
      <c r="Q32" s="133"/>
      <c r="R32" s="45">
        <v>2</v>
      </c>
      <c r="S32" s="59" t="s">
        <v>312</v>
      </c>
      <c r="T32" s="9" t="str">
        <f t="shared" si="18"/>
        <v>Probabilidad</v>
      </c>
      <c r="U32" s="50" t="s">
        <v>135</v>
      </c>
      <c r="V32" s="31">
        <f t="shared" si="15"/>
        <v>0.25</v>
      </c>
      <c r="W32" s="50" t="s">
        <v>141</v>
      </c>
      <c r="X32" s="31">
        <f t="shared" si="16"/>
        <v>0.25</v>
      </c>
      <c r="Y32" s="31">
        <f t="shared" ref="Y32:Y34" si="25">V32+X32</f>
        <v>0.5</v>
      </c>
      <c r="Z32" s="50" t="s">
        <v>182</v>
      </c>
      <c r="AA32" s="50" t="s">
        <v>183</v>
      </c>
      <c r="AB32" s="50" t="s">
        <v>184</v>
      </c>
      <c r="AC32" s="50" t="str">
        <f>IF(AD32="","",IF(AD32&lt;=20%,"Muy baja",IF(AND(AD32&gt;20%,AD32&lt;=40%),"Baja",IF(AND(AD32&gt;40%,AD32&lt;=60%),"Media",IF(AND(AD32&gt;60%,AD32&lt;=80%),"Alta",IF(AD32&gt;80%,"Muy alta",""))))))</f>
        <v>Muy baja</v>
      </c>
      <c r="AD32" s="32">
        <f t="shared" ref="AD32:AD34" si="26">IF(U32="","",IF(U32="preventivo",$L$31-($L$31*Y32),IF(U32="detectivo",$L$31-($L$31*Y32),IF(U32="correctivo",$L$31,""))))</f>
        <v>0.1</v>
      </c>
      <c r="AE32" s="50" t="str">
        <f t="shared" ref="AE32:AE34" si="27">IF(AF32="","",IF(AF32&lt;=20%,"Leve",IF(AND(AF32&gt;20%,AF32&lt;=40%),"Menor",IF(AND(AF32&gt;40%,AF32&lt;=60%),"Moderado",IF(AND(AF32&gt;60%,AF32&lt;=80%),"Mayor",IF(AF32&gt;80%,"Catastrófico",""))))))</f>
        <v>Mayor</v>
      </c>
      <c r="AF32" s="32">
        <f t="shared" ref="AF32:AF34" si="28">IF(U32="","",IF(U32="preventivo",$P$31,IF(U32="detectivo",$P$31,IF(U32="correctivo",$P$31-($P$31*Y32),""))))</f>
        <v>0.8</v>
      </c>
      <c r="AG32" s="9" t="s">
        <v>133</v>
      </c>
      <c r="AH32" s="121"/>
      <c r="AI32" s="139"/>
      <c r="AJ32" s="252"/>
      <c r="AK32" s="275"/>
      <c r="AL32" s="148"/>
      <c r="AM32" s="116"/>
    </row>
    <row r="33" spans="1:39" ht="78" x14ac:dyDescent="0.25">
      <c r="A33" s="126"/>
      <c r="B33" s="119"/>
      <c r="C33" s="130"/>
      <c r="D33" s="119"/>
      <c r="E33" s="193"/>
      <c r="F33" s="119"/>
      <c r="G33" s="119"/>
      <c r="H33" s="119"/>
      <c r="I33" s="119"/>
      <c r="J33" s="133"/>
      <c r="K33" s="133"/>
      <c r="L33" s="136"/>
      <c r="M33" s="119"/>
      <c r="N33" s="45"/>
      <c r="O33" s="119"/>
      <c r="P33" s="136"/>
      <c r="Q33" s="133"/>
      <c r="R33" s="45">
        <v>3</v>
      </c>
      <c r="S33" s="113" t="s">
        <v>313</v>
      </c>
      <c r="T33" s="9" t="str">
        <f t="shared" si="18"/>
        <v>Impacto</v>
      </c>
      <c r="U33" s="50" t="s">
        <v>138</v>
      </c>
      <c r="V33" s="31">
        <f t="shared" si="15"/>
        <v>0.1</v>
      </c>
      <c r="W33" s="50" t="s">
        <v>141</v>
      </c>
      <c r="X33" s="31">
        <f t="shared" si="16"/>
        <v>0.25</v>
      </c>
      <c r="Y33" s="31">
        <f t="shared" si="25"/>
        <v>0.35</v>
      </c>
      <c r="Z33" s="50" t="s">
        <v>187</v>
      </c>
      <c r="AA33" s="50" t="s">
        <v>183</v>
      </c>
      <c r="AB33" s="50" t="s">
        <v>184</v>
      </c>
      <c r="AC33" s="50" t="str">
        <f t="shared" ref="AC33:AC34" si="29">IF(AD33="","",IF(AD33&lt;=20%,"Muy baja",IF(AND(AD33&gt;20%,AD33&lt;=40%),"Baja",IF(AND(AD33&gt;40%,AD33&lt;=60%),"Media",IF(AND(AD33&gt;60%,AD33&lt;=80%),"Alta",IF(AD33&gt;80%,"Muy alta",""))))))</f>
        <v>Muy baja</v>
      </c>
      <c r="AD33" s="32">
        <f t="shared" si="26"/>
        <v>0.2</v>
      </c>
      <c r="AE33" s="50" t="str">
        <f t="shared" si="27"/>
        <v>Moderado</v>
      </c>
      <c r="AF33" s="32">
        <f t="shared" si="28"/>
        <v>0.52</v>
      </c>
      <c r="AG33" s="9" t="str">
        <f>VLOOKUP(AC33,Calculos!$V$2:$AA$7,MATCH(Riesgos!AE33,Calculos!$V$2:$AA$2,0),FALSE)</f>
        <v>Moderado</v>
      </c>
      <c r="AH33" s="121"/>
      <c r="AI33" s="139"/>
      <c r="AJ33" s="252"/>
      <c r="AK33" s="275"/>
      <c r="AL33" s="148"/>
      <c r="AM33" s="116"/>
    </row>
    <row r="34" spans="1:39" ht="145.5" customHeight="1" thickBot="1" x14ac:dyDescent="0.3">
      <c r="A34" s="127"/>
      <c r="B34" s="128"/>
      <c r="C34" s="131"/>
      <c r="D34" s="128"/>
      <c r="E34" s="272"/>
      <c r="F34" s="128"/>
      <c r="G34" s="128"/>
      <c r="H34" s="128"/>
      <c r="I34" s="128"/>
      <c r="J34" s="134"/>
      <c r="K34" s="134"/>
      <c r="L34" s="137"/>
      <c r="M34" s="128"/>
      <c r="N34" s="46"/>
      <c r="O34" s="128"/>
      <c r="P34" s="137"/>
      <c r="Q34" s="134"/>
      <c r="R34" s="46">
        <v>4</v>
      </c>
      <c r="S34" s="114" t="s">
        <v>314</v>
      </c>
      <c r="T34" s="33" t="str">
        <f t="shared" si="18"/>
        <v>Probabilidad</v>
      </c>
      <c r="U34" s="62" t="s">
        <v>135</v>
      </c>
      <c r="V34" s="34">
        <f t="shared" si="15"/>
        <v>0.25</v>
      </c>
      <c r="W34" s="62" t="s">
        <v>143</v>
      </c>
      <c r="X34" s="34">
        <f t="shared" si="16"/>
        <v>0.15</v>
      </c>
      <c r="Y34" s="34">
        <f t="shared" si="25"/>
        <v>0.4</v>
      </c>
      <c r="Z34" s="62" t="s">
        <v>182</v>
      </c>
      <c r="AA34" s="62" t="s">
        <v>183</v>
      </c>
      <c r="AB34" s="62" t="s">
        <v>184</v>
      </c>
      <c r="AC34" s="62" t="str">
        <f t="shared" si="29"/>
        <v>Muy baja</v>
      </c>
      <c r="AD34" s="92">
        <f t="shared" si="26"/>
        <v>0.12</v>
      </c>
      <c r="AE34" s="90" t="str">
        <f t="shared" si="27"/>
        <v>Mayor</v>
      </c>
      <c r="AF34" s="92">
        <f t="shared" si="28"/>
        <v>0.8</v>
      </c>
      <c r="AG34" s="93" t="str">
        <f>VLOOKUP(AC34,Calculos!$V$2:$AA$7,MATCH(Riesgos!AE34,Calculos!$V$2:$AA$2,0),FALSE)</f>
        <v>Alto</v>
      </c>
      <c r="AH34" s="122"/>
      <c r="AI34" s="140"/>
      <c r="AJ34" s="253"/>
      <c r="AK34" s="276"/>
      <c r="AL34" s="149"/>
      <c r="AM34" s="117"/>
    </row>
    <row r="35" spans="1:39" ht="135.75" customHeight="1" x14ac:dyDescent="0.25">
      <c r="A35" s="286" t="s">
        <v>320</v>
      </c>
      <c r="B35" s="171" t="s">
        <v>86</v>
      </c>
      <c r="C35" s="171" t="s">
        <v>321</v>
      </c>
      <c r="D35" s="284" t="s">
        <v>322</v>
      </c>
      <c r="E35" s="179" t="s">
        <v>323</v>
      </c>
      <c r="F35" s="284" t="s">
        <v>324</v>
      </c>
      <c r="G35" s="284" t="s">
        <v>59</v>
      </c>
      <c r="H35" s="171" t="s">
        <v>90</v>
      </c>
      <c r="I35" s="171" t="s">
        <v>152</v>
      </c>
      <c r="J35" s="285">
        <v>2</v>
      </c>
      <c r="K35" s="228" t="str">
        <f>IF(J35="","",IF(J35&lt;=2,"Muy baja",IF(AND(J35&gt;2,J35&lt;=24),"Baja",IF(AND(J35&gt;24,J35&lt;=500),"Media",IF(AND(J35&gt;500,J35&lt;=5000),"Alta",IF(J35&gt;5000,"Muy alta",""))))))</f>
        <v>Muy baja</v>
      </c>
      <c r="L35" s="135">
        <f>IF(K35="","",IF(K35="Muy baja",20%,IF(K35="Baja",40%,IF(K35="Media",60%,IF(K35="Alta",80%,IF(K35="Muy Alta",100%,""))))))</f>
        <v>0.2</v>
      </c>
      <c r="M35" s="171" t="s">
        <v>121</v>
      </c>
      <c r="N35" s="118">
        <f>MATCH(M35,[10]Hoja2!$P$2:$P$11,0)</f>
        <v>8</v>
      </c>
      <c r="O35" s="118" t="str">
        <f>LOOKUP(N35,[10]Hoja2!$Q$2:$R$11)</f>
        <v>Moderado</v>
      </c>
      <c r="P35" s="135">
        <f>IF(O35="","",IF(O35="Leve",20%,IF(O35="Menor",40%,IF(O35="Moderado",60%,IF(O35="Mayor",80%,IF(O35="Catastrófico",100%,""))))))</f>
        <v>0.6</v>
      </c>
      <c r="Q35" s="132" t="s">
        <v>133</v>
      </c>
      <c r="R35" s="71">
        <v>1</v>
      </c>
      <c r="S35" s="83" t="s">
        <v>325</v>
      </c>
      <c r="T35" s="84" t="str">
        <f t="shared" si="18"/>
        <v>Probabilidad</v>
      </c>
      <c r="U35" s="87" t="s">
        <v>135</v>
      </c>
      <c r="V35" s="88">
        <f t="shared" si="15"/>
        <v>0.25</v>
      </c>
      <c r="W35" s="87" t="s">
        <v>141</v>
      </c>
      <c r="X35" s="88">
        <f t="shared" si="16"/>
        <v>0.25</v>
      </c>
      <c r="Y35" s="88">
        <f>V35+X35</f>
        <v>0.5</v>
      </c>
      <c r="Z35" s="87" t="s">
        <v>187</v>
      </c>
      <c r="AA35" s="87" t="s">
        <v>183</v>
      </c>
      <c r="AB35" s="87" t="s">
        <v>184</v>
      </c>
      <c r="AC35" s="87" t="str">
        <f>IF(AD35="","",IF(AD35&lt;=20%,"Muy baja",IF(AND(AD35&gt;20%,AD35&lt;=40%),"Baja",IF(AND(AD35&gt;40%,AD35&lt;=60%),"Media",IF(AND(AD35&gt;60%,AD35&lt;=80%),"Alta",IF(AD35&gt;80%,"Muy alta",""))))))</f>
        <v>Muy baja</v>
      </c>
      <c r="AD35" s="89">
        <f>IF(U35="","",IF(U35="preventivo",$L$35-($L$35*Y35),IF(U35="detectivo",$L$35-($L$35*Y35),IF(U35="correctivo",$L$35,""))))</f>
        <v>0.1</v>
      </c>
      <c r="AE35" s="87" t="str">
        <f>IF(AF35="","",IF(AF35&lt;=20%,"Leve",IF(AND(AF35&gt;20%,AF35&lt;=40%),"Menor",IF(AND(AF35&gt;40%,AF35&lt;=60%),"Moderado",IF(AND(AF35&gt;60%,AF35&lt;=80%),"Mayor",IF(AF35&gt;80%,"Catastrófico",""))))))</f>
        <v>Moderado</v>
      </c>
      <c r="AF35" s="89">
        <f>IF(U35="","",IF(U35="preventivo",$P35,IF(U35="detectivo",$P$35,IF(U35="correctivo",$P$35-($P$35*Y35),""))))</f>
        <v>0.6</v>
      </c>
      <c r="AG35" s="84" t="str">
        <f>VLOOKUP(AC35,Calculos!$V$2:$AA$7,MATCH(Riesgos!AE35,Calculos!$V$2:$AA$2,0),FALSE)</f>
        <v>Moderado</v>
      </c>
      <c r="AH35" s="287" t="s">
        <v>210</v>
      </c>
      <c r="AI35" s="154" t="s">
        <v>327</v>
      </c>
      <c r="AJ35" s="171" t="s">
        <v>328</v>
      </c>
      <c r="AK35" s="174">
        <v>45291</v>
      </c>
      <c r="AL35" s="171" t="s">
        <v>329</v>
      </c>
      <c r="AM35" s="288" t="s">
        <v>330</v>
      </c>
    </row>
    <row r="36" spans="1:39" ht="198.75" customHeight="1" thickBot="1" x14ac:dyDescent="0.3">
      <c r="A36" s="289"/>
      <c r="B36" s="153"/>
      <c r="C36" s="153"/>
      <c r="D36" s="290"/>
      <c r="E36" s="180"/>
      <c r="F36" s="290"/>
      <c r="G36" s="290"/>
      <c r="H36" s="153"/>
      <c r="I36" s="153"/>
      <c r="J36" s="291"/>
      <c r="K36" s="230"/>
      <c r="L36" s="137"/>
      <c r="M36" s="153"/>
      <c r="N36" s="128"/>
      <c r="O36" s="128"/>
      <c r="P36" s="137"/>
      <c r="Q36" s="134"/>
      <c r="R36" s="63">
        <v>2</v>
      </c>
      <c r="S36" s="64" t="s">
        <v>326</v>
      </c>
      <c r="T36" s="33" t="str">
        <f t="shared" si="18"/>
        <v>Probabilidad</v>
      </c>
      <c r="U36" s="66" t="s">
        <v>135</v>
      </c>
      <c r="V36" s="102">
        <f t="shared" si="15"/>
        <v>0.25</v>
      </c>
      <c r="W36" s="292" t="s">
        <v>143</v>
      </c>
      <c r="X36" s="102">
        <f t="shared" si="16"/>
        <v>0.15</v>
      </c>
      <c r="Y36" s="102">
        <f t="shared" ref="Y36" si="30">V36+X36</f>
        <v>0.4</v>
      </c>
      <c r="Z36" s="66" t="s">
        <v>187</v>
      </c>
      <c r="AA36" s="66" t="s">
        <v>183</v>
      </c>
      <c r="AB36" s="66" t="s">
        <v>184</v>
      </c>
      <c r="AC36" s="66" t="str">
        <f t="shared" ref="AC36" si="31">IF(AD36="","",IF(AD36&lt;=20%,"Muy baja",IF(AND(AD36&gt;20%,AD36&lt;=40%),"Baja",IF(AND(AD36&gt;40%,AD36&lt;=60%),"Media",IF(AND(AD36&gt;60%,AD36&lt;=80%),"Alta",IF(AD36&gt;80%,"Muy alta",""))))))</f>
        <v>Muy baja</v>
      </c>
      <c r="AD36" s="103">
        <f>IF(U36="","",IF(U36="preventivo",$L$35-($L$35*Y36),IF(U36="detectivo",$L$35-($L$35*Y36),IF(U36="correctivo",$L$35,""))))</f>
        <v>0.12</v>
      </c>
      <c r="AE36" s="66" t="str">
        <f t="shared" ref="AE36" si="32">IF(AF36="","",IF(AF36&lt;=20%,"Leve",IF(AND(AF36&gt;20%,AF36&lt;=40%),"Menor",IF(AND(AF36&gt;40%,AF36&lt;=60%),"Moderado",IF(AND(AF36&gt;60%,AF36&lt;=80%),"Mayor",IF(AF36&gt;80%,"Catastrófico",""))))))</f>
        <v>Leve</v>
      </c>
      <c r="AF36" s="103">
        <f>IF(U36="","",IF(U36="preventivo",$P36,IF(U36="detectivo",$P$35,IF(U36="correctivo",$P$35-($P$35*Y36),""))))</f>
        <v>0</v>
      </c>
      <c r="AG36" s="33" t="str">
        <f>VLOOKUP(AC36,Calculos!$V$2:$AA$7,MATCH(Riesgos!AE36,Calculos!$V$2:$AA$2,0),FALSE)</f>
        <v>Bajo</v>
      </c>
      <c r="AH36" s="293"/>
      <c r="AI36" s="259"/>
      <c r="AJ36" s="291"/>
      <c r="AK36" s="291"/>
      <c r="AL36" s="291"/>
      <c r="AM36" s="294"/>
    </row>
  </sheetData>
  <mergeCells count="271">
    <mergeCell ref="AJ35:AJ36"/>
    <mergeCell ref="AK35:AK36"/>
    <mergeCell ref="AL35:AL36"/>
    <mergeCell ref="AM35:AM36"/>
    <mergeCell ref="AI31:AI34"/>
    <mergeCell ref="AJ31:AJ34"/>
    <mergeCell ref="AK31:AK34"/>
    <mergeCell ref="AL31:AL34"/>
    <mergeCell ref="AM31:AM34"/>
    <mergeCell ref="AI35:AI36"/>
    <mergeCell ref="A35:A36"/>
    <mergeCell ref="B35:B36"/>
    <mergeCell ref="C35:C36"/>
    <mergeCell ref="D35:D36"/>
    <mergeCell ref="E35:E36"/>
    <mergeCell ref="F35:F36"/>
    <mergeCell ref="G35:G36"/>
    <mergeCell ref="H35:H36"/>
    <mergeCell ref="I35:I36"/>
    <mergeCell ref="AH31:AH34"/>
    <mergeCell ref="J35:J36"/>
    <mergeCell ref="K35:K36"/>
    <mergeCell ref="L35:L36"/>
    <mergeCell ref="M35:M36"/>
    <mergeCell ref="N35:N36"/>
    <mergeCell ref="O35:O36"/>
    <mergeCell ref="P35:P36"/>
    <mergeCell ref="Q35:Q36"/>
    <mergeCell ref="AH35:AH36"/>
    <mergeCell ref="P25:P27"/>
    <mergeCell ref="Q25:Q27"/>
    <mergeCell ref="N25:N26"/>
    <mergeCell ref="A31:A34"/>
    <mergeCell ref="B31:B34"/>
    <mergeCell ref="C31:C34"/>
    <mergeCell ref="D31:D34"/>
    <mergeCell ref="E31:E34"/>
    <mergeCell ref="F31:F34"/>
    <mergeCell ref="G31:G34"/>
    <mergeCell ref="H31:H34"/>
    <mergeCell ref="I31:I34"/>
    <mergeCell ref="J31:J34"/>
    <mergeCell ref="K31:K34"/>
    <mergeCell ref="L31:L34"/>
    <mergeCell ref="M31:M34"/>
    <mergeCell ref="O31:O34"/>
    <mergeCell ref="P31:P34"/>
    <mergeCell ref="Q31:Q34"/>
    <mergeCell ref="J25:J27"/>
    <mergeCell ref="M25:M27"/>
    <mergeCell ref="AH25:AH27"/>
    <mergeCell ref="AL25:AL27"/>
    <mergeCell ref="AM25:AM27"/>
    <mergeCell ref="AI25:AI27"/>
    <mergeCell ref="AJ25:AJ27"/>
    <mergeCell ref="AK25:AK27"/>
    <mergeCell ref="J13:J16"/>
    <mergeCell ref="AH13:AH16"/>
    <mergeCell ref="AI13:AI16"/>
    <mergeCell ref="AJ13:AJ16"/>
    <mergeCell ref="AL13:AL16"/>
    <mergeCell ref="AM13:AM16"/>
    <mergeCell ref="K13:K16"/>
    <mergeCell ref="L13:L16"/>
    <mergeCell ref="M13:M16"/>
    <mergeCell ref="N13:N16"/>
    <mergeCell ref="O13:O16"/>
    <mergeCell ref="P13:P16"/>
    <mergeCell ref="Q13:Q16"/>
    <mergeCell ref="K25:K27"/>
    <mergeCell ref="L25:L27"/>
    <mergeCell ref="O25:O27"/>
    <mergeCell ref="A25:A27"/>
    <mergeCell ref="B25:B27"/>
    <mergeCell ref="C25:C27"/>
    <mergeCell ref="D25:D27"/>
    <mergeCell ref="E25:E27"/>
    <mergeCell ref="F25:F27"/>
    <mergeCell ref="G25:G27"/>
    <mergeCell ref="H25:H27"/>
    <mergeCell ref="I25:I27"/>
    <mergeCell ref="A22:A24"/>
    <mergeCell ref="B22:B24"/>
    <mergeCell ref="C22:C24"/>
    <mergeCell ref="D22:D24"/>
    <mergeCell ref="F22:F24"/>
    <mergeCell ref="E22:E24"/>
    <mergeCell ref="M22:M24"/>
    <mergeCell ref="O22:O24"/>
    <mergeCell ref="H22:H24"/>
    <mergeCell ref="I22:I24"/>
    <mergeCell ref="J22:J24"/>
    <mergeCell ref="K22:K24"/>
    <mergeCell ref="L22:L24"/>
    <mergeCell ref="N22:N24"/>
    <mergeCell ref="G22:G24"/>
    <mergeCell ref="H19:H21"/>
    <mergeCell ref="I19:I21"/>
    <mergeCell ref="J19:J21"/>
    <mergeCell ref="K19:K21"/>
    <mergeCell ref="L19:L21"/>
    <mergeCell ref="AH3:AH4"/>
    <mergeCell ref="AH5:AH7"/>
    <mergeCell ref="M5:M7"/>
    <mergeCell ref="O5:O7"/>
    <mergeCell ref="P5:P7"/>
    <mergeCell ref="Q5:Q7"/>
    <mergeCell ref="P19:P21"/>
    <mergeCell ref="Q19:Q21"/>
    <mergeCell ref="O3:O4"/>
    <mergeCell ref="P3:P4"/>
    <mergeCell ref="Q3:Q4"/>
    <mergeCell ref="R3:R4"/>
    <mergeCell ref="H13:H16"/>
    <mergeCell ref="I13:I16"/>
    <mergeCell ref="M19:M21"/>
    <mergeCell ref="O19:O21"/>
    <mergeCell ref="P22:P24"/>
    <mergeCell ref="Q22:Q24"/>
    <mergeCell ref="AL3:AL4"/>
    <mergeCell ref="AI2:AM2"/>
    <mergeCell ref="R2:AB2"/>
    <mergeCell ref="AI3:AI4"/>
    <mergeCell ref="AH19:AH21"/>
    <mergeCell ref="A5:A7"/>
    <mergeCell ref="B5:B7"/>
    <mergeCell ref="C5:C7"/>
    <mergeCell ref="D5:D7"/>
    <mergeCell ref="F5:F7"/>
    <mergeCell ref="G5:G7"/>
    <mergeCell ref="A19:A21"/>
    <mergeCell ref="B19:B21"/>
    <mergeCell ref="C19:C21"/>
    <mergeCell ref="D19:D21"/>
    <mergeCell ref="F19:F21"/>
    <mergeCell ref="E19:E21"/>
    <mergeCell ref="G19:G21"/>
    <mergeCell ref="A13:A16"/>
    <mergeCell ref="B13:B16"/>
    <mergeCell ref="C13:C16"/>
    <mergeCell ref="D13:D16"/>
    <mergeCell ref="E13:E16"/>
    <mergeCell ref="F13:F16"/>
    <mergeCell ref="G13:G16"/>
    <mergeCell ref="C3:C4"/>
    <mergeCell ref="B3:B4"/>
    <mergeCell ref="E3:E4"/>
    <mergeCell ref="H5:H7"/>
    <mergeCell ref="I5:I7"/>
    <mergeCell ref="N5:N7"/>
    <mergeCell ref="J5:J7"/>
    <mergeCell ref="K5:K7"/>
    <mergeCell ref="L5:L7"/>
    <mergeCell ref="A1:AM1"/>
    <mergeCell ref="AE3:AE4"/>
    <mergeCell ref="AF3:AF4"/>
    <mergeCell ref="AG3:AG4"/>
    <mergeCell ref="AJ3:AJ4"/>
    <mergeCell ref="S3:S4"/>
    <mergeCell ref="T3:T4"/>
    <mergeCell ref="U3:AB3"/>
    <mergeCell ref="AC3:AC4"/>
    <mergeCell ref="AD3:AD4"/>
    <mergeCell ref="M3:M4"/>
    <mergeCell ref="A3:A4"/>
    <mergeCell ref="AK3:AK4"/>
    <mergeCell ref="AM3:AM4"/>
    <mergeCell ref="L3:L4"/>
    <mergeCell ref="G3:G4"/>
    <mergeCell ref="K3:K4"/>
    <mergeCell ref="J3:J4"/>
    <mergeCell ref="A2:J2"/>
    <mergeCell ref="K2:Q2"/>
    <mergeCell ref="I3:I4"/>
    <mergeCell ref="H3:H4"/>
    <mergeCell ref="F3:F4"/>
    <mergeCell ref="D3:D4"/>
    <mergeCell ref="AI6:AI7"/>
    <mergeCell ref="AJ6:AJ7"/>
    <mergeCell ref="AK6:AK7"/>
    <mergeCell ref="AL6:AL7"/>
    <mergeCell ref="AM6:AM7"/>
    <mergeCell ref="A8:A12"/>
    <mergeCell ref="B8:B12"/>
    <mergeCell ref="C8:C12"/>
    <mergeCell ref="D8:D12"/>
    <mergeCell ref="E8:E12"/>
    <mergeCell ref="F8:F12"/>
    <mergeCell ref="G8:G12"/>
    <mergeCell ref="H8:H12"/>
    <mergeCell ref="I8:I12"/>
    <mergeCell ref="J8:J12"/>
    <mergeCell ref="K8:K12"/>
    <mergeCell ref="L8:L12"/>
    <mergeCell ref="M8:M12"/>
    <mergeCell ref="N8:N10"/>
    <mergeCell ref="O8:O12"/>
    <mergeCell ref="P8:P12"/>
    <mergeCell ref="Q8:Q12"/>
    <mergeCell ref="AH8:AH12"/>
    <mergeCell ref="AI8:AI12"/>
    <mergeCell ref="AJ8:AJ12"/>
    <mergeCell ref="AK8:AK12"/>
    <mergeCell ref="AL8:AL12"/>
    <mergeCell ref="AM8:AM12"/>
    <mergeCell ref="AK13:AK16"/>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17:P18"/>
    <mergeCell ref="Q17:Q18"/>
    <mergeCell ref="AH17:AH18"/>
    <mergeCell ref="AI17:AI18"/>
    <mergeCell ref="AK28:AK30"/>
    <mergeCell ref="AL28:AL30"/>
    <mergeCell ref="AJ17:AJ18"/>
    <mergeCell ref="AK17:AK18"/>
    <mergeCell ref="AL17:AL18"/>
    <mergeCell ref="AM17:AM18"/>
    <mergeCell ref="R19:R21"/>
    <mergeCell ref="S19:S21"/>
    <mergeCell ref="T19:T21"/>
    <mergeCell ref="U19:U21"/>
    <mergeCell ref="V19:V21"/>
    <mergeCell ref="W19:W21"/>
    <mergeCell ref="X19:X21"/>
    <mergeCell ref="Y19:Y21"/>
    <mergeCell ref="Z19:Z21"/>
    <mergeCell ref="AA19:AA21"/>
    <mergeCell ref="AB19:AB21"/>
    <mergeCell ref="AC19:AC21"/>
    <mergeCell ref="AD19:AD21"/>
    <mergeCell ref="AE19:AE21"/>
    <mergeCell ref="AF19:AF21"/>
    <mergeCell ref="AG19:AG21"/>
    <mergeCell ref="AM28:AM30"/>
    <mergeCell ref="N31:N32"/>
    <mergeCell ref="AH22:AH24"/>
    <mergeCell ref="AM22:AM23"/>
    <mergeCell ref="A28:A30"/>
    <mergeCell ref="B28:B30"/>
    <mergeCell ref="C28:C30"/>
    <mergeCell ref="D28:D30"/>
    <mergeCell ref="E28:E30"/>
    <mergeCell ref="F28:F30"/>
    <mergeCell ref="G28:G30"/>
    <mergeCell ref="H28:H30"/>
    <mergeCell ref="I28:I30"/>
    <mergeCell ref="J28:J30"/>
    <mergeCell ref="K28:K30"/>
    <mergeCell ref="L28:L30"/>
    <mergeCell ref="M28:M30"/>
    <mergeCell ref="N28:N29"/>
    <mergeCell ref="O28:O30"/>
    <mergeCell ref="P28:P30"/>
    <mergeCell ref="Q28:Q30"/>
    <mergeCell ref="AH28:AH30"/>
    <mergeCell ref="AI28:AI30"/>
    <mergeCell ref="AJ28:AJ30"/>
  </mergeCells>
  <conditionalFormatting sqref="K5">
    <cfRule type="cellIs" dxfId="340" priority="967" operator="equal">
      <formula>"Muy alta"</formula>
    </cfRule>
    <cfRule type="cellIs" dxfId="339" priority="968" operator="equal">
      <formula>"Alta"</formula>
    </cfRule>
    <cfRule type="cellIs" dxfId="338" priority="969" operator="equal">
      <formula>"Media"</formula>
    </cfRule>
    <cfRule type="cellIs" dxfId="337" priority="970" operator="equal">
      <formula>"Baja"</formula>
    </cfRule>
    <cfRule type="cellIs" dxfId="336" priority="971" operator="equal">
      <formula>"Muy baja"</formula>
    </cfRule>
  </conditionalFormatting>
  <conditionalFormatting sqref="O5">
    <cfRule type="cellIs" dxfId="335" priority="962" operator="equal">
      <formula>"Catastrófico"</formula>
    </cfRule>
    <cfRule type="cellIs" dxfId="334" priority="963" operator="equal">
      <formula>"Mayor"</formula>
    </cfRule>
    <cfRule type="cellIs" dxfId="333" priority="964" operator="equal">
      <formula>"Moderado"</formula>
    </cfRule>
    <cfRule type="cellIs" dxfId="332" priority="965" operator="equal">
      <formula>"Menor"</formula>
    </cfRule>
    <cfRule type="cellIs" dxfId="331" priority="966" operator="equal">
      <formula>"Leve"</formula>
    </cfRule>
  </conditionalFormatting>
  <conditionalFormatting sqref="Q5">
    <cfRule type="cellIs" dxfId="330" priority="958" operator="equal">
      <formula>"Bajo"</formula>
    </cfRule>
    <cfRule type="cellIs" dxfId="329" priority="959" operator="equal">
      <formula>"Moderado"</formula>
    </cfRule>
    <cfRule type="cellIs" dxfId="328" priority="960" operator="equal">
      <formula>"Alto"</formula>
    </cfRule>
    <cfRule type="cellIs" dxfId="327" priority="961" operator="equal">
      <formula>"Extremo"</formula>
    </cfRule>
  </conditionalFormatting>
  <conditionalFormatting sqref="AC5:AC7">
    <cfRule type="cellIs" dxfId="326" priority="951" operator="equal">
      <formula>"Muy alta"</formula>
    </cfRule>
    <cfRule type="cellIs" dxfId="325" priority="952" operator="equal">
      <formula>"Alta"</formula>
    </cfRule>
    <cfRule type="cellIs" dxfId="324" priority="953" operator="equal">
      <formula>"Media"</formula>
    </cfRule>
    <cfRule type="cellIs" dxfId="323" priority="956" operator="equal">
      <formula>"Muy baja"</formula>
    </cfRule>
    <cfRule type="cellIs" dxfId="322" priority="957" operator="equal">
      <formula>"Baja"</formula>
    </cfRule>
  </conditionalFormatting>
  <conditionalFormatting sqref="AF5:AF7">
    <cfRule type="cellIs" dxfId="321" priority="946" operator="equal">
      <formula>"Muy alta"</formula>
    </cfRule>
    <cfRule type="cellIs" dxfId="320" priority="947" operator="equal">
      <formula>"Alta"</formula>
    </cfRule>
    <cfRule type="cellIs" dxfId="319" priority="948" operator="equal">
      <formula>"Media"</formula>
    </cfRule>
    <cfRule type="cellIs" dxfId="318" priority="949" operator="equal">
      <formula>"Muy baja"</formula>
    </cfRule>
    <cfRule type="cellIs" dxfId="317" priority="950" operator="equal">
      <formula>"Baja"</formula>
    </cfRule>
  </conditionalFormatting>
  <conditionalFormatting sqref="AE5:AE7">
    <cfRule type="cellIs" dxfId="316" priority="941" operator="equal">
      <formula>"Catastrófico"</formula>
    </cfRule>
    <cfRule type="cellIs" dxfId="315" priority="942" operator="equal">
      <formula>"Mayor"</formula>
    </cfRule>
    <cfRule type="cellIs" dxfId="314" priority="943" operator="equal">
      <formula>"Moderado"</formula>
    </cfRule>
    <cfRule type="cellIs" dxfId="313" priority="944" operator="equal">
      <formula>"Menor"</formula>
    </cfRule>
    <cfRule type="cellIs" dxfId="312" priority="945" operator="equal">
      <formula>"Leve"</formula>
    </cfRule>
  </conditionalFormatting>
  <conditionalFormatting sqref="AG5:AG7">
    <cfRule type="cellIs" dxfId="311" priority="927" operator="equal">
      <formula>"Bajo"</formula>
    </cfRule>
    <cfRule type="cellIs" dxfId="310" priority="928" operator="equal">
      <formula>"Moderado"</formula>
    </cfRule>
    <cfRule type="cellIs" dxfId="309" priority="929" operator="equal">
      <formula>"Alto"</formula>
    </cfRule>
    <cfRule type="cellIs" dxfId="308" priority="930" operator="equal">
      <formula>"Extremo"</formula>
    </cfRule>
  </conditionalFormatting>
  <conditionalFormatting sqref="K22">
    <cfRule type="cellIs" dxfId="307" priority="756" operator="equal">
      <formula>"Muy alta"</formula>
    </cfRule>
    <cfRule type="cellIs" dxfId="306" priority="757" operator="equal">
      <formula>"Alta"</formula>
    </cfRule>
    <cfRule type="cellIs" dxfId="305" priority="758" operator="equal">
      <formula>"Media"</formula>
    </cfRule>
    <cfRule type="cellIs" dxfId="304" priority="759" operator="equal">
      <formula>"Baja"</formula>
    </cfRule>
    <cfRule type="cellIs" dxfId="303" priority="760" operator="equal">
      <formula>"Muy baja"</formula>
    </cfRule>
  </conditionalFormatting>
  <conditionalFormatting sqref="AG22:AG24">
    <cfRule type="cellIs" dxfId="302" priority="569" operator="equal">
      <formula>"Bajo"</formula>
    </cfRule>
    <cfRule type="cellIs" dxfId="301" priority="570" operator="equal">
      <formula>"Moderado"</formula>
    </cfRule>
    <cfRule type="cellIs" dxfId="300" priority="571" operator="equal">
      <formula>"Alto"</formula>
    </cfRule>
    <cfRule type="cellIs" dxfId="299" priority="572" operator="equal">
      <formula>"Extremo"</formula>
    </cfRule>
  </conditionalFormatting>
  <conditionalFormatting sqref="AC22:AC24">
    <cfRule type="cellIs" dxfId="298" priority="564" operator="equal">
      <formula>"Muy alta"</formula>
    </cfRule>
    <cfRule type="cellIs" dxfId="297" priority="565" operator="equal">
      <formula>"Alta"</formula>
    </cfRule>
    <cfRule type="cellIs" dxfId="296" priority="566" operator="equal">
      <formula>"Media"</formula>
    </cfRule>
    <cfRule type="cellIs" dxfId="295" priority="567" operator="equal">
      <formula>"Muy baja"</formula>
    </cfRule>
    <cfRule type="cellIs" dxfId="294" priority="568" operator="equal">
      <formula>"Baja"</formula>
    </cfRule>
  </conditionalFormatting>
  <conditionalFormatting sqref="AE22:AE24">
    <cfRule type="cellIs" dxfId="293" priority="559" operator="equal">
      <formula>"Catastrófico"</formula>
    </cfRule>
    <cfRule type="cellIs" dxfId="292" priority="560" operator="equal">
      <formula>"Mayor"</formula>
    </cfRule>
    <cfRule type="cellIs" dxfId="291" priority="561" operator="equal">
      <formula>"Moderado"</formula>
    </cfRule>
    <cfRule type="cellIs" dxfId="290" priority="562" operator="equal">
      <formula>"Menor"</formula>
    </cfRule>
    <cfRule type="cellIs" dxfId="289" priority="563" operator="equal">
      <formula>"Leve"</formula>
    </cfRule>
  </conditionalFormatting>
  <conditionalFormatting sqref="AF22:AF24">
    <cfRule type="cellIs" dxfId="288" priority="554" operator="equal">
      <formula>"Muy alta"</formula>
    </cfRule>
    <cfRule type="cellIs" dxfId="287" priority="555" operator="equal">
      <formula>"Alta"</formula>
    </cfRule>
    <cfRule type="cellIs" dxfId="286" priority="556" operator="equal">
      <formula>"Media"</formula>
    </cfRule>
    <cfRule type="cellIs" dxfId="285" priority="557" operator="equal">
      <formula>"Muy baja"</formula>
    </cfRule>
    <cfRule type="cellIs" dxfId="284" priority="558" operator="equal">
      <formula>"Baja"</formula>
    </cfRule>
  </conditionalFormatting>
  <conditionalFormatting sqref="O13:O15">
    <cfRule type="cellIs" dxfId="283" priority="530" operator="equal">
      <formula>"Catastrófico"</formula>
    </cfRule>
    <cfRule type="cellIs" dxfId="282" priority="531" operator="equal">
      <formula>"Mayor"</formula>
    </cfRule>
    <cfRule type="cellIs" dxfId="281" priority="532" operator="equal">
      <formula>"Moderado"</formula>
    </cfRule>
    <cfRule type="cellIs" dxfId="280" priority="533" operator="equal">
      <formula>"Menor"</formula>
    </cfRule>
    <cfRule type="cellIs" dxfId="279" priority="534" operator="equal">
      <formula>"Leve"</formula>
    </cfRule>
  </conditionalFormatting>
  <conditionalFormatting sqref="Q13:Q15">
    <cfRule type="cellIs" dxfId="278" priority="526" operator="equal">
      <formula>"Bajo"</formula>
    </cfRule>
    <cfRule type="cellIs" dxfId="277" priority="527" operator="equal">
      <formula>"Moderado"</formula>
    </cfRule>
    <cfRule type="cellIs" dxfId="276" priority="528" operator="equal">
      <formula>"Alto"</formula>
    </cfRule>
    <cfRule type="cellIs" dxfId="275" priority="529" operator="equal">
      <formula>"Extremo"</formula>
    </cfRule>
  </conditionalFormatting>
  <conditionalFormatting sqref="K13:K15">
    <cfRule type="cellIs" dxfId="274" priority="521" operator="equal">
      <formula>"Muy alta"</formula>
    </cfRule>
    <cfRule type="cellIs" dxfId="273" priority="522" operator="equal">
      <formula>"Alta"</formula>
    </cfRule>
    <cfRule type="cellIs" dxfId="272" priority="523" operator="equal">
      <formula>"Media"</formula>
    </cfRule>
    <cfRule type="cellIs" dxfId="271" priority="524" operator="equal">
      <formula>"Baja"</formula>
    </cfRule>
    <cfRule type="cellIs" dxfId="270" priority="525" operator="equal">
      <formula>"Muy baja"</formula>
    </cfRule>
  </conditionalFormatting>
  <conditionalFormatting sqref="K25">
    <cfRule type="cellIs" dxfId="269" priority="438" operator="equal">
      <formula>"Muy alta"</formula>
    </cfRule>
    <cfRule type="cellIs" dxfId="268" priority="439" operator="equal">
      <formula>"Alta"</formula>
    </cfRule>
    <cfRule type="cellIs" dxfId="267" priority="440" operator="equal">
      <formula>"Media"</formula>
    </cfRule>
    <cfRule type="cellIs" dxfId="266" priority="441" operator="equal">
      <formula>"Baja"</formula>
    </cfRule>
    <cfRule type="cellIs" dxfId="265" priority="442" operator="equal">
      <formula>"Muy baja"</formula>
    </cfRule>
  </conditionalFormatting>
  <conditionalFormatting sqref="O25">
    <cfRule type="cellIs" dxfId="264" priority="433" operator="equal">
      <formula>"Catastrófico"</formula>
    </cfRule>
    <cfRule type="cellIs" dxfId="263" priority="434" operator="equal">
      <formula>"Mayor"</formula>
    </cfRule>
    <cfRule type="cellIs" dxfId="262" priority="435" operator="equal">
      <formula>"Moderado"</formula>
    </cfRule>
    <cfRule type="cellIs" dxfId="261" priority="436" operator="equal">
      <formula>"Menor"</formula>
    </cfRule>
    <cfRule type="cellIs" dxfId="260" priority="437" operator="equal">
      <formula>"Leve"</formula>
    </cfRule>
  </conditionalFormatting>
  <conditionalFormatting sqref="AG25:AG27">
    <cfRule type="cellIs" dxfId="259" priority="429" operator="equal">
      <formula>"Bajo"</formula>
    </cfRule>
    <cfRule type="cellIs" dxfId="258" priority="430" operator="equal">
      <formula>"Moderado"</formula>
    </cfRule>
    <cfRule type="cellIs" dxfId="257" priority="431" operator="equal">
      <formula>"Alto"</formula>
    </cfRule>
    <cfRule type="cellIs" dxfId="256" priority="432" operator="equal">
      <formula>"Extremo"</formula>
    </cfRule>
  </conditionalFormatting>
  <conditionalFormatting sqref="AC25:AC27 AF25:AF27">
    <cfRule type="cellIs" dxfId="255" priority="424" operator="equal">
      <formula>"Muy alta"</formula>
    </cfRule>
    <cfRule type="cellIs" dxfId="254" priority="425" operator="equal">
      <formula>"Alta"</formula>
    </cfRule>
    <cfRule type="cellIs" dxfId="253" priority="426" operator="equal">
      <formula>"Media"</formula>
    </cfRule>
    <cfRule type="cellIs" dxfId="252" priority="427" operator="equal">
      <formula>"Muy baja"</formula>
    </cfRule>
    <cfRule type="cellIs" dxfId="251" priority="428" operator="equal">
      <formula>"Baja"</formula>
    </cfRule>
  </conditionalFormatting>
  <conditionalFormatting sqref="AE25:AE27">
    <cfRule type="cellIs" dxfId="250" priority="419" operator="equal">
      <formula>"Catastrófico"</formula>
    </cfRule>
    <cfRule type="cellIs" dxfId="249" priority="420" operator="equal">
      <formula>"Mayor"</formula>
    </cfRule>
    <cfRule type="cellIs" dxfId="248" priority="421" operator="equal">
      <formula>"Moderado"</formula>
    </cfRule>
    <cfRule type="cellIs" dxfId="247" priority="422" operator="equal">
      <formula>"Menor"</formula>
    </cfRule>
    <cfRule type="cellIs" dxfId="246" priority="423" operator="equal">
      <formula>"Leve"</formula>
    </cfRule>
  </conditionalFormatting>
  <conditionalFormatting sqref="Q25">
    <cfRule type="cellIs" dxfId="245" priority="415" operator="equal">
      <formula>"Bajo"</formula>
    </cfRule>
    <cfRule type="cellIs" dxfId="244" priority="416" operator="equal">
      <formula>"Moderado"</formula>
    </cfRule>
    <cfRule type="cellIs" dxfId="243" priority="417" operator="equal">
      <formula>"Alto"</formula>
    </cfRule>
    <cfRule type="cellIs" dxfId="242" priority="418" operator="equal">
      <formula>"Extremo"</formula>
    </cfRule>
  </conditionalFormatting>
  <conditionalFormatting sqref="K35">
    <cfRule type="cellIs" dxfId="241" priority="372" operator="equal">
      <formula>"Muy alta"</formula>
    </cfRule>
    <cfRule type="cellIs" dxfId="240" priority="373" operator="equal">
      <formula>"Alta"</formula>
    </cfRule>
    <cfRule type="cellIs" dxfId="239" priority="374" operator="equal">
      <formula>"Media"</formula>
    </cfRule>
    <cfRule type="cellIs" dxfId="238" priority="375" operator="equal">
      <formula>"Baja"</formula>
    </cfRule>
    <cfRule type="cellIs" dxfId="237" priority="376" operator="equal">
      <formula>"Muy baja"</formula>
    </cfRule>
  </conditionalFormatting>
  <conditionalFormatting sqref="O35">
    <cfRule type="cellIs" dxfId="236" priority="367" operator="equal">
      <formula>"Catastrófico"</formula>
    </cfRule>
    <cfRule type="cellIs" dxfId="235" priority="368" operator="equal">
      <formula>"Mayor"</formula>
    </cfRule>
    <cfRule type="cellIs" dxfId="234" priority="369" operator="equal">
      <formula>"Moderado"</formula>
    </cfRule>
    <cfRule type="cellIs" dxfId="233" priority="370" operator="equal">
      <formula>"Menor"</formula>
    </cfRule>
    <cfRule type="cellIs" dxfId="232" priority="371" operator="equal">
      <formula>"Leve"</formula>
    </cfRule>
  </conditionalFormatting>
  <conditionalFormatting sqref="Q35">
    <cfRule type="cellIs" dxfId="231" priority="317" operator="equal">
      <formula>"Bajo"</formula>
    </cfRule>
    <cfRule type="cellIs" dxfId="230" priority="318" operator="equal">
      <formula>"Moderado"</formula>
    </cfRule>
    <cfRule type="cellIs" dxfId="229" priority="319" operator="equal">
      <formula>"Alto"</formula>
    </cfRule>
    <cfRule type="cellIs" dxfId="228" priority="320" operator="equal">
      <formula>"Extremo"</formula>
    </cfRule>
  </conditionalFormatting>
  <conditionalFormatting sqref="K8">
    <cfRule type="cellIs" dxfId="227" priority="312" operator="equal">
      <formula>"Muy alta"</formula>
    </cfRule>
    <cfRule type="cellIs" dxfId="226" priority="313" operator="equal">
      <formula>"Alta"</formula>
    </cfRule>
    <cfRule type="cellIs" dxfId="225" priority="314" operator="equal">
      <formula>"Media"</formula>
    </cfRule>
    <cfRule type="cellIs" dxfId="224" priority="315" operator="equal">
      <formula>"Baja"</formula>
    </cfRule>
    <cfRule type="cellIs" dxfId="223" priority="316" operator="equal">
      <formula>"Muy baja"</formula>
    </cfRule>
  </conditionalFormatting>
  <conditionalFormatting sqref="O8">
    <cfRule type="cellIs" dxfId="222" priority="307" operator="equal">
      <formula>"Catastrófico"</formula>
    </cfRule>
    <cfRule type="cellIs" dxfId="221" priority="308" operator="equal">
      <formula>"Mayor"</formula>
    </cfRule>
    <cfRule type="cellIs" dxfId="220" priority="309" operator="equal">
      <formula>"Moderado"</formula>
    </cfRule>
    <cfRule type="cellIs" dxfId="219" priority="310" operator="equal">
      <formula>"Menor"</formula>
    </cfRule>
    <cfRule type="cellIs" dxfId="218" priority="311" operator="equal">
      <formula>"Leve"</formula>
    </cfRule>
  </conditionalFormatting>
  <conditionalFormatting sqref="Q8">
    <cfRule type="cellIs" dxfId="217" priority="303" operator="equal">
      <formula>"Bajo"</formula>
    </cfRule>
    <cfRule type="cellIs" dxfId="216" priority="304" operator="equal">
      <formula>"Moderado"</formula>
    </cfRule>
    <cfRule type="cellIs" dxfId="215" priority="305" operator="equal">
      <formula>"Alto"</formula>
    </cfRule>
    <cfRule type="cellIs" dxfId="214" priority="306" operator="equal">
      <formula>"Extremo"</formula>
    </cfRule>
  </conditionalFormatting>
  <conditionalFormatting sqref="AG8:AG12">
    <cfRule type="cellIs" dxfId="213" priority="299" operator="equal">
      <formula>"Bajo"</formula>
    </cfRule>
    <cfRule type="cellIs" dxfId="212" priority="300" operator="equal">
      <formula>"Moderado"</formula>
    </cfRule>
    <cfRule type="cellIs" dxfId="211" priority="301" operator="equal">
      <formula>"Alto"</formula>
    </cfRule>
    <cfRule type="cellIs" dxfId="210" priority="302" operator="equal">
      <formula>"Extremo"</formula>
    </cfRule>
  </conditionalFormatting>
  <conditionalFormatting sqref="AC8:AC12">
    <cfRule type="cellIs" dxfId="209" priority="294" operator="equal">
      <formula>"Muy alta"</formula>
    </cfRule>
    <cfRule type="cellIs" dxfId="208" priority="295" operator="equal">
      <formula>"Alta"</formula>
    </cfRule>
    <cfRule type="cellIs" dxfId="207" priority="296" operator="equal">
      <formula>"Media"</formula>
    </cfRule>
    <cfRule type="cellIs" dxfId="206" priority="297" operator="equal">
      <formula>"Muy baja"</formula>
    </cfRule>
    <cfRule type="cellIs" dxfId="205" priority="298" operator="equal">
      <formula>"Baja"</formula>
    </cfRule>
  </conditionalFormatting>
  <conditionalFormatting sqref="AE8:AE12">
    <cfRule type="cellIs" dxfId="204" priority="289" operator="equal">
      <formula>"Catastrófico"</formula>
    </cfRule>
    <cfRule type="cellIs" dxfId="203" priority="290" operator="equal">
      <formula>"Mayor"</formula>
    </cfRule>
    <cfRule type="cellIs" dxfId="202" priority="291" operator="equal">
      <formula>"Moderado"</formula>
    </cfRule>
    <cfRule type="cellIs" dxfId="201" priority="292" operator="equal">
      <formula>"Menor"</formula>
    </cfRule>
    <cfRule type="cellIs" dxfId="200" priority="293" operator="equal">
      <formula>"Leve"</formula>
    </cfRule>
  </conditionalFormatting>
  <conditionalFormatting sqref="AF8:AF12">
    <cfRule type="cellIs" dxfId="199" priority="284" operator="equal">
      <formula>"Muy alta"</formula>
    </cfRule>
    <cfRule type="cellIs" dxfId="198" priority="285" operator="equal">
      <formula>"Alta"</formula>
    </cfRule>
    <cfRule type="cellIs" dxfId="197" priority="286" operator="equal">
      <formula>"Media"</formula>
    </cfRule>
    <cfRule type="cellIs" dxfId="196" priority="287" operator="equal">
      <formula>"Muy baja"</formula>
    </cfRule>
    <cfRule type="cellIs" dxfId="195" priority="288" operator="equal">
      <formula>"Baja"</formula>
    </cfRule>
  </conditionalFormatting>
  <conditionalFormatting sqref="AF28:AF30">
    <cfRule type="cellIs" dxfId="194" priority="92" operator="equal">
      <formula>"Muy alta"</formula>
    </cfRule>
    <cfRule type="cellIs" dxfId="193" priority="93" operator="equal">
      <formula>"Alta"</formula>
    </cfRule>
    <cfRule type="cellIs" dxfId="192" priority="94" operator="equal">
      <formula>"Media"</formula>
    </cfRule>
    <cfRule type="cellIs" dxfId="191" priority="95" operator="equal">
      <formula>"Muy baja"</formula>
    </cfRule>
    <cfRule type="cellIs" dxfId="190" priority="96" operator="equal">
      <formula>"Baja"</formula>
    </cfRule>
  </conditionalFormatting>
  <conditionalFormatting sqref="AG13">
    <cfRule type="cellIs" dxfId="189" priority="256" operator="equal">
      <formula>"Bajo"</formula>
    </cfRule>
    <cfRule type="cellIs" dxfId="188" priority="257" operator="equal">
      <formula>"Moderado"</formula>
    </cfRule>
    <cfRule type="cellIs" dxfId="187" priority="258" operator="equal">
      <formula>"Alto"</formula>
    </cfRule>
    <cfRule type="cellIs" dxfId="186" priority="259" operator="equal">
      <formula>"Extremo"</formula>
    </cfRule>
  </conditionalFormatting>
  <conditionalFormatting sqref="AC13:AC16">
    <cfRule type="cellIs" dxfId="185" priority="251" operator="equal">
      <formula>"Muy alta"</formula>
    </cfRule>
    <cfRule type="cellIs" dxfId="184" priority="252" operator="equal">
      <formula>"Alta"</formula>
    </cfRule>
    <cfRule type="cellIs" dxfId="183" priority="253" operator="equal">
      <formula>"Media"</formula>
    </cfRule>
    <cfRule type="cellIs" dxfId="182" priority="254" operator="equal">
      <formula>"Muy baja"</formula>
    </cfRule>
    <cfRule type="cellIs" dxfId="181" priority="255" operator="equal">
      <formula>"Baja"</formula>
    </cfRule>
  </conditionalFormatting>
  <conditionalFormatting sqref="AE13:AE16">
    <cfRule type="cellIs" dxfId="180" priority="241" operator="equal">
      <formula>"Catastrófico"</formula>
    </cfRule>
    <cfRule type="cellIs" dxfId="179" priority="242" operator="equal">
      <formula>"Mayor"</formula>
    </cfRule>
    <cfRule type="cellIs" dxfId="178" priority="243" operator="equal">
      <formula>"Moderado"</formula>
    </cfRule>
    <cfRule type="cellIs" dxfId="177" priority="244" operator="equal">
      <formula>"Menor"</formula>
    </cfRule>
    <cfRule type="cellIs" dxfId="176" priority="245" operator="equal">
      <formula>"Leve"</formula>
    </cfRule>
  </conditionalFormatting>
  <conditionalFormatting sqref="AF13:AF16">
    <cfRule type="cellIs" dxfId="175" priority="236" operator="equal">
      <formula>"Muy alta"</formula>
    </cfRule>
    <cfRule type="cellIs" dxfId="174" priority="237" operator="equal">
      <formula>"Alta"</formula>
    </cfRule>
    <cfRule type="cellIs" dxfId="173" priority="238" operator="equal">
      <formula>"Media"</formula>
    </cfRule>
    <cfRule type="cellIs" dxfId="172" priority="239" operator="equal">
      <formula>"Muy baja"</formula>
    </cfRule>
    <cfRule type="cellIs" dxfId="171" priority="240" operator="equal">
      <formula>"Baja"</formula>
    </cfRule>
  </conditionalFormatting>
  <conditionalFormatting sqref="AG14">
    <cfRule type="cellIs" dxfId="170" priority="232" operator="equal">
      <formula>"Bajo"</formula>
    </cfRule>
    <cfRule type="cellIs" dxfId="169" priority="233" operator="equal">
      <formula>"Moderado"</formula>
    </cfRule>
    <cfRule type="cellIs" dxfId="168" priority="234" operator="equal">
      <formula>"Alto"</formula>
    </cfRule>
    <cfRule type="cellIs" dxfId="167" priority="235" operator="equal">
      <formula>"Extremo"</formula>
    </cfRule>
  </conditionalFormatting>
  <conditionalFormatting sqref="AG15">
    <cfRule type="cellIs" dxfId="166" priority="228" operator="equal">
      <formula>"Bajo"</formula>
    </cfRule>
    <cfRule type="cellIs" dxfId="165" priority="229" operator="equal">
      <formula>"Moderado"</formula>
    </cfRule>
    <cfRule type="cellIs" dxfId="164" priority="230" operator="equal">
      <formula>"Alto"</formula>
    </cfRule>
    <cfRule type="cellIs" dxfId="163" priority="231" operator="equal">
      <formula>"Extremo"</formula>
    </cfRule>
  </conditionalFormatting>
  <conditionalFormatting sqref="AG16">
    <cfRule type="cellIs" dxfId="162" priority="224" operator="equal">
      <formula>"Bajo"</formula>
    </cfRule>
    <cfRule type="cellIs" dxfId="161" priority="225" operator="equal">
      <formula>"Moderado"</formula>
    </cfRule>
    <cfRule type="cellIs" dxfId="160" priority="226" operator="equal">
      <formula>"Alto"</formula>
    </cfRule>
    <cfRule type="cellIs" dxfId="159" priority="227" operator="equal">
      <formula>"Extremo"</formula>
    </cfRule>
  </conditionalFormatting>
  <conditionalFormatting sqref="K17">
    <cfRule type="cellIs" dxfId="158" priority="219" operator="equal">
      <formula>"Muy alta"</formula>
    </cfRule>
    <cfRule type="cellIs" dxfId="157" priority="220" operator="equal">
      <formula>"Alta"</formula>
    </cfRule>
    <cfRule type="cellIs" dxfId="156" priority="221" operator="equal">
      <formula>"Media"</formula>
    </cfRule>
    <cfRule type="cellIs" dxfId="155" priority="222" operator="equal">
      <formula>"Baja"</formula>
    </cfRule>
    <cfRule type="cellIs" dxfId="154" priority="223" operator="equal">
      <formula>"Muy baja"</formula>
    </cfRule>
  </conditionalFormatting>
  <conditionalFormatting sqref="O17">
    <cfRule type="cellIs" dxfId="153" priority="214" operator="equal">
      <formula>"Catastrófico"</formula>
    </cfRule>
    <cfRule type="cellIs" dxfId="152" priority="215" operator="equal">
      <formula>"Mayor"</formula>
    </cfRule>
    <cfRule type="cellIs" dxfId="151" priority="216" operator="equal">
      <formula>"Moderado"</formula>
    </cfRule>
    <cfRule type="cellIs" dxfId="150" priority="217" operator="equal">
      <formula>"Menor"</formula>
    </cfRule>
    <cfRule type="cellIs" dxfId="149" priority="218" operator="equal">
      <formula>"Leve"</formula>
    </cfRule>
  </conditionalFormatting>
  <conditionalFormatting sqref="AG17:AG18">
    <cfRule type="cellIs" dxfId="148" priority="183" operator="equal">
      <formula>"Bajo"</formula>
    </cfRule>
    <cfRule type="cellIs" dxfId="147" priority="184" operator="equal">
      <formula>"Moderado"</formula>
    </cfRule>
    <cfRule type="cellIs" dxfId="146" priority="185" operator="equal">
      <formula>"Alto"</formula>
    </cfRule>
    <cfRule type="cellIs" dxfId="145" priority="186" operator="equal">
      <formula>"Extremo"</formula>
    </cfRule>
  </conditionalFormatting>
  <conditionalFormatting sqref="Q17">
    <cfRule type="cellIs" dxfId="144" priority="206" operator="equal">
      <formula>"Bajo"</formula>
    </cfRule>
    <cfRule type="cellIs" dxfId="143" priority="207" operator="equal">
      <formula>"Moderado"</formula>
    </cfRule>
    <cfRule type="cellIs" dxfId="142" priority="208" operator="equal">
      <formula>"Alto"</formula>
    </cfRule>
    <cfRule type="cellIs" dxfId="141" priority="209" operator="equal">
      <formula>"Extremo"</formula>
    </cfRule>
  </conditionalFormatting>
  <conditionalFormatting sqref="AC17:AC18">
    <cfRule type="cellIs" dxfId="140" priority="201" operator="equal">
      <formula>"Muy alta"</formula>
    </cfRule>
    <cfRule type="cellIs" dxfId="139" priority="202" operator="equal">
      <formula>"Alta"</formula>
    </cfRule>
    <cfRule type="cellIs" dxfId="138" priority="203" operator="equal">
      <formula>"Media"</formula>
    </cfRule>
    <cfRule type="cellIs" dxfId="137" priority="204" operator="equal">
      <formula>"Muy baja"</formula>
    </cfRule>
    <cfRule type="cellIs" dxfId="136" priority="205" operator="equal">
      <formula>"Baja"</formula>
    </cfRule>
  </conditionalFormatting>
  <conditionalFormatting sqref="AF17:AF18">
    <cfRule type="cellIs" dxfId="135" priority="196" operator="equal">
      <formula>"Muy alta"</formula>
    </cfRule>
    <cfRule type="cellIs" dxfId="134" priority="197" operator="equal">
      <formula>"Alta"</formula>
    </cfRule>
    <cfRule type="cellIs" dxfId="133" priority="198" operator="equal">
      <formula>"Media"</formula>
    </cfRule>
    <cfRule type="cellIs" dxfId="132" priority="199" operator="equal">
      <formula>"Muy baja"</formula>
    </cfRule>
    <cfRule type="cellIs" dxfId="131" priority="200" operator="equal">
      <formula>"Baja"</formula>
    </cfRule>
  </conditionalFormatting>
  <conditionalFormatting sqref="AE17:AE19">
    <cfRule type="cellIs" dxfId="130" priority="191" operator="equal">
      <formula>"Catastrófico"</formula>
    </cfRule>
    <cfRule type="cellIs" dxfId="129" priority="192" operator="equal">
      <formula>"Mayor"</formula>
    </cfRule>
    <cfRule type="cellIs" dxfId="128" priority="193" operator="equal">
      <formula>"Moderado"</formula>
    </cfRule>
    <cfRule type="cellIs" dxfId="127" priority="194" operator="equal">
      <formula>"Menor"</formula>
    </cfRule>
    <cfRule type="cellIs" dxfId="126" priority="195" operator="equal">
      <formula>"Leve"</formula>
    </cfRule>
  </conditionalFormatting>
  <conditionalFormatting sqref="Q22">
    <cfRule type="cellIs" dxfId="125" priority="124" operator="equal">
      <formula>"Bajo"</formula>
    </cfRule>
    <cfRule type="cellIs" dxfId="124" priority="125" operator="equal">
      <formula>"Moderado"</formula>
    </cfRule>
    <cfRule type="cellIs" dxfId="123" priority="126" operator="equal">
      <formula>"Alto"</formula>
    </cfRule>
    <cfRule type="cellIs" dxfId="122" priority="127" operator="equal">
      <formula>"Extremo"</formula>
    </cfRule>
  </conditionalFormatting>
  <conditionalFormatting sqref="AG28:AG30">
    <cfRule type="cellIs" dxfId="121" priority="83" operator="equal">
      <formula>"Bajo"</formula>
    </cfRule>
    <cfRule type="cellIs" dxfId="120" priority="84" operator="equal">
      <formula>"Moderado"</formula>
    </cfRule>
    <cfRule type="cellIs" dxfId="119" priority="85" operator="equal">
      <formula>"Alto"</formula>
    </cfRule>
    <cfRule type="cellIs" dxfId="118" priority="86" operator="equal">
      <formula>"Extremo"</formula>
    </cfRule>
  </conditionalFormatting>
  <conditionalFormatting sqref="O19">
    <cfRule type="cellIs" dxfId="117" priority="178" operator="equal">
      <formula>"Catastrófico"</formula>
    </cfRule>
    <cfRule type="cellIs" dxfId="116" priority="179" operator="equal">
      <formula>"Mayor"</formula>
    </cfRule>
    <cfRule type="cellIs" dxfId="115" priority="180" operator="equal">
      <formula>"Moderado"</formula>
    </cfRule>
    <cfRule type="cellIs" dxfId="114" priority="181" operator="equal">
      <formula>"Menor"</formula>
    </cfRule>
    <cfRule type="cellIs" dxfId="113" priority="182" operator="equal">
      <formula>"Leve"</formula>
    </cfRule>
  </conditionalFormatting>
  <conditionalFormatting sqref="Q19">
    <cfRule type="cellIs" dxfId="112" priority="174" operator="equal">
      <formula>"Bajo"</formula>
    </cfRule>
    <cfRule type="cellIs" dxfId="111" priority="175" operator="equal">
      <formula>"Moderado"</formula>
    </cfRule>
    <cfRule type="cellIs" dxfId="110" priority="176" operator="equal">
      <formula>"Alto"</formula>
    </cfRule>
    <cfRule type="cellIs" dxfId="109" priority="177" operator="equal">
      <formula>"Extremo"</formula>
    </cfRule>
  </conditionalFormatting>
  <conditionalFormatting sqref="K19">
    <cfRule type="cellIs" dxfId="108" priority="169" operator="equal">
      <formula>"Muy alta"</formula>
    </cfRule>
    <cfRule type="cellIs" dxfId="107" priority="170" operator="equal">
      <formula>"Alta"</formula>
    </cfRule>
    <cfRule type="cellIs" dxfId="106" priority="171" operator="equal">
      <formula>"Media"</formula>
    </cfRule>
    <cfRule type="cellIs" dxfId="105" priority="172" operator="equal">
      <formula>"Baja"</formula>
    </cfRule>
    <cfRule type="cellIs" dxfId="104" priority="173" operator="equal">
      <formula>"Muy baja"</formula>
    </cfRule>
  </conditionalFormatting>
  <conditionalFormatting sqref="AC19">
    <cfRule type="cellIs" dxfId="103" priority="160" operator="equal">
      <formula>"Muy alta"</formula>
    </cfRule>
    <cfRule type="cellIs" dxfId="102" priority="161" operator="equal">
      <formula>"Alta"</formula>
    </cfRule>
    <cfRule type="cellIs" dxfId="101" priority="162" operator="equal">
      <formula>"Media"</formula>
    </cfRule>
    <cfRule type="cellIs" dxfId="100" priority="163" operator="equal">
      <formula>"Muy baja"</formula>
    </cfRule>
    <cfRule type="cellIs" dxfId="99" priority="164" operator="equal">
      <formula>"Baja"</formula>
    </cfRule>
  </conditionalFormatting>
  <conditionalFormatting sqref="AF19">
    <cfRule type="cellIs" dxfId="98" priority="155" operator="equal">
      <formula>"Muy alta"</formula>
    </cfRule>
    <cfRule type="cellIs" dxfId="97" priority="156" operator="equal">
      <formula>"Alta"</formula>
    </cfRule>
    <cfRule type="cellIs" dxfId="96" priority="157" operator="equal">
      <formula>"Media"</formula>
    </cfRule>
    <cfRule type="cellIs" dxfId="95" priority="158" operator="equal">
      <formula>"Muy baja"</formula>
    </cfRule>
    <cfRule type="cellIs" dxfId="94" priority="159" operator="equal">
      <formula>"Baja"</formula>
    </cfRule>
  </conditionalFormatting>
  <conditionalFormatting sqref="AG19">
    <cfRule type="cellIs" dxfId="93" priority="142" operator="equal">
      <formula>"Bajo"</formula>
    </cfRule>
    <cfRule type="cellIs" dxfId="92" priority="143" operator="equal">
      <formula>"Moderado"</formula>
    </cfRule>
    <cfRule type="cellIs" dxfId="91" priority="144" operator="equal">
      <formula>"Alto"</formula>
    </cfRule>
    <cfRule type="cellIs" dxfId="90" priority="145" operator="equal">
      <formula>"Extremo"</formula>
    </cfRule>
  </conditionalFormatting>
  <conditionalFormatting sqref="O22">
    <cfRule type="cellIs" dxfId="89" priority="132" operator="equal">
      <formula>"Catastrófico"</formula>
    </cfRule>
    <cfRule type="cellIs" dxfId="88" priority="133" operator="equal">
      <formula>"Mayor"</formula>
    </cfRule>
    <cfRule type="cellIs" dxfId="87" priority="134" operator="equal">
      <formula>"Moderado"</formula>
    </cfRule>
    <cfRule type="cellIs" dxfId="86" priority="135" operator="equal">
      <formula>"Menor"</formula>
    </cfRule>
    <cfRule type="cellIs" dxfId="85" priority="136" operator="equal">
      <formula>"Leve"</formula>
    </cfRule>
  </conditionalFormatting>
  <conditionalFormatting sqref="K28">
    <cfRule type="cellIs" dxfId="84" priority="119" operator="equal">
      <formula>"Muy alta"</formula>
    </cfRule>
    <cfRule type="cellIs" dxfId="83" priority="120" operator="equal">
      <formula>"Alta"</formula>
    </cfRule>
    <cfRule type="cellIs" dxfId="82" priority="121" operator="equal">
      <formula>"Media"</formula>
    </cfRule>
    <cfRule type="cellIs" dxfId="81" priority="122" operator="equal">
      <formula>"Baja"</formula>
    </cfRule>
    <cfRule type="cellIs" dxfId="80" priority="123" operator="equal">
      <formula>"Muy baja"</formula>
    </cfRule>
  </conditionalFormatting>
  <conditionalFormatting sqref="O28">
    <cfRule type="cellIs" dxfId="79" priority="114" operator="equal">
      <formula>"Catastrófico"</formula>
    </cfRule>
    <cfRule type="cellIs" dxfId="78" priority="115" operator="equal">
      <formula>"Mayor"</formula>
    </cfRule>
    <cfRule type="cellIs" dxfId="77" priority="116" operator="equal">
      <formula>"Moderado"</formula>
    </cfRule>
    <cfRule type="cellIs" dxfId="76" priority="117" operator="equal">
      <formula>"Menor"</formula>
    </cfRule>
    <cfRule type="cellIs" dxfId="75" priority="118" operator="equal">
      <formula>"Leve"</formula>
    </cfRule>
  </conditionalFormatting>
  <conditionalFormatting sqref="Q28">
    <cfRule type="cellIs" dxfId="74" priority="106" operator="equal">
      <formula>"Bajo"</formula>
    </cfRule>
    <cfRule type="cellIs" dxfId="73" priority="107" operator="equal">
      <formula>"Moderado"</formula>
    </cfRule>
    <cfRule type="cellIs" dxfId="72" priority="108" operator="equal">
      <formula>"Alto"</formula>
    </cfRule>
    <cfRule type="cellIs" dxfId="71" priority="109" operator="equal">
      <formula>"Extremo"</formula>
    </cfRule>
  </conditionalFormatting>
  <conditionalFormatting sqref="AC28:AC30">
    <cfRule type="cellIs" dxfId="70" priority="97" operator="equal">
      <formula>"Muy alta"</formula>
    </cfRule>
    <cfRule type="cellIs" dxfId="69" priority="98" operator="equal">
      <formula>"Alta"</formula>
    </cfRule>
    <cfRule type="cellIs" dxfId="68" priority="99" operator="equal">
      <formula>"Media"</formula>
    </cfRule>
    <cfRule type="cellIs" dxfId="67" priority="100" operator="equal">
      <formula>"Muy baja"</formula>
    </cfRule>
    <cfRule type="cellIs" dxfId="66" priority="101" operator="equal">
      <formula>"Baja"</formula>
    </cfRule>
  </conditionalFormatting>
  <conditionalFormatting sqref="AE28:AE30">
    <cfRule type="cellIs" dxfId="65" priority="87" operator="equal">
      <formula>"Catastrófico"</formula>
    </cfRule>
    <cfRule type="cellIs" dxfId="64" priority="88" operator="equal">
      <formula>"Mayor"</formula>
    </cfRule>
    <cfRule type="cellIs" dxfId="63" priority="89" operator="equal">
      <formula>"Moderado"</formula>
    </cfRule>
    <cfRule type="cellIs" dxfId="62" priority="90" operator="equal">
      <formula>"Menor"</formula>
    </cfRule>
    <cfRule type="cellIs" dxfId="61" priority="91" operator="equal">
      <formula>"Leve"</formula>
    </cfRule>
  </conditionalFormatting>
  <conditionalFormatting sqref="K31">
    <cfRule type="cellIs" dxfId="60" priority="78" operator="equal">
      <formula>"Muy alta"</formula>
    </cfRule>
    <cfRule type="cellIs" dxfId="59" priority="79" operator="equal">
      <formula>"Alta"</formula>
    </cfRule>
    <cfRule type="cellIs" dxfId="58" priority="80" operator="equal">
      <formula>"Media"</formula>
    </cfRule>
    <cfRule type="cellIs" dxfId="57" priority="81" operator="equal">
      <formula>"Baja"</formula>
    </cfRule>
    <cfRule type="cellIs" dxfId="56" priority="82" operator="equal">
      <formula>"Muy baja"</formula>
    </cfRule>
  </conditionalFormatting>
  <conditionalFormatting sqref="O31">
    <cfRule type="cellIs" dxfId="55" priority="73" operator="equal">
      <formula>"Catastrófico"</formula>
    </cfRule>
    <cfRule type="cellIs" dxfId="54" priority="74" operator="equal">
      <formula>"Mayor"</formula>
    </cfRule>
    <cfRule type="cellIs" dxfId="53" priority="75" operator="equal">
      <formula>"Moderado"</formula>
    </cfRule>
    <cfRule type="cellIs" dxfId="52" priority="76" operator="equal">
      <formula>"Menor"</formula>
    </cfRule>
    <cfRule type="cellIs" dxfId="51" priority="77" operator="equal">
      <formula>"Leve"</formula>
    </cfRule>
  </conditionalFormatting>
  <conditionalFormatting sqref="Q31">
    <cfRule type="cellIs" dxfId="50" priority="69" operator="equal">
      <formula>"Bajo"</formula>
    </cfRule>
    <cfRule type="cellIs" dxfId="49" priority="70" operator="equal">
      <formula>"Moderado"</formula>
    </cfRule>
    <cfRule type="cellIs" dxfId="48" priority="71" operator="equal">
      <formula>"Alto"</formula>
    </cfRule>
    <cfRule type="cellIs" dxfId="47" priority="72" operator="equal">
      <formula>"Extremo"</formula>
    </cfRule>
  </conditionalFormatting>
  <conditionalFormatting sqref="AC31:AC34">
    <cfRule type="cellIs" dxfId="46" priority="55" operator="equal">
      <formula>"Muy alta"</formula>
    </cfRule>
    <cfRule type="cellIs" dxfId="45" priority="56" operator="equal">
      <formula>"Alta"</formula>
    </cfRule>
    <cfRule type="cellIs" dxfId="44" priority="57" operator="equal">
      <formula>"Media"</formula>
    </cfRule>
    <cfRule type="cellIs" dxfId="43" priority="58" operator="equal">
      <formula>"Muy baja"</formula>
    </cfRule>
    <cfRule type="cellIs" dxfId="42" priority="59" operator="equal">
      <formula>"Baja"</formula>
    </cfRule>
  </conditionalFormatting>
  <conditionalFormatting sqref="AF31:AF34">
    <cfRule type="cellIs" dxfId="41" priority="50" operator="equal">
      <formula>"Muy alta"</formula>
    </cfRule>
    <cfRule type="cellIs" dxfId="40" priority="51" operator="equal">
      <formula>"Alta"</formula>
    </cfRule>
    <cfRule type="cellIs" dxfId="39" priority="52" operator="equal">
      <formula>"Media"</formula>
    </cfRule>
    <cfRule type="cellIs" dxfId="38" priority="53" operator="equal">
      <formula>"Muy baja"</formula>
    </cfRule>
    <cfRule type="cellIs" dxfId="37" priority="54" operator="equal">
      <formula>"Baja"</formula>
    </cfRule>
  </conditionalFormatting>
  <conditionalFormatting sqref="AE31:AE34">
    <cfRule type="cellIs" dxfId="36" priority="45" operator="equal">
      <formula>"Catastrófico"</formula>
    </cfRule>
    <cfRule type="cellIs" dxfId="35" priority="46" operator="equal">
      <formula>"Mayor"</formula>
    </cfRule>
    <cfRule type="cellIs" dxfId="34" priority="47" operator="equal">
      <formula>"Moderado"</formula>
    </cfRule>
    <cfRule type="cellIs" dxfId="33" priority="48" operator="equal">
      <formula>"Menor"</formula>
    </cfRule>
    <cfRule type="cellIs" dxfId="32" priority="49" operator="equal">
      <formula>"Leve"</formula>
    </cfRule>
  </conditionalFormatting>
  <conditionalFormatting sqref="AG31:AG32">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G33:AG36">
    <cfRule type="cellIs" dxfId="27" priority="25" operator="equal">
      <formula>"Bajo"</formula>
    </cfRule>
    <cfRule type="cellIs" dxfId="26" priority="26" operator="equal">
      <formula>"Moderado"</formula>
    </cfRule>
    <cfRule type="cellIs" dxfId="25" priority="27" operator="equal">
      <formula>"Alto"</formula>
    </cfRule>
    <cfRule type="cellIs" dxfId="24" priority="28" operator="equal">
      <formula>"Extremo"</formula>
    </cfRule>
  </conditionalFormatting>
  <conditionalFormatting sqref="AC35">
    <cfRule type="cellIs" dxfId="19" priority="16" operator="equal">
      <formula>"Muy alta"</formula>
    </cfRule>
    <cfRule type="cellIs" dxfId="18" priority="17" operator="equal">
      <formula>"Alta"</formula>
    </cfRule>
    <cfRule type="cellIs" dxfId="17" priority="18" operator="equal">
      <formula>"Media"</formula>
    </cfRule>
    <cfRule type="cellIs" dxfId="16" priority="19" operator="equal">
      <formula>"Muy baja"</formula>
    </cfRule>
    <cfRule type="cellIs" dxfId="15" priority="20" operator="equal">
      <formula>"Baja"</formula>
    </cfRule>
  </conditionalFormatting>
  <conditionalFormatting sqref="AF35:AF36">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"Muy baja"</formula>
    </cfRule>
    <cfRule type="cellIs" dxfId="10" priority="15" operator="equal">
      <formula>"Baja"</formula>
    </cfRule>
  </conditionalFormatting>
  <conditionalFormatting sqref="AE35:AE36">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C36">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"Muy baja"</formula>
    </cfRule>
    <cfRule type="cellIs" dxfId="0" priority="5" operator="equal">
      <formula>"Baja"</formula>
    </cfRule>
  </conditionalFormatting>
  <dataValidations count="6">
    <dataValidation type="list" allowBlank="1" showInputMessage="1" showErrorMessage="1" sqref="Z5:Z19 Z22:Z36">
      <formula1>"Documentado,Sin documentar"</formula1>
    </dataValidation>
    <dataValidation type="list" allowBlank="1" showInputMessage="1" showErrorMessage="1" sqref="AA5:AA19 AA22:AA36">
      <formula1>"Continua, Aleatoria"</formula1>
    </dataValidation>
    <dataValidation type="list" allowBlank="1" showInputMessage="1" showErrorMessage="1" sqref="AB5:AB7 AB35:AB36">
      <formula1>"Con registro, Sin registro"</formula1>
    </dataValidation>
    <dataValidation type="list" allowBlank="1" showInputMessage="1" showErrorMessage="1" sqref="AH5:AH8 AH13 AH17 AH19 AH22 AH25 AH28 AH31 AH35:AH36">
      <formula1>"Aceptar,Evitar,Reducir (transferir),Reducir (mitigar)"</formula1>
    </dataValidation>
    <dataValidation type="list" allowBlank="1" showInputMessage="1" showErrorMessage="1" sqref="G22:G25 G5:G8 G13 G17:G19 G28 G31 G35">
      <formula1>"Procesos, Talento humano, Tecnología, Infraestructura, Evento externo"</formula1>
    </dataValidation>
    <dataValidation type="list" allowBlank="1" showInputMessage="1" showErrorMessage="1" sqref="AB8:AB19 AB22:AB34">
      <formula1>"Con registro, Sin regisro"</formula1>
    </dataValidation>
  </dataValidations>
  <pageMargins left="0.7" right="0.7"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6">
        <x14:dataValidation type="list" allowBlank="1" showInputMessage="1" showErrorMessage="1">
          <x14:formula1>
            <xm:f>Calculos!$P$2:$P$11</xm:f>
          </x14:formula1>
          <xm:sqref>M5</xm:sqref>
        </x14:dataValidation>
        <x14:dataValidation type="list" allowBlank="1" showInputMessage="1" showErrorMessage="1">
          <x14:formula1>
            <xm:f>Calculos!$AC$2:$AC$4</xm:f>
          </x14:formula1>
          <xm:sqref>U5:U7</xm:sqref>
        </x14:dataValidation>
        <x14:dataValidation type="list" allowBlank="1" showInputMessage="1" showErrorMessage="1">
          <x14:formula1>
            <xm:f>Calculos!$AC$5:$AC$6</xm:f>
          </x14:formula1>
          <xm:sqref>W5:W7</xm:sqref>
        </x14:dataValidation>
        <x14:dataValidation type="list" allowBlank="1" showInputMessage="1" showErrorMessage="1">
          <x14:formula1>
            <xm:f>'C:\Users\yperez\OneDrive - Universidad del Magdalena\Unimagdalena\Escritorio\Riesgos\Mapas de riesgos gestión 2022\[08 EX Riesgos de gestión 2022 vf.xlsx]Hoja2'!#REF!</xm:f>
          </x14:formula1>
          <xm:sqref>B22 H22:I22</xm:sqref>
        </x14:dataValidation>
        <x14:dataValidation type="list" allowBlank="1" showInputMessage="1" showErrorMessage="1">
          <x14:formula1>
            <xm:f>'https://universidadmag.sharepoint.com/sites/RiesgosdeGestin/Documentos compartidos/General/Riesgos de gestión por año/Mapas de riesgos de gestión 2023/[02. AC Riesgos de gestión 2023 - Ok.xlsx]Calculos'!#REF!</xm:f>
          </x14:formula1>
          <xm:sqref>I5</xm:sqref>
        </x14:dataValidation>
        <x14:dataValidation type="list" allowBlank="1" showInputMessage="1" showErrorMessage="1">
          <x14:formula1>
            <xm:f>'https://universidadmag.sharepoint.com/sites/RiesgosdeGestin/Documentos compartidos/General/Riesgos de gestión por año/Mapas de riesgos de gestión 2023/[02. AC Riesgos de gestión 2023 - Ok.xlsx]Calculos'!#REF!</xm:f>
          </x14:formula1>
          <xm:sqref>H5 B5</xm:sqref>
        </x14:dataValidation>
        <x14:dataValidation type="list" allowBlank="1" showInputMessage="1" showErrorMessage="1">
          <x14:formula1>
            <xm:f>'https://universidadmag.sharepoint.com/sites/RiesgosdeGestin/Documentos compartidos/General/Riesgos de gestión por año/Mapas de riesgos de gestión 2023/[03. GC Riesgos de gestión 2023 OK.xlsx]Calculos'!#REF!</xm:f>
          </x14:formula1>
          <xm:sqref>U8:U12 W8:W12 M8 B8 H8:I8</xm:sqref>
        </x14:dataValidation>
        <x14:dataValidation type="list" allowBlank="1" showInputMessage="1" showErrorMessage="1">
          <x14:formula1>
            <xm:f>'https://universidadmag.sharepoint.com/sites/RiesgosdeGestin/Documentos compartidos/General/Riesgos de gestión por año/Mapas de riesgos de gestión 2023/[04. CC Riesgos de gestión 2023 - Ok.xlsx]Calculos'!#REF!</xm:f>
          </x14:formula1>
          <xm:sqref>I13</xm:sqref>
        </x14:dataValidation>
        <x14:dataValidation type="list" allowBlank="1" showInputMessage="1" showErrorMessage="1">
          <x14:formula1>
            <xm:f>'https://universidadmag.sharepoint.com/sites/RiesgosdeGestin/Documentos compartidos/General/Riesgos de gestión por año/Mapas de riesgos de gestión 2023/[04. CC Riesgos de gestión 2023 - Ok.xlsx]Calculos'!#REF!</xm:f>
          </x14:formula1>
          <xm:sqref>H13 M13 B13</xm:sqref>
        </x14:dataValidation>
        <x14:dataValidation type="list" allowBlank="1" showInputMessage="1" showErrorMessage="1">
          <x14:formula1>
            <xm:f>'https://universidadmag.sharepoint.com/sites/RiesgosdeGestin/Documentos compartidos/General/Riesgos de gestión por año/Mapas de riesgos de gestión 2023/[04. CC Riesgos de gestión 2023 - Ok.xlsx]Calculos'!#REF!</xm:f>
          </x14:formula1>
          <xm:sqref>W13:W16 U13:U16</xm:sqref>
        </x14:dataValidation>
        <x14:dataValidation type="list" allowBlank="1" showInputMessage="1" showErrorMessage="1">
          <x14:formula1>
            <xm:f>'https://universidadmag.sharepoint.com/sites/RiesgosdeGestin/Documentos compartidos/General/Riesgos de gestión por año/Mapas de riesgos de gestión 2023/[05. RI Riesgos de gestión 2023 - Ok.xlsx]Hoja2'!#REF!</xm:f>
          </x14:formula1>
          <xm:sqref>I17:I18 U17:U18 W17:W18 M17 B17 H17</xm:sqref>
        </x14:dataValidation>
        <x14:dataValidation type="list" allowBlank="1" showInputMessage="1" showErrorMessage="1">
          <x14:formula1>
            <xm:f>'https://universidadmag.sharepoint.com/sites/RiesgosdeGestin/Documentos compartidos/General/Riesgos de gestión por año/Mapas de riesgos de gestión 2023/[07. IDI Riesgos de gestión 2023 - Ok.xlsx]Calculos'!#REF!</xm:f>
          </x14:formula1>
          <xm:sqref>B19 U19 W19 M19 H19:I19</xm:sqref>
        </x14:dataValidation>
        <x14:dataValidation type="list" allowBlank="1" showInputMessage="1" showErrorMessage="1">
          <x14:formula1>
            <xm:f>'https://universidadmag.sharepoint.com/sites/RiesgosdeGestin/Documentos compartidos/General/Riesgos de gestión por año/Mapas de riesgos de gestión 2023/[08. EX Riesgos de gestión 2023 - Ok.xlsx]Hoja2'!#REF!</xm:f>
          </x14:formula1>
          <xm:sqref>M22 U22:U24 W22:W24</xm:sqref>
        </x14:dataValidation>
        <x14:dataValidation type="list" allowBlank="1" showInputMessage="1" showErrorMessage="1">
          <x14:formula1>
            <xm:f>'https://universidadmag.sharepoint.com/sites/RiesgosdeGestin/Documentos compartidos/General/Riesgos de gestión por año/Mapas de riesgos de gestión 2023/[11. CO Riesgos de gestión 2023.xlsx]Calculos'!#REF!</xm:f>
          </x14:formula1>
          <xm:sqref>B25 H25:I25</xm:sqref>
        </x14:dataValidation>
        <x14:dataValidation type="list" allowBlank="1" showInputMessage="1" showErrorMessage="1">
          <x14:formula1>
            <xm:f>'https://universidadmag.sharepoint.com/sites/RiesgosdeGestin/Documentos compartidos/General/Riesgos de gestión por año/Mapas de riesgos de gestión 2023/[11. CO Riesgos de gestión 2023.xlsx]Calculos'!#REF!</xm:f>
          </x14:formula1>
          <xm:sqref>M25 U25:U27 W25:W27</xm:sqref>
        </x14:dataValidation>
        <x14:dataValidation type="list" allowBlank="1" showInputMessage="1" showErrorMessage="1">
          <x14:formula1>
            <xm:f>'https://universidadmag.sharepoint.com/sites/RiesgosdeGestin/Documentos compartidos/General/Riesgos de gestión por año/Mapas de riesgos de gestión 2023/[13. RE Riesgos de gestión 2023 - Ok.xlsx]Calculos'!#REF!</xm:f>
          </x14:formula1>
          <xm:sqref>I28</xm:sqref>
        </x14:dataValidation>
        <x14:dataValidation type="list" allowBlank="1" showInputMessage="1" showErrorMessage="1">
          <x14:formula1>
            <xm:f>'https://universidadmag.sharepoint.com/sites/RiesgosdeGestin/Documentos compartidos/General/Riesgos de gestión por año/Mapas de riesgos de gestión 2023/[13. RE Riesgos de gestión 2023 - Ok.xlsx]Calculos'!#REF!</xm:f>
          </x14:formula1>
          <xm:sqref>H28</xm:sqref>
        </x14:dataValidation>
        <x14:dataValidation type="list" allowBlank="1" showInputMessage="1" showErrorMessage="1">
          <x14:formula1>
            <xm:f>'https://universidadmag.sharepoint.com/sites/RiesgosdeGestin/Documentos compartidos/General/Riesgos de gestión por año/Mapas de riesgos de gestión 2023/[13. RE Riesgos de gestión 2023 - Ok.xlsx]Calculos'!#REF!</xm:f>
          </x14:formula1>
          <xm:sqref>B28 U28:U30 W28:W30 M28</xm:sqref>
        </x14:dataValidation>
        <x14:dataValidation type="list" allowBlank="1" showInputMessage="1" showErrorMessage="1">
          <x14:formula1>
            <xm:f>'https://universidadmag.sharepoint.com/sites/RiesgosdeGestin/Documentos compartidos/General/Riesgos de gestión por año/Mapas de riesgos de gestión 2023/[16. AD Riesgos de gestión 2023 - Ok.xlsx]Calculos'!#REF!</xm:f>
          </x14:formula1>
          <xm:sqref>M31</xm:sqref>
        </x14:dataValidation>
        <x14:dataValidation type="list" allowBlank="1" showInputMessage="1" showErrorMessage="1">
          <x14:formula1>
            <xm:f>'https://universidadmag.sharepoint.com/sites/RiesgosdeGestin/Documentos compartidos/General/Riesgos de gestión por año/Mapas de riesgos de gestión 2023/[16. AD Riesgos de gestión 2023 - Ok.xlsx]Calculos'!#REF!</xm:f>
          </x14:formula1>
          <xm:sqref>U31:U34 W31:W34 B31 H31:I31</xm:sqref>
        </x14:dataValidation>
        <x14:dataValidation type="list" allowBlank="1" showInputMessage="1" showErrorMessage="1">
          <x14:formula1>
            <xm:f>'[19. AR Riesgos de gestión 2023 - OK.xlsx]Hoja2'!#REF!</xm:f>
          </x14:formula1>
          <xm:sqref>I35</xm:sqref>
        </x14:dataValidation>
        <x14:dataValidation type="list" allowBlank="1" showInputMessage="1" showErrorMessage="1">
          <x14:formula1>
            <xm:f>'[19. AR Riesgos de gestión 2023 - OK.xlsx]Hoja2'!#REF!</xm:f>
          </x14:formula1>
          <xm:sqref>H35</xm:sqref>
        </x14:dataValidation>
        <x14:dataValidation type="list" allowBlank="1" showInputMessage="1" showErrorMessage="1">
          <x14:formula1>
            <xm:f>'[19. AR Riesgos de gestión 2023 - OK.xlsx]Hoja2'!#REF!</xm:f>
          </x14:formula1>
          <xm:sqref>B35</xm:sqref>
        </x14:dataValidation>
        <x14:dataValidation type="list" allowBlank="1" showInputMessage="1" showErrorMessage="1">
          <x14:formula1>
            <xm:f>'[19. AR Riesgos de gestión 2023 - OK.xlsx]Hoja2'!#REF!</xm:f>
          </x14:formula1>
          <xm:sqref>M35</xm:sqref>
        </x14:dataValidation>
        <x14:dataValidation type="list" allowBlank="1" showInputMessage="1" showErrorMessage="1">
          <x14:formula1>
            <xm:f>'[19. AR Riesgos de gestión 2023 - OK.xlsx]Hoja2'!#REF!</xm:f>
          </x14:formula1>
          <xm:sqref>W35:W36</xm:sqref>
        </x14:dataValidation>
        <x14:dataValidation type="list" allowBlank="1" showInputMessage="1" showErrorMessage="1">
          <x14:formula1>
            <xm:f>'[19. AR Riesgos de gestión 2023 - OK.xlsx]Hoja2'!#REF!</xm:f>
          </x14:formula1>
          <xm:sqref>U35:U36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opLeftCell="A22" workbookViewId="0">
      <selection activeCell="D5" sqref="D5"/>
    </sheetView>
  </sheetViews>
  <sheetFormatPr baseColWidth="10" defaultRowHeight="15" x14ac:dyDescent="0.25"/>
  <cols>
    <col min="1" max="1" width="14.140625" style="10" bestFit="1" customWidth="1"/>
    <col min="2" max="2" width="27.85546875" style="10" customWidth="1"/>
    <col min="3" max="3" width="34.42578125" style="10" customWidth="1"/>
    <col min="4" max="4" width="3.28515625" customWidth="1"/>
    <col min="10" max="12" width="10" customWidth="1"/>
    <col min="13" max="13" width="2.42578125" style="37" customWidth="1"/>
    <col min="22" max="22" width="2.85546875" customWidth="1"/>
  </cols>
  <sheetData>
    <row r="1" spans="1:25" x14ac:dyDescent="0.25">
      <c r="A1" s="280" t="s">
        <v>166</v>
      </c>
      <c r="B1" s="280"/>
      <c r="C1" s="280"/>
      <c r="E1" s="278" t="s">
        <v>9</v>
      </c>
      <c r="F1" s="278"/>
      <c r="G1" s="278"/>
      <c r="H1" s="278"/>
      <c r="I1" s="278"/>
      <c r="J1" s="278"/>
      <c r="K1" s="278"/>
      <c r="L1" s="278"/>
      <c r="M1" s="36"/>
      <c r="N1" s="278" t="s">
        <v>159</v>
      </c>
      <c r="O1" s="278"/>
      <c r="P1" s="278"/>
      <c r="Q1" s="278"/>
      <c r="R1" s="278"/>
      <c r="S1" s="278"/>
      <c r="T1" s="278"/>
      <c r="U1" s="278"/>
      <c r="V1" s="36"/>
      <c r="W1" s="279" t="s">
        <v>160</v>
      </c>
      <c r="X1" s="279"/>
      <c r="Y1" s="279"/>
    </row>
    <row r="2" spans="1:25" x14ac:dyDescent="0.25">
      <c r="A2" s="35" t="s">
        <v>162</v>
      </c>
      <c r="B2" s="35" t="s">
        <v>163</v>
      </c>
      <c r="C2" s="35" t="s">
        <v>164</v>
      </c>
    </row>
    <row r="3" spans="1:25" s="10" customFormat="1" ht="90" x14ac:dyDescent="0.25">
      <c r="A3" s="9" t="s">
        <v>59</v>
      </c>
      <c r="B3" s="5" t="s">
        <v>165</v>
      </c>
      <c r="C3" s="5" t="s">
        <v>167</v>
      </c>
      <c r="M3" s="38"/>
    </row>
    <row r="4" spans="1:25" ht="75" x14ac:dyDescent="0.25">
      <c r="A4" s="5" t="s">
        <v>168</v>
      </c>
      <c r="B4" s="5" t="s">
        <v>169</v>
      </c>
      <c r="C4" s="5" t="s">
        <v>170</v>
      </c>
    </row>
    <row r="5" spans="1:25" ht="60" x14ac:dyDescent="0.25">
      <c r="A5" s="9" t="s">
        <v>171</v>
      </c>
      <c r="B5" s="5" t="s">
        <v>172</v>
      </c>
      <c r="C5" s="5" t="s">
        <v>173</v>
      </c>
    </row>
    <row r="6" spans="1:25" ht="60" x14ac:dyDescent="0.25">
      <c r="A6" s="9" t="s">
        <v>174</v>
      </c>
      <c r="B6" s="5" t="s">
        <v>175</v>
      </c>
      <c r="C6" s="5" t="s">
        <v>176</v>
      </c>
    </row>
    <row r="7" spans="1:25" ht="60" x14ac:dyDescent="0.25">
      <c r="A7" s="5" t="s">
        <v>177</v>
      </c>
      <c r="B7" s="5" t="s">
        <v>178</v>
      </c>
      <c r="C7" s="5" t="s">
        <v>179</v>
      </c>
    </row>
    <row r="10" spans="1:25" x14ac:dyDescent="0.25">
      <c r="B10" s="277" t="s">
        <v>180</v>
      </c>
      <c r="C10" s="277"/>
      <c r="D10" s="277"/>
      <c r="E10" s="277"/>
      <c r="F10" s="277"/>
      <c r="G10" s="277"/>
    </row>
  </sheetData>
  <mergeCells count="5">
    <mergeCell ref="B10:G10"/>
    <mergeCell ref="N1:U1"/>
    <mergeCell ref="W1:Y1"/>
    <mergeCell ref="A1:C1"/>
    <mergeCell ref="E1:L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workbookViewId="0">
      <pane ySplit="1" topLeftCell="A29" activePane="bottomLeft" state="frozen"/>
      <selection pane="bottomLeft" activeCell="W2" sqref="W2"/>
    </sheetView>
  </sheetViews>
  <sheetFormatPr baseColWidth="10" defaultRowHeight="15" x14ac:dyDescent="0.25"/>
  <cols>
    <col min="1" max="1" width="41.140625" bestFit="1" customWidth="1"/>
    <col min="2" max="2" width="91.5703125" style="6" customWidth="1"/>
    <col min="3" max="3" width="3.7109375" customWidth="1"/>
    <col min="4" max="4" width="15.7109375" customWidth="1"/>
    <col min="5" max="5" width="3.28515625" customWidth="1"/>
    <col min="6" max="6" width="21.85546875" bestFit="1" customWidth="1"/>
    <col min="7" max="7" width="4.7109375" customWidth="1"/>
    <col min="8" max="8" width="48.5703125" customWidth="1"/>
    <col min="10" max="10" width="19" customWidth="1"/>
    <col min="11" max="11" width="14.7109375" bestFit="1" customWidth="1"/>
    <col min="12" max="12" width="26.7109375" customWidth="1"/>
    <col min="16" max="16" width="48.42578125" customWidth="1"/>
    <col min="17" max="17" width="5.42578125" customWidth="1"/>
    <col min="18" max="18" width="10.85546875" bestFit="1" customWidth="1"/>
    <col min="19" max="19" width="3" style="43" customWidth="1"/>
    <col min="20" max="20" width="4" bestFit="1" customWidth="1"/>
    <col min="21" max="21" width="3.7109375" bestFit="1" customWidth="1"/>
    <col min="22" max="22" width="15.28515625" customWidth="1"/>
    <col min="28" max="28" width="3.7109375" bestFit="1" customWidth="1"/>
    <col min="30" max="30" width="34.140625" customWidth="1"/>
    <col min="31" max="31" width="4.7109375" bestFit="1" customWidth="1"/>
  </cols>
  <sheetData>
    <row r="1" spans="1:31" ht="29.25" thickBot="1" x14ac:dyDescent="0.3">
      <c r="A1" s="3" t="s">
        <v>59</v>
      </c>
      <c r="B1" s="4" t="s">
        <v>60</v>
      </c>
      <c r="D1" s="8" t="s">
        <v>5</v>
      </c>
      <c r="F1" s="7" t="s">
        <v>9</v>
      </c>
      <c r="H1" s="4" t="s">
        <v>89</v>
      </c>
      <c r="J1" s="16" t="s">
        <v>97</v>
      </c>
      <c r="K1" s="16" t="s">
        <v>98</v>
      </c>
      <c r="L1" s="17" t="s">
        <v>97</v>
      </c>
      <c r="M1" s="17" t="s">
        <v>114</v>
      </c>
      <c r="P1" s="20" t="s">
        <v>17</v>
      </c>
      <c r="Q1" s="23" t="s">
        <v>130</v>
      </c>
      <c r="R1" s="41" t="s">
        <v>129</v>
      </c>
      <c r="S1" s="40"/>
      <c r="T1" s="39"/>
      <c r="W1" s="281" t="s">
        <v>5</v>
      </c>
      <c r="X1" s="281"/>
      <c r="Y1" s="281"/>
      <c r="Z1" s="281"/>
      <c r="AA1" s="281"/>
    </row>
    <row r="2" spans="1:31" ht="45.75" thickBot="1" x14ac:dyDescent="0.3">
      <c r="A2" s="1" t="s">
        <v>31</v>
      </c>
      <c r="B2" s="19" t="s">
        <v>69</v>
      </c>
      <c r="D2" s="9" t="s">
        <v>151</v>
      </c>
      <c r="F2" s="5" t="s">
        <v>90</v>
      </c>
      <c r="H2" s="5" t="s">
        <v>152</v>
      </c>
      <c r="J2" s="14" t="s">
        <v>99</v>
      </c>
      <c r="K2" s="14" t="s">
        <v>100</v>
      </c>
      <c r="L2" s="13" t="s">
        <v>107</v>
      </c>
      <c r="M2" s="15">
        <v>0.2</v>
      </c>
      <c r="P2" s="13" t="s">
        <v>115</v>
      </c>
      <c r="Q2" s="22">
        <v>1</v>
      </c>
      <c r="R2" s="42" t="s">
        <v>124</v>
      </c>
      <c r="S2" s="40"/>
      <c r="T2" s="22"/>
      <c r="V2" s="21"/>
      <c r="W2" s="22" t="s">
        <v>124</v>
      </c>
      <c r="X2" s="22" t="s">
        <v>125</v>
      </c>
      <c r="Y2" s="22" t="s">
        <v>126</v>
      </c>
      <c r="Z2" s="22" t="s">
        <v>127</v>
      </c>
      <c r="AA2" s="22" t="s">
        <v>131</v>
      </c>
      <c r="AB2" s="283" t="s">
        <v>145</v>
      </c>
      <c r="AC2" s="25" t="s">
        <v>135</v>
      </c>
      <c r="AD2" s="11" t="s">
        <v>136</v>
      </c>
      <c r="AE2" s="26">
        <v>0.25</v>
      </c>
    </row>
    <row r="3" spans="1:31" ht="60" x14ac:dyDescent="0.25">
      <c r="A3" s="1" t="s">
        <v>32</v>
      </c>
      <c r="B3" s="19" t="s">
        <v>68</v>
      </c>
      <c r="D3" s="9" t="s">
        <v>86</v>
      </c>
      <c r="F3" s="9" t="s">
        <v>91</v>
      </c>
      <c r="H3" s="5" t="s">
        <v>153</v>
      </c>
      <c r="J3" s="14" t="s">
        <v>112</v>
      </c>
      <c r="K3" s="14" t="s">
        <v>113</v>
      </c>
      <c r="L3" s="13" t="s">
        <v>108</v>
      </c>
      <c r="M3" s="15">
        <v>0.4</v>
      </c>
      <c r="P3" s="13" t="s">
        <v>116</v>
      </c>
      <c r="Q3" s="22">
        <v>2</v>
      </c>
      <c r="R3" s="42" t="s">
        <v>125</v>
      </c>
      <c r="S3" s="40"/>
      <c r="T3" s="22">
        <v>100</v>
      </c>
      <c r="U3" s="282" t="s">
        <v>114</v>
      </c>
      <c r="V3" s="14" t="s">
        <v>106</v>
      </c>
      <c r="W3" s="24" t="s">
        <v>133</v>
      </c>
      <c r="X3" s="24" t="s">
        <v>133</v>
      </c>
      <c r="Y3" s="24" t="s">
        <v>133</v>
      </c>
      <c r="Z3" s="24" t="s">
        <v>133</v>
      </c>
      <c r="AA3" s="24" t="s">
        <v>132</v>
      </c>
      <c r="AB3" s="283"/>
      <c r="AC3" s="30" t="s">
        <v>137</v>
      </c>
      <c r="AD3" s="27" t="s">
        <v>140</v>
      </c>
      <c r="AE3" s="29">
        <v>0.15</v>
      </c>
    </row>
    <row r="4" spans="1:31" ht="39" thickBot="1" x14ac:dyDescent="0.3">
      <c r="A4" s="1" t="s">
        <v>33</v>
      </c>
      <c r="B4" s="19" t="s">
        <v>81</v>
      </c>
      <c r="D4" s="5" t="s">
        <v>87</v>
      </c>
      <c r="F4" s="9" t="s">
        <v>92</v>
      </c>
      <c r="H4" s="5" t="s">
        <v>154</v>
      </c>
      <c r="J4" s="14" t="s">
        <v>101</v>
      </c>
      <c r="K4" s="14" t="s">
        <v>102</v>
      </c>
      <c r="L4" s="13" t="s">
        <v>109</v>
      </c>
      <c r="M4" s="15">
        <v>0.6</v>
      </c>
      <c r="P4" s="13" t="s">
        <v>117</v>
      </c>
      <c r="Q4" s="22">
        <v>3</v>
      </c>
      <c r="R4" s="42" t="s">
        <v>126</v>
      </c>
      <c r="S4" s="40"/>
      <c r="T4" s="22">
        <v>80</v>
      </c>
      <c r="U4" s="282"/>
      <c r="V4" s="14" t="s">
        <v>104</v>
      </c>
      <c r="W4" s="24" t="s">
        <v>126</v>
      </c>
      <c r="X4" s="24" t="s">
        <v>126</v>
      </c>
      <c r="Y4" s="24" t="s">
        <v>133</v>
      </c>
      <c r="Z4" s="24" t="s">
        <v>133</v>
      </c>
      <c r="AA4" s="24" t="s">
        <v>132</v>
      </c>
      <c r="AB4" s="283"/>
      <c r="AC4" s="28" t="s">
        <v>138</v>
      </c>
      <c r="AD4" s="18" t="s">
        <v>139</v>
      </c>
      <c r="AE4" s="12">
        <v>0.1</v>
      </c>
    </row>
    <row r="5" spans="1:31" ht="77.25" thickBot="1" x14ac:dyDescent="0.3">
      <c r="A5" s="1" t="s">
        <v>34</v>
      </c>
      <c r="B5" s="19" t="s">
        <v>61</v>
      </c>
      <c r="F5" s="9" t="s">
        <v>93</v>
      </c>
      <c r="H5" s="5" t="s">
        <v>155</v>
      </c>
      <c r="J5" s="14" t="s">
        <v>103</v>
      </c>
      <c r="K5" s="14" t="s">
        <v>104</v>
      </c>
      <c r="L5" s="13" t="s">
        <v>110</v>
      </c>
      <c r="M5" s="15">
        <v>0.8</v>
      </c>
      <c r="P5" s="13" t="s">
        <v>118</v>
      </c>
      <c r="Q5" s="22">
        <v>4</v>
      </c>
      <c r="R5" s="42" t="s">
        <v>127</v>
      </c>
      <c r="S5" s="40"/>
      <c r="T5" s="22">
        <v>60</v>
      </c>
      <c r="U5" s="282"/>
      <c r="V5" s="14" t="s">
        <v>102</v>
      </c>
      <c r="W5" s="24" t="s">
        <v>126</v>
      </c>
      <c r="X5" s="24" t="s">
        <v>126</v>
      </c>
      <c r="Y5" s="24" t="s">
        <v>126</v>
      </c>
      <c r="Z5" s="24" t="s">
        <v>133</v>
      </c>
      <c r="AA5" s="24" t="s">
        <v>132</v>
      </c>
      <c r="AB5" s="283" t="s">
        <v>26</v>
      </c>
      <c r="AC5" s="25" t="s">
        <v>141</v>
      </c>
      <c r="AD5" s="11" t="s">
        <v>142</v>
      </c>
      <c r="AE5" s="26">
        <v>0.25</v>
      </c>
    </row>
    <row r="6" spans="1:31" ht="75.75" thickBot="1" x14ac:dyDescent="0.3">
      <c r="A6" s="1" t="s">
        <v>35</v>
      </c>
      <c r="B6" s="19" t="s">
        <v>63</v>
      </c>
      <c r="F6" s="9" t="s">
        <v>94</v>
      </c>
      <c r="H6" s="5" t="s">
        <v>156</v>
      </c>
      <c r="J6" s="14" t="s">
        <v>105</v>
      </c>
      <c r="K6" s="14" t="s">
        <v>106</v>
      </c>
      <c r="L6" s="13" t="s">
        <v>111</v>
      </c>
      <c r="M6" s="15">
        <v>1</v>
      </c>
      <c r="P6" s="13" t="s">
        <v>119</v>
      </c>
      <c r="Q6" s="22">
        <v>5</v>
      </c>
      <c r="R6" s="42" t="s">
        <v>131</v>
      </c>
      <c r="S6" s="40"/>
      <c r="T6" s="22">
        <v>40</v>
      </c>
      <c r="U6" s="282"/>
      <c r="V6" s="14" t="s">
        <v>113</v>
      </c>
      <c r="W6" s="24" t="s">
        <v>134</v>
      </c>
      <c r="X6" s="24" t="s">
        <v>126</v>
      </c>
      <c r="Y6" s="24" t="s">
        <v>126</v>
      </c>
      <c r="Z6" s="24" t="s">
        <v>133</v>
      </c>
      <c r="AA6" s="24" t="s">
        <v>132</v>
      </c>
      <c r="AB6" s="283"/>
      <c r="AC6" s="28" t="s">
        <v>143</v>
      </c>
      <c r="AD6" s="18" t="s">
        <v>144</v>
      </c>
      <c r="AE6" s="12">
        <v>0.15</v>
      </c>
    </row>
    <row r="7" spans="1:31" ht="45" x14ac:dyDescent="0.25">
      <c r="A7" s="2" t="s">
        <v>36</v>
      </c>
      <c r="B7" s="19" t="s">
        <v>72</v>
      </c>
      <c r="F7" s="5" t="s">
        <v>95</v>
      </c>
      <c r="P7" s="13" t="s">
        <v>120</v>
      </c>
      <c r="Q7" s="22">
        <v>6</v>
      </c>
      <c r="R7" s="42" t="s">
        <v>124</v>
      </c>
      <c r="S7" s="40"/>
      <c r="T7" s="22">
        <v>20</v>
      </c>
      <c r="U7" s="282"/>
      <c r="V7" s="14" t="s">
        <v>100</v>
      </c>
      <c r="W7" s="24" t="s">
        <v>134</v>
      </c>
      <c r="X7" s="24" t="s">
        <v>134</v>
      </c>
      <c r="Y7" s="24" t="s">
        <v>126</v>
      </c>
      <c r="Z7" s="24" t="s">
        <v>133</v>
      </c>
      <c r="AA7" s="24" t="s">
        <v>132</v>
      </c>
    </row>
    <row r="8" spans="1:31" ht="38.25" x14ac:dyDescent="0.25">
      <c r="A8" s="2" t="s">
        <v>71</v>
      </c>
      <c r="B8" s="19" t="s">
        <v>72</v>
      </c>
      <c r="F8" s="5" t="s">
        <v>96</v>
      </c>
      <c r="P8" s="13" t="s">
        <v>128</v>
      </c>
      <c r="Q8" s="22">
        <v>7</v>
      </c>
      <c r="R8" s="42" t="s">
        <v>125</v>
      </c>
      <c r="S8" s="40"/>
      <c r="T8" s="40"/>
    </row>
    <row r="9" spans="1:31" ht="25.5" x14ac:dyDescent="0.25">
      <c r="A9" s="2" t="s">
        <v>37</v>
      </c>
      <c r="B9" s="19" t="s">
        <v>67</v>
      </c>
      <c r="P9" s="13" t="s">
        <v>121</v>
      </c>
      <c r="Q9" s="22">
        <v>8</v>
      </c>
      <c r="R9" s="42" t="s">
        <v>126</v>
      </c>
      <c r="S9" s="40"/>
      <c r="T9" s="40"/>
    </row>
    <row r="10" spans="1:31" ht="38.25" x14ac:dyDescent="0.25">
      <c r="A10" s="2" t="s">
        <v>74</v>
      </c>
      <c r="B10" s="19" t="s">
        <v>75</v>
      </c>
      <c r="P10" s="13" t="s">
        <v>122</v>
      </c>
      <c r="Q10" s="22">
        <v>9</v>
      </c>
      <c r="R10" s="42" t="s">
        <v>127</v>
      </c>
      <c r="S10" s="40"/>
      <c r="T10" s="40"/>
    </row>
    <row r="11" spans="1:31" ht="25.5" x14ac:dyDescent="0.25">
      <c r="A11" s="1" t="s">
        <v>57</v>
      </c>
      <c r="B11" s="19" t="s">
        <v>72</v>
      </c>
      <c r="P11" s="13" t="s">
        <v>123</v>
      </c>
      <c r="Q11" s="22">
        <v>10</v>
      </c>
      <c r="R11" s="42" t="s">
        <v>131</v>
      </c>
      <c r="S11" s="40"/>
      <c r="T11" s="40"/>
    </row>
    <row r="12" spans="1:31" ht="28.5" x14ac:dyDescent="0.25">
      <c r="A12" s="2" t="s">
        <v>54</v>
      </c>
      <c r="B12" s="19" t="s">
        <v>72</v>
      </c>
    </row>
    <row r="13" spans="1:31" ht="25.5" x14ac:dyDescent="0.25">
      <c r="A13" s="2" t="s">
        <v>55</v>
      </c>
      <c r="B13" s="19" t="s">
        <v>72</v>
      </c>
    </row>
    <row r="14" spans="1:31" ht="25.5" x14ac:dyDescent="0.25">
      <c r="A14" s="2" t="s">
        <v>56</v>
      </c>
      <c r="B14" s="19" t="s">
        <v>72</v>
      </c>
    </row>
    <row r="15" spans="1:31" ht="25.5" x14ac:dyDescent="0.25">
      <c r="A15" s="2" t="s">
        <v>53</v>
      </c>
      <c r="B15" s="19" t="s">
        <v>72</v>
      </c>
    </row>
    <row r="16" spans="1:31" ht="25.5" x14ac:dyDescent="0.25">
      <c r="A16" s="2" t="s">
        <v>58</v>
      </c>
      <c r="B16" s="19" t="s">
        <v>72</v>
      </c>
    </row>
    <row r="17" spans="1:2" ht="51" x14ac:dyDescent="0.25">
      <c r="A17" s="2" t="s">
        <v>38</v>
      </c>
      <c r="B17" s="19" t="s">
        <v>65</v>
      </c>
    </row>
    <row r="18" spans="1:2" ht="38.25" x14ac:dyDescent="0.25">
      <c r="A18" s="1" t="s">
        <v>39</v>
      </c>
      <c r="B18" s="19" t="s">
        <v>77</v>
      </c>
    </row>
    <row r="19" spans="1:2" ht="38.25" x14ac:dyDescent="0.25">
      <c r="A19" s="1" t="s">
        <v>40</v>
      </c>
      <c r="B19" s="19" t="s">
        <v>79</v>
      </c>
    </row>
    <row r="20" spans="1:2" ht="25.5" x14ac:dyDescent="0.25">
      <c r="A20" s="1" t="s">
        <v>41</v>
      </c>
      <c r="B20" s="19" t="s">
        <v>66</v>
      </c>
    </row>
    <row r="21" spans="1:2" ht="25.5" x14ac:dyDescent="0.25">
      <c r="A21" s="1" t="s">
        <v>42</v>
      </c>
      <c r="B21" s="19" t="s">
        <v>73</v>
      </c>
    </row>
    <row r="22" spans="1:2" ht="25.5" x14ac:dyDescent="0.25">
      <c r="A22" s="2" t="s">
        <v>43</v>
      </c>
      <c r="B22" s="19" t="s">
        <v>78</v>
      </c>
    </row>
    <row r="23" spans="1:2" ht="51" x14ac:dyDescent="0.25">
      <c r="A23" s="1" t="s">
        <v>44</v>
      </c>
      <c r="B23" s="19" t="s">
        <v>76</v>
      </c>
    </row>
    <row r="24" spans="1:2" ht="25.5" x14ac:dyDescent="0.25">
      <c r="A24" s="1" t="s">
        <v>45</v>
      </c>
      <c r="B24" s="19" t="s">
        <v>82</v>
      </c>
    </row>
    <row r="25" spans="1:2" ht="38.25" x14ac:dyDescent="0.25">
      <c r="A25" s="1" t="s">
        <v>46</v>
      </c>
      <c r="B25" s="19" t="s">
        <v>64</v>
      </c>
    </row>
    <row r="26" spans="1:2" ht="25.5" x14ac:dyDescent="0.25">
      <c r="A26" s="1" t="s">
        <v>47</v>
      </c>
      <c r="B26" s="19" t="s">
        <v>62</v>
      </c>
    </row>
    <row r="27" spans="1:2" ht="25.5" x14ac:dyDescent="0.25">
      <c r="A27" s="1" t="s">
        <v>48</v>
      </c>
      <c r="B27" s="19" t="s">
        <v>84</v>
      </c>
    </row>
    <row r="28" spans="1:2" ht="38.25" x14ac:dyDescent="0.25">
      <c r="A28" s="1" t="s">
        <v>49</v>
      </c>
      <c r="B28" s="19" t="s">
        <v>80</v>
      </c>
    </row>
    <row r="29" spans="1:2" ht="51" x14ac:dyDescent="0.25">
      <c r="A29" s="1" t="s">
        <v>50</v>
      </c>
      <c r="B29" s="19" t="s">
        <v>85</v>
      </c>
    </row>
    <row r="30" spans="1:2" ht="25.5" x14ac:dyDescent="0.25">
      <c r="A30" s="1" t="s">
        <v>51</v>
      </c>
      <c r="B30" s="19" t="s">
        <v>83</v>
      </c>
    </row>
    <row r="31" spans="1:2" ht="25.5" x14ac:dyDescent="0.25">
      <c r="A31" s="1" t="s">
        <v>52</v>
      </c>
      <c r="B31" s="19" t="s">
        <v>70</v>
      </c>
    </row>
  </sheetData>
  <mergeCells count="4">
    <mergeCell ref="W1:AA1"/>
    <mergeCell ref="U3:U7"/>
    <mergeCell ref="AB2:AB4"/>
    <mergeCell ref="AB5:AB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vt:lpstr>
      <vt:lpstr>Información</vt:lpstr>
      <vt:lpstr>Calculos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Estudiante</dc:creator>
  <cp:lastModifiedBy>Yineth Perez</cp:lastModifiedBy>
  <dcterms:created xsi:type="dcterms:W3CDTF">2021-07-06T22:32:56Z</dcterms:created>
  <dcterms:modified xsi:type="dcterms:W3CDTF">2023-04-14T15:35:09Z</dcterms:modified>
</cp:coreProperties>
</file>