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niversidadmag-my.sharepoint.com/personal/yperez_unimagdalena_edu_co/Documents/Unimagdalena/Escritorio/Riesgos/Mapas de Gestión/Mapa de riesgos de gestión 2024/"/>
    </mc:Choice>
  </mc:AlternateContent>
  <xr:revisionPtr revIDLastSave="560" documentId="8_{BD4AAA74-7622-4ED9-9F04-9515FEA6A44D}" xr6:coauthVersionLast="47" xr6:coauthVersionMax="47" xr10:uidLastSave="{4903A3A3-C0EA-4016-9958-18D13C0040CD}"/>
  <bookViews>
    <workbookView xWindow="-120" yWindow="-120" windowWidth="29040" windowHeight="15840" xr2:uid="{00000000-000D-0000-FFFF-FFFF00000000}"/>
  </bookViews>
  <sheets>
    <sheet name="Riesgos" sheetId="1" r:id="rId1"/>
    <sheet name="Información" sheetId="3" r:id="rId2"/>
    <sheet name="Hoja1" sheetId="4" r:id="rId3"/>
    <sheet name="Calculos" sheetId="2" r:id="rId4"/>
  </sheets>
  <externalReferences>
    <externalReference r:id="rId5"/>
    <externalReference r:id="rId6"/>
    <externalReference r:id="rId7"/>
  </externalReferences>
  <definedNames>
    <definedName name="Afectación">Calculos!$U$2:$U$21</definedName>
    <definedName name="Dimensión">Calculos!$T$2:$T$21</definedName>
    <definedName name="Nivel">Calculos!$W$2:$W$21</definedName>
    <definedName name="Num">Calculos!$V$2:$V$21</definedName>
    <definedName name="OLE_LINK1" localSheetId="1">Información!$N$3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1" l="1"/>
  <c r="Y23" i="1"/>
  <c r="W23" i="1"/>
  <c r="Z23" i="1" s="1"/>
  <c r="AD23" i="1" s="1"/>
  <c r="U23" i="1"/>
  <c r="AD22" i="1"/>
  <c r="Y22" i="1"/>
  <c r="W22" i="1"/>
  <c r="Z22" i="1" s="1"/>
  <c r="AF22" i="1" s="1"/>
  <c r="U22" i="1"/>
  <c r="AF21" i="1"/>
  <c r="Y21" i="1"/>
  <c r="W21" i="1"/>
  <c r="Z21" i="1" s="1"/>
  <c r="AD21" i="1" s="1"/>
  <c r="U21" i="1"/>
  <c r="K21" i="1"/>
  <c r="L21" i="1" s="1"/>
  <c r="Y7" i="1" l="1"/>
  <c r="W7" i="1"/>
  <c r="U7" i="1"/>
  <c r="Y6" i="1"/>
  <c r="W6" i="1"/>
  <c r="Z6" i="1" s="1"/>
  <c r="U6" i="1"/>
  <c r="Y5" i="1"/>
  <c r="W5" i="1"/>
  <c r="U5" i="1"/>
  <c r="O5" i="1"/>
  <c r="P5" i="1" s="1"/>
  <c r="Q5" i="1" s="1"/>
  <c r="K5" i="1"/>
  <c r="Z5" i="1" l="1"/>
  <c r="Z7" i="1"/>
  <c r="AD5" i="1"/>
  <c r="AF5" i="1"/>
  <c r="AF7" i="1" l="1"/>
  <c r="AF6" i="1"/>
  <c r="AD7" i="1"/>
  <c r="AH7" i="1" s="1"/>
  <c r="AD6" i="1"/>
  <c r="AF32" i="1" l="1"/>
  <c r="Y32" i="1"/>
  <c r="W32" i="1"/>
  <c r="Z32" i="1" s="1"/>
  <c r="AD32" i="1" s="1"/>
  <c r="U32" i="1"/>
  <c r="O32" i="1" l="1"/>
  <c r="P32" i="1" s="1"/>
  <c r="Q32" i="1" s="1"/>
  <c r="K32" i="1"/>
  <c r="L32" i="1" s="1"/>
  <c r="AF31" i="1"/>
  <c r="Y31" i="1"/>
  <c r="W31" i="1"/>
  <c r="Z31" i="1" s="1"/>
  <c r="AD31" i="1" s="1"/>
  <c r="U31" i="1"/>
  <c r="AF30" i="1"/>
  <c r="Y30" i="1"/>
  <c r="W30" i="1"/>
  <c r="Z30" i="1" s="1"/>
  <c r="AD30" i="1" s="1"/>
  <c r="U30" i="1"/>
  <c r="AF29" i="1"/>
  <c r="Y29" i="1"/>
  <c r="W29" i="1"/>
  <c r="Z29" i="1" s="1"/>
  <c r="AD29" i="1" s="1"/>
  <c r="U29" i="1"/>
  <c r="AF28" i="1"/>
  <c r="Y28" i="1"/>
  <c r="W28" i="1"/>
  <c r="U28" i="1"/>
  <c r="AF27" i="1"/>
  <c r="Y27" i="1"/>
  <c r="W27" i="1"/>
  <c r="U27" i="1"/>
  <c r="Q27" i="1"/>
  <c r="K27" i="1"/>
  <c r="L27" i="1" s="1"/>
  <c r="Z27" i="1" l="1"/>
  <c r="AD27" i="1" s="1"/>
  <c r="Z28" i="1"/>
  <c r="AD28" i="1" s="1"/>
  <c r="Y26" i="1" l="1"/>
  <c r="W26" i="1"/>
  <c r="Y25" i="1"/>
  <c r="W25" i="1"/>
  <c r="Y24" i="1"/>
  <c r="W24" i="1"/>
  <c r="Z24" i="1" s="1"/>
  <c r="U26" i="1"/>
  <c r="U24" i="1"/>
  <c r="Z26" i="1" l="1"/>
  <c r="Z25" i="1"/>
  <c r="O24" i="1" l="1"/>
  <c r="P24" i="1" s="1"/>
  <c r="Q24" i="1" s="1"/>
  <c r="K24" i="1"/>
  <c r="L24" i="1" s="1"/>
  <c r="AF20" i="1"/>
  <c r="Y20" i="1"/>
  <c r="W20" i="1"/>
  <c r="Y19" i="1"/>
  <c r="W19" i="1"/>
  <c r="Y18" i="1"/>
  <c r="W18" i="1"/>
  <c r="Z18" i="1" s="1"/>
  <c r="U20" i="1"/>
  <c r="U19" i="1"/>
  <c r="U18" i="1"/>
  <c r="Q18" i="1"/>
  <c r="K18" i="1"/>
  <c r="L18" i="1" s="1"/>
  <c r="Z19" i="1" l="1"/>
  <c r="Z20" i="1"/>
  <c r="AD24" i="1"/>
  <c r="AF24" i="1"/>
  <c r="AF25" i="1" l="1"/>
  <c r="AD26" i="1"/>
  <c r="AD25" i="1"/>
  <c r="AF26" i="1" l="1"/>
  <c r="Y11" i="1" l="1"/>
  <c r="W11" i="1"/>
  <c r="U11" i="1"/>
  <c r="Y10" i="1"/>
  <c r="W10" i="1"/>
  <c r="Z10" i="1" s="1"/>
  <c r="U10" i="1"/>
  <c r="Y9" i="1"/>
  <c r="W9" i="1"/>
  <c r="Z9" i="1" s="1"/>
  <c r="U9" i="1"/>
  <c r="Y8" i="1"/>
  <c r="W8" i="1"/>
  <c r="Z8" i="1" s="1"/>
  <c r="AE8" i="1" s="1"/>
  <c r="U8" i="1"/>
  <c r="O8" i="1"/>
  <c r="P8" i="1" s="1"/>
  <c r="Q8" i="1" s="1"/>
  <c r="AG8" i="1" s="1"/>
  <c r="K8" i="1"/>
  <c r="L8" i="1" s="1"/>
  <c r="U17" i="1"/>
  <c r="U16" i="1"/>
  <c r="W16" i="1"/>
  <c r="Y16" i="1"/>
  <c r="W17" i="1"/>
  <c r="Y17" i="1"/>
  <c r="Z11" i="1" l="1"/>
  <c r="Z16" i="1"/>
  <c r="AF8" i="1"/>
  <c r="AG9" i="1"/>
  <c r="AE9" i="1"/>
  <c r="AD8" i="1"/>
  <c r="AH8" i="1" s="1"/>
  <c r="Z17" i="1"/>
  <c r="AD9" i="1" l="1"/>
  <c r="AH9" i="1" s="1"/>
  <c r="AE11" i="1"/>
  <c r="AD11" i="1" s="1"/>
  <c r="AH11" i="1" s="1"/>
  <c r="AE10" i="1"/>
  <c r="AD10" i="1" s="1"/>
  <c r="AH10" i="1" s="1"/>
  <c r="AF9" i="1"/>
  <c r="AG10" i="1"/>
  <c r="AG11" i="1" l="1"/>
  <c r="AF11" i="1" s="1"/>
  <c r="AF10" i="1"/>
  <c r="O16" i="1" l="1"/>
  <c r="P16" i="1" s="1"/>
  <c r="Q16" i="1" s="1"/>
  <c r="AG16" i="1" s="1"/>
  <c r="K16" i="1"/>
  <c r="AF15" i="1"/>
  <c r="AF14" i="1"/>
  <c r="AF13" i="1"/>
  <c r="AF12" i="1"/>
  <c r="Y15" i="1"/>
  <c r="W15" i="1"/>
  <c r="U15" i="1"/>
  <c r="Y14" i="1"/>
  <c r="W14" i="1"/>
  <c r="Z14" i="1" s="1"/>
  <c r="AD14" i="1" s="1"/>
  <c r="U14" i="1"/>
  <c r="Y13" i="1"/>
  <c r="W13" i="1"/>
  <c r="Z13" i="1" s="1"/>
  <c r="AD13" i="1" s="1"/>
  <c r="U13" i="1"/>
  <c r="Y12" i="1"/>
  <c r="W12" i="1"/>
  <c r="Z12" i="1" s="1"/>
  <c r="AD12" i="1" s="1"/>
  <c r="U12" i="1"/>
  <c r="O12" i="1"/>
  <c r="P12" i="1" s="1"/>
  <c r="Q12" i="1" s="1"/>
  <c r="K12" i="1"/>
  <c r="L12" i="1" s="1"/>
  <c r="AF16" i="1" l="1"/>
  <c r="AG17" i="1"/>
  <c r="AF17" i="1" s="1"/>
  <c r="Z15" i="1"/>
  <c r="R16" i="1"/>
  <c r="L16" i="1"/>
  <c r="AD15" i="1"/>
  <c r="AE16" i="1" l="1"/>
  <c r="AD16" i="1" l="1"/>
  <c r="AH16" i="1" s="1"/>
  <c r="AE17" i="1"/>
  <c r="AD17" i="1" l="1"/>
  <c r="AH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Estudiante</author>
    <author>XIMENA PORTILLO PUENTES</author>
    <author>Unimagdalena</author>
  </authors>
  <commentList>
    <comment ref="A3" authorId="0" shapeId="0" xr:uid="{00000000-0006-0000-0000-000001000000}">
      <text>
        <r>
          <rPr>
            <b/>
            <sz val="9"/>
            <color indexed="81"/>
            <rFont val="Tahoma"/>
            <family val="2"/>
          </rPr>
          <t>Ximena Portillo:</t>
        </r>
        <r>
          <rPr>
            <sz val="9"/>
            <color indexed="81"/>
            <rFont val="Tahoma"/>
            <family val="2"/>
          </rPr>
          <t xml:space="preserve">
Codigo del proceso+ enumeración.
Ejemplo: GC-1</t>
        </r>
      </text>
    </comment>
    <comment ref="C3" authorId="0" shapeId="0" xr:uid="{00000000-0006-0000-0000-000002000000}">
      <text>
        <r>
          <rPr>
            <b/>
            <sz val="9"/>
            <color indexed="81"/>
            <rFont val="Tahoma"/>
            <family val="2"/>
          </rPr>
          <t xml:space="preserve">Ximena Portillo:
</t>
        </r>
        <r>
          <rPr>
            <sz val="9"/>
            <color indexed="81"/>
            <rFont val="Tahoma"/>
            <family val="2"/>
          </rPr>
          <t>Circunstancias bajo las cuales se presenta el riesgo, pero no constituyen la causa principal o base para que se presente el riesgo</t>
        </r>
      </text>
    </comment>
    <comment ref="D3" authorId="0" shapeId="0" xr:uid="{00000000-0006-0000-0000-000003000000}">
      <text>
        <r>
          <rPr>
            <b/>
            <sz val="9"/>
            <color indexed="81"/>
            <rFont val="Tahoma"/>
            <family val="2"/>
          </rPr>
          <t>Ximena Portillo:</t>
        </r>
        <r>
          <rPr>
            <sz val="9"/>
            <color indexed="81"/>
            <rFont val="Tahoma"/>
            <family val="2"/>
          </rPr>
          <t xml:space="preserve">
Causa principal o básica, corresponde a las razones por la cuales se puede presentar el riesgo.</t>
        </r>
      </text>
    </comment>
    <comment ref="F3" authorId="0" shapeId="0" xr:uid="{00000000-0006-0000-0000-000004000000}">
      <text>
        <r>
          <rPr>
            <b/>
            <sz val="9"/>
            <color indexed="81"/>
            <rFont val="Tahoma"/>
            <family val="2"/>
          </rPr>
          <t xml:space="preserve">Ximena Portillo:
</t>
        </r>
        <r>
          <rPr>
            <sz val="9"/>
            <color indexed="81"/>
            <rFont val="Tahoma"/>
            <family val="2"/>
          </rPr>
          <t xml:space="preserve">En la redacción del riesgo se debe incluir la causa inmediata y la causa raíz.
</t>
        </r>
        <r>
          <rPr>
            <u/>
            <sz val="9"/>
            <color indexed="81"/>
            <rFont val="Tahoma"/>
            <family val="2"/>
          </rPr>
          <t>Ej: Generación de multas y sanción del ente regulador debido a adquisición de bienes y servicios fuera de los requerimientos normativos</t>
        </r>
      </text>
    </comment>
    <comment ref="G3" authorId="1" shapeId="0" xr:uid="{00000000-0006-0000-0000-000005000000}">
      <text>
        <r>
          <rPr>
            <b/>
            <sz val="9"/>
            <color indexed="81"/>
            <rFont val="Tahoma"/>
            <family val="2"/>
          </rPr>
          <t>XIMENA PORTILLO PUENTES:</t>
        </r>
        <r>
          <rPr>
            <sz val="9"/>
            <color indexed="81"/>
            <rFont val="Tahoma"/>
            <family val="2"/>
          </rPr>
          <t xml:space="preserve">
En la hoja de información se encuentra la definición d ecada factor</t>
        </r>
      </text>
    </comment>
    <comment ref="H3" authorId="1" shapeId="0" xr:uid="{00000000-0006-0000-0000-000006000000}">
      <text>
        <r>
          <rPr>
            <b/>
            <sz val="9"/>
            <color indexed="81"/>
            <rFont val="Tahoma"/>
            <family val="2"/>
          </rPr>
          <t>XIMENA PORTILLO PUENTES:</t>
        </r>
        <r>
          <rPr>
            <sz val="9"/>
            <color indexed="81"/>
            <rFont val="Tahoma"/>
            <family val="2"/>
          </rPr>
          <t xml:space="preserve">
En la hoja de información se encuentra la definición de cada clasificación</t>
        </r>
      </text>
    </comment>
    <comment ref="I3" authorId="1" shapeId="0" xr:uid="{00000000-0006-0000-0000-000007000000}">
      <text>
        <r>
          <rPr>
            <b/>
            <sz val="9"/>
            <color indexed="81"/>
            <rFont val="Tahoma"/>
            <family val="2"/>
          </rPr>
          <t>XIMENA PORTILLO PUENTES:</t>
        </r>
        <r>
          <rPr>
            <sz val="9"/>
            <color indexed="81"/>
            <rFont val="Tahoma"/>
            <family val="2"/>
          </rPr>
          <t xml:space="preserve">
Escoger el objetivo de calidad que impacte el riesgo</t>
        </r>
      </text>
    </comment>
    <comment ref="J3" authorId="0" shapeId="0" xr:uid="{00000000-0006-0000-0000-000008000000}">
      <text>
        <r>
          <rPr>
            <b/>
            <sz val="9"/>
            <color indexed="81"/>
            <rFont val="Tahoma"/>
            <family val="2"/>
          </rPr>
          <t>Ximena Portillo:</t>
        </r>
        <r>
          <rPr>
            <sz val="9"/>
            <color indexed="81"/>
            <rFont val="Tahoma"/>
            <family val="2"/>
          </rPr>
          <t xml:space="preserve">
Defina el # de veces que se ejecuta la actividad durante el año</t>
        </r>
      </text>
    </comment>
    <comment ref="J12" authorId="2" shapeId="0" xr:uid="{C29DBD81-EBC5-4FB9-93F5-E07735A45F40}">
      <text>
        <r>
          <rPr>
            <b/>
            <sz val="9"/>
            <color indexed="81"/>
            <rFont val="Tahoma"/>
            <charset val="1"/>
          </rPr>
          <t>Unimagdalena:</t>
        </r>
        <r>
          <rPr>
            <sz val="9"/>
            <color indexed="81"/>
            <rFont val="Tahoma"/>
            <charset val="1"/>
          </rPr>
          <t xml:space="preserve">
Sumatoria de los productos publicados en cada año. (Meta para 2023)</t>
        </r>
      </text>
    </comment>
  </commentList>
</comments>
</file>

<file path=xl/sharedStrings.xml><?xml version="1.0" encoding="utf-8"?>
<sst xmlns="http://schemas.openxmlformats.org/spreadsheetml/2006/main" count="710" uniqueCount="367">
  <si>
    <t>03 Gestión de la Calidad</t>
  </si>
  <si>
    <t>Identificación del riesgo</t>
  </si>
  <si>
    <t>Análisis del riesgo inherente</t>
  </si>
  <si>
    <t>Evaluación del riesgo - Valoración de los controles</t>
  </si>
  <si>
    <t>Plan de Acción</t>
  </si>
  <si>
    <t xml:space="preserve">Referencia </t>
  </si>
  <si>
    <t>Impacto</t>
  </si>
  <si>
    <t>Causa Inmediata</t>
  </si>
  <si>
    <t>Causa Raíz</t>
  </si>
  <si>
    <t>Subcausas</t>
  </si>
  <si>
    <t>Descripción del Riesgo</t>
  </si>
  <si>
    <t>Factores de riesgo</t>
  </si>
  <si>
    <t>Clasificación del Riesgo</t>
  </si>
  <si>
    <t>Objetivo de calidad</t>
  </si>
  <si>
    <t>Frecuencia con la cual se realiza la actividad en el año</t>
  </si>
  <si>
    <t>Probabilidad Inherente</t>
  </si>
  <si>
    <t>%</t>
  </si>
  <si>
    <t>Dimensión de impacto</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</si>
  <si>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</si>
  <si>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</si>
  <si>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</si>
  <si>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</si>
  <si>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</si>
  <si>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</si>
  <si>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</si>
  <si>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</si>
  <si>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</si>
  <si>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</si>
  <si>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</si>
  <si>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Acciones de control</t>
  </si>
  <si>
    <t>Responsable</t>
  </si>
  <si>
    <t>Fecha Implementación</t>
  </si>
  <si>
    <t>Evidencias de implementación</t>
  </si>
  <si>
    <t>Indicador</t>
  </si>
  <si>
    <t>Tipo</t>
  </si>
  <si>
    <t>Valor Tipo</t>
  </si>
  <si>
    <t>Implementación</t>
  </si>
  <si>
    <t>Valor Implementación</t>
  </si>
  <si>
    <t>Calificación</t>
  </si>
  <si>
    <t>Documentación</t>
  </si>
  <si>
    <t>Frecuencia</t>
  </si>
  <si>
    <t>Evidencia</t>
  </si>
  <si>
    <t>Reputacional</t>
  </si>
  <si>
    <t>Procesos</t>
  </si>
  <si>
    <t>Usuarios, productos y practicas organizacionales</t>
  </si>
  <si>
    <t>5. Fortalecer el sistema de gestión institucional integral mediante el diseño, implementación y articulación de sistemas de gestión bajo el cumplimiento de estándares nacionales ó internacionales</t>
  </si>
  <si>
    <t>Legal</t>
  </si>
  <si>
    <t>La materialización del riesgo genera observaciones por entes de regulación o control, sin intervención.</t>
  </si>
  <si>
    <t>Preventivo</t>
  </si>
  <si>
    <t>Automático</t>
  </si>
  <si>
    <t>Documentado</t>
  </si>
  <si>
    <t>Continua</t>
  </si>
  <si>
    <t>Con registro</t>
  </si>
  <si>
    <t>Reducir (mitigar)</t>
  </si>
  <si>
    <t>Grupo de Gestión de la Calidad</t>
  </si>
  <si>
    <t>Manual</t>
  </si>
  <si>
    <t>Sin documentar</t>
  </si>
  <si>
    <t>Correctivo</t>
  </si>
  <si>
    <t>GC-2</t>
  </si>
  <si>
    <t>SGI COGUI+ desalineado con las estrategias institucionales</t>
  </si>
  <si>
    <t>Bajo liderazgo y orientación por parte de la alta dirección</t>
  </si>
  <si>
    <t>1. Resistencia al cambio
2.Falta de compromiso del personal en la realización de sus labores de manera eficaz y efectiva.
3. Falta de capacitación
4. Falta de apropiación del SGI</t>
  </si>
  <si>
    <t>Perdida del fomento de la cultura de mejora continua</t>
  </si>
  <si>
    <t>Ejecución y Administración de procesos</t>
  </si>
  <si>
    <t>El riesgo afecta la imagen de la universidad con efecto publicitario sostenido a nivel departamental o municipal.</t>
  </si>
  <si>
    <t>Revisiones del Sistema COGUI+ por la alta dirección.</t>
  </si>
  <si>
    <t>Detectivo</t>
  </si>
  <si>
    <t>1. Fortalecer el programa de capacitación
2. Aplicar encuesta de satisfacción de los servicios del sistema de gestión COGUI+</t>
  </si>
  <si>
    <t>Registro fotográfico
Listas de asistencia
Aplicación de encuesta</t>
  </si>
  <si>
    <t>Nivel de mejoramiento de los procesos</t>
  </si>
  <si>
    <t>Ejecución de Auditorías Internas para la evaluación e identificación de fallas que permitan la toma de acciones para la mejora continua</t>
  </si>
  <si>
    <t>Medición del cumplimiento de los objetivos del sistema de gestión.</t>
  </si>
  <si>
    <t>Acompañamiento en toma de acción, seguimiento a indicadores y actualización documental</t>
  </si>
  <si>
    <t>El riesgo afecta la imagen institucional internamente, de conocimiento general nivel interno, de alta dirección y/o de proveedores.</t>
  </si>
  <si>
    <t>Factores del riesgo</t>
  </si>
  <si>
    <t xml:space="preserve"> Criterios para definir el nivel de impacto</t>
  </si>
  <si>
    <t>Objetivo de la Calidad</t>
  </si>
  <si>
    <t xml:space="preserve">Factor </t>
  </si>
  <si>
    <t xml:space="preserve">Definición </t>
  </si>
  <si>
    <t>Descripción</t>
  </si>
  <si>
    <t>Nivel</t>
  </si>
  <si>
    <t>Dimensión económica</t>
  </si>
  <si>
    <t>Dimensión reputacional</t>
  </si>
  <si>
    <t>Dimensión a nivel servicio/operación</t>
  </si>
  <si>
    <t>Dimensión legal</t>
  </si>
  <si>
    <t>Eventos relacionados con 
errores en las actividades que deben realizar los servidores de la organización.</t>
  </si>
  <si>
    <t>*Falta de procedimientos
*Errores de grabación, autorización
*Errores en cálculos para pagos internos y externos
*Falta de capacitación, temas relacionados con el personal</t>
  </si>
  <si>
    <t>Leve 20%</t>
  </si>
  <si>
    <t>Afectación menor a 10 SMLMV por evento</t>
  </si>
  <si>
    <r>
      <rPr>
        <b/>
        <sz val="8"/>
        <color theme="1"/>
        <rFont val="Arial"/>
        <family val="2"/>
      </rPr>
      <t>El riesgo afecta la imagen de algún área de la universidad.</t>
    </r>
    <r>
      <rPr>
        <sz val="8"/>
        <color theme="1"/>
        <rFont val="Arial"/>
        <family val="2"/>
      </rPr>
      <t xml:space="preserve">
*Se presentan algunas inconformidades por parte de empleados. 
*Existe afectación publicitaria a nivel interno (proceso, equipo de trabajo). </t>
    </r>
  </si>
  <si>
    <r>
      <rPr>
        <b/>
        <sz val="8"/>
        <color rgb="FF000000"/>
        <rFont val="Arial"/>
        <family val="2"/>
      </rPr>
      <t>Suspensión de actividades menor a cuatro (4) horas, de varias unidades académicas o de un servicio administrativo crítico.</t>
    </r>
    <r>
      <rPr>
        <sz val="8"/>
        <color rgb="FF000000"/>
        <rFont val="Arial"/>
        <family val="2"/>
      </rPr>
      <t xml:space="preserve">
*Retraso en la entrega del producto o la prestación del servicio menor a 4 horas. 
*Insatisfacción en un número mínimo de usuarios del proceso. 
*Reproceso, menor al 10% de las actividades.</t>
    </r>
  </si>
  <si>
    <r>
      <rPr>
        <b/>
        <sz val="8"/>
        <rFont val="Arial"/>
        <family val="2"/>
      </rPr>
      <t>La materialización del riesgo No genera observaciones por entes de regulación o control.</t>
    </r>
    <r>
      <rPr>
        <sz val="8"/>
        <rFont val="Arial"/>
        <family val="2"/>
      </rPr>
      <t xml:space="preserve">
*No genera indemnizaciones o sanciones a terceros por acciones legales o incumplimiento normativo.</t>
    </r>
  </si>
  <si>
    <t>Talento 
humano</t>
  </si>
  <si>
    <t>Incluye seguridad y salud en el trabajo.
Se analiza posible dolo e 
intención frente a la corrupción.</t>
  </si>
  <si>
    <t>*Hurto activos
*Posibles comportamientos no éticos de los empleados
*Fraude interno (corrupción, soborno)</t>
  </si>
  <si>
    <t>Menor 40%</t>
  </si>
  <si>
    <t>Afectación entre 10 y 50 SMLMV por evento</t>
  </si>
  <si>
    <r>
      <rPr>
        <b/>
        <sz val="8"/>
        <color theme="1"/>
        <rFont val="Arial"/>
        <family val="2"/>
      </rPr>
      <t>El riesgo afecta la imagen de la universidad internamente, de conocimiento general nivel interno, de alta dirección y/o de proveedores.</t>
    </r>
    <r>
      <rPr>
        <sz val="8"/>
        <color theme="1"/>
        <rFont val="Arial"/>
        <family val="2"/>
      </rPr>
      <t xml:space="preserve">
*La materialización del riesgo genera inconformidades en algún grupo de interés. 
*Existe afectación publicitaria que no trasciende a medios y/o que no tienen el potencial de volverse tendencia. </t>
    </r>
  </si>
  <si>
    <r>
      <rPr>
        <b/>
        <sz val="8"/>
        <color rgb="FF000000"/>
        <rFont val="Arial"/>
        <family val="2"/>
      </rPr>
      <t>Suspensión de actividades durante no más de un (1) día, de una unidad académica o de varios servicios administrativos críticos.</t>
    </r>
    <r>
      <rPr>
        <sz val="8"/>
        <color rgb="FF000000"/>
        <rFont val="Arial"/>
        <family val="2"/>
      </rPr>
      <t xml:space="preserve">
*Retraso en la entrega del producto o la prestación del servicio entre 4 horas y un día. 
*Insatisfacción entre el 10% y el 39% de los usuarios del proceso. 
*Reproceso, entre el 10% y el 39% de las actividades.</t>
    </r>
  </si>
  <si>
    <r>
      <rPr>
        <b/>
        <sz val="8"/>
        <rFont val="Arial"/>
        <family val="2"/>
      </rPr>
      <t>La materialización del riesgo genera observaciones por entes de regulación o control, sin intervención.</t>
    </r>
    <r>
      <rPr>
        <sz val="8"/>
        <rFont val="Arial"/>
        <family val="2"/>
      </rPr>
      <t xml:space="preserve">
*Genera pago de indemnizaciones o sanciones a terceros por acciones legales o incumplimiento normativo por un valor inferior a </t>
    </r>
    <r>
      <rPr>
        <sz val="8"/>
        <color rgb="FFFF0000"/>
        <rFont val="Arial"/>
        <family val="2"/>
      </rPr>
      <t>500 SMLMV</t>
    </r>
    <r>
      <rPr>
        <sz val="8"/>
        <rFont val="Arial"/>
        <family val="2"/>
      </rPr>
      <t xml:space="preserve"> por evento.</t>
    </r>
  </si>
  <si>
    <t>Tecnología</t>
  </si>
  <si>
    <t>Eventos relacionados con la 
infraestructura tecnológica de la entidad.</t>
  </si>
  <si>
    <t>*Daño de equipos
*Caída de aplicaciones
*Caída de redes
*Errores en programas</t>
  </si>
  <si>
    <t>Moderado 60%</t>
  </si>
  <si>
    <t>Afectación entre 51 y 120 SMLMV por evento</t>
  </si>
  <si>
    <r>
      <rPr>
        <b/>
        <sz val="8"/>
        <color theme="1"/>
        <rFont val="Arial"/>
        <family val="2"/>
      </rPr>
      <t>El riesgo afecta la imagen de la universidad con algunos usuarios de relevancia frente al logro de los objetivos.</t>
    </r>
    <r>
      <rPr>
        <sz val="8"/>
        <color theme="1"/>
        <rFont val="Arial"/>
        <family val="2"/>
      </rPr>
      <t xml:space="preserve">
*El riesgo genera inconformidades en varios de los grupos de interés. 
*Genera divulgación en medios de mayor audiencia como una noticia puntual, con una difusión menor. 
*Genera comentarios puntuales en redes sociales, sin tendencia. </t>
    </r>
  </si>
  <si>
    <r>
      <rPr>
        <b/>
        <sz val="8"/>
        <color rgb="FF000000"/>
        <rFont val="Arial"/>
        <family val="2"/>
      </rPr>
      <t>Suspensión de actividades entre 1 y 5 días, de 2 o más unidades académicas o de varios servicios administrativos críticos.</t>
    </r>
    <r>
      <rPr>
        <sz val="8"/>
        <color rgb="FF000000"/>
        <rFont val="Arial"/>
        <family val="2"/>
      </rPr>
      <t xml:space="preserve">
*Retraso en la entrega del producto o la prestación del servicio entre 1 y 5 días.
*Insatisfacción entre el 40% y el 69% de los usuarios del proceso. 
*Reproceso, entre el 40% y el 69% de las actividades.</t>
    </r>
  </si>
  <si>
    <r>
      <rPr>
        <b/>
        <sz val="8"/>
        <rFont val="Arial"/>
        <family val="2"/>
      </rPr>
      <t xml:space="preserve">La materialización del riesgo genera observaciones por entes de regulación o control, con incidencia disciplinaria. </t>
    </r>
    <r>
      <rPr>
        <sz val="8"/>
        <rFont val="Arial"/>
        <family val="2"/>
      </rPr>
      <t xml:space="preserve">
*Genera pago de indemnizaciones o sanciones a terceros por acciones legales o incumplimiento normativo por un valor entre </t>
    </r>
    <r>
      <rPr>
        <sz val="8"/>
        <color rgb="FFFF0000"/>
        <rFont val="Arial"/>
        <family val="2"/>
      </rPr>
      <t>501 y 1000 SMLMV</t>
    </r>
    <r>
      <rPr>
        <sz val="8"/>
        <rFont val="Arial"/>
        <family val="2"/>
      </rPr>
      <t xml:space="preserve"> por evento.</t>
    </r>
  </si>
  <si>
    <t>Infraestructura</t>
  </si>
  <si>
    <t>Eventos relacionados con la 
infraestructura física de la 
entidad.</t>
  </si>
  <si>
    <t>*Derrumbes
*Incendios
*Inundaciones
*Daños a activos fijos</t>
  </si>
  <si>
    <t>Mayor 80%</t>
  </si>
  <si>
    <t>Afectación entre 121 y 500 SMLMV por evento</t>
  </si>
  <si>
    <r>
      <rPr>
        <b/>
        <sz val="8"/>
        <color theme="1"/>
        <rFont val="Arial"/>
        <family val="2"/>
      </rPr>
      <t>El riesgo afecta la imagen de la universidad con efecto publicitario sostenido a nivel departamental o municipal</t>
    </r>
    <r>
      <rPr>
        <sz val="8"/>
        <color theme="1"/>
        <rFont val="Arial"/>
        <family val="2"/>
      </rPr>
      <t xml:space="preserve">
*La materialización del riesgo puede representar una pérdida sensible de la credibilidad y confianza en la Universidad.  
*Genera divulgación en medios de mayor circulación o de mayor audiencia a nivel municipal y/o departamental. 
*La difusión en redes sociales es tendencia durante un día. </t>
    </r>
  </si>
  <si>
    <r>
      <rPr>
        <b/>
        <sz val="8"/>
        <color rgb="FF000000"/>
        <rFont val="Arial"/>
        <family val="2"/>
      </rPr>
      <t>Suspensión de actividades entre 5 y 10 días, de 2 o más unidades académicas o de la mayoría de servicios administrativos críticos.</t>
    </r>
    <r>
      <rPr>
        <sz val="8"/>
        <color rgb="FF000000"/>
        <rFont val="Arial"/>
        <family val="2"/>
      </rPr>
      <t xml:space="preserve">
*Retraso en la entrega del producto o la prestación del servicio entre 5 y 10 días. 
*Insatisfacción entre el 70% y el 90% de los usuarios del proceso. 
*Reproceso, entre el 70% y el 90% de las actividades, puede requerir intervención de otras unidades.</t>
    </r>
  </si>
  <si>
    <r>
      <rPr>
        <b/>
        <sz val="8"/>
        <rFont val="Arial"/>
        <family val="2"/>
      </rPr>
      <t xml:space="preserve">La materialización del riesgo genera observaciones por entes de regulación o control, con incidencia fiscal o penal. </t>
    </r>
    <r>
      <rPr>
        <sz val="8"/>
        <rFont val="Arial"/>
        <family val="2"/>
      </rPr>
      <t xml:space="preserve">
*Genera pago de indemnizaciones o sanciones a terceros por acciones legales o incumplimiento normativo por un valor entre </t>
    </r>
    <r>
      <rPr>
        <sz val="8"/>
        <color rgb="FFFF0000"/>
        <rFont val="Arial"/>
        <family val="2"/>
      </rPr>
      <t>1001 y 2000 SMLMV</t>
    </r>
    <r>
      <rPr>
        <sz val="8"/>
        <rFont val="Arial"/>
        <family val="2"/>
      </rPr>
      <t xml:space="preserve"> por evento.</t>
    </r>
  </si>
  <si>
    <t>Evento 
externo</t>
  </si>
  <si>
    <t>Situaciones externas que 
afectan la entidad.</t>
  </si>
  <si>
    <t>*Suplantación de identidad
*Asalto a la oficina
*Atentados, vandalismo, orden público</t>
  </si>
  <si>
    <t>Catastrófico 100%</t>
  </si>
  <si>
    <t>Afectación mayor a 500 SMLMV por evento</t>
  </si>
  <si>
    <r>
      <rPr>
        <b/>
        <sz val="8"/>
        <color theme="1"/>
        <rFont val="Arial"/>
        <family val="2"/>
      </rPr>
      <t>El riesgo afecta la imagen de la universidad a nivel nacional, con efecto publicitario sostenido a nivel país.</t>
    </r>
    <r>
      <rPr>
        <sz val="8"/>
        <color theme="1"/>
        <rFont val="Arial"/>
        <family val="2"/>
      </rPr>
      <t xml:space="preserve">
*La materialización del riesgo genera un concepto público desfavorable que afecta la credibilidad y confianza en la Universidad. 
*Genera divulgación en medios de mayor audiencia durante varios días a nivel nacional. 
*La difusión masiva en redes sociales es tendencia. </t>
    </r>
  </si>
  <si>
    <r>
      <rPr>
        <b/>
        <sz val="8"/>
        <color rgb="FF000000"/>
        <rFont val="Arial"/>
        <family val="2"/>
      </rPr>
      <t>Cierre de la Universidad mayor a 10 días.</t>
    </r>
    <r>
      <rPr>
        <sz val="8"/>
        <color rgb="FF000000"/>
        <rFont val="Arial"/>
        <family val="2"/>
      </rPr>
      <t xml:space="preserve">
*Retraso en la entrega del producto o la prestación del servicio por más de 10 días. 
*Insatisfacción en más del 90% de los usuarios del proceso. 
*Reproceso significativo, mayor al 90% de las actividades, requiere intervención de otras unidades.</t>
    </r>
  </si>
  <si>
    <r>
      <rPr>
        <b/>
        <sz val="8"/>
        <rFont val="Arial"/>
        <family val="2"/>
      </rPr>
      <t xml:space="preserve">La materialización del riesgo genera intervención por parte de un ente de regulación o control, que incluye sanciones. </t>
    </r>
    <r>
      <rPr>
        <sz val="8"/>
        <rFont val="Arial"/>
        <family val="2"/>
      </rPr>
      <t xml:space="preserve">
*Pago de indemnizaciones o sanciones a terceros por acciones legales o incumplimiento normativo por un valor mayor a </t>
    </r>
    <r>
      <rPr>
        <sz val="8"/>
        <color rgb="FFFF0000"/>
        <rFont val="Arial"/>
        <family val="2"/>
      </rPr>
      <t>2000 SMLMV</t>
    </r>
    <r>
      <rPr>
        <sz val="8"/>
        <rFont val="Arial"/>
        <family val="2"/>
      </rPr>
      <t xml:space="preserve"> por evento.</t>
    </r>
  </si>
  <si>
    <t>Relación entre factores de riesgos y clasificación del riesgo</t>
  </si>
  <si>
    <t>Objetivo</t>
  </si>
  <si>
    <t>Objetivos de calidad COGUI+</t>
  </si>
  <si>
    <t>Frecuencia de la actividad</t>
  </si>
  <si>
    <t>Probabilidad frente al riesgo</t>
  </si>
  <si>
    <t>Probabilidad</t>
  </si>
  <si>
    <t>Económica</t>
  </si>
  <si>
    <t>Operación</t>
  </si>
  <si>
    <t xml:space="preserve">Dimensión </t>
  </si>
  <si>
    <t>Num</t>
  </si>
  <si>
    <t>01 Dirección y Planeación</t>
  </si>
  <si>
    <t>Definir el marco estratégico de mediano y largo plazo de la Institución acorde a la misión y al cumplimiento de las disposiciones legales y reglamentarias</t>
  </si>
  <si>
    <t>Economica</t>
  </si>
  <si>
    <t>Ejecucion y Administracion de procesos</t>
  </si>
  <si>
    <t>1. Asegurar la acreditación de programas bajo estándares nacionales e internacionales y renovación de acreditación institucional.</t>
  </si>
  <si>
    <t>1 vez al año</t>
  </si>
  <si>
    <t>Muy baja</t>
  </si>
  <si>
    <t>La actividad que conlleva el riesgo se ejecuta como máximo 2 veces por año</t>
  </si>
  <si>
    <t>Afectación menor a 10 SMLMV por evento.</t>
  </si>
  <si>
    <t>El riesgo afecta la imagen de algún área de la universidad.</t>
  </si>
  <si>
    <t>Suspensión de actividades menor a cuatro (4) horas, de varias unidades académicas o de un servicio administrativo crítico.</t>
  </si>
  <si>
    <t>La materialización del riesgo No genera observaciones por entes de regulación o control.</t>
  </si>
  <si>
    <t>Leve</t>
  </si>
  <si>
    <t>Menor</t>
  </si>
  <si>
    <t>Moderado</t>
  </si>
  <si>
    <t>Mayor</t>
  </si>
  <si>
    <t>Catastrófico</t>
  </si>
  <si>
    <t>tipo</t>
  </si>
  <si>
    <t>Va hacia las causas del riesgo, aseguran el resultado final esperado.</t>
  </si>
  <si>
    <t>02 Acreditación</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</si>
  <si>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</si>
  <si>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Fraude Externo</t>
  </si>
  <si>
    <t>2. Asegurar la certificación de programas de formación para el trabajo y desarrollo humano bajo estándares de la norma NTC 5555:2011 y propias de los programas.</t>
  </si>
  <si>
    <t>Semestral, Trimestral, Bimensual</t>
  </si>
  <si>
    <t>Baja</t>
  </si>
  <si>
    <t>La actividad que conlleva el riesgo se ejecuta de 3 a 24 veces por año</t>
  </si>
  <si>
    <t>Afectación entre 10 y 50 SMLMV por evento.</t>
  </si>
  <si>
    <t>Suspensión de actividades durante no más de un (1) día, de una unidad académica o de varios servicios administrativos críticos.</t>
  </si>
  <si>
    <t>Muy alta</t>
  </si>
  <si>
    <t>Alto</t>
  </si>
  <si>
    <t>Extremo</t>
  </si>
  <si>
    <t>Detecta que algo ocurre y devuelve el proceso a los controles preventivos.Se pueden generar reprocesos.</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</si>
  <si>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</si>
  <si>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Economico y reputacional</t>
  </si>
  <si>
    <t>Fraude Interno</t>
  </si>
  <si>
    <t>3. Fortalecer el desarrollo y bienestar del talento humano</t>
  </si>
  <si>
    <t>Mensual</t>
  </si>
  <si>
    <t>Media</t>
  </si>
  <si>
    <t>La actividad que conlleva el riesgo se ejecuta de 24 a 500 veces por año</t>
  </si>
  <si>
    <t>Afectación entre 51 y 120 SMLMV por evento.</t>
  </si>
  <si>
    <t>El riesgo afecta la imagen de la universidad con algunos usuarios de relevancia frente al logro de los objetivos.</t>
  </si>
  <si>
    <t>Suspensión de actividades entre 1 y 5 días, de 2 o más unidades académicas o de varios servicios administrativos críticos.</t>
  </si>
  <si>
    <t xml:space="preserve">La materialización del riesgo genera observaciones por entes de regulación o control, con incidencia disciplinaria. </t>
  </si>
  <si>
    <t>Alta</t>
  </si>
  <si>
    <t>Dado que permiten reducir el impacto de la materialización del riesgo, tienen un costo en su implementación.</t>
  </si>
  <si>
    <t>04 Comunicaciones</t>
  </si>
  <si>
    <t>Administrar los medios y canales de comunicación de la Institución con el propósito de mantener informada a la comunidad universitaria y demás partes interesadas</t>
  </si>
  <si>
    <t>Fallas Tecnologica</t>
  </si>
  <si>
    <t>4. Contribuir con la transformación del territorio mediante la creación, la transferencia, la apropiación social y la aplicación de conocimiento científico, tecnológico, arte y cultura.</t>
  </si>
  <si>
    <t xml:space="preserve">Semanal </t>
  </si>
  <si>
    <t>La actividad que conlleva el riesgo se ejecuta mínimo 500 veces al año máximo 5000 veces al año</t>
  </si>
  <si>
    <t>Afectación entre 121 y 500 SMLMV por evento.</t>
  </si>
  <si>
    <t>Suspensión de actividades entre 5 y 10 días, de 2 o más unidades académicas o de la mayoría de servicios administrativos críticos.</t>
  </si>
  <si>
    <t xml:space="preserve">La materialización del riesgo genera observaciones por entes de regulación o control, con incidencia fiscal o penal. </t>
  </si>
  <si>
    <t>Son actividades de procesamiento o validación de información que se ejecutan por un sistema y/o aplicativo de manera automática sin la intervención de personas para su realización.</t>
  </si>
  <si>
    <t>05 Relaciones Interinstitucionales</t>
  </si>
  <si>
    <t>Articular al ámbito global los ejes de docencia, investigación y extensión de la Universidad del Magdalena y promover, coordinar y supervisar la movilidad internacional de la comunidad universitaria.</t>
  </si>
  <si>
    <t>Relaciones Laborales</t>
  </si>
  <si>
    <t>Diaria</t>
  </si>
  <si>
    <t>La actividad que conlleva el riesgo se ejecuta más de 500 veces por año</t>
  </si>
  <si>
    <t>Afectación mayor a 500 SMLMV por evento.</t>
  </si>
  <si>
    <t>El riesgo afecta la imagen de la universidad a nivel nacional, con efecto publicitario sostenido a nivel país.</t>
  </si>
  <si>
    <t>Cierre de la Universidad mayor a 10 días.</t>
  </si>
  <si>
    <t xml:space="preserve">La materialización del riesgo genera intervención por parte de un ente de regulación o control, que incluye sanciones. </t>
  </si>
  <si>
    <t>Bajo</t>
  </si>
  <si>
    <t>Controles que son ejecutados por una persona, tiene implícito el error humano.</t>
  </si>
  <si>
    <t>06 Gestión Académica</t>
  </si>
  <si>
    <t>Diseñar y desarrollar los programas académicos de pregrado, posgrado y formación para el trabajo y desarrollo en cumplimiento de la misión institucional.</t>
  </si>
  <si>
    <t>06 CREO-  Centro para la Regionalización de la Educación y las Oportunidades</t>
  </si>
  <si>
    <t>Daños Activos Fisicos</t>
  </si>
  <si>
    <t>06 Clinica Odontologica</t>
  </si>
  <si>
    <t>Contribuir a los procesos formativos de los estudiantes del programa de odontología a través de la practica de sus conocimientos e interacción directa con el paciente.</t>
  </si>
  <si>
    <t>06 Sistema de Gestión Centro de Conciliación</t>
  </si>
  <si>
    <t>Fortalecer las competencias adquiridas por el estudiantes en las diferentes áreas del derecho durante su desarrollo académico a través de la practica jurídica y la interacción con el usuario en las diferentes etapas de un proceso jurídico.</t>
  </si>
  <si>
    <t>06 Facultad de Ciencias de la Educación</t>
  </si>
  <si>
    <t>06 Facultad de Ciencias Empresariales y Economicas</t>
  </si>
  <si>
    <t>A nivel servicio/operación</t>
  </si>
  <si>
    <t>06 Facultad de Ingenieria</t>
  </si>
  <si>
    <t>06 Facultad de Humanidades</t>
  </si>
  <si>
    <t>06 Facultad de Ciencias de la Salud</t>
  </si>
  <si>
    <t>06 Facultad de Ciencias Básicas</t>
  </si>
  <si>
    <t>07 Gestión de Investigación</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</si>
  <si>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</si>
  <si>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08 Gestión de Extensión y Proyección Social</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</si>
  <si>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</si>
  <si>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09 Apoyo Tecnológico TIC</t>
  </si>
  <si>
    <t>Gestionar, incorporar y asegurar los recursos de tecnologías de la información y las comunicaciones; para mejorar y optimizar los procesos Institucionales, garantizando la confidencialidad, integridad y disponibilidad de la información.</t>
  </si>
  <si>
    <t>10 Gestión Jurídica</t>
  </si>
  <si>
    <t>Asesorar jurídicamente a la Universidad del Magdalena y asistir las actuaciones prejudiciales, judiciales y administrativas conforme a las disposiciones del ordenamiento jurídico vigente.</t>
  </si>
  <si>
    <t>11 Gestión de Contratación</t>
  </si>
  <si>
    <t>Establecer mecanismos e instrumentos para asegurar la correcta ejecución de la contratación de acuerdo a la normatividad aplicable en la institución.</t>
  </si>
  <si>
    <t>12 Gestión Financiera</t>
  </si>
  <si>
    <t>Gestionar y administrar eficientemente los recursos financieros de la Universidad del Magdalena, de tal forma que le permita a la Dirección Universitaria ejecutar sus acciones con transparencia, seguridad y confiabilidad</t>
  </si>
  <si>
    <t>13 Gestión de Recursos Educativos</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</si>
  <si>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</si>
  <si>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14 Gestión de Bienestar Universitario</t>
  </si>
  <si>
    <t>Prestar los servicios de bienestar Universitario a la comunidad universitaria, de acuerdo a las condiciones establecidas por la institución</t>
  </si>
  <si>
    <t>15 Gestión Documental</t>
  </si>
  <si>
    <t>Asegurar el manejo y control de la información documentada de la Institución, identificando los medios adecuados para la conservación y protección de la información atendiendo los requisitos legales y reglamentarios aplicables.</t>
  </si>
  <si>
    <t>16 Gestión Administrativa</t>
  </si>
  <si>
    <t>Administrar, mantener y controlar los bienes muebles e inmuebles de la Universidad para la prestación de sus servicios y el desarrollo de actividades requeridas.</t>
  </si>
  <si>
    <t>17 Gestión del Talento Humano</t>
  </si>
  <si>
    <t>Realizar las actividades necesarias para la vinculación, permanencia y bienestar laboral del personal vinculado a la institución.</t>
  </si>
  <si>
    <t>18 Gestión de Biblioteca</t>
  </si>
  <si>
    <t>Gestionar, organizar, conservar y promover el uso efectivo de los recursos y servicios de información bajo criterios de calidad, cantidad y oportunidad teniendo en cuenta las directrices y necesidades de la comunidad universitaria, para contribuir al desarrollo académico, de investigación y extensión social.</t>
  </si>
  <si>
    <t>19 Gestión de Admisiones y Registro</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</si>
  <si>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</si>
  <si>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20 Gestión y Rendición de Cuentas</t>
  </si>
  <si>
    <t>Realizar la evaluación de la gestión y la rendición de cuentas a la sociedad de la ejecución y logros de los planes institucionales de conformidad con los requisitos legales y la normatividad interna</t>
  </si>
  <si>
    <t>21 Evaluación Independiente</t>
  </si>
  <si>
    <t>Diseñar mecanismos que permitan evaluar y verificar permanentemente el Sistema de Control interno y la administración del riesgo a nivel institucional.</t>
  </si>
  <si>
    <t xml:space="preserve"> Mapa de Riesgos de Gestión Institucional 2024</t>
  </si>
  <si>
    <t>CC-1</t>
  </si>
  <si>
    <t>Inoportuna o inexacta divulgación de los productos comunicativos y publicitarios ante los usuarios internos y externos.</t>
  </si>
  <si>
    <t>Fallas en el origen de la información recibida y/o en la construcción del mensaje.</t>
  </si>
  <si>
    <t>1. Dependencia en la toma de decisiones. 
2. Demora en la revisión de los productos comunicativos por parte de la Alta Dirección y/o jefes.
3. Fallas en el proceso de revisión de los productos comunicativos. 
4. Equipos obsoletos y falta de software para producción de contenidos comunicativos.</t>
  </si>
  <si>
    <t>Inoportuna o inexacta divulgación de los productos comunicativos y publicitarios ante los usuarios internos y externos, debido a las fallas en el origen de la información recibida y/o en la construcción del mensaje.</t>
  </si>
  <si>
    <t>El riesgo afecta la imagen de la universidad con algunos usuarios de relevancia frente al logro de los objetivos</t>
  </si>
  <si>
    <t>Revisión pertinente del material a comunicar por parte de la dependencia que origina la información</t>
  </si>
  <si>
    <t>Evitar</t>
  </si>
  <si>
    <t>1. Enviar los contenidos a revisión de la dependencia correspondiente.
2. Comunicar oportunamente el envío de los contenidos para revisión inmediata. 
3. Revisar los contenidos con rigor antes de su publicación.
4. Capacitar periódicamente al talento humano de la Dirección de Comunicaciones.</t>
  </si>
  <si>
    <t>Director de Comunicaciones.</t>
  </si>
  <si>
    <t>1.  Correo electrónico enviado con el boletín para revisión.
2. Respuesta por correo electrónico sobre corrección y aprobación del contenido.
3. Asistencias o actas de capacitaciones.</t>
  </si>
  <si>
    <t>100% - (Número de fe de erratas enviadas / Número de productos comunicativos publicados.)</t>
  </si>
  <si>
    <t xml:space="preserve">Aprobación oportuna por parte de la Alta Dirección y/o jefes. </t>
  </si>
  <si>
    <t>Orientaciones por parte del jefe de Comunicaciones.</t>
  </si>
  <si>
    <t>Selección adecuada del talento humano.</t>
  </si>
  <si>
    <t>RI-01</t>
  </si>
  <si>
    <t>Gestionar la movilidad internacional entrante sin requisitos migratorios</t>
  </si>
  <si>
    <t>Falta de acompañamiento o asesoría por parte de la ORI</t>
  </si>
  <si>
    <t>1. Desconocimiento sobre procedimientos para movilidad internacional.
2. Fallas en el reporte a la ORI sobre la vinculación, admisión y contratación de extrajeros dentro de los tiempos establecidos</t>
  </si>
  <si>
    <t>Gestionar la movilidad internacional entrante sin requisitos migratorios debido a la falta de acompañamiento o asesoría por parte de la ORI</t>
  </si>
  <si>
    <t>Guía de tramites migratorios</t>
  </si>
  <si>
    <t>Aceptar</t>
  </si>
  <si>
    <t>Jefe de oficina de Relaciones Internacionales</t>
  </si>
  <si>
    <t xml:space="preserve">Correos diseñados por la Oficina de Relaciones Internacionales.                 </t>
  </si>
  <si>
    <t>Número de personas extranjeras reportadas por la ORI ante Migración Colombia  /Número de personas extranjeras vinculadas  a  la Institución reportadas a la ORI</t>
  </si>
  <si>
    <t>Plantillas de registro para reporte ante  Migración Colombia</t>
  </si>
  <si>
    <t xml:space="preserve">Envío semestral de comunicación oficial a todas las dependencias de la institución desde la Oficina de Relaciones.
Internacionales solicitando la Información sobre  vinculación, contratación, admisión y visita de extranjeros.     Actualizacion de guia migratoría     </t>
  </si>
  <si>
    <t>IDI-02</t>
  </si>
  <si>
    <t>Baja participación de la institución en ambientes propicios para la construcción de  alianzas estratégicas para la formulación de proyectos, gestión de recursos de cofinanciación que contribuyan a la transformación resiliente del territorio y sus comunidades.</t>
  </si>
  <si>
    <t>Poco fomento o gestión de relaciones con el entorno para actividades de investigación, creación, innovación y emprendimiento</t>
  </si>
  <si>
    <t>*Poco control en la consolidación y  organización de los convenios para dinamizar y realizar actividades de investigación, creación, innovación y emprendimiento.
*Poca asistencia en eventos de movilidad para el fortalecimiento de la investigación, creación, innovación y emprendimiento</t>
  </si>
  <si>
    <t>Disminución de alianzas estratégicas para el fortalecimiento de las actividades de investigación, creación, innovación y emprendimiento</t>
  </si>
  <si>
    <t xml:space="preserve">Trabajo continuo con IES regionales, nacionales e internacionales así como entidades publicas y privada </t>
  </si>
  <si>
    <t>Sin regisro</t>
  </si>
  <si>
    <t>Participación en alianzas estratégicas para el desarrollo de proyectos y convenios de cooperación con IES regionales, nacionales e internacionales.</t>
  </si>
  <si>
    <t>Vicerrectoría de Investigación
Unidades de gestión</t>
  </si>
  <si>
    <t>Proyectos en alianza con IES regional, nacional, internacional</t>
  </si>
  <si>
    <t xml:space="preserve">Número de proyectos en cooperación ejecutados </t>
  </si>
  <si>
    <t>Los docentes y grupos de investigación desarrollan actividades en coautoría</t>
  </si>
  <si>
    <t>Desarrollo de trabajos en cooperación y gestión de transferencia y apropiación social con grupos de investigación de otras universidades.</t>
  </si>
  <si>
    <t>Convenios para la cooperación interinstitucional para las actividades de investigación, creación, innovación y emprendimiento</t>
  </si>
  <si>
    <t>Número de convenios gestionados para el desarrollo de actividades de investigación, creación, innovación y emprendimiento</t>
  </si>
  <si>
    <t>Se cuentan con espacios de publicación de participación a convocatorias y de suscripción a alianzas para dinamizar la ejecución de actividades de investigación, creación, innovación y emprendimiento</t>
  </si>
  <si>
    <t>Divulgación y acompañamiento permanente de las convocatorias de financiación externa para desarrollo de proyectos, convenios y alianzas estratégicas para la investigación, innovación, creación y emprendimiento.</t>
  </si>
  <si>
    <t>Divulgación de las oportunidades de financiación en los sistemas de información de la Vicerrectoría de Investigación.</t>
  </si>
  <si>
    <t>Número de oportunidades divulgadas a través de los sistemas de información  de la Vicerrectoría de Investigación 
*Número de visitas y consultas de terminos de referencia Co-Lab de oportunidades externas</t>
  </si>
  <si>
    <t>mayor</t>
  </si>
  <si>
    <t>CO-1</t>
  </si>
  <si>
    <t>Incumplimiento en la aplicación de los procedimientos</t>
  </si>
  <si>
    <t>Desconocimiento de las normas internas, externas y jurisprudenciales que rigen la celebración de contratos, así como de cada uno de los procedimientos de contratación documentados, por parte de los supervisores, funcionarios y/o personal de apoyo.</t>
  </si>
  <si>
    <t>1. Desconocimiento del manual de supervisor. 
2. Designación de supervisores que no están capacitados para la vigilancia del objeto contractual.                         
3.Alta carga de actividades del personal que apoya y participa en los procesos de contratación o falta del mismo.</t>
  </si>
  <si>
    <t>Incumplimiento de los requisitos establecidos en las etapas precontractual, contractual y poscontractual de los procesos de contratación que adelanta la Universidad.</t>
  </si>
  <si>
    <t>Verificación del listado de documentos requeridos según la clase o naturaleza del contrato</t>
  </si>
  <si>
    <t xml:space="preserve">Aplicación de procedimiento de contratación según modalidades de selección. </t>
  </si>
  <si>
    <t>Capacitaciones sobre Estatuto de contratación, etapas de contratación, diligenciamiento de formatos, entre otros e informar los cambios es materia contractual.</t>
  </si>
  <si>
    <t>Aleatoria</t>
  </si>
  <si>
    <t xml:space="preserve">1.  Capacitaciones a los grupos de trabajo, Dependencias ordenadoras del gasto y supervisores sobre los requisitos, instructivos y formatos establecidos en las etapas precontractual, contractual y poscontractual de los procesos de contratación que adelanta la Universidad.
2. Creación de banco de preguntas frecuentes  enfocadas en las etapas de contratación .   </t>
  </si>
  <si>
    <t>Grupo de Contratación</t>
  </si>
  <si>
    <t>1. # de Capacitaciones realizadas
2. Banco de preguntas publicado.</t>
  </si>
  <si>
    <t>1. # de Capacitaciones realizadas/# de Capacitaciones Planeadas (5)
2. Banco de preguntas publicado/ Banco de preguntas Planificado</t>
  </si>
  <si>
    <t>GD-3</t>
  </si>
  <si>
    <t xml:space="preserve">
Falta de sistema de información robusto</t>
  </si>
  <si>
    <t xml:space="preserve">
Documentación incompleta o inexistente  </t>
  </si>
  <si>
    <t>1. Error involuntario.
2. Información dispersa e incompleta.</t>
  </si>
  <si>
    <t xml:space="preserve">
Error en la verificación de titulo y/o certificado de aptitud ocupacional por competencia</t>
  </si>
  <si>
    <t>Verificación de la información con el Grupo de Admisiones Registro y Control Académico.</t>
  </si>
  <si>
    <t xml:space="preserve">Actualización de la base de datos de graduados que reposa en Secretaría General
Remitir información de graduados para el registro en las plataformas de AYRE y el Sistema de Administración de Graduados Unimagdalena.
Registro de las solicitudes de verificación de titulo recibidas y respondidas.
Solicitar la elaboración de diplomas y actas de grado  con firma digital y  código de verificación. </t>
  </si>
  <si>
    <t>Secretaría General</t>
  </si>
  <si>
    <t>Diciembre de 2024</t>
  </si>
  <si>
    <t xml:space="preserve">
Base de datos actualizadas de registro de graduados.
Envío por correo electrónico  de la  información de graduados para su registro al Grupo de Admisiones Registro y Control Académico y Egresados 
Solicitud de elaboración de diplomas y actas de grado de manera digital
Registro de atención y respuesta a solicitudes  de verificación de título
</t>
  </si>
  <si>
    <t xml:space="preserve">(Número de solicitudes erradas / número de solicitudes recibidas)x 100% </t>
  </si>
  <si>
    <t>Información sistematizada en la plataforma de graduados.unimagdalena.edu.co</t>
  </si>
  <si>
    <t>Capacitación al personal</t>
  </si>
  <si>
    <t xml:space="preserve">Verificación de la información en los archivos físico </t>
  </si>
  <si>
    <t>Repositorio de información de diplomas y actas de grado https://validaciones.unimagdalena.edu.co/ (Unifirma con firma digital y código de verificación)</t>
  </si>
  <si>
    <t>AD-2</t>
  </si>
  <si>
    <t>Falta de información por parte del usuario sobre la pérdida del bien</t>
  </si>
  <si>
    <t xml:space="preserve">Falta de dispositivos electrónicos y sistema de información para el control del inventario </t>
  </si>
  <si>
    <t xml:space="preserve">1. Traslados entre oficinas sin previa solicitud, autorización y descarga de los bienes.
2. Robo de los bienes.
3. Inventario de bienes desactualizado 
4. Recepción e ingreso de los bienes tardía 
</t>
  </si>
  <si>
    <t>Perdida de los bienes de la Universidad</t>
  </si>
  <si>
    <t>Talento humano</t>
  </si>
  <si>
    <t>Actualización y verificación periódica de los inventarios</t>
  </si>
  <si>
    <t>1. Revisión del Inventario final del periodo anterior.
2. Establecer el cronograma de actualización del inventario
3. Análisis de los movimientos de los bienes 
- Las entradas  de bienes.
- Revisión de AD-F03 Formato de solicitud de descarga de bienes.
- Revisión de los prestamos y traslados de bienes</t>
  </si>
  <si>
    <t>Grupo de Compras y Administración de Bienes</t>
  </si>
  <si>
    <t>*  Inventario final del periodo anterior.
* Cronograma de toma física de inventarios.
* Acta de revisión de ingresos contables de bienes.
* Formato de descarga de bienes.
* Formato de préstamo y traslado de bienes.</t>
  </si>
  <si>
    <t>* Variación del número de bienes cargados a cada dependencia con respecto al año anterior.
* Porcentaje de cumplimiento del cronograma de actualización de inventarios.
* Porcentaje de bienes descargados.
* Numero de traslados realizados.</t>
  </si>
  <si>
    <t>AC-2</t>
  </si>
  <si>
    <t>Pérdida del registro calificado de los programas académicos</t>
  </si>
  <si>
    <t xml:space="preserve"> Incumplimiento de los tiempos y/o condiciones de calidad que establece el Ministerio de Educación Nacional- MEN </t>
  </si>
  <si>
    <t>1. Desconocimiento o inadecuado seguimiento a las fechas de vencimiento del Registro Calificado 
2. Incumplimiento en la entrega de la documentación por parte de los programas  para radicación de la solicitud en la plataforma SACES
3. Falta de evidencias o indicadores que soporten el cumplimiento de las condiciones de calidad del MEN</t>
  </si>
  <si>
    <t>Pérdida del registro calificado de los programas académicos debido al incumplimiento de los tiempos y/o condiciones de calidad normativa del MEN</t>
  </si>
  <si>
    <t xml:space="preserve">El profesional asignado en la OAC, elabora anualmente  una matriz con el propósito de verificar las fechas de vencimiento de resolución de registro calificado delos programas académicos. Una vez identificados los programas próximos a vencer, genera alertas por correo electrónico indicando la fecha de resolución y plazo límite por norma para radicar ante el MEN la solicitud de renovación del RC.
 </t>
  </si>
  <si>
    <t>1.Generar alertas periódicas a las unidades académicas con copia a la alta dirección para notificar las fechas de vencimiento  de  procesos de registro calificado en la vigencia</t>
  </si>
  <si>
    <t>Oficina de Aseguramiento de la Calidad</t>
  </si>
  <si>
    <t>01/01/2024-30/12/2024</t>
  </si>
  <si>
    <t xml:space="preserve"> Comunicaciones remitidas</t>
  </si>
  <si>
    <t>Número de comunicaciones remitidas</t>
  </si>
  <si>
    <t xml:space="preserve">Los profesionales y contratistas asignados en la OAC, frecuentemente realizan jornadas de sensibilización, socialización y revisión de los documentos que soportan el proceso de solicitud de renovación del registro calificado de los programas académicos. </t>
  </si>
  <si>
    <t>2. Realizar  orientación y seguimiento  a los programas académicos que adelantan procesos de  registro calificado con el fin de verificar en los documentos el cumplimiento de  las condiciones de calidad del  MEN</t>
  </si>
  <si>
    <t xml:space="preserve"> Listas de asistencia y/o actas de jornadas de trabajo realizadas</t>
  </si>
  <si>
    <t>Número listas de asistencia y/o actas de reuniones realizadas</t>
  </si>
  <si>
    <t>Los profesionales  y contratistas asignados en la OAC, frecuentemente  divulgan a través de correo electrónico,  reuniones de trabajo y/o talleres los documentos que soportan los procesos de renovación de registro calificado ( plantillas, formatos, procedimientos, normativa, otros)  correspondientes a las condiciones de calidad exigidas por el MEN.</t>
  </si>
  <si>
    <t>EX - 2</t>
  </si>
  <si>
    <t>Desconocimiento de la competitividad de los programas académicos en el territorio.</t>
  </si>
  <si>
    <t>Utilización de medios poco efectivos para la comunicación entre la institución y el sector externo.</t>
  </si>
  <si>
    <t>1. El representante de los egresados no logra una articulación eficiente con esta parte interesada y por tanto hay una desconexión entre las necesidades de los egresados y la gestión institucional.
2. Deficientes mecanismos de seguimiento y acompañamiento al graduado para  fortalecer los vínculos con la institución y que facilite un mayor acercamiento a la Universidad.</t>
  </si>
  <si>
    <t>Desconocimiento de la competitividad de los programas académicos en el territorio producto de la utilización de medios poco efectivos para la comunicación.</t>
  </si>
  <si>
    <t>Motivar al graduado a mantener sus datos actualizados.</t>
  </si>
  <si>
    <t>Sin registro</t>
  </si>
  <si>
    <t>Implementar estrategias de motivación para actualización de datos.</t>
  </si>
  <si>
    <t>Director (a) Centro de Egresados</t>
  </si>
  <si>
    <t>Junio 2024
Diciembre 2024</t>
  </si>
  <si>
    <t>Soporte documentado de las estrategias implementadas para la motivación de la actualización de datos y 
Registro en Base de Datos.</t>
  </si>
  <si>
    <t>Número de graduados carnetizados y actualizados en el 2024.</t>
  </si>
  <si>
    <t>Jornadas de carnetización y actualización de información</t>
  </si>
  <si>
    <t>Convocatorias de carnetización.</t>
  </si>
  <si>
    <t>Marzo  2024
Septiembre  2024</t>
  </si>
  <si>
    <t>Boletines de prensa, fotografías del evento.</t>
  </si>
  <si>
    <t>Socialización a las empresas sobre la oferta académica de la institución y los perfiles que se están formando.</t>
  </si>
  <si>
    <t>Encuentro General de Egresados</t>
  </si>
  <si>
    <t>Número de egresados y empresarios asistentes al encuentro de egresados.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</si>
</sst>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Calibri"/>
      <family val="2"/>
      <scheme val="minor"/>
    </font>
    <font>
      <b/>
      <sz val="18"/>
      <color theme="1"/>
      <name val="Arial Narrow"/>
      <family val="2"/>
    </font>
    <font>
      <b/>
      <sz val="11"/>
      <color theme="1"/>
      <name val="Arial Narrow"/>
      <family val="2"/>
    </font>
    <font>
      <b/>
      <sz val="14"/>
      <color theme="1"/>
      <name val="Arial Narrow"/>
      <family val="2"/>
    </font>
    <font>
      <sz val="11"/>
      <name val="Arial"/>
      <family val="2"/>
    </font>
    <font>
      <sz val="10"/>
      <color theme="1"/>
      <name val="Calibri"/>
      <family val="2"/>
      <scheme val="minor"/>
    </font>
    <font>
      <sz val="11"/>
      <color theme="1"/>
      <name val="Arial"/>
      <family val="2"/>
    </font>
    <font>
      <sz val="9"/>
      <color indexed="81"/>
      <name val="Tahoma"/>
      <family val="2"/>
    </font>
    <font>
      <b/>
      <sz val="9"/>
      <color indexed="81"/>
      <name val="Tahoma"/>
      <family val="2"/>
    </font>
    <font>
      <sz val="10"/>
      <color theme="1"/>
      <name val="Arial"/>
      <family val="2"/>
    </font>
    <font>
      <u/>
      <sz val="9"/>
      <color indexed="81"/>
      <name val="Tahoma"/>
      <family val="2"/>
    </font>
    <font>
      <b/>
      <sz val="11"/>
      <color theme="1"/>
      <name val="Calibri"/>
      <family val="2"/>
      <scheme val="minor"/>
    </font>
    <font>
      <b/>
      <sz val="10"/>
      <color theme="1"/>
      <name val="Arial"/>
      <family val="2"/>
    </font>
    <font>
      <b/>
      <sz val="8"/>
      <color theme="1"/>
      <name val="Arial"/>
      <family val="2"/>
    </font>
    <font>
      <sz val="8"/>
      <color theme="1"/>
      <name val="Arial"/>
      <family val="2"/>
    </font>
    <font>
      <sz val="8"/>
      <color rgb="FF000000"/>
      <name val="Arial"/>
      <family val="2"/>
    </font>
    <font>
      <b/>
      <sz val="8"/>
      <color rgb="FF000000"/>
      <name val="Arial"/>
      <family val="2"/>
    </font>
    <font>
      <sz val="8"/>
      <name val="Arial"/>
      <family val="2"/>
    </font>
    <font>
      <b/>
      <sz val="8"/>
      <name val="Arial"/>
      <family val="2"/>
    </font>
    <font>
      <sz val="8"/>
      <color rgb="FFFF0000"/>
      <name val="Arial"/>
      <family val="2"/>
    </font>
    <font>
      <b/>
      <sz val="10"/>
      <name val="Arial"/>
      <family val="2"/>
    </font>
    <font>
      <sz val="8"/>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9"/>
      <color indexed="81"/>
      <name val="Tahoma"/>
      <charset val="1"/>
    </font>
    <font>
      <b/>
      <sz val="9"/>
      <color indexed="81"/>
      <name val="Tahoma"/>
      <charset val="1"/>
    </font>
  </fonts>
  <fills count="1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EEECE1"/>
        <bgColor indexed="64"/>
      </patternFill>
    </fill>
    <fill>
      <patternFill patternType="solid">
        <fgColor theme="6" tint="0.59999389629810485"/>
        <bgColor indexed="64"/>
      </patternFill>
    </fill>
    <fill>
      <patternFill patternType="solid">
        <fgColor theme="6"/>
        <bgColor indexed="64"/>
      </patternFill>
    </fill>
    <fill>
      <patternFill patternType="solid">
        <fgColor rgb="FF00B050"/>
        <bgColor indexed="64"/>
      </patternFill>
    </fill>
    <fill>
      <patternFill patternType="solid">
        <fgColor rgb="FF92D050"/>
        <bgColor indexed="64"/>
      </patternFill>
    </fill>
    <fill>
      <patternFill patternType="solid">
        <fgColor rgb="FFFDFD7F"/>
        <bgColor indexed="64"/>
      </patternFill>
    </fill>
    <fill>
      <patternFill patternType="solid">
        <fgColor rgb="FFFFC000"/>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2">
    <xf numFmtId="0" fontId="0" fillId="0" borderId="0"/>
    <xf numFmtId="43" fontId="23" fillId="0" borderId="0" applyFont="0" applyFill="0" applyBorder="0" applyAlignment="0" applyProtection="0"/>
  </cellStyleXfs>
  <cellXfs count="249">
    <xf numFmtId="0" fontId="0" fillId="0" borderId="0" xfId="0"/>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4" borderId="1" xfId="0" applyFill="1" applyBorder="1"/>
    <xf numFmtId="0" fontId="0" fillId="4" borderId="1" xfId="0" applyFill="1" applyBorder="1" applyAlignment="1">
      <alignment vertical="center"/>
    </xf>
    <xf numFmtId="0" fontId="0" fillId="0" borderId="1" xfId="0" applyBorder="1" applyAlignment="1">
      <alignment vertical="center"/>
    </xf>
    <xf numFmtId="0" fontId="0" fillId="0" borderId="0" xfId="0" applyAlignment="1">
      <alignment vertical="center"/>
    </xf>
    <xf numFmtId="0" fontId="9" fillId="0" borderId="4" xfId="0" applyFont="1" applyBorder="1" applyAlignment="1">
      <alignment horizontal="justify" vertical="center" wrapText="1"/>
    </xf>
    <xf numFmtId="9" fontId="9" fillId="0" borderId="5"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0" fontId="6"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9" fillId="0" borderId="5" xfId="0" applyFont="1" applyBorder="1" applyAlignment="1">
      <alignment horizontal="justify" vertical="center" wrapText="1"/>
    </xf>
    <xf numFmtId="0" fontId="5" fillId="0" borderId="1" xfId="0" applyFont="1" applyBorder="1" applyAlignment="1">
      <alignment vertical="center" wrapText="1"/>
    </xf>
    <xf numFmtId="0" fontId="0" fillId="0" borderId="1" xfId="0" applyBorder="1"/>
    <xf numFmtId="0" fontId="9" fillId="3" borderId="1" xfId="0" applyFont="1" applyFill="1" applyBorder="1" applyAlignment="1">
      <alignment horizontal="center" vertical="center" wrapText="1"/>
    </xf>
    <xf numFmtId="0" fontId="0" fillId="0" borderId="1" xfId="0" applyBorder="1" applyAlignment="1">
      <alignment horizontal="center" vertical="center"/>
    </xf>
    <xf numFmtId="0" fontId="9" fillId="0" borderId="2"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6" xfId="0" applyFont="1" applyBorder="1" applyAlignment="1">
      <alignment horizontal="justify" vertical="center" wrapText="1"/>
    </xf>
    <xf numFmtId="0" fontId="9" fillId="0" borderId="3" xfId="0" applyFont="1" applyBorder="1" applyAlignment="1">
      <alignment horizontal="center"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0" fillId="3" borderId="0" xfId="0" applyFill="1" applyAlignment="1">
      <alignment horizontal="center"/>
    </xf>
    <xf numFmtId="0" fontId="0" fillId="3" borderId="0" xfId="0" applyFill="1"/>
    <xf numFmtId="0" fontId="0" fillId="3" borderId="0" xfId="0" applyFill="1" applyAlignment="1">
      <alignment vertical="center"/>
    </xf>
    <xf numFmtId="0" fontId="9" fillId="6" borderId="0" xfId="0" applyFont="1" applyFill="1" applyAlignment="1">
      <alignment horizontal="center" vertical="center" wrapText="1"/>
    </xf>
    <xf numFmtId="0" fontId="9" fillId="3" borderId="0" xfId="0" applyFont="1" applyFill="1" applyAlignment="1">
      <alignment horizontal="center" vertical="center" wrapText="1"/>
    </xf>
    <xf numFmtId="0" fontId="11" fillId="7"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3" fillId="9"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2" fillId="3" borderId="0" xfId="0" applyFont="1" applyFill="1" applyAlignment="1">
      <alignment horizontal="justify" vertical="center" wrapText="1"/>
    </xf>
    <xf numFmtId="0" fontId="0" fillId="0" borderId="0" xfId="0" applyAlignment="1">
      <alignment wrapText="1"/>
    </xf>
    <xf numFmtId="0" fontId="9" fillId="3" borderId="14"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20" fillId="6" borderId="13" xfId="0" applyFont="1" applyFill="1" applyBorder="1" applyAlignment="1">
      <alignment horizontal="center" vertical="center" wrapText="1"/>
    </xf>
    <xf numFmtId="0" fontId="0" fillId="5" borderId="0" xfId="0" applyFill="1" applyAlignment="1">
      <alignment horizontal="center" vertical="center"/>
    </xf>
    <xf numFmtId="0" fontId="11" fillId="7" borderId="0" xfId="0" applyFont="1" applyFill="1" applyAlignment="1">
      <alignment horizontal="center"/>
    </xf>
    <xf numFmtId="0" fontId="11" fillId="5" borderId="0" xfId="0" applyFont="1" applyFill="1" applyAlignment="1">
      <alignment horizontal="center"/>
    </xf>
    <xf numFmtId="0" fontId="11" fillId="7"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textRotation="90"/>
    </xf>
    <xf numFmtId="0" fontId="0" fillId="0" borderId="8" xfId="0" applyBorder="1" applyAlignment="1">
      <alignment horizontal="center" vertical="center" textRotation="90"/>
    </xf>
    <xf numFmtId="0" fontId="0" fillId="0" borderId="19" xfId="0"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vertical="center" wrapText="1"/>
    </xf>
    <xf numFmtId="0" fontId="0" fillId="0" borderId="20" xfId="0" applyBorder="1" applyAlignment="1">
      <alignment vertical="center"/>
    </xf>
    <xf numFmtId="0" fontId="0" fillId="0" borderId="20" xfId="0" applyBorder="1" applyAlignment="1">
      <alignment horizontal="center" vertical="center" textRotation="90"/>
    </xf>
    <xf numFmtId="9" fontId="0" fillId="0" borderId="20" xfId="0" applyNumberFormat="1" applyBorder="1" applyAlignment="1">
      <alignment horizontal="center" vertical="center" textRotation="90"/>
    </xf>
    <xf numFmtId="164" fontId="0" fillId="0" borderId="20" xfId="0" applyNumberFormat="1" applyBorder="1" applyAlignment="1">
      <alignment horizontal="center" vertical="center" textRotation="90"/>
    </xf>
    <xf numFmtId="9" fontId="0" fillId="0" borderId="1" xfId="0" applyNumberFormat="1" applyBorder="1" applyAlignment="1">
      <alignment horizontal="center" vertical="center" textRotation="90"/>
    </xf>
    <xf numFmtId="0" fontId="0" fillId="0" borderId="1" xfId="0" applyBorder="1" applyAlignment="1">
      <alignment horizontal="center" vertical="center" textRotation="90"/>
    </xf>
    <xf numFmtId="164" fontId="0" fillId="0" borderId="1" xfId="0" applyNumberFormat="1" applyBorder="1" applyAlignment="1">
      <alignment horizontal="center" vertical="center" textRotation="90"/>
    </xf>
    <xf numFmtId="0" fontId="0" fillId="0" borderId="23" xfId="0" applyBorder="1" applyAlignment="1">
      <alignment horizontal="center" vertical="center"/>
    </xf>
    <xf numFmtId="0" fontId="0" fillId="0" borderId="23" xfId="0" applyBorder="1" applyAlignment="1">
      <alignment vertical="center"/>
    </xf>
    <xf numFmtId="9" fontId="0" fillId="0" borderId="23" xfId="0" applyNumberFormat="1" applyBorder="1" applyAlignment="1">
      <alignment horizontal="center" vertical="center" textRotation="90"/>
    </xf>
    <xf numFmtId="0" fontId="0" fillId="0" borderId="23" xfId="0" applyBorder="1" applyAlignment="1">
      <alignment horizontal="center" vertical="center" textRotation="90"/>
    </xf>
    <xf numFmtId="0" fontId="0" fillId="0" borderId="23" xfId="0" applyBorder="1" applyAlignment="1">
      <alignment vertical="center" wrapText="1"/>
    </xf>
    <xf numFmtId="0" fontId="0" fillId="0" borderId="19" xfId="0" applyBorder="1" applyAlignment="1">
      <alignment horizontal="center" vertical="center"/>
    </xf>
    <xf numFmtId="9" fontId="0" fillId="0" borderId="19" xfId="0" applyNumberFormat="1" applyBorder="1" applyAlignment="1">
      <alignment horizontal="center" vertical="center"/>
    </xf>
    <xf numFmtId="0" fontId="0" fillId="0" borderId="19" xfId="0" applyBorder="1" applyAlignment="1">
      <alignment horizontal="center" vertical="center" textRotation="90"/>
    </xf>
    <xf numFmtId="0" fontId="0" fillId="0" borderId="20" xfId="0" applyBorder="1" applyAlignment="1">
      <alignment horizontal="center" vertical="center" wrapText="1"/>
    </xf>
    <xf numFmtId="0" fontId="0" fillId="0" borderId="20" xfId="0" applyBorder="1" applyAlignment="1">
      <alignment horizontal="left" vertical="center" wrapText="1"/>
    </xf>
    <xf numFmtId="0" fontId="0" fillId="0" borderId="20" xfId="0" applyBorder="1" applyAlignment="1">
      <alignment horizontal="center" vertical="center"/>
    </xf>
    <xf numFmtId="0" fontId="0" fillId="0" borderId="23" xfId="0" applyBorder="1" applyAlignment="1">
      <alignment horizontal="center" vertical="center" wrapText="1"/>
    </xf>
    <xf numFmtId="0" fontId="0" fillId="0" borderId="23" xfId="0" applyBorder="1" applyAlignment="1">
      <alignment horizontal="left" vertical="center" wrapText="1"/>
    </xf>
    <xf numFmtId="0" fontId="0" fillId="0" borderId="23" xfId="0" applyBorder="1" applyAlignment="1">
      <alignment horizontal="center" vertical="center"/>
    </xf>
    <xf numFmtId="0" fontId="0" fillId="0" borderId="20" xfId="0" applyBorder="1" applyAlignment="1">
      <alignment horizontal="center" vertical="center" textRotation="90"/>
    </xf>
    <xf numFmtId="0" fontId="0" fillId="0" borderId="27" xfId="0" applyBorder="1" applyAlignment="1">
      <alignment vertical="center" wrapText="1"/>
    </xf>
    <xf numFmtId="0" fontId="0" fillId="0" borderId="23" xfId="0" applyBorder="1" applyAlignment="1">
      <alignment horizontal="center" vertical="center" textRotation="90"/>
    </xf>
    <xf numFmtId="0" fontId="0" fillId="3" borderId="27" xfId="0" applyFill="1" applyBorder="1" applyAlignment="1">
      <alignment horizontal="center" vertical="center" wrapText="1"/>
    </xf>
    <xf numFmtId="0" fontId="0" fillId="0" borderId="27" xfId="0" applyBorder="1" applyAlignment="1">
      <alignment horizontal="center" vertical="center" wrapText="1"/>
    </xf>
    <xf numFmtId="0" fontId="22" fillId="0" borderId="19" xfId="0" applyFont="1" applyBorder="1" applyAlignment="1">
      <alignment horizontal="left" vertical="center" wrapText="1"/>
    </xf>
    <xf numFmtId="0" fontId="0" fillId="0" borderId="27"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9" fontId="0" fillId="0" borderId="20" xfId="0" applyNumberFormat="1" applyBorder="1" applyAlignment="1">
      <alignment horizontal="center" vertical="center"/>
    </xf>
    <xf numFmtId="9" fontId="0" fillId="0" borderId="1" xfId="0" applyNumberFormat="1" applyBorder="1" applyAlignment="1">
      <alignment horizontal="center" vertical="center"/>
    </xf>
    <xf numFmtId="9" fontId="0" fillId="0" borderId="23" xfId="0" applyNumberFormat="1" applyBorder="1" applyAlignment="1">
      <alignment horizontal="center" vertical="center"/>
    </xf>
    <xf numFmtId="0" fontId="0" fillId="0" borderId="1" xfId="0" applyBorder="1" applyAlignment="1">
      <alignment wrapText="1"/>
    </xf>
    <xf numFmtId="0" fontId="0" fillId="0" borderId="30" xfId="0" applyBorder="1" applyAlignment="1">
      <alignment vertical="center" wrapText="1"/>
    </xf>
    <xf numFmtId="164" fontId="0" fillId="0" borderId="19" xfId="0" applyNumberFormat="1" applyBorder="1" applyAlignment="1">
      <alignment horizontal="center" vertical="center" textRotation="90"/>
    </xf>
    <xf numFmtId="0" fontId="0" fillId="0" borderId="23" xfId="0" applyBorder="1" applyAlignment="1">
      <alignment wrapText="1"/>
    </xf>
    <xf numFmtId="0" fontId="0" fillId="0" borderId="31" xfId="0" applyBorder="1" applyAlignment="1">
      <alignment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horizontal="center" vertical="center" wrapText="1"/>
    </xf>
    <xf numFmtId="14" fontId="0" fillId="0" borderId="1" xfId="0" applyNumberForma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vertical="center"/>
    </xf>
    <xf numFmtId="0" fontId="0" fillId="0" borderId="1" xfId="0" applyBorder="1" applyAlignment="1">
      <alignment horizontal="left" vertical="center" wrapText="1"/>
    </xf>
    <xf numFmtId="0" fontId="0" fillId="0" borderId="27" xfId="0" applyBorder="1" applyAlignment="1">
      <alignment horizontal="center" vertical="center" textRotation="90"/>
    </xf>
    <xf numFmtId="9" fontId="0" fillId="0" borderId="27" xfId="0" applyNumberFormat="1" applyBorder="1" applyAlignment="1">
      <alignment horizontal="center" vertical="center" textRotation="90"/>
    </xf>
    <xf numFmtId="164" fontId="0" fillId="0" borderId="27" xfId="0" applyNumberFormat="1" applyBorder="1" applyAlignment="1">
      <alignment horizontal="center" vertical="center" textRotation="90"/>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textRotation="90"/>
    </xf>
    <xf numFmtId="0" fontId="24" fillId="0" borderId="1" xfId="0" applyFont="1" applyBorder="1" applyAlignment="1">
      <alignment horizontal="left" vertical="center"/>
    </xf>
    <xf numFmtId="0" fontId="5" fillId="3" borderId="19" xfId="0" applyFont="1" applyFill="1" applyBorder="1" applyAlignment="1">
      <alignment vertical="center" wrapText="1"/>
    </xf>
    <xf numFmtId="0" fontId="0" fillId="0" borderId="19" xfId="0" applyBorder="1" applyAlignment="1">
      <alignment vertical="center"/>
    </xf>
    <xf numFmtId="9" fontId="0" fillId="0" borderId="19" xfId="0" applyNumberFormat="1" applyBorder="1" applyAlignment="1">
      <alignment horizontal="center" vertical="center" textRotation="90"/>
    </xf>
    <xf numFmtId="0" fontId="0" fillId="0" borderId="24" xfId="0" applyBorder="1" applyAlignment="1">
      <alignment horizontal="left" vertical="center" wrapText="1"/>
    </xf>
    <xf numFmtId="0" fontId="0" fillId="0" borderId="20" xfId="0" applyBorder="1" applyAlignment="1">
      <alignment horizontal="left" vertical="center" wrapText="1"/>
    </xf>
    <xf numFmtId="0" fontId="22" fillId="0" borderId="20" xfId="0" applyFont="1" applyBorder="1" applyAlignment="1">
      <alignment horizontal="left" vertical="center" wrapText="1"/>
    </xf>
    <xf numFmtId="0" fontId="22" fillId="0" borderId="29" xfId="0" applyFont="1" applyBorder="1" applyAlignment="1">
      <alignment horizontal="center" vertical="center" wrapText="1"/>
    </xf>
    <xf numFmtId="0" fontId="22" fillId="0" borderId="1" xfId="0" applyFont="1" applyBorder="1" applyAlignment="1">
      <alignment horizontal="left" vertical="center" wrapText="1"/>
    </xf>
    <xf numFmtId="0" fontId="22" fillId="0" borderId="30" xfId="0" applyFont="1" applyBorder="1" applyAlignment="1">
      <alignment horizontal="center" vertical="center" wrapText="1"/>
    </xf>
    <xf numFmtId="0" fontId="0" fillId="0" borderId="23" xfId="0" applyBorder="1" applyAlignment="1">
      <alignment horizontal="left" vertical="center" wrapText="1"/>
    </xf>
    <xf numFmtId="164" fontId="0" fillId="0" borderId="23" xfId="0" applyNumberFormat="1" applyBorder="1" applyAlignment="1">
      <alignment horizontal="center" vertical="center" textRotation="90"/>
    </xf>
    <xf numFmtId="0" fontId="22" fillId="3" borderId="23" xfId="0" applyFont="1" applyFill="1" applyBorder="1" applyAlignment="1">
      <alignment horizontal="left" vertical="center" wrapText="1"/>
    </xf>
    <xf numFmtId="0" fontId="22" fillId="0" borderId="31" xfId="0" applyFont="1" applyBorder="1" applyAlignment="1">
      <alignment horizontal="center" vertical="center" wrapText="1"/>
    </xf>
    <xf numFmtId="0" fontId="22"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0" fillId="3" borderId="1" xfId="0" applyFill="1" applyBorder="1" applyAlignment="1">
      <alignment horizontal="center" vertical="center" wrapText="1"/>
    </xf>
    <xf numFmtId="14" fontId="5"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0" fontId="0" fillId="12"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3" borderId="1" xfId="0" applyFill="1" applyBorder="1" applyAlignment="1">
      <alignment horizontal="left" vertical="center" wrapText="1"/>
    </xf>
    <xf numFmtId="0" fontId="22" fillId="3" borderId="30"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0" fillId="0" borderId="30" xfId="0" applyBorder="1" applyAlignment="1">
      <alignment horizontal="left" vertic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7" xfId="0" applyFont="1" applyFill="1" applyBorder="1" applyAlignment="1">
      <alignment vertical="center"/>
    </xf>
    <xf numFmtId="0" fontId="2" fillId="2" borderId="22" xfId="0" applyFont="1" applyFill="1" applyBorder="1" applyAlignment="1">
      <alignment horizontal="center" vertical="center"/>
    </xf>
    <xf numFmtId="9" fontId="0" fillId="0" borderId="27" xfId="0" applyNumberFormat="1" applyBorder="1" applyAlignment="1">
      <alignment horizontal="center" vertical="center"/>
    </xf>
    <xf numFmtId="0" fontId="0" fillId="0" borderId="27" xfId="0" applyBorder="1" applyAlignment="1">
      <alignment horizontal="center" vertical="center" textRotation="90"/>
    </xf>
    <xf numFmtId="0" fontId="3" fillId="2" borderId="25" xfId="0" applyFont="1" applyFill="1" applyBorder="1" applyAlignment="1">
      <alignment horizontal="center" vertical="center" textRotation="90"/>
    </xf>
    <xf numFmtId="0" fontId="2" fillId="2" borderId="2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2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0" xfId="0" applyFont="1" applyFill="1" applyBorder="1" applyAlignment="1">
      <alignment horizontal="center" vertical="center" textRotation="90" wrapText="1"/>
    </xf>
    <xf numFmtId="0" fontId="2" fillId="8" borderId="20" xfId="0" applyFont="1" applyFill="1" applyBorder="1" applyAlignment="1">
      <alignment horizontal="center" vertical="center" textRotation="90" wrapText="1"/>
    </xf>
    <xf numFmtId="0" fontId="2" fillId="2" borderId="29" xfId="0" applyFont="1" applyFill="1" applyBorder="1" applyAlignment="1">
      <alignment horizontal="center" vertical="center" wrapText="1"/>
    </xf>
    <xf numFmtId="0" fontId="3" fillId="2" borderId="26" xfId="0" applyFont="1" applyFill="1" applyBorder="1" applyAlignment="1">
      <alignment horizontal="center" vertical="center" textRotation="90"/>
    </xf>
    <xf numFmtId="0" fontId="2" fillId="2" borderId="2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2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2" fillId="8" borderId="23" xfId="0" applyFont="1" applyFill="1" applyBorder="1" applyAlignment="1">
      <alignment horizontal="center" vertical="center" textRotation="90" wrapText="1"/>
    </xf>
    <xf numFmtId="0" fontId="2" fillId="2" borderId="31" xfId="0" applyFont="1" applyFill="1" applyBorder="1" applyAlignment="1">
      <alignment horizontal="center" vertical="center" wrapText="1"/>
    </xf>
    <xf numFmtId="0" fontId="0" fillId="0" borderId="20" xfId="0" applyBorder="1" applyAlignment="1">
      <alignment vertical="top" wrapText="1"/>
    </xf>
    <xf numFmtId="0" fontId="22" fillId="3" borderId="20" xfId="0" applyFont="1" applyFill="1" applyBorder="1" applyAlignment="1">
      <alignment horizontal="left" vertical="center" wrapText="1"/>
    </xf>
    <xf numFmtId="0" fontId="22" fillId="3" borderId="20"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23" xfId="0" applyFont="1" applyFill="1" applyBorder="1" applyAlignment="1">
      <alignment horizontal="left" vertical="center" wrapText="1"/>
    </xf>
    <xf numFmtId="0" fontId="22" fillId="3" borderId="23"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0" fillId="3" borderId="27" xfId="0" applyFill="1" applyBorder="1" applyAlignment="1">
      <alignment horizontal="center" vertical="center"/>
    </xf>
    <xf numFmtId="0" fontId="0" fillId="12" borderId="20" xfId="0" applyFill="1" applyBorder="1" applyAlignment="1">
      <alignment horizontal="center" vertical="center" wrapText="1"/>
    </xf>
    <xf numFmtId="0" fontId="0" fillId="3" borderId="20" xfId="0" applyFill="1" applyBorder="1" applyAlignment="1">
      <alignment horizontal="center" vertical="center" wrapText="1"/>
    </xf>
    <xf numFmtId="0" fontId="5" fillId="3" borderId="20" xfId="0" applyFont="1" applyFill="1" applyBorder="1" applyAlignment="1">
      <alignment horizontal="center" vertical="center" wrapText="1"/>
    </xf>
    <xf numFmtId="14" fontId="5" fillId="0" borderId="20" xfId="0" applyNumberFormat="1" applyFont="1" applyBorder="1" applyAlignment="1">
      <alignment horizontal="center" vertical="center" wrapText="1"/>
    </xf>
    <xf numFmtId="0" fontId="0" fillId="0" borderId="29" xfId="0" applyBorder="1" applyAlignment="1">
      <alignment horizontal="center" vertical="center" wrapText="1"/>
    </xf>
    <xf numFmtId="0" fontId="0" fillId="12" borderId="23" xfId="0" applyFill="1" applyBorder="1" applyAlignment="1">
      <alignment horizontal="center" vertical="center" wrapText="1"/>
    </xf>
    <xf numFmtId="164" fontId="0" fillId="3" borderId="23" xfId="0" applyNumberFormat="1" applyFill="1" applyBorder="1" applyAlignment="1">
      <alignment horizontal="center" vertical="center" textRotation="90"/>
    </xf>
    <xf numFmtId="0" fontId="0" fillId="3" borderId="23" xfId="0" applyFill="1" applyBorder="1" applyAlignment="1">
      <alignment horizontal="center" vertical="center" wrapText="1"/>
    </xf>
    <xf numFmtId="0" fontId="5" fillId="3" borderId="23" xfId="0" applyFont="1" applyFill="1" applyBorder="1" applyAlignment="1">
      <alignment horizontal="center" vertical="center" wrapText="1"/>
    </xf>
    <xf numFmtId="14" fontId="5" fillId="0" borderId="23" xfId="0" applyNumberFormat="1" applyFont="1" applyBorder="1" applyAlignment="1">
      <alignment horizontal="center" vertical="center" wrapText="1"/>
    </xf>
    <xf numFmtId="0" fontId="0" fillId="0" borderId="31" xfId="0" applyBorder="1" applyAlignment="1">
      <alignment horizontal="center" vertical="center" wrapText="1"/>
    </xf>
    <xf numFmtId="0" fontId="22" fillId="0" borderId="27" xfId="0" applyFont="1" applyBorder="1" applyAlignment="1">
      <alignment horizontal="left" vertical="center" wrapText="1"/>
    </xf>
    <xf numFmtId="0" fontId="0" fillId="3" borderId="20" xfId="0" applyFill="1" applyBorder="1" applyAlignment="1">
      <alignment horizontal="center" vertical="center"/>
    </xf>
    <xf numFmtId="9" fontId="0" fillId="0" borderId="20" xfId="0" applyNumberFormat="1" applyBorder="1" applyAlignment="1">
      <alignment horizontal="center" vertical="center" wrapText="1"/>
    </xf>
    <xf numFmtId="0" fontId="0" fillId="12" borderId="20" xfId="0" applyFill="1" applyBorder="1" applyAlignment="1">
      <alignment horizontal="center" vertical="center"/>
    </xf>
    <xf numFmtId="14" fontId="0" fillId="0" borderId="20" xfId="0" applyNumberFormat="1" applyBorder="1" applyAlignment="1">
      <alignment horizontal="center" vertical="center"/>
    </xf>
    <xf numFmtId="0" fontId="0" fillId="3" borderId="23" xfId="0" applyFill="1" applyBorder="1" applyAlignment="1">
      <alignment horizontal="center" vertical="center"/>
    </xf>
    <xf numFmtId="9" fontId="0" fillId="0" borderId="23" xfId="0" applyNumberFormat="1" applyBorder="1" applyAlignment="1">
      <alignment horizontal="center" vertical="center" wrapText="1"/>
    </xf>
    <xf numFmtId="0" fontId="0" fillId="12" borderId="23" xfId="0" applyFill="1" applyBorder="1" applyAlignment="1">
      <alignment horizontal="center" vertical="center"/>
    </xf>
    <xf numFmtId="14" fontId="0" fillId="0" borderId="23" xfId="0" applyNumberFormat="1" applyBorder="1" applyAlignment="1">
      <alignment horizontal="center" vertical="center"/>
    </xf>
    <xf numFmtId="0" fontId="0" fillId="0" borderId="23" xfId="0" applyBorder="1" applyAlignment="1">
      <alignment horizontal="left" vertical="center"/>
    </xf>
    <xf numFmtId="0" fontId="0" fillId="0" borderId="31" xfId="0" applyBorder="1" applyAlignment="1">
      <alignment horizontal="center" vertical="center"/>
    </xf>
    <xf numFmtId="14" fontId="0" fillId="0" borderId="27" xfId="0" applyNumberFormat="1" applyBorder="1" applyAlignment="1">
      <alignment horizontal="center" vertical="center"/>
    </xf>
    <xf numFmtId="0" fontId="0" fillId="0" borderId="35" xfId="0" applyBorder="1" applyAlignment="1">
      <alignment vertical="center" wrapText="1"/>
    </xf>
    <xf numFmtId="0" fontId="22" fillId="0" borderId="20" xfId="0" applyFont="1" applyBorder="1" applyAlignment="1">
      <alignment horizontal="left" vertical="center" wrapText="1"/>
    </xf>
    <xf numFmtId="14" fontId="0" fillId="0" borderId="20" xfId="0" applyNumberFormat="1" applyBorder="1" applyAlignment="1">
      <alignment horizontal="center" vertical="center" wrapText="1"/>
    </xf>
    <xf numFmtId="0" fontId="22" fillId="0" borderId="23" xfId="0" applyFont="1" applyBorder="1" applyAlignment="1">
      <alignment horizontal="left" vertical="center" wrapText="1"/>
    </xf>
    <xf numFmtId="0" fontId="0" fillId="0" borderId="14" xfId="0" applyBorder="1" applyAlignment="1">
      <alignment horizontal="center" vertical="center" wrapText="1"/>
    </xf>
    <xf numFmtId="0" fontId="0" fillId="0" borderId="41" xfId="0" applyBorder="1" applyAlignment="1">
      <alignment horizontal="center" vertical="center" wrapText="1"/>
    </xf>
    <xf numFmtId="14" fontId="0" fillId="0" borderId="23" xfId="0" applyNumberFormat="1" applyBorder="1" applyAlignment="1">
      <alignment horizontal="center" vertical="center"/>
    </xf>
    <xf numFmtId="0" fontId="0" fillId="0" borderId="35" xfId="0" applyBorder="1" applyAlignment="1">
      <alignment horizontal="left" vertical="center" wrapText="1"/>
    </xf>
    <xf numFmtId="0" fontId="22" fillId="3" borderId="23" xfId="1" applyNumberFormat="1" applyFont="1" applyFill="1" applyBorder="1" applyAlignment="1">
      <alignment horizontal="left" vertical="center" wrapText="1"/>
    </xf>
    <xf numFmtId="0" fontId="0" fillId="3" borderId="20" xfId="0" applyFill="1" applyBorder="1" applyAlignment="1">
      <alignment horizontal="left" vertical="center" wrapText="1"/>
    </xf>
    <xf numFmtId="17" fontId="0" fillId="0" borderId="20" xfId="0" applyNumberFormat="1" applyBorder="1" applyAlignment="1">
      <alignment horizontal="center" vertical="center"/>
    </xf>
    <xf numFmtId="0" fontId="0" fillId="0" borderId="29" xfId="0" applyBorder="1" applyAlignment="1">
      <alignment horizontal="left" vertical="center" wrapText="1"/>
    </xf>
    <xf numFmtId="0" fontId="0" fillId="3" borderId="23" xfId="0" applyFill="1" applyBorder="1" applyAlignment="1">
      <alignment horizontal="left" vertical="center" wrapText="1"/>
    </xf>
    <xf numFmtId="0" fontId="0" fillId="0" borderId="31" xfId="0" applyBorder="1" applyAlignment="1">
      <alignment horizontal="left" vertical="center" wrapText="1"/>
    </xf>
    <xf numFmtId="9" fontId="0" fillId="0" borderId="19" xfId="0" applyNumberFormat="1" applyBorder="1" applyAlignment="1">
      <alignment vertical="center"/>
    </xf>
    <xf numFmtId="0" fontId="0" fillId="12" borderId="19" xfId="0" applyFill="1" applyBorder="1" applyAlignment="1">
      <alignment horizontal="center" vertical="center" wrapText="1"/>
    </xf>
    <xf numFmtId="0" fontId="0" fillId="0" borderId="23" xfId="0" applyFill="1" applyBorder="1" applyAlignment="1">
      <alignment horizontal="left" vertical="center" wrapText="1"/>
    </xf>
    <xf numFmtId="0" fontId="24" fillId="0" borderId="23" xfId="0" applyFont="1" applyBorder="1" applyAlignment="1">
      <alignment horizontal="left" vertical="center"/>
    </xf>
    <xf numFmtId="0" fontId="0" fillId="0" borderId="25" xfId="0" applyFill="1" applyBorder="1" applyAlignment="1">
      <alignment horizontal="center" vertical="center"/>
    </xf>
    <xf numFmtId="0" fontId="0" fillId="0" borderId="20" xfId="0" applyFill="1" applyBorder="1" applyAlignment="1">
      <alignment horizontal="center" vertical="center" wrapText="1"/>
    </xf>
    <xf numFmtId="0" fontId="0" fillId="0" borderId="20" xfId="0" applyFill="1" applyBorder="1" applyAlignment="1">
      <alignment horizontal="left" vertical="center" wrapText="1"/>
    </xf>
    <xf numFmtId="0" fontId="0" fillId="0" borderId="28"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26" xfId="0" applyFill="1" applyBorder="1" applyAlignment="1">
      <alignment horizontal="center" vertical="center"/>
    </xf>
    <xf numFmtId="0" fontId="0" fillId="0" borderId="23" xfId="0" applyFill="1" applyBorder="1" applyAlignment="1">
      <alignment horizontal="center" vertical="center" wrapText="1"/>
    </xf>
    <xf numFmtId="0" fontId="0" fillId="0" borderId="23" xfId="0" applyFill="1" applyBorder="1" applyAlignment="1">
      <alignment horizontal="left" vertical="center" wrapText="1"/>
    </xf>
    <xf numFmtId="0" fontId="0" fillId="0" borderId="39"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34" xfId="0" applyFill="1" applyBorder="1" applyAlignment="1">
      <alignment horizontal="center" vertical="center"/>
    </xf>
    <xf numFmtId="0" fontId="0" fillId="0" borderId="27" xfId="0" applyFill="1" applyBorder="1" applyAlignment="1">
      <alignment horizontal="center" vertical="center" wrapText="1"/>
    </xf>
    <xf numFmtId="0" fontId="0" fillId="0" borderId="27" xfId="0"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0" fillId="0" borderId="18"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ill="1" applyBorder="1" applyAlignment="1">
      <alignment horizontal="left" vertical="center" wrapText="1"/>
    </xf>
    <xf numFmtId="0" fontId="22" fillId="0" borderId="19" xfId="0" applyFont="1" applyFill="1" applyBorder="1" applyAlignment="1">
      <alignment horizontal="left" vertical="center" wrapText="1"/>
    </xf>
  </cellXfs>
  <cellStyles count="2">
    <cellStyle name="Millares" xfId="1" builtinId="3"/>
    <cellStyle name="Normal" xfId="0" builtinId="0"/>
  </cellStyles>
  <dxfs count="289">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theme="7" tint="0.79998168889431442"/>
        </patternFill>
      </fill>
    </dxf>
    <dxf>
      <fill>
        <patternFill>
          <bgColor rgb="FFFFC000"/>
        </patternFill>
      </fill>
    </dxf>
    <dxf>
      <fill>
        <patternFill>
          <bgColor rgb="FFFF0000"/>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EEEC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285750</xdr:colOff>
      <xdr:row>0</xdr:row>
      <xdr:rowOff>63501</xdr:rowOff>
    </xdr:from>
    <xdr:to>
      <xdr:col>12</xdr:col>
      <xdr:colOff>833283</xdr:colOff>
      <xdr:row>0</xdr:row>
      <xdr:rowOff>698501</xdr:rowOff>
    </xdr:to>
    <xdr:pic>
      <xdr:nvPicPr>
        <xdr:cNvPr id="2" name="Imagen 1">
          <a:extLst>
            <a:ext uri="{FF2B5EF4-FFF2-40B4-BE49-F238E27FC236}">
              <a16:creationId xmlns:a16="http://schemas.microsoft.com/office/drawing/2014/main" id="{300750DF-BC59-4C97-A7A2-23DD83190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1833" y="63501"/>
          <a:ext cx="547533"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19051</xdr:colOff>
      <xdr:row>1</xdr:row>
      <xdr:rowOff>114300</xdr:rowOff>
    </xdr:from>
    <xdr:to>
      <xdr:col>12</xdr:col>
      <xdr:colOff>66675</xdr:colOff>
      <xdr:row>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95926" y="304800"/>
          <a:ext cx="5857874" cy="4514850"/>
        </a:xfrm>
        <a:prstGeom prst="rect">
          <a:avLst/>
        </a:prstGeom>
      </xdr:spPr>
    </xdr:pic>
    <xdr:clientData/>
  </xdr:twoCellAnchor>
  <xdr:twoCellAnchor editAs="oneCell">
    <xdr:from>
      <xdr:col>18</xdr:col>
      <xdr:colOff>161925</xdr:colOff>
      <xdr:row>1</xdr:row>
      <xdr:rowOff>161925</xdr:rowOff>
    </xdr:from>
    <xdr:to>
      <xdr:col>22</xdr:col>
      <xdr:colOff>47624</xdr:colOff>
      <xdr:row>5</xdr:row>
      <xdr:rowOff>479268</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t="7985"/>
        <a:stretch/>
      </xdr:blipFill>
      <xdr:spPr>
        <a:xfrm>
          <a:off x="23488650" y="352425"/>
          <a:ext cx="2362199" cy="3651093"/>
        </a:xfrm>
        <a:prstGeom prst="rect">
          <a:avLst/>
        </a:prstGeom>
      </xdr:spPr>
    </xdr:pic>
    <xdr:clientData/>
  </xdr:twoCellAnchor>
  <xdr:twoCellAnchor editAs="oneCell">
    <xdr:from>
      <xdr:col>1</xdr:col>
      <xdr:colOff>161925</xdr:colOff>
      <xdr:row>10</xdr:row>
      <xdr:rowOff>38100</xdr:rowOff>
    </xdr:from>
    <xdr:to>
      <xdr:col>6</xdr:col>
      <xdr:colOff>551644</xdr:colOff>
      <xdr:row>32</xdr:row>
      <xdr:rowOff>132814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1104900" y="5372100"/>
          <a:ext cx="6447619" cy="4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4.%20CC%20Riesgos%20de%20gestio&#769;n%202024%20-%20Ok.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4.%20CC%20Riesgos%20de%20gestio&#769;n%202024%20-%20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3.%20GC%20Riesgos%20de%20gesti&#243;n%202024%20vf.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3.%20GC%20Riesgos%20de%20gesti&#243;n%202024%20v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niversidadmag.sharepoint.com/sites/RiesgosdeGestin/Documentos%20compartidos/General/Riesgos%20de%20gesti&#243;n%20por%20a&#241;o/Mapas%20de%20riesgos%20de%20gesti&#243;n%202024/02.%20AC%20Riesgos%20de%20gestio&#769;n%202024.xlsx" TargetMode="External"/><Relationship Id="rId1" Type="http://schemas.openxmlformats.org/officeDocument/2006/relationships/externalLinkPath" Target="https://universidadmag.sharepoint.com/sites/RiesgosdeGestin/Documentos%20compartidos/General/Riesgos%20de%20gesti&#243;n%20por%20a&#241;o/Mapas%20de%20riesgos%20de%20gesti&#243;n%202024/02.%20AC%20Riesgos%20de%20gestio&#769;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sheetName val="Información"/>
      <sheetName val="Calculos"/>
    </sheetNames>
    <sheetDataSet>
      <sheetData sheetId="0"/>
      <sheetData sheetId="1" refreshError="1"/>
      <sheetData sheetId="2">
        <row r="2">
          <cell r="P2" t="str">
            <v>Afectación menor a 10 SMLMV</v>
          </cell>
          <cell r="Q2">
            <v>1</v>
          </cell>
          <cell r="R2" t="str">
            <v>Leve</v>
          </cell>
        </row>
        <row r="3">
          <cell r="P3" t="str">
            <v>Entre 10 y 50 SMLMV</v>
          </cell>
          <cell r="Q3">
            <v>2</v>
          </cell>
          <cell r="R3" t="str">
            <v>Menor</v>
          </cell>
        </row>
        <row r="4">
          <cell r="P4" t="str">
            <v>Entre 50 y 100 SMLMV</v>
          </cell>
          <cell r="Q4">
            <v>3</v>
          </cell>
          <cell r="R4" t="str">
            <v>Moderado</v>
          </cell>
        </row>
        <row r="5">
          <cell r="P5" t="str">
            <v>Entre 100 y 500 SMLMV</v>
          </cell>
          <cell r="Q5">
            <v>4</v>
          </cell>
          <cell r="R5" t="str">
            <v>Mayor</v>
          </cell>
        </row>
        <row r="6">
          <cell r="P6" t="str">
            <v>Mayor a 500 SMLMV</v>
          </cell>
          <cell r="Q6">
            <v>5</v>
          </cell>
          <cell r="R6" t="str">
            <v>Catastrófico</v>
          </cell>
        </row>
        <row r="7">
          <cell r="P7" t="str">
            <v>El riesgo afecta la imagen de algún área de la universidad</v>
          </cell>
          <cell r="Q7">
            <v>6</v>
          </cell>
          <cell r="R7" t="str">
            <v>Leve</v>
          </cell>
        </row>
        <row r="8">
          <cell r="P8" t="str">
            <v>El riesgo afecta la imagen institucional internamente, de conocimiento general nivel interno, de alta dirección y/o de proveedores.</v>
          </cell>
          <cell r="Q8">
            <v>7</v>
          </cell>
          <cell r="R8" t="str">
            <v>Menor</v>
          </cell>
        </row>
        <row r="9">
          <cell r="P9" t="str">
            <v>El riesgo afecta la imagen de la universidad con algunos usuarios de relevancia frente al logro de los objetivos</v>
          </cell>
          <cell r="Q9">
            <v>8</v>
          </cell>
          <cell r="R9" t="str">
            <v>Moderado</v>
          </cell>
        </row>
        <row r="10">
          <cell r="P10" t="str">
            <v>El riesgo afecta la imagen de la universidad con efecto publicitario sostenido a nivel departamental o municipal</v>
          </cell>
          <cell r="Q10">
            <v>9</v>
          </cell>
          <cell r="R10" t="str">
            <v>Mayor</v>
          </cell>
        </row>
        <row r="11">
          <cell r="P11" t="str">
            <v>El riesgo afecta la imagen de la universidad a nivel nacional, con efecto publicitario sostenido a nivel país.</v>
          </cell>
          <cell r="Q11">
            <v>10</v>
          </cell>
          <cell r="R11" t="str">
            <v>Catastrófico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sheetName val="Información"/>
      <sheetName val="Hoja1"/>
      <sheetName val="Calculos"/>
    </sheetNames>
    <sheetDataSet>
      <sheetData sheetId="0">
        <row r="10">
          <cell r="AF10" t="str">
            <v>Menor</v>
          </cell>
        </row>
        <row r="11">
          <cell r="AF11" t="str">
            <v>Menor</v>
          </cell>
        </row>
        <row r="12">
          <cell r="AF12" t="str">
            <v>Mayor</v>
          </cell>
        </row>
        <row r="13">
          <cell r="AF13" t="str">
            <v>Moderado</v>
          </cell>
        </row>
      </sheetData>
      <sheetData sheetId="1"/>
      <sheetData sheetId="2"/>
      <sheetData sheetId="3">
        <row r="2">
          <cell r="U2" t="str">
            <v>Afectación menor a 10 SMLMV por evento.</v>
          </cell>
          <cell r="V2">
            <v>1</v>
          </cell>
          <cell r="W2" t="str">
            <v>Leve</v>
          </cell>
          <cell r="AB2"/>
          <cell r="AC2" t="str">
            <v>Leve</v>
          </cell>
          <cell r="AD2" t="str">
            <v>Menor</v>
          </cell>
          <cell r="AE2" t="str">
            <v>Moderado</v>
          </cell>
          <cell r="AF2" t="str">
            <v>Mayor</v>
          </cell>
          <cell r="AG2" t="str">
            <v>Catastrófico</v>
          </cell>
        </row>
        <row r="3">
          <cell r="U3" t="str">
            <v>Afectación entre 10 y 50 SMLMV por evento.</v>
          </cell>
          <cell r="V3">
            <v>2</v>
          </cell>
          <cell r="W3" t="str">
            <v>Menor</v>
          </cell>
          <cell r="AB3" t="str">
            <v>Muy alta</v>
          </cell>
          <cell r="AC3" t="str">
            <v>Alto</v>
          </cell>
          <cell r="AD3" t="str">
            <v>Alto</v>
          </cell>
          <cell r="AE3" t="str">
            <v>Alto</v>
          </cell>
          <cell r="AF3" t="str">
            <v>Alto</v>
          </cell>
          <cell r="AG3" t="str">
            <v>Extremo</v>
          </cell>
        </row>
        <row r="4">
          <cell r="U4" t="str">
            <v>Afectación entre 51 y 120 SMLMV por evento.</v>
          </cell>
          <cell r="V4">
            <v>3</v>
          </cell>
          <cell r="W4" t="str">
            <v>Moderado</v>
          </cell>
          <cell r="AB4" t="str">
            <v>Alta</v>
          </cell>
          <cell r="AC4" t="str">
            <v>Moderado</v>
          </cell>
          <cell r="AD4" t="str">
            <v>Moderado</v>
          </cell>
          <cell r="AE4" t="str">
            <v>Alto</v>
          </cell>
          <cell r="AF4" t="str">
            <v>Alto</v>
          </cell>
          <cell r="AG4" t="str">
            <v>Extremo</v>
          </cell>
        </row>
        <row r="5">
          <cell r="U5" t="str">
            <v>Afectación entre 121 y 500 SMLMV por evento.</v>
          </cell>
          <cell r="V5">
            <v>4</v>
          </cell>
          <cell r="W5" t="str">
            <v>Mayor</v>
          </cell>
          <cell r="AB5" t="str">
            <v>Media</v>
          </cell>
          <cell r="AC5" t="str">
            <v>Moderado</v>
          </cell>
          <cell r="AD5" t="str">
            <v>Moderado</v>
          </cell>
          <cell r="AE5" t="str">
            <v>Moderado</v>
          </cell>
          <cell r="AF5" t="str">
            <v>Alto</v>
          </cell>
          <cell r="AG5" t="str">
            <v>Extremo</v>
          </cell>
        </row>
        <row r="6">
          <cell r="U6" t="str">
            <v>Afectación mayor a 500 SMLMV por evento.</v>
          </cell>
          <cell r="V6">
            <v>5</v>
          </cell>
          <cell r="W6" t="str">
            <v>Catastrófico</v>
          </cell>
          <cell r="AB6" t="str">
            <v>Baja</v>
          </cell>
          <cell r="AC6" t="str">
            <v>Bajo</v>
          </cell>
          <cell r="AD6" t="str">
            <v>Moderado</v>
          </cell>
          <cell r="AE6" t="str">
            <v>Moderado</v>
          </cell>
          <cell r="AF6" t="str">
            <v>Alto</v>
          </cell>
          <cell r="AG6" t="str">
            <v>Extremo</v>
          </cell>
        </row>
        <row r="7">
          <cell r="U7" t="str">
            <v>El riesgo afecta la imagen de algún área de la universidad.</v>
          </cell>
          <cell r="V7">
            <v>6</v>
          </cell>
          <cell r="W7" t="str">
            <v>Leve</v>
          </cell>
          <cell r="AB7" t="str">
            <v>Muy baja</v>
          </cell>
          <cell r="AC7" t="str">
            <v>Bajo</v>
          </cell>
          <cell r="AD7" t="str">
            <v>Bajo</v>
          </cell>
          <cell r="AE7" t="str">
            <v>Moderado</v>
          </cell>
          <cell r="AF7" t="str">
            <v>Alto</v>
          </cell>
          <cell r="AG7" t="str">
            <v>Extremo</v>
          </cell>
        </row>
        <row r="8">
          <cell r="U8" t="str">
            <v>El riesgo afecta la imagen institucional internamente, de conocimiento general nivel interno, de alta dirección y/o de proveedores.</v>
          </cell>
          <cell r="V8">
            <v>7</v>
          </cell>
          <cell r="W8" t="str">
            <v>Menor</v>
          </cell>
        </row>
        <row r="9">
          <cell r="U9" t="str">
            <v>El riesgo afecta la imagen de la universidad con algunos usuarios de relevancia frente al logro de los objetivos.</v>
          </cell>
          <cell r="V9">
            <v>8</v>
          </cell>
          <cell r="W9" t="str">
            <v>Moderado</v>
          </cell>
        </row>
        <row r="10">
          <cell r="U10" t="str">
            <v>El riesgo afecta la imagen de la universidad con efecto publicitario sostenido a nivel departamental o municipal.</v>
          </cell>
          <cell r="V10">
            <v>9</v>
          </cell>
          <cell r="W10" t="str">
            <v>Mayor</v>
          </cell>
        </row>
        <row r="11">
          <cell r="U11" t="str">
            <v>El riesgo afecta la imagen de la universidad a nivel nacional, con efecto publicitario sostenido a nivel país.</v>
          </cell>
          <cell r="V11">
            <v>10</v>
          </cell>
          <cell r="W11" t="str">
            <v>Catastrófico</v>
          </cell>
        </row>
        <row r="12">
          <cell r="U12" t="str">
            <v>Suspensión de actividades menor a cuatro (4) horas, de varias unidades académicas o de un servicio administrativo crítico.</v>
          </cell>
          <cell r="V12">
            <v>11</v>
          </cell>
          <cell r="W12" t="str">
            <v>Leve</v>
          </cell>
        </row>
        <row r="13">
          <cell r="U13" t="str">
            <v>Suspensión de actividades durante no más de un (1) día, de una unidad académica o de varios servicios administrativos críticos.</v>
          </cell>
          <cell r="V13">
            <v>12</v>
          </cell>
          <cell r="W13" t="str">
            <v>Menor</v>
          </cell>
        </row>
        <row r="14">
          <cell r="U14" t="str">
            <v>Suspensión de actividades entre 1 y 5 días, de 2 o más unidades académicas o de varios servicios administrativos críticos.</v>
          </cell>
          <cell r="V14">
            <v>13</v>
          </cell>
          <cell r="W14" t="str">
            <v>Moderado</v>
          </cell>
        </row>
        <row r="15">
          <cell r="U15" t="str">
            <v>Suspensión de actividades entre 5 y 10 días, de 2 o más unidades académicas o de la mayoría de servicios administrativos críticos.</v>
          </cell>
          <cell r="V15">
            <v>14</v>
          </cell>
          <cell r="W15" t="str">
            <v>Mayor</v>
          </cell>
        </row>
        <row r="16">
          <cell r="U16" t="str">
            <v>Cierre de la Universidad mayor a 10 días.</v>
          </cell>
          <cell r="V16">
            <v>15</v>
          </cell>
          <cell r="W16" t="str">
            <v>Catastrófico</v>
          </cell>
        </row>
        <row r="17">
          <cell r="U17" t="str">
            <v>La materialización del riesgo No genera observaciones por entes de regulación o control.</v>
          </cell>
          <cell r="V17">
            <v>16</v>
          </cell>
          <cell r="W17" t="str">
            <v>Leve</v>
          </cell>
        </row>
        <row r="18">
          <cell r="U18" t="str">
            <v>La materialización del riesgo genera observaciones por entes de regulación o control, sin intervención.</v>
          </cell>
          <cell r="V18">
            <v>17</v>
          </cell>
          <cell r="W18" t="str">
            <v>Menor</v>
          </cell>
        </row>
        <row r="19">
          <cell r="U19" t="str">
            <v xml:space="preserve">La materialización del riesgo genera observaciones por entes de regulación o control, con incidencia disciplinaria. </v>
          </cell>
          <cell r="V19">
            <v>18</v>
          </cell>
          <cell r="W19" t="str">
            <v>Moderado</v>
          </cell>
        </row>
        <row r="20">
          <cell r="U20" t="str">
            <v xml:space="preserve">La materialización del riesgo genera observaciones por entes de regulación o control, con incidencia fiscal o penal. </v>
          </cell>
          <cell r="V20">
            <v>19</v>
          </cell>
          <cell r="W20" t="str">
            <v>Mayor</v>
          </cell>
        </row>
        <row r="21">
          <cell r="U21" t="str">
            <v xml:space="preserve">La materialización del riesgo genera intervención por parte de un ente de regulación o control, que incluye sanciones. </v>
          </cell>
          <cell r="V21">
            <v>20</v>
          </cell>
          <cell r="W21" t="str">
            <v>Catastrófico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2)"/>
      <sheetName val="Riesgos"/>
      <sheetName val="Información"/>
      <sheetName val="Calculos"/>
    </sheetNames>
    <sheetDataSet>
      <sheetData sheetId="0">
        <row r="7">
          <cell r="AF7" t="str">
            <v>Catastrófico</v>
          </cell>
        </row>
      </sheetData>
      <sheetData sheetId="1" refreshError="1"/>
      <sheetData sheetId="2" refreshError="1"/>
      <sheetData sheetId="3">
        <row r="2">
          <cell r="U2" t="str">
            <v>Afectación menor a 10 SMLMV por evento.</v>
          </cell>
          <cell r="V2">
            <v>1</v>
          </cell>
          <cell r="W2" t="str">
            <v>Leve</v>
          </cell>
          <cell r="AC2" t="str">
            <v>Leve</v>
          </cell>
          <cell r="AD2" t="str">
            <v>Menor</v>
          </cell>
          <cell r="AE2" t="str">
            <v>Moderado</v>
          </cell>
          <cell r="AF2" t="str">
            <v>Mayor</v>
          </cell>
          <cell r="AG2" t="str">
            <v>Catastrófico</v>
          </cell>
        </row>
        <row r="3">
          <cell r="U3" t="str">
            <v>Afectación entre 10 y 50 SMLMV por evento.</v>
          </cell>
          <cell r="V3">
            <v>2</v>
          </cell>
          <cell r="W3" t="str">
            <v>Menor</v>
          </cell>
          <cell r="AB3" t="str">
            <v>Muy alta</v>
          </cell>
          <cell r="AC3" t="str">
            <v>Alto</v>
          </cell>
          <cell r="AD3" t="str">
            <v>Alto</v>
          </cell>
          <cell r="AE3" t="str">
            <v>Alto</v>
          </cell>
          <cell r="AF3" t="str">
            <v>Alto</v>
          </cell>
          <cell r="AG3" t="str">
            <v>Extremo</v>
          </cell>
        </row>
        <row r="4">
          <cell r="U4" t="str">
            <v>Afectación entre 51 y 120 SMLMV por evento.</v>
          </cell>
          <cell r="V4">
            <v>3</v>
          </cell>
          <cell r="W4" t="str">
            <v>Moderado</v>
          </cell>
          <cell r="AB4" t="str">
            <v>Alta</v>
          </cell>
          <cell r="AC4" t="str">
            <v>Moderado</v>
          </cell>
          <cell r="AD4" t="str">
            <v>Moderado</v>
          </cell>
          <cell r="AE4" t="str">
            <v>Alto</v>
          </cell>
          <cell r="AF4" t="str">
            <v>Alto</v>
          </cell>
          <cell r="AG4" t="str">
            <v>Extremo</v>
          </cell>
        </row>
        <row r="5">
          <cell r="U5" t="str">
            <v>Afectación entre 121 y 500 SMLMV por evento.</v>
          </cell>
          <cell r="V5">
            <v>4</v>
          </cell>
          <cell r="W5" t="str">
            <v>Mayor</v>
          </cell>
          <cell r="AB5" t="str">
            <v>Media</v>
          </cell>
          <cell r="AC5" t="str">
            <v>Moderado</v>
          </cell>
          <cell r="AD5" t="str">
            <v>Moderado</v>
          </cell>
          <cell r="AE5" t="str">
            <v>Moderado</v>
          </cell>
          <cell r="AF5" t="str">
            <v>Alto</v>
          </cell>
          <cell r="AG5" t="str">
            <v>Extremo</v>
          </cell>
        </row>
        <row r="6">
          <cell r="U6" t="str">
            <v>Afectación mayor a 500 SMLMV por evento.</v>
          </cell>
          <cell r="V6">
            <v>5</v>
          </cell>
          <cell r="W6" t="str">
            <v>Catastrófico</v>
          </cell>
          <cell r="AB6" t="str">
            <v>Baja</v>
          </cell>
          <cell r="AC6" t="str">
            <v>Bajo</v>
          </cell>
          <cell r="AD6" t="str">
            <v>Moderado</v>
          </cell>
          <cell r="AE6" t="str">
            <v>Moderado</v>
          </cell>
          <cell r="AF6" t="str">
            <v>Alto</v>
          </cell>
          <cell r="AG6" t="str">
            <v>Extremo</v>
          </cell>
        </row>
        <row r="7">
          <cell r="U7" t="str">
            <v>El riesgo afecta la imagen de algún área de la universidad.</v>
          </cell>
          <cell r="V7">
            <v>6</v>
          </cell>
          <cell r="W7" t="str">
            <v>Leve</v>
          </cell>
          <cell r="AB7" t="str">
            <v>Muy baja</v>
          </cell>
          <cell r="AC7" t="str">
            <v>Bajo</v>
          </cell>
          <cell r="AD7" t="str">
            <v>Bajo</v>
          </cell>
          <cell r="AE7" t="str">
            <v>Moderado</v>
          </cell>
          <cell r="AF7" t="str">
            <v>Alto</v>
          </cell>
          <cell r="AG7" t="str">
            <v>Extremo</v>
          </cell>
        </row>
        <row r="8">
          <cell r="U8" t="str">
            <v>El riesgo afecta la imagen institucional internamente, de conocimiento general nivel interno, de alta dirección y/o de proveedores.</v>
          </cell>
          <cell r="V8">
            <v>7</v>
          </cell>
          <cell r="W8" t="str">
            <v>Menor</v>
          </cell>
        </row>
        <row r="9">
          <cell r="U9" t="str">
            <v>El riesgo afecta la imagen de la universidad con algunos usuarios de relevancia frente al logro de los objetivos.</v>
          </cell>
          <cell r="V9">
            <v>8</v>
          </cell>
          <cell r="W9" t="str">
            <v>Moderado</v>
          </cell>
        </row>
        <row r="10">
          <cell r="U10" t="str">
            <v>El riesgo afecta la imagen de la universidad con efecto publicitario sostenido a nivel departamental o municipal.</v>
          </cell>
          <cell r="V10">
            <v>9</v>
          </cell>
          <cell r="W10" t="str">
            <v>Mayor</v>
          </cell>
        </row>
        <row r="11">
          <cell r="U11" t="str">
            <v>El riesgo afecta la imagen de la universidad a nivel nacional, con efecto publicitario sostenido a nivel país.</v>
          </cell>
          <cell r="V11">
            <v>10</v>
          </cell>
          <cell r="W11" t="str">
            <v>Catastrófico</v>
          </cell>
        </row>
        <row r="12">
          <cell r="U12" t="str">
            <v>Suspensión de actividades menor a cuatro (4) horas, de varias unidades académicas o de un servicio administrativo crítico.</v>
          </cell>
          <cell r="V12">
            <v>11</v>
          </cell>
          <cell r="W12" t="str">
            <v>Leve</v>
          </cell>
        </row>
        <row r="13">
          <cell r="U13" t="str">
            <v>Suspensión de actividades durante no más de un (1) día, de una unidad académica o de varios servicios administrativos críticos.</v>
          </cell>
          <cell r="V13">
            <v>12</v>
          </cell>
          <cell r="W13" t="str">
            <v>Menor</v>
          </cell>
        </row>
        <row r="14">
          <cell r="U14" t="str">
            <v>Suspensión de actividades entre 1 y 5 días, de 2 o más unidades académicas o de varios servicios administrativos críticos.</v>
          </cell>
          <cell r="V14">
            <v>13</v>
          </cell>
          <cell r="W14" t="str">
            <v>Moderado</v>
          </cell>
        </row>
        <row r="15">
          <cell r="U15" t="str">
            <v>Suspensión de actividades entre 5 y 10 días, de 2 o más unidades académicas o de la mayoría de servicios administrativos críticos.</v>
          </cell>
          <cell r="V15">
            <v>14</v>
          </cell>
          <cell r="W15" t="str">
            <v>Mayor</v>
          </cell>
        </row>
        <row r="16">
          <cell r="U16" t="str">
            <v>Cierre de la Universidad mayor a 10 días.</v>
          </cell>
          <cell r="V16">
            <v>15</v>
          </cell>
          <cell r="W16" t="str">
            <v>Catastrófico</v>
          </cell>
        </row>
        <row r="17">
          <cell r="U17" t="str">
            <v>La materialización del riesgo No genera observaciones por entes de regulación o control.</v>
          </cell>
          <cell r="V17">
            <v>16</v>
          </cell>
          <cell r="W17" t="str">
            <v>Leve</v>
          </cell>
        </row>
        <row r="18">
          <cell r="U18" t="str">
            <v>La materialización del riesgo genera observaciones por entes de regulación o control, sin intervención.</v>
          </cell>
          <cell r="V18">
            <v>17</v>
          </cell>
          <cell r="W18" t="str">
            <v>Menor</v>
          </cell>
        </row>
        <row r="19">
          <cell r="U19" t="str">
            <v xml:space="preserve">La materialización del riesgo genera observaciones por entes de regulación o control, con incidencia disciplinaria. </v>
          </cell>
          <cell r="V19">
            <v>18</v>
          </cell>
          <cell r="W19" t="str">
            <v>Moderado</v>
          </cell>
        </row>
        <row r="20">
          <cell r="U20" t="str">
            <v xml:space="preserve">La materialización del riesgo genera observaciones por entes de regulación o control, con incidencia fiscal o penal. </v>
          </cell>
          <cell r="V20">
            <v>19</v>
          </cell>
          <cell r="W20" t="str">
            <v>Mayor</v>
          </cell>
        </row>
        <row r="21">
          <cell r="U21" t="str">
            <v xml:space="preserve">La materialización del riesgo genera intervención por parte de un ente de regulación o control, que incluye sanciones. </v>
          </cell>
          <cell r="V21">
            <v>20</v>
          </cell>
          <cell r="W21" t="str">
            <v>Catastrófico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68F375-165F-4A01-80A1-17206AA695A0}" name="Económica" displayName="Económica" ref="O1:O6" totalsRowShown="0" headerRowDxfId="288" dataDxfId="286" headerRowBorderDxfId="287" tableBorderDxfId="285" totalsRowBorderDxfId="284">
  <autoFilter ref="O1:O6" xr:uid="{E868F375-165F-4A01-80A1-17206AA695A0}"/>
  <tableColumns count="1">
    <tableColumn id="1" xr3:uid="{768765D2-3F24-4A82-82D5-E48407EFFD3E}" name="Económica" dataDxfId="28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91ABB0-F56B-4D3A-96DB-4A2D9094EE38}" name="Reputacional" displayName="Reputacional" ref="P1:P6" totalsRowShown="0" headerRowDxfId="282" dataDxfId="280" headerRowBorderDxfId="281" tableBorderDxfId="279" totalsRowBorderDxfId="278">
  <autoFilter ref="P1:P6" xr:uid="{4C91ABB0-F56B-4D3A-96DB-4A2D9094EE38}"/>
  <tableColumns count="1">
    <tableColumn id="1" xr3:uid="{63241A0E-1C4D-4ABF-8567-71F22E7E0C99}" name="Reputacional" dataDxfId="27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B89B1C-858A-41DD-8A14-DE1E4523292F}" name="Operación" displayName="Operación" ref="Q1:Q6" totalsRowShown="0" headerRowDxfId="276" dataDxfId="274" headerRowBorderDxfId="275" tableBorderDxfId="273" totalsRowBorderDxfId="272">
  <autoFilter ref="Q1:Q6" xr:uid="{89B89B1C-858A-41DD-8A14-DE1E4523292F}"/>
  <tableColumns count="1">
    <tableColumn id="1" xr3:uid="{67C49F90-2A0D-43C5-8987-FD9B29E3E36D}" name="Operación" dataDxfId="27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A9489C-1291-4B40-A8E8-E8688D3CF784}" name="Legal" displayName="Legal" ref="R1:R6" totalsRowShown="0" headerRowDxfId="270" dataDxfId="268" headerRowBorderDxfId="269" tableBorderDxfId="267" totalsRowBorderDxfId="266">
  <autoFilter ref="R1:R6" xr:uid="{B6A9489C-1291-4B40-A8E8-E8688D3CF784}"/>
  <tableColumns count="1">
    <tableColumn id="1" xr3:uid="{B5DB8CA2-15E5-43A8-8939-98BC919DFFBB}" name="Legal" dataDxfId="26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2"/>
  <sheetViews>
    <sheetView tabSelected="1" zoomScale="90" zoomScaleNormal="90" workbookViewId="0">
      <pane ySplit="4" topLeftCell="A5" activePane="bottomLeft" state="frozen"/>
      <selection pane="bottomLeft" activeCell="I32" sqref="A5:I32"/>
    </sheetView>
  </sheetViews>
  <sheetFormatPr baseColWidth="10" defaultColWidth="11.42578125" defaultRowHeight="15" x14ac:dyDescent="0.25"/>
  <cols>
    <col min="1" max="1" width="7.42578125" customWidth="1"/>
    <col min="2" max="3" width="17.42578125" customWidth="1"/>
    <col min="4" max="4" width="24.7109375" customWidth="1"/>
    <col min="5" max="5" width="26.7109375" customWidth="1"/>
    <col min="6" max="7" width="26.42578125" customWidth="1"/>
    <col min="8" max="8" width="30" customWidth="1"/>
    <col min="9" max="9" width="69.28515625" customWidth="1"/>
    <col min="10" max="10" width="13.28515625" customWidth="1"/>
    <col min="11" max="11" width="12.85546875" customWidth="1"/>
    <col min="12" max="12" width="6.85546875" customWidth="1"/>
    <col min="13" max="13" width="19.42578125" customWidth="1"/>
    <col min="14" max="14" width="41.7109375" customWidth="1"/>
    <col min="15" max="15" width="8.42578125" hidden="1" customWidth="1"/>
    <col min="16" max="16" width="22" customWidth="1"/>
    <col min="17" max="17" width="8.42578125" customWidth="1"/>
    <col min="18" max="18" width="15" customWidth="1"/>
    <col min="19" max="19" width="7.5703125" style="10" customWidth="1"/>
    <col min="20" max="20" width="41.7109375" customWidth="1"/>
    <col min="21" max="21" width="14.5703125" customWidth="1"/>
    <col min="22" max="24" width="4" bestFit="1" customWidth="1"/>
    <col min="25" max="25" width="4" customWidth="1"/>
    <col min="26" max="26" width="5.42578125" customWidth="1"/>
    <col min="27" max="29" width="4" bestFit="1" customWidth="1"/>
    <col min="30" max="30" width="9.85546875" customWidth="1"/>
    <col min="31" max="31" width="6.140625" bestFit="1" customWidth="1"/>
    <col min="32" max="32" width="9.5703125" customWidth="1"/>
    <col min="33" max="33" width="6.140625" bestFit="1" customWidth="1"/>
    <col min="34" max="34" width="20" customWidth="1"/>
    <col min="35" max="35" width="8.42578125" customWidth="1"/>
    <col min="36" max="36" width="39.42578125" customWidth="1"/>
    <col min="37" max="37" width="18.28515625" customWidth="1"/>
    <col min="38" max="38" width="15.140625" customWidth="1"/>
    <col min="39" max="39" width="19.140625" customWidth="1"/>
    <col min="40" max="40" width="32.85546875" style="10" customWidth="1"/>
  </cols>
  <sheetData>
    <row r="1" spans="1:40" ht="57.75" customHeight="1" thickBot="1" x14ac:dyDescent="0.3">
      <c r="A1" s="146" t="s">
        <v>245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row>
    <row r="2" spans="1:40" ht="17.25" customHeight="1" thickBot="1" x14ac:dyDescent="0.3">
      <c r="A2" s="149" t="s">
        <v>1</v>
      </c>
      <c r="B2" s="150"/>
      <c r="C2" s="150"/>
      <c r="D2" s="150"/>
      <c r="E2" s="150"/>
      <c r="F2" s="150"/>
      <c r="G2" s="150"/>
      <c r="H2" s="150"/>
      <c r="I2" s="150"/>
      <c r="J2" s="151"/>
      <c r="K2" s="152" t="s">
        <v>2</v>
      </c>
      <c r="L2" s="153"/>
      <c r="M2" s="153"/>
      <c r="N2" s="153"/>
      <c r="O2" s="153"/>
      <c r="P2" s="153"/>
      <c r="Q2" s="153"/>
      <c r="R2" s="153"/>
      <c r="S2" s="153" t="s">
        <v>3</v>
      </c>
      <c r="T2" s="153"/>
      <c r="U2" s="153"/>
      <c r="V2" s="153"/>
      <c r="W2" s="153"/>
      <c r="X2" s="153"/>
      <c r="Y2" s="153"/>
      <c r="Z2" s="153"/>
      <c r="AA2" s="153"/>
      <c r="AB2" s="153"/>
      <c r="AC2" s="153"/>
      <c r="AD2" s="154"/>
      <c r="AE2" s="154"/>
      <c r="AF2" s="154"/>
      <c r="AG2" s="154"/>
      <c r="AH2" s="154"/>
      <c r="AI2" s="154"/>
      <c r="AJ2" s="153" t="s">
        <v>4</v>
      </c>
      <c r="AK2" s="153"/>
      <c r="AL2" s="153"/>
      <c r="AM2" s="153"/>
      <c r="AN2" s="155"/>
    </row>
    <row r="3" spans="1:40" ht="16.5" customHeight="1" x14ac:dyDescent="0.25">
      <c r="A3" s="158" t="s">
        <v>5</v>
      </c>
      <c r="B3" s="159" t="s">
        <v>6</v>
      </c>
      <c r="C3" s="160" t="s">
        <v>7</v>
      </c>
      <c r="D3" s="160" t="s">
        <v>8</v>
      </c>
      <c r="E3" s="160" t="s">
        <v>9</v>
      </c>
      <c r="F3" s="160" t="s">
        <v>10</v>
      </c>
      <c r="G3" s="160" t="s">
        <v>11</v>
      </c>
      <c r="H3" s="160" t="s">
        <v>12</v>
      </c>
      <c r="I3" s="160" t="s">
        <v>13</v>
      </c>
      <c r="J3" s="160" t="s">
        <v>14</v>
      </c>
      <c r="K3" s="161" t="s">
        <v>15</v>
      </c>
      <c r="L3" s="162" t="s">
        <v>16</v>
      </c>
      <c r="M3" s="160" t="s">
        <v>17</v>
      </c>
      <c r="N3" s="160" t="s">
        <v>18</v>
      </c>
      <c r="O3" s="163"/>
      <c r="P3" s="161" t="s">
        <v>19</v>
      </c>
      <c r="Q3" s="162" t="s">
        <v>16</v>
      </c>
      <c r="R3" s="161" t="s">
        <v>20</v>
      </c>
      <c r="S3" s="164" t="s">
        <v>21</v>
      </c>
      <c r="T3" s="160" t="s">
        <v>22</v>
      </c>
      <c r="U3" s="161" t="s">
        <v>23</v>
      </c>
      <c r="V3" s="160" t="s">
        <v>24</v>
      </c>
      <c r="W3" s="160"/>
      <c r="X3" s="160"/>
      <c r="Y3" s="160"/>
      <c r="Z3" s="160"/>
      <c r="AA3" s="160"/>
      <c r="AB3" s="160"/>
      <c r="AC3" s="160"/>
      <c r="AD3" s="165" t="s">
        <v>25</v>
      </c>
      <c r="AE3" s="165" t="s">
        <v>16</v>
      </c>
      <c r="AF3" s="165" t="s">
        <v>26</v>
      </c>
      <c r="AG3" s="165" t="s">
        <v>16</v>
      </c>
      <c r="AH3" s="165" t="s">
        <v>27</v>
      </c>
      <c r="AI3" s="164" t="s">
        <v>28</v>
      </c>
      <c r="AJ3" s="160" t="s">
        <v>29</v>
      </c>
      <c r="AK3" s="160" t="s">
        <v>30</v>
      </c>
      <c r="AL3" s="160" t="s">
        <v>31</v>
      </c>
      <c r="AM3" s="160" t="s">
        <v>32</v>
      </c>
      <c r="AN3" s="166" t="s">
        <v>33</v>
      </c>
    </row>
    <row r="4" spans="1:40" ht="105.75" thickBot="1" x14ac:dyDescent="0.3">
      <c r="A4" s="167"/>
      <c r="B4" s="168"/>
      <c r="C4" s="169"/>
      <c r="D4" s="169"/>
      <c r="E4" s="169"/>
      <c r="F4" s="169"/>
      <c r="G4" s="169"/>
      <c r="H4" s="169"/>
      <c r="I4" s="169"/>
      <c r="J4" s="169"/>
      <c r="K4" s="170"/>
      <c r="L4" s="171"/>
      <c r="M4" s="169"/>
      <c r="N4" s="169"/>
      <c r="O4" s="172"/>
      <c r="P4" s="171"/>
      <c r="Q4" s="171"/>
      <c r="R4" s="170"/>
      <c r="S4" s="173"/>
      <c r="T4" s="169"/>
      <c r="U4" s="170"/>
      <c r="V4" s="174" t="s">
        <v>34</v>
      </c>
      <c r="W4" s="175" t="s">
        <v>35</v>
      </c>
      <c r="X4" s="174" t="s">
        <v>36</v>
      </c>
      <c r="Y4" s="175" t="s">
        <v>37</v>
      </c>
      <c r="Z4" s="175" t="s">
        <v>38</v>
      </c>
      <c r="AA4" s="174" t="s">
        <v>39</v>
      </c>
      <c r="AB4" s="174" t="s">
        <v>40</v>
      </c>
      <c r="AC4" s="174" t="s">
        <v>41</v>
      </c>
      <c r="AD4" s="176"/>
      <c r="AE4" s="176"/>
      <c r="AF4" s="176"/>
      <c r="AG4" s="176"/>
      <c r="AH4" s="176"/>
      <c r="AI4" s="173"/>
      <c r="AJ4" s="169"/>
      <c r="AK4" s="169"/>
      <c r="AL4" s="169"/>
      <c r="AM4" s="169"/>
      <c r="AN4" s="177"/>
    </row>
    <row r="5" spans="1:40" s="10" customFormat="1" ht="160.5" customHeight="1" x14ac:dyDescent="0.25">
      <c r="A5" s="227" t="s">
        <v>332</v>
      </c>
      <c r="B5" s="228" t="s">
        <v>42</v>
      </c>
      <c r="C5" s="229" t="s">
        <v>333</v>
      </c>
      <c r="D5" s="229" t="s">
        <v>334</v>
      </c>
      <c r="E5" s="229" t="s">
        <v>335</v>
      </c>
      <c r="F5" s="229" t="s">
        <v>336</v>
      </c>
      <c r="G5" s="228" t="s">
        <v>43</v>
      </c>
      <c r="H5" s="228" t="s">
        <v>63</v>
      </c>
      <c r="I5" s="228" t="s">
        <v>138</v>
      </c>
      <c r="J5" s="82">
        <v>5</v>
      </c>
      <c r="K5" s="82" t="str">
        <f t="shared" ref="K5" si="0">IF(J5="","",IF(J5&lt;=2,"Muy baja",IF(AND(J5&gt;2,J5&lt;=24),"Baja",IF(AND(J5&gt;24,J5&lt;=500),"Media",IF(AND(J5&gt;500,J5&lt;=5000),"Alta",IF(J5&gt;5000,"Muy alta",""))))))</f>
        <v>Baja</v>
      </c>
      <c r="L5" s="96">
        <v>0.4</v>
      </c>
      <c r="M5" s="96" t="s">
        <v>42</v>
      </c>
      <c r="N5" s="80" t="s">
        <v>195</v>
      </c>
      <c r="O5" s="104">
        <f>MATCH(N5,[3]Calculos!$U$2:$U$21,0)</f>
        <v>10</v>
      </c>
      <c r="P5" s="80" t="str">
        <f>LOOKUP(O5,[3]Calculos!$V$2:$W$21)</f>
        <v>Catastrófico</v>
      </c>
      <c r="Q5" s="96">
        <f t="shared" ref="Q5" si="1">IF(P5="","",IF(P5="Leve",20%,IF(P5="Menor",40%,IF(P5="Moderado",60%,IF(P5="Mayor",80%,IF(P5="Catastrófico",100%,""))))))</f>
        <v>1</v>
      </c>
      <c r="R5" s="82" t="s">
        <v>164</v>
      </c>
      <c r="S5" s="63">
        <v>1</v>
      </c>
      <c r="T5" s="178" t="s">
        <v>337</v>
      </c>
      <c r="U5" s="65" t="str">
        <f t="shared" ref="U5:U7" si="2">IF(V5="","",IF(V5="Preventivo","Probabilidad",IF(V5="Detectivo","Probabilidad",IF(V5="Correctivo","Impacto",""))))</f>
        <v>Probabilidad</v>
      </c>
      <c r="V5" s="66" t="s">
        <v>48</v>
      </c>
      <c r="W5" s="67">
        <f t="shared" ref="W5:W7" si="3">IF(V5="","",IF(V5="preventivo",25%,IF(V5="detectivo",15%,IF(V5="correctivo",10%,""))))</f>
        <v>0.25</v>
      </c>
      <c r="X5" s="66" t="s">
        <v>55</v>
      </c>
      <c r="Y5" s="67">
        <f t="shared" ref="Y5:Y7" si="4">IF(X5="","",IF(X5="Automático",25%,IF(X5="manual",15%,"")))</f>
        <v>0.15</v>
      </c>
      <c r="Z5" s="67">
        <f t="shared" ref="Z5:Z7" si="5">W5+Y5</f>
        <v>0.4</v>
      </c>
      <c r="AA5" s="66" t="s">
        <v>50</v>
      </c>
      <c r="AB5" s="66" t="s">
        <v>51</v>
      </c>
      <c r="AC5" s="66" t="s">
        <v>52</v>
      </c>
      <c r="AD5" s="66" t="str">
        <f t="shared" ref="AD5:AD7" si="6">IF(AE5="","",IF(AE5&lt;=20%,"Muy baja",IF(AND(AE5&gt;20%,AE5&lt;=40%),"Baja",IF(AND(AE5&gt;40%,AE5&lt;=60%),"Media",IF(AND(AE5&gt;60%,AE5&lt;=80%),"Alta",IF(AE5&gt;80%,"Muy alta",""))))))</f>
        <v>Baja</v>
      </c>
      <c r="AE5" s="68">
        <v>0.24</v>
      </c>
      <c r="AF5" s="66" t="str">
        <f t="shared" ref="AF5:AF7" si="7">IF(AG5="","",IF(AG5&lt;=20%,"Leve",IF(AND(AG5&gt;20%,AG5&lt;=40%),"Menor",IF(AND(AG5&gt;40%,AG5&lt;=60%),"Moderado",IF(AND(AG5&gt;60%,AG5&lt;=80%),"Mayor",IF(AG5&gt;80%,"Catastrófico",""))))))</f>
        <v>Catastrófico</v>
      </c>
      <c r="AG5" s="68">
        <v>1</v>
      </c>
      <c r="AH5" s="65" t="s">
        <v>164</v>
      </c>
      <c r="AI5" s="86" t="s">
        <v>53</v>
      </c>
      <c r="AJ5" s="179" t="s">
        <v>338</v>
      </c>
      <c r="AK5" s="180" t="s">
        <v>339</v>
      </c>
      <c r="AL5" s="180" t="s">
        <v>340</v>
      </c>
      <c r="AM5" s="180" t="s">
        <v>341</v>
      </c>
      <c r="AN5" s="181" t="s">
        <v>342</v>
      </c>
    </row>
    <row r="6" spans="1:40" ht="102" customHeight="1" x14ac:dyDescent="0.25">
      <c r="A6" s="230"/>
      <c r="B6" s="231"/>
      <c r="C6" s="232"/>
      <c r="D6" s="232"/>
      <c r="E6" s="232"/>
      <c r="F6" s="232"/>
      <c r="G6" s="231"/>
      <c r="H6" s="231"/>
      <c r="I6" s="231"/>
      <c r="J6" s="95"/>
      <c r="K6" s="95"/>
      <c r="L6" s="97"/>
      <c r="M6" s="97"/>
      <c r="N6" s="93"/>
      <c r="O6" s="105"/>
      <c r="P6" s="93"/>
      <c r="Q6" s="97"/>
      <c r="R6" s="95"/>
      <c r="S6" s="22">
        <v>2</v>
      </c>
      <c r="T6" s="5" t="s">
        <v>343</v>
      </c>
      <c r="U6" s="9" t="str">
        <f t="shared" si="2"/>
        <v>Probabilidad</v>
      </c>
      <c r="V6" s="70" t="s">
        <v>48</v>
      </c>
      <c r="W6" s="69">
        <f t="shared" si="3"/>
        <v>0.25</v>
      </c>
      <c r="X6" s="70" t="s">
        <v>55</v>
      </c>
      <c r="Y6" s="69">
        <f t="shared" si="4"/>
        <v>0.15</v>
      </c>
      <c r="Z6" s="69">
        <f t="shared" si="5"/>
        <v>0.4</v>
      </c>
      <c r="AA6" s="70" t="s">
        <v>56</v>
      </c>
      <c r="AB6" s="70" t="s">
        <v>51</v>
      </c>
      <c r="AC6" s="70" t="s">
        <v>52</v>
      </c>
      <c r="AD6" s="70" t="str">
        <f t="shared" si="6"/>
        <v>Muy baja</v>
      </c>
      <c r="AE6" s="71">
        <v>0.14399999999999999</v>
      </c>
      <c r="AF6" s="70" t="str">
        <f t="shared" si="7"/>
        <v>Catastrófico</v>
      </c>
      <c r="AG6" s="71">
        <v>1</v>
      </c>
      <c r="AH6" s="9" t="s">
        <v>164</v>
      </c>
      <c r="AI6" s="117"/>
      <c r="AJ6" s="132" t="s">
        <v>344</v>
      </c>
      <c r="AK6" s="133" t="s">
        <v>339</v>
      </c>
      <c r="AL6" s="133" t="s">
        <v>340</v>
      </c>
      <c r="AM6" s="133" t="s">
        <v>345</v>
      </c>
      <c r="AN6" s="142" t="s">
        <v>346</v>
      </c>
    </row>
    <row r="7" spans="1:40" ht="128.25" customHeight="1" thickBot="1" x14ac:dyDescent="0.3">
      <c r="A7" s="233"/>
      <c r="B7" s="234"/>
      <c r="C7" s="235"/>
      <c r="D7" s="235"/>
      <c r="E7" s="235"/>
      <c r="F7" s="235"/>
      <c r="G7" s="234"/>
      <c r="H7" s="234"/>
      <c r="I7" s="234"/>
      <c r="J7" s="85"/>
      <c r="K7" s="85"/>
      <c r="L7" s="98"/>
      <c r="M7" s="98"/>
      <c r="N7" s="83"/>
      <c r="O7" s="106"/>
      <c r="P7" s="83"/>
      <c r="Q7" s="98"/>
      <c r="R7" s="85"/>
      <c r="S7" s="72">
        <v>3</v>
      </c>
      <c r="T7" s="76" t="s">
        <v>347</v>
      </c>
      <c r="U7" s="73" t="str">
        <f t="shared" si="2"/>
        <v>Probabilidad</v>
      </c>
      <c r="V7" s="75" t="s">
        <v>48</v>
      </c>
      <c r="W7" s="74">
        <f t="shared" si="3"/>
        <v>0.25</v>
      </c>
      <c r="X7" s="75" t="s">
        <v>55</v>
      </c>
      <c r="Y7" s="74">
        <f t="shared" si="4"/>
        <v>0.15</v>
      </c>
      <c r="Z7" s="74">
        <f t="shared" si="5"/>
        <v>0.4</v>
      </c>
      <c r="AA7" s="75" t="s">
        <v>50</v>
      </c>
      <c r="AB7" s="75" t="s">
        <v>51</v>
      </c>
      <c r="AC7" s="75" t="s">
        <v>52</v>
      </c>
      <c r="AD7" s="75" t="str">
        <f t="shared" si="6"/>
        <v>Muy baja</v>
      </c>
      <c r="AE7" s="129">
        <v>8.6399999999999991E-2</v>
      </c>
      <c r="AF7" s="75" t="str">
        <f t="shared" si="7"/>
        <v>Catastrófico</v>
      </c>
      <c r="AG7" s="129">
        <v>1</v>
      </c>
      <c r="AH7" s="73" t="str">
        <f>VLOOKUP(AD7,[3]Calculos!$AB$2:$AG$7,MATCH('[3]Riesgos (2)'!AF7,[3]Calculos!$AB$2:$AG$2,0),FALSE)</f>
        <v>Extremo</v>
      </c>
      <c r="AI7" s="88"/>
      <c r="AJ7" s="182"/>
      <c r="AK7" s="183"/>
      <c r="AL7" s="183"/>
      <c r="AM7" s="183"/>
      <c r="AN7" s="184"/>
    </row>
    <row r="8" spans="1:40" ht="63.75" customHeight="1" x14ac:dyDescent="0.25">
      <c r="A8" s="227" t="s">
        <v>58</v>
      </c>
      <c r="B8" s="228" t="s">
        <v>42</v>
      </c>
      <c r="C8" s="229" t="s">
        <v>59</v>
      </c>
      <c r="D8" s="229" t="s">
        <v>60</v>
      </c>
      <c r="E8" s="229" t="s">
        <v>61</v>
      </c>
      <c r="F8" s="228" t="s">
        <v>62</v>
      </c>
      <c r="G8" s="228" t="s">
        <v>43</v>
      </c>
      <c r="H8" s="228" t="s">
        <v>63</v>
      </c>
      <c r="I8" s="228" t="s">
        <v>45</v>
      </c>
      <c r="J8" s="82">
        <v>360</v>
      </c>
      <c r="K8" s="82" t="str">
        <f t="shared" ref="K8" si="8">IF(J8="","",IF(J8&lt;=2,"Muy baja",IF(AND(J8&gt;2,J8&lt;=24),"Baja",IF(AND(J8&gt;24,J8&lt;=500),"Media",IF(AND(J8&gt;500,J8&lt;=5000),"Alta",IF(J8&gt;5000,"Muy alta",""))))))</f>
        <v>Media</v>
      </c>
      <c r="L8" s="96">
        <f t="shared" ref="L8" si="9">IF(K8="","",IF(K8="Muy baja",20%,IF(K8="Baja",40%,IF(K8="Media",60%,IF(K8="Alta",80%,IF(K8="Muy Alta",100%,""))))))</f>
        <v>0.6</v>
      </c>
      <c r="M8" s="96" t="s">
        <v>42</v>
      </c>
      <c r="N8" s="80" t="s">
        <v>64</v>
      </c>
      <c r="O8" s="80">
        <f>MATCH(N8,[2]Calculos!$U$2:$U$21,0)</f>
        <v>9</v>
      </c>
      <c r="P8" s="80" t="str">
        <f>LOOKUP(O8,[2]Calculos!$V$2:$W$21)</f>
        <v>Mayor</v>
      </c>
      <c r="Q8" s="96">
        <f t="shared" ref="Q8" si="10">IF(P8="","",IF(P8="Leve",20%,IF(P8="Menor",40%,IF(P8="Moderado",60%,IF(P8="Mayor",80%,IF(P8="Catastrófico",100%,""))))))</f>
        <v>0.8</v>
      </c>
      <c r="R8" s="186" t="s">
        <v>177</v>
      </c>
      <c r="S8" s="63">
        <v>1</v>
      </c>
      <c r="T8" s="64" t="s">
        <v>65</v>
      </c>
      <c r="U8" s="65" t="str">
        <f t="shared" ref="U8:U11" si="11">IF(V8="","",IF(V8="Preventivo","Probabilidad",IF(V8="Detectivo","Probabilidad",IF(V8="Correctivo","Impacto",""))))</f>
        <v>Probabilidad</v>
      </c>
      <c r="V8" s="66" t="s">
        <v>66</v>
      </c>
      <c r="W8" s="67">
        <f t="shared" ref="W8:W11" si="12">IF(V8="","",IF(V8="preventivo",25%,IF(V8="detectivo",15%,IF(V8="correctivo",10%,""))))</f>
        <v>0.15</v>
      </c>
      <c r="X8" s="66" t="s">
        <v>55</v>
      </c>
      <c r="Y8" s="67">
        <f t="shared" ref="Y8:Y11" si="13">IF(X8="","",IF(X8="Automático",25%,IF(X8="manual",15%,"")))</f>
        <v>0.15</v>
      </c>
      <c r="Z8" s="67">
        <f t="shared" ref="Z8:Z10" si="14">W8+Y8</f>
        <v>0.3</v>
      </c>
      <c r="AA8" s="66" t="s">
        <v>50</v>
      </c>
      <c r="AB8" s="66" t="s">
        <v>51</v>
      </c>
      <c r="AC8" s="66" t="s">
        <v>52</v>
      </c>
      <c r="AD8" s="66" t="str">
        <f t="shared" ref="AD8:AD11" si="15">IF(AE8="","",IF(AE8&lt;=20%,"Muy baja",IF(AND(AE8&gt;20%,AE8&lt;=40%),"Baja",IF(AND(AE8&gt;40%,AE8&lt;=60%),"Media",IF(AND(AE8&gt;60%,AE8&lt;=80%),"Alta",IF(AE8&gt;80%,"Muy alta",""))))))</f>
        <v>Muy baja</v>
      </c>
      <c r="AE8" s="68">
        <f t="shared" ref="AE8" si="16">IF(V8="","",IF(V8="preventivo",$L$7-($L$7*Z8),IF(V8="detectivo",$L$7-($L$7*Z8),IF(V8="correctivo",$L$7,""))))</f>
        <v>0</v>
      </c>
      <c r="AF8" s="66" t="str">
        <f t="shared" ref="AF8:AF11" si="17">IF(AG8="","",IF(AG8&lt;=20%,"Leve",IF(AND(AG8&gt;20%,AG8&lt;=40%),"Menor",IF(AND(AG8&gt;40%,AG8&lt;=60%),"Moderado",IF(AND(AG8&gt;60%,AG8&lt;=80%),"Mayor",IF(AG8&gt;80%,"Catastrófico",""))))))</f>
        <v>Mayor</v>
      </c>
      <c r="AG8" s="68">
        <f>IF(V8="","",IF(V8="preventivo",Q8,IF(V8="detectivo",Q8,IF(V8="correctivo",Q8-(Q8*Z8),""))))</f>
        <v>0.8</v>
      </c>
      <c r="AH8" s="65" t="str">
        <f>VLOOKUP(AD8,[2]Calculos!$AB$2:$AG$7,MATCH([2]Riesgos!AF10,[2]Calculos!$AB$2:$AG$2,0),FALSE)</f>
        <v>Bajo</v>
      </c>
      <c r="AI8" s="86" t="s">
        <v>53</v>
      </c>
      <c r="AJ8" s="187" t="s">
        <v>67</v>
      </c>
      <c r="AK8" s="188" t="s">
        <v>54</v>
      </c>
      <c r="AL8" s="189">
        <v>45657</v>
      </c>
      <c r="AM8" s="80" t="s">
        <v>68</v>
      </c>
      <c r="AN8" s="190" t="s">
        <v>69</v>
      </c>
    </row>
    <row r="9" spans="1:40" ht="70.5" customHeight="1" x14ac:dyDescent="0.25">
      <c r="A9" s="230"/>
      <c r="B9" s="231"/>
      <c r="C9" s="232"/>
      <c r="D9" s="232"/>
      <c r="E9" s="232"/>
      <c r="F9" s="231"/>
      <c r="G9" s="231"/>
      <c r="H9" s="231"/>
      <c r="I9" s="231"/>
      <c r="J9" s="95"/>
      <c r="K9" s="95"/>
      <c r="L9" s="97"/>
      <c r="M9" s="97"/>
      <c r="N9" s="93"/>
      <c r="O9" s="93"/>
      <c r="P9" s="93"/>
      <c r="Q9" s="97"/>
      <c r="R9" s="134"/>
      <c r="S9" s="22">
        <v>2</v>
      </c>
      <c r="T9" s="5" t="s">
        <v>70</v>
      </c>
      <c r="U9" s="9" t="str">
        <f t="shared" si="11"/>
        <v>Impacto</v>
      </c>
      <c r="V9" s="70" t="s">
        <v>57</v>
      </c>
      <c r="W9" s="69">
        <f t="shared" si="12"/>
        <v>0.1</v>
      </c>
      <c r="X9" s="70" t="s">
        <v>55</v>
      </c>
      <c r="Y9" s="69">
        <f t="shared" si="13"/>
        <v>0.15</v>
      </c>
      <c r="Z9" s="69">
        <f t="shared" si="14"/>
        <v>0.25</v>
      </c>
      <c r="AA9" s="70" t="s">
        <v>50</v>
      </c>
      <c r="AB9" s="70" t="s">
        <v>51</v>
      </c>
      <c r="AC9" s="70" t="s">
        <v>52</v>
      </c>
      <c r="AD9" s="70" t="str">
        <f t="shared" si="15"/>
        <v>Muy baja</v>
      </c>
      <c r="AE9" s="71">
        <f t="shared" ref="AE9:AE10" si="18">IF(V9="","",IF(V9="preventivo",AE8-(AE8*Z9),IF(V9="detectivo",AE8-(AE8*Z9),IF(V9="correctivo",AE8,""))))</f>
        <v>0</v>
      </c>
      <c r="AF9" s="70" t="str">
        <f t="shared" si="17"/>
        <v>Moderado</v>
      </c>
      <c r="AG9" s="71">
        <f>IF(V9="","",IF(V9="preventivo",AG8,IF(V9="detectivo",AG8,IF(V9="correctivo",AG8-(AG8*Z9),""))))</f>
        <v>0.60000000000000009</v>
      </c>
      <c r="AH9" s="9" t="str">
        <f>VLOOKUP(AD9,[2]Calculos!$AB$2:$AG$7,MATCH([2]Riesgos!AF11,[2]Calculos!$AB$2:$AG$2,0),FALSE)</f>
        <v>Bajo</v>
      </c>
      <c r="AI9" s="117"/>
      <c r="AJ9" s="135"/>
      <c r="AK9" s="115"/>
      <c r="AL9" s="136"/>
      <c r="AM9" s="93"/>
      <c r="AN9" s="143"/>
    </row>
    <row r="10" spans="1:40" ht="70.5" x14ac:dyDescent="0.25">
      <c r="A10" s="230"/>
      <c r="B10" s="231"/>
      <c r="C10" s="232"/>
      <c r="D10" s="232"/>
      <c r="E10" s="232"/>
      <c r="F10" s="231"/>
      <c r="G10" s="231"/>
      <c r="H10" s="231"/>
      <c r="I10" s="231"/>
      <c r="J10" s="95"/>
      <c r="K10" s="95"/>
      <c r="L10" s="97"/>
      <c r="M10" s="97"/>
      <c r="N10" s="93"/>
      <c r="O10" s="93"/>
      <c r="P10" s="93"/>
      <c r="Q10" s="97"/>
      <c r="R10" s="134"/>
      <c r="S10" s="22">
        <v>3</v>
      </c>
      <c r="T10" s="5" t="s">
        <v>71</v>
      </c>
      <c r="U10" s="9" t="str">
        <f t="shared" si="11"/>
        <v>Probabilidad</v>
      </c>
      <c r="V10" s="70" t="s">
        <v>66</v>
      </c>
      <c r="W10" s="69">
        <f t="shared" si="12"/>
        <v>0.15</v>
      </c>
      <c r="X10" s="70" t="s">
        <v>55</v>
      </c>
      <c r="Y10" s="69">
        <f t="shared" si="13"/>
        <v>0.15</v>
      </c>
      <c r="Z10" s="69">
        <f t="shared" si="14"/>
        <v>0.3</v>
      </c>
      <c r="AA10" s="70" t="s">
        <v>50</v>
      </c>
      <c r="AB10" s="70" t="s">
        <v>51</v>
      </c>
      <c r="AC10" s="70" t="s">
        <v>52</v>
      </c>
      <c r="AD10" s="70" t="str">
        <f t="shared" si="15"/>
        <v>Muy baja</v>
      </c>
      <c r="AE10" s="71">
        <f t="shared" si="18"/>
        <v>0</v>
      </c>
      <c r="AF10" s="70" t="str">
        <f t="shared" si="17"/>
        <v>Moderado</v>
      </c>
      <c r="AG10" s="71">
        <f t="shared" ref="AG10:AG11" si="19">IF(V10="","",IF(V10="preventivo",AG9,IF(V10="detectivo",AG9,IF(V10="correctivo",AG9-(AG9*Z10),""))))</f>
        <v>0.60000000000000009</v>
      </c>
      <c r="AH10" s="9" t="str">
        <f>VLOOKUP(AD10,[2]Calculos!$AB$2:$AG$7,MATCH([2]Riesgos!AF12,[2]Calculos!$AB$2:$AG$2,0),FALSE)</f>
        <v>Alto</v>
      </c>
      <c r="AI10" s="117"/>
      <c r="AJ10" s="135"/>
      <c r="AK10" s="115"/>
      <c r="AL10" s="136"/>
      <c r="AM10" s="93"/>
      <c r="AN10" s="143"/>
    </row>
    <row r="11" spans="1:40" ht="71.25" thickBot="1" x14ac:dyDescent="0.3">
      <c r="A11" s="233"/>
      <c r="B11" s="234"/>
      <c r="C11" s="235"/>
      <c r="D11" s="235"/>
      <c r="E11" s="235"/>
      <c r="F11" s="234"/>
      <c r="G11" s="234"/>
      <c r="H11" s="234"/>
      <c r="I11" s="234"/>
      <c r="J11" s="85"/>
      <c r="K11" s="85"/>
      <c r="L11" s="98"/>
      <c r="M11" s="98"/>
      <c r="N11" s="83"/>
      <c r="O11" s="83"/>
      <c r="P11" s="83"/>
      <c r="Q11" s="98"/>
      <c r="R11" s="191"/>
      <c r="S11" s="72">
        <v>4</v>
      </c>
      <c r="T11" s="76" t="s">
        <v>72</v>
      </c>
      <c r="U11" s="73" t="str">
        <f t="shared" si="11"/>
        <v>Probabilidad</v>
      </c>
      <c r="V11" s="75" t="s">
        <v>48</v>
      </c>
      <c r="W11" s="74">
        <f t="shared" si="12"/>
        <v>0.25</v>
      </c>
      <c r="X11" s="74" t="s">
        <v>55</v>
      </c>
      <c r="Y11" s="74">
        <f t="shared" si="13"/>
        <v>0.15</v>
      </c>
      <c r="Z11" s="74">
        <f>W11+Y11</f>
        <v>0.4</v>
      </c>
      <c r="AA11" s="75" t="s">
        <v>50</v>
      </c>
      <c r="AB11" s="75" t="s">
        <v>51</v>
      </c>
      <c r="AC11" s="75" t="s">
        <v>52</v>
      </c>
      <c r="AD11" s="75" t="str">
        <f t="shared" si="15"/>
        <v>Muy baja</v>
      </c>
      <c r="AE11" s="129">
        <f t="shared" ref="AE11" si="20">IF(V11="","",IF(V11="preventivo",AE9-(AE9*Z11),IF(V11="detectivo",AE9-(AE9*Z11),IF(V11="correctivo",AE9,""))))</f>
        <v>0</v>
      </c>
      <c r="AF11" s="75" t="str">
        <f t="shared" si="17"/>
        <v>Moderado</v>
      </c>
      <c r="AG11" s="192">
        <f t="shared" si="19"/>
        <v>0.60000000000000009</v>
      </c>
      <c r="AH11" s="73" t="str">
        <f>VLOOKUP(AD11,[2]Calculos!$AB$2:$AG$7,MATCH([2]Riesgos!AF13,[2]Calculos!$AB$2:$AG$2,0),FALSE)</f>
        <v>Moderado</v>
      </c>
      <c r="AI11" s="88"/>
      <c r="AJ11" s="193"/>
      <c r="AK11" s="194"/>
      <c r="AL11" s="195"/>
      <c r="AM11" s="83"/>
      <c r="AN11" s="196"/>
    </row>
    <row r="12" spans="1:40" ht="65.25" customHeight="1" x14ac:dyDescent="0.25">
      <c r="A12" s="227" t="s">
        <v>246</v>
      </c>
      <c r="B12" s="236" t="s">
        <v>42</v>
      </c>
      <c r="C12" s="229" t="s">
        <v>247</v>
      </c>
      <c r="D12" s="229" t="s">
        <v>248</v>
      </c>
      <c r="E12" s="229" t="s">
        <v>249</v>
      </c>
      <c r="F12" s="229" t="s">
        <v>250</v>
      </c>
      <c r="G12" s="228" t="s">
        <v>43</v>
      </c>
      <c r="H12" s="228" t="s">
        <v>44</v>
      </c>
      <c r="I12" s="228" t="s">
        <v>182</v>
      </c>
      <c r="J12" s="198">
        <v>975</v>
      </c>
      <c r="K12" s="82" t="str">
        <f>IF(J12="","",IF(J12&lt;=2,"Muy baja",IF(AND(J12&gt;2,J12&lt;=24),"Baja",IF(AND(J12&gt;24,J12&lt;=500),"Media",IF(AND(J12&gt;500,J12&lt;=5000),"Alta",IF(J12&gt;5000,"Muy alta",""))))))</f>
        <v>Alta</v>
      </c>
      <c r="L12" s="96">
        <f>IF(K12="","",IF(K12="Muy baja",20%,IF(K12="Baja",40%,IF(K12="Media",60%,IF(K12="Alta",80%,IF(K12="Muy Alta",100%,""))))))</f>
        <v>0.8</v>
      </c>
      <c r="M12" s="199" t="s">
        <v>42</v>
      </c>
      <c r="N12" s="80" t="s">
        <v>251</v>
      </c>
      <c r="O12" s="80">
        <f>MATCH(N12,[1]Calculos!$P$2:$P$11,0)</f>
        <v>8</v>
      </c>
      <c r="P12" s="80" t="str">
        <f>LOOKUP(O12,[1]Calculos!$Q$2:$R$11)</f>
        <v>Moderado</v>
      </c>
      <c r="Q12" s="96">
        <f>IF(P12="","",IF(P12="Leve",20%,IF(P12="Menor",40%,IF(P12="Moderado",60%,IF(P12="Mayor",80%,IF(P12="Catastrófico",100%,""))))))</f>
        <v>0.6</v>
      </c>
      <c r="R12" s="200" t="s">
        <v>177</v>
      </c>
      <c r="S12" s="63">
        <v>1</v>
      </c>
      <c r="T12" s="64" t="s">
        <v>252</v>
      </c>
      <c r="U12" s="65" t="str">
        <f>IF(V12="","",IF(V12="Preventivo","Probabilidad",IF(V12="Detectivo","Probabilidad",IF(V12="Correctivo","Impacto",""))))</f>
        <v>Probabilidad</v>
      </c>
      <c r="V12" s="66" t="s">
        <v>48</v>
      </c>
      <c r="W12" s="67">
        <f t="shared" ref="W12:W15" si="21">IF(V12="","",IF(V12="preventivo",25%,IF(V12="detectivo",15%,IF(V12="correctivo",10%,""))))</f>
        <v>0.25</v>
      </c>
      <c r="X12" s="66" t="s">
        <v>55</v>
      </c>
      <c r="Y12" s="67">
        <f t="shared" ref="Y12:Y15" si="22">IF(X12="","",IF(X12="Automático",25%,IF(X12="manual",15%,"")))</f>
        <v>0.15</v>
      </c>
      <c r="Z12" s="67">
        <f>W12+Y12</f>
        <v>0.4</v>
      </c>
      <c r="AA12" s="66" t="s">
        <v>56</v>
      </c>
      <c r="AB12" s="66" t="s">
        <v>51</v>
      </c>
      <c r="AC12" s="66" t="s">
        <v>52</v>
      </c>
      <c r="AD12" s="66" t="str">
        <f>IF(AE12="","",IF(AE12&lt;=20%,"Muy baja",IF(AND(AE12&gt;20%,AE12&lt;=40%),"Baja",IF(AND(AE12&gt;40%,AE12&lt;=60%),"Media",IF(AND(AE12&gt;60%,AE12&lt;=80%),"Alta",IF(AE12&gt;80%,"Muy alta",""))))))</f>
        <v>Media</v>
      </c>
      <c r="AE12" s="68">
        <v>0.48</v>
      </c>
      <c r="AF12" s="66" t="str">
        <f>IF(AG12="","",IF(AG12&lt;=20%,"Leve",IF(AND(AG12&gt;20%,AG12&lt;=40%),"Menor",IF(AND(AG12&gt;40%,AG12&lt;=60%),"Moderado",IF(AND(AG12&gt;60%,AG12&lt;=80%),"Mayor",IF(AG12&gt;80%,"Catastrófico",""))))))</f>
        <v>Moderado</v>
      </c>
      <c r="AG12" s="68">
        <v>0.6</v>
      </c>
      <c r="AH12" s="65" t="s">
        <v>148</v>
      </c>
      <c r="AI12" s="86" t="s">
        <v>253</v>
      </c>
      <c r="AJ12" s="81" t="s">
        <v>254</v>
      </c>
      <c r="AK12" s="80" t="s">
        <v>255</v>
      </c>
      <c r="AL12" s="201">
        <v>45657</v>
      </c>
      <c r="AM12" s="81" t="s">
        <v>256</v>
      </c>
      <c r="AN12" s="190" t="s">
        <v>257</v>
      </c>
    </row>
    <row r="13" spans="1:40" ht="49.5" customHeight="1" x14ac:dyDescent="0.25">
      <c r="A13" s="230"/>
      <c r="B13" s="237"/>
      <c r="C13" s="232"/>
      <c r="D13" s="232"/>
      <c r="E13" s="232"/>
      <c r="F13" s="232"/>
      <c r="G13" s="231"/>
      <c r="H13" s="231"/>
      <c r="I13" s="231"/>
      <c r="J13" s="116"/>
      <c r="K13" s="95"/>
      <c r="L13" s="97"/>
      <c r="M13" s="137"/>
      <c r="N13" s="93"/>
      <c r="O13" s="93"/>
      <c r="P13" s="93"/>
      <c r="Q13" s="97"/>
      <c r="R13" s="138"/>
      <c r="S13" s="22">
        <v>2</v>
      </c>
      <c r="T13" s="5" t="s">
        <v>258</v>
      </c>
      <c r="U13" s="9" t="str">
        <f t="shared" ref="U13:U15" si="23">IF(V13="","",IF(V13="Preventivo","Probabilidad",IF(V13="Detectivo","Probabilidad",IF(V13="Correctivo","Impacto",""))))</f>
        <v>Probabilidad</v>
      </c>
      <c r="V13" s="70" t="s">
        <v>48</v>
      </c>
      <c r="W13" s="69">
        <f t="shared" si="21"/>
        <v>0.25</v>
      </c>
      <c r="X13" s="70" t="s">
        <v>55</v>
      </c>
      <c r="Y13" s="69">
        <f t="shared" si="22"/>
        <v>0.15</v>
      </c>
      <c r="Z13" s="69">
        <f t="shared" ref="Z13:Z15" si="24">W13+Y13</f>
        <v>0.4</v>
      </c>
      <c r="AA13" s="70" t="s">
        <v>56</v>
      </c>
      <c r="AB13" s="70" t="s">
        <v>51</v>
      </c>
      <c r="AC13" s="70" t="s">
        <v>52</v>
      </c>
      <c r="AD13" s="70" t="str">
        <f>IF(AE13="","",IF(AE13&lt;=20%,"Muy baja",IF(AND(AE13&gt;20%,AE13&lt;=40%),"Baja",IF(AND(AE13&gt;40%,AE13&lt;=60%),"Media",IF(AND(AE13&gt;60%,AE13&lt;=80%),"Alta",IF(AE13&gt;80%,"Muy alta",""))))))</f>
        <v>Baja</v>
      </c>
      <c r="AE13" s="71">
        <v>0.28799999999999998</v>
      </c>
      <c r="AF13" s="70" t="str">
        <f t="shared" ref="AF13:AF15" si="25">IF(AG13="","",IF(AG13&lt;=20%,"Leve",IF(AND(AG13&gt;20%,AG13&lt;=40%),"Menor",IF(AND(AG13&gt;40%,AG13&lt;=60%),"Moderado",IF(AND(AG13&gt;60%,AG13&lt;=80%),"Mayor",IF(AG13&gt;80%,"Catastrófico",""))))))</f>
        <v>Moderado</v>
      </c>
      <c r="AG13" s="71">
        <v>0.6</v>
      </c>
      <c r="AH13" s="9" t="s">
        <v>148</v>
      </c>
      <c r="AI13" s="117"/>
      <c r="AJ13" s="94"/>
      <c r="AK13" s="93"/>
      <c r="AL13" s="139"/>
      <c r="AM13" s="140"/>
      <c r="AN13" s="144"/>
    </row>
    <row r="14" spans="1:40" ht="49.5" customHeight="1" x14ac:dyDescent="0.25">
      <c r="A14" s="230"/>
      <c r="B14" s="237"/>
      <c r="C14" s="232"/>
      <c r="D14" s="232"/>
      <c r="E14" s="232"/>
      <c r="F14" s="232"/>
      <c r="G14" s="231"/>
      <c r="H14" s="231"/>
      <c r="I14" s="231"/>
      <c r="J14" s="116"/>
      <c r="K14" s="95"/>
      <c r="L14" s="97"/>
      <c r="M14" s="137"/>
      <c r="N14" s="93"/>
      <c r="O14" s="93"/>
      <c r="P14" s="93"/>
      <c r="Q14" s="97"/>
      <c r="R14" s="138"/>
      <c r="S14" s="22">
        <v>3</v>
      </c>
      <c r="T14" s="5" t="s">
        <v>259</v>
      </c>
      <c r="U14" s="9" t="str">
        <f t="shared" si="23"/>
        <v>Probabilidad</v>
      </c>
      <c r="V14" s="70" t="s">
        <v>48</v>
      </c>
      <c r="W14" s="69">
        <f t="shared" si="21"/>
        <v>0.25</v>
      </c>
      <c r="X14" s="70" t="s">
        <v>55</v>
      </c>
      <c r="Y14" s="69">
        <f t="shared" si="22"/>
        <v>0.15</v>
      </c>
      <c r="Z14" s="69">
        <f t="shared" si="24"/>
        <v>0.4</v>
      </c>
      <c r="AA14" s="70" t="s">
        <v>56</v>
      </c>
      <c r="AB14" s="70" t="s">
        <v>51</v>
      </c>
      <c r="AC14" s="70" t="s">
        <v>52</v>
      </c>
      <c r="AD14" s="70" t="str">
        <f>IF(AE14="","",IF(AE14&lt;=20%,"Muy baja",IF(AND(AE14&gt;20%,AE14&lt;=40%),"Baja",IF(AND(AE14&gt;40%,AE14&lt;=60%),"Media",IF(AND(AE14&gt;60%,AE14&lt;=80%),"Alta",IF(AE14&gt;80%,"Muy alta",""))))))</f>
        <v>Muy baja</v>
      </c>
      <c r="AE14" s="71">
        <v>0.17279999999999998</v>
      </c>
      <c r="AF14" s="70" t="str">
        <f t="shared" si="25"/>
        <v>Moderado</v>
      </c>
      <c r="AG14" s="71">
        <v>0.6</v>
      </c>
      <c r="AH14" s="9" t="s">
        <v>148</v>
      </c>
      <c r="AI14" s="117"/>
      <c r="AJ14" s="94"/>
      <c r="AK14" s="93"/>
      <c r="AL14" s="139"/>
      <c r="AM14" s="140"/>
      <c r="AN14" s="144"/>
    </row>
    <row r="15" spans="1:40" ht="60.75" customHeight="1" thickBot="1" x14ac:dyDescent="0.3">
      <c r="A15" s="233"/>
      <c r="B15" s="238"/>
      <c r="C15" s="235"/>
      <c r="D15" s="235"/>
      <c r="E15" s="235"/>
      <c r="F15" s="235"/>
      <c r="G15" s="234"/>
      <c r="H15" s="234"/>
      <c r="I15" s="234"/>
      <c r="J15" s="202"/>
      <c r="K15" s="85"/>
      <c r="L15" s="98"/>
      <c r="M15" s="203"/>
      <c r="N15" s="83"/>
      <c r="O15" s="106"/>
      <c r="P15" s="83"/>
      <c r="Q15" s="98"/>
      <c r="R15" s="204"/>
      <c r="S15" s="72">
        <v>4</v>
      </c>
      <c r="T15" s="76" t="s">
        <v>260</v>
      </c>
      <c r="U15" s="73" t="str">
        <f t="shared" si="23"/>
        <v>Probabilidad</v>
      </c>
      <c r="V15" s="75" t="s">
        <v>48</v>
      </c>
      <c r="W15" s="74">
        <f t="shared" si="21"/>
        <v>0.25</v>
      </c>
      <c r="X15" s="75" t="s">
        <v>55</v>
      </c>
      <c r="Y15" s="74">
        <f t="shared" si="22"/>
        <v>0.15</v>
      </c>
      <c r="Z15" s="74">
        <f t="shared" si="24"/>
        <v>0.4</v>
      </c>
      <c r="AA15" s="75" t="s">
        <v>50</v>
      </c>
      <c r="AB15" s="75" t="s">
        <v>51</v>
      </c>
      <c r="AC15" s="75" t="s">
        <v>52</v>
      </c>
      <c r="AD15" s="75" t="str">
        <f>IF(AE15="","",IF(AE15&lt;=20%,"Muy baja",IF(AND(AE15&gt;20%,AE15&lt;=40%),"Baja",IF(AND(AE15&gt;40%,AE15&lt;=60%),"Media",IF(AND(AE15&gt;60%,AE15&lt;=80%),"Alta",IF(AE15&gt;80%,"Muy alta",""))))))</f>
        <v>Muy baja</v>
      </c>
      <c r="AE15" s="129">
        <v>0.10367999999999998</v>
      </c>
      <c r="AF15" s="75" t="str">
        <f t="shared" si="25"/>
        <v>Moderado</v>
      </c>
      <c r="AG15" s="129">
        <v>0.6</v>
      </c>
      <c r="AH15" s="73" t="s">
        <v>148</v>
      </c>
      <c r="AI15" s="88"/>
      <c r="AJ15" s="84"/>
      <c r="AK15" s="83"/>
      <c r="AL15" s="205"/>
      <c r="AM15" s="206"/>
      <c r="AN15" s="207"/>
    </row>
    <row r="16" spans="1:40" ht="70.5" customHeight="1" x14ac:dyDescent="0.25">
      <c r="A16" s="227" t="s">
        <v>261</v>
      </c>
      <c r="B16" s="228" t="s">
        <v>167</v>
      </c>
      <c r="C16" s="229" t="s">
        <v>262</v>
      </c>
      <c r="D16" s="229" t="s">
        <v>263</v>
      </c>
      <c r="E16" s="229" t="s">
        <v>264</v>
      </c>
      <c r="F16" s="229" t="s">
        <v>265</v>
      </c>
      <c r="G16" s="228" t="s">
        <v>43</v>
      </c>
      <c r="H16" s="228" t="s">
        <v>137</v>
      </c>
      <c r="I16" s="228" t="s">
        <v>45</v>
      </c>
      <c r="J16" s="82">
        <v>100</v>
      </c>
      <c r="K16" s="80" t="str">
        <f>IF(J16="","",IF(J16&lt;=2,"Muy baja",IF(AND(J16&gt;2,J16&lt;=24),"Baja",IF(AND(J16&gt;24,J16&lt;=500),"Media",IF(AND(J16&gt;500,J16&lt;=5000),"Alta",IF(J16&gt;5000,"Muy alta",""))))))</f>
        <v>Media</v>
      </c>
      <c r="L16" s="96">
        <f>IF(K16="","",IF(K16="Muy baja",20%,IF(K16="Baja",40%,IF(K16="Media",60%,IF(K16="Alta",80%,IF(K16="Muy Alta",100%,""))))))</f>
        <v>0.6</v>
      </c>
      <c r="M16" s="96" t="s">
        <v>42</v>
      </c>
      <c r="N16" s="190" t="s">
        <v>195</v>
      </c>
      <c r="O16" s="214">
        <f>MATCH(N16,Calculos!$U$2:$U$21,0)</f>
        <v>10</v>
      </c>
      <c r="P16" s="80" t="str">
        <f>LOOKUP(O16,Calculos!$V$2:$W$21)</f>
        <v>Catastrófico</v>
      </c>
      <c r="Q16" s="96">
        <f>IF(P16="","",IF(P16="Leve",20%,IF(P16="Menor",40%,IF(P16="Moderado",60%,IF(P16="Mayor",80%,IF(P16="Catastrófico",100%,""))))))</f>
        <v>1</v>
      </c>
      <c r="R16" s="82" t="str">
        <f>VLOOKUP(K16,Calculos!$AB$2:$AG$7,MATCH(Riesgos!P16,Calculos!$AB$2:$AG$2,0),FALSE)</f>
        <v>Extremo</v>
      </c>
      <c r="S16" s="63">
        <v>1</v>
      </c>
      <c r="T16" s="64" t="s">
        <v>266</v>
      </c>
      <c r="U16" s="65" t="str">
        <f>IF(V16="","",IF(V16="Preventivo","Probabilidad",IF(V16="Detectivo","Probabilidad",IF(V16="Correctivo","Impacto",""))))</f>
        <v>Probabilidad</v>
      </c>
      <c r="V16" s="66" t="s">
        <v>48</v>
      </c>
      <c r="W16" s="67">
        <f t="shared" ref="W16:W32" si="26">IF(V16="","",IF(V16="preventivo",25%,IF(V16="detectivo",15%,IF(V16="correctivo",10%,""))))</f>
        <v>0.25</v>
      </c>
      <c r="X16" s="66" t="s">
        <v>49</v>
      </c>
      <c r="Y16" s="67">
        <f t="shared" ref="Y16:Y32" si="27">IF(X16="","",IF(X16="Automático",25%,IF(X16="manual",15%,"")))</f>
        <v>0.25</v>
      </c>
      <c r="Z16" s="67">
        <f>W16+Y16</f>
        <v>0.5</v>
      </c>
      <c r="AA16" s="66" t="s">
        <v>50</v>
      </c>
      <c r="AB16" s="66" t="s">
        <v>51</v>
      </c>
      <c r="AC16" s="66" t="s">
        <v>52</v>
      </c>
      <c r="AD16" s="66" t="str">
        <f>IF(AE16="","",IF(AE16&lt;=20%,"Muy baja",IF(AND(AE16&gt;20%,AE16&lt;=40%),"Baja",IF(AND(AE16&gt;40%,AE16&lt;=60%),"Media",IF(AND(AE16&gt;60%,AE16&lt;=80%),"Alta",IF(AE16&gt;80%,"Muy alta",""))))))</f>
        <v>Baja</v>
      </c>
      <c r="AE16" s="68">
        <f>IF(V16="","",IF(V16="preventivo",$L$8-($L$8*Z16),IF(V16="detectivo",$L$8-($L$8*Z16),IF(V16="correctivo",$L$8,""))))</f>
        <v>0.3</v>
      </c>
      <c r="AF16" s="66" t="str">
        <f>IF(AG16="","",IF(AG16&lt;=20%,"Leve",IF(AND(AG16&gt;20%,AG16&lt;=40%),"Menor",IF(AND(AG16&gt;40%,AG16&lt;=60%),"Moderado",IF(AND(AG16&gt;60%,AG16&lt;=80%),"Mayor",IF(AG16&gt;80%,"Catastrófico",""))))))</f>
        <v>Catastrófico</v>
      </c>
      <c r="AG16" s="68">
        <f>IF(V16="","",IF(V16="preventivo",Q16,IF(V16="detectivo",Q16,IF(V16="correctivo",Q16-(Q16*Z16),""))))</f>
        <v>1</v>
      </c>
      <c r="AH16" s="65" t="str">
        <f>VLOOKUP(AD16,Calculos!$AB$2:$AG$7,MATCH(Riesgos!AF16,Calculos!$AB$2:$AG$2,0),FALSE)</f>
        <v>Extremo</v>
      </c>
      <c r="AI16" s="86" t="s">
        <v>267</v>
      </c>
      <c r="AJ16" s="210" t="s">
        <v>272</v>
      </c>
      <c r="AK16" s="187" t="s">
        <v>268</v>
      </c>
      <c r="AL16" s="211">
        <v>45627</v>
      </c>
      <c r="AM16" s="81" t="s">
        <v>269</v>
      </c>
      <c r="AN16" s="190" t="s">
        <v>270</v>
      </c>
    </row>
    <row r="17" spans="1:40" ht="71.25" thickBot="1" x14ac:dyDescent="0.3">
      <c r="A17" s="233"/>
      <c r="B17" s="234"/>
      <c r="C17" s="235"/>
      <c r="D17" s="235"/>
      <c r="E17" s="235"/>
      <c r="F17" s="235"/>
      <c r="G17" s="234"/>
      <c r="H17" s="234"/>
      <c r="I17" s="234"/>
      <c r="J17" s="85"/>
      <c r="K17" s="83"/>
      <c r="L17" s="98"/>
      <c r="M17" s="98"/>
      <c r="N17" s="196"/>
      <c r="O17" s="213"/>
      <c r="P17" s="83"/>
      <c r="Q17" s="98"/>
      <c r="R17" s="85"/>
      <c r="S17" s="72">
        <v>2</v>
      </c>
      <c r="T17" s="76" t="s">
        <v>271</v>
      </c>
      <c r="U17" s="73" t="str">
        <f>IF(V17="","",IF(V17="Preventivo","Probabilidad",IF(V17="Detectivo","Probabilidad",IF(V17="Correctivo","Impacto",""))))</f>
        <v>Probabilidad</v>
      </c>
      <c r="V17" s="75" t="s">
        <v>48</v>
      </c>
      <c r="W17" s="74">
        <f t="shared" si="26"/>
        <v>0.25</v>
      </c>
      <c r="X17" s="75" t="s">
        <v>55</v>
      </c>
      <c r="Y17" s="74">
        <f t="shared" si="27"/>
        <v>0.15</v>
      </c>
      <c r="Z17" s="74">
        <f t="shared" ref="Z17" si="28">W17+Y17</f>
        <v>0.4</v>
      </c>
      <c r="AA17" s="75" t="s">
        <v>50</v>
      </c>
      <c r="AB17" s="75" t="s">
        <v>51</v>
      </c>
      <c r="AC17" s="75" t="s">
        <v>52</v>
      </c>
      <c r="AD17" s="75" t="str">
        <f>IF(AE17="","",IF(AE17&lt;=20%,"Muy baja",IF(AND(AE17&gt;20%,AE17&lt;=40%),"Baja",IF(AND(AE17&gt;40%,AE17&lt;=60%),"Media",IF(AND(AE17&gt;60%,AE17&lt;=80%),"Alta",IF(AE17&gt;80%,"Muy alta",""))))))</f>
        <v>Muy baja</v>
      </c>
      <c r="AE17" s="129">
        <f>IF(V17="","",IF(V17="preventivo",AE16-(AE16*Z17),IF(V17="detectivo",AE16-(AE16*Z17),IF(V17="correctivo",AE16,""))))</f>
        <v>0.18</v>
      </c>
      <c r="AF17" s="75" t="str">
        <f t="shared" ref="AF17:AF26" si="29">IF(AG17="","",IF(AG17&lt;=20%,"Leve",IF(AND(AG17&gt;20%,AG17&lt;=40%),"Menor",IF(AND(AG17&gt;40%,AG17&lt;=60%),"Moderado",IF(AND(AG17&gt;60%,AG17&lt;=80%),"Mayor",IF(AG17&gt;80%,"Catastrófico",""))))))</f>
        <v>Catastrófico</v>
      </c>
      <c r="AG17" s="129">
        <f>IF(V17="","",IF(V17="preventivo",AG16,IF(V17="detectivo",AG16,IF(V17="correctivo",AG16-(AG16*Z17),""))))</f>
        <v>1</v>
      </c>
      <c r="AH17" s="73" t="str">
        <f>VLOOKUP(AD17,Calculos!$AB$2:$AG$7,MATCH(Riesgos!AF17,Calculos!$AB$2:$AG$2,0),FALSE)</f>
        <v>Extremo</v>
      </c>
      <c r="AI17" s="88"/>
      <c r="AJ17" s="212"/>
      <c r="AK17" s="193"/>
      <c r="AL17" s="83"/>
      <c r="AM17" s="84"/>
      <c r="AN17" s="196"/>
    </row>
    <row r="18" spans="1:40" ht="63" customHeight="1" x14ac:dyDescent="0.25">
      <c r="A18" s="239" t="s">
        <v>273</v>
      </c>
      <c r="B18" s="240" t="s">
        <v>167</v>
      </c>
      <c r="C18" s="241" t="s">
        <v>274</v>
      </c>
      <c r="D18" s="241" t="s">
        <v>275</v>
      </c>
      <c r="E18" s="241" t="s">
        <v>276</v>
      </c>
      <c r="F18" s="241" t="s">
        <v>277</v>
      </c>
      <c r="G18" s="240" t="s">
        <v>43</v>
      </c>
      <c r="H18" s="240" t="s">
        <v>63</v>
      </c>
      <c r="I18" s="240" t="s">
        <v>182</v>
      </c>
      <c r="J18" s="108">
        <v>24</v>
      </c>
      <c r="K18" s="108" t="str">
        <f>IF(J18="","",IF(J18&lt;=2,"Muy baja",IF(AND(J18&gt;2,J18&lt;=24),"Baja",IF(AND(J18&gt;24,J18&lt;=500),"Media",IF(AND(J18&gt;500,J18&lt;=5000),"Alta",IF(J18&gt;5000,"Muy alta",""))))))</f>
        <v>Baja</v>
      </c>
      <c r="L18" s="156">
        <f>IF(K18="","",IF(K18="Muy baja",20%,IF(K18="Baja",40%,IF(K18="Media",60%,IF(K18="Alta",80%,IF(K18="Muy Alta",100%,""))))))</f>
        <v>0.4</v>
      </c>
      <c r="M18" s="156" t="s">
        <v>42</v>
      </c>
      <c r="N18" s="90" t="s">
        <v>64</v>
      </c>
      <c r="O18" s="93"/>
      <c r="P18" s="90" t="s">
        <v>149</v>
      </c>
      <c r="Q18" s="156">
        <f>IF(P18="","",IF(P18="Leve",20%,IF(P18="Menor",40%,IF(P18="Moderado",60%,IF(P18="Mayor",80%,IF(P18="Catastrófico",100%,""))))))</f>
        <v>0.8</v>
      </c>
      <c r="R18" s="108" t="s">
        <v>177</v>
      </c>
      <c r="S18" s="109">
        <v>1</v>
      </c>
      <c r="T18" s="87" t="s">
        <v>278</v>
      </c>
      <c r="U18" s="110" t="str">
        <f t="shared" ref="U18:U23" si="30">IF(V18="","",IF(V18="Preventivo","Probabilidad",IF(V18="Detectivo","Probabilidad",IF(V18="Correctivo","Impacto",""))))</f>
        <v>Probabilidad</v>
      </c>
      <c r="V18" s="112" t="s">
        <v>48</v>
      </c>
      <c r="W18" s="113">
        <f t="shared" si="26"/>
        <v>0.25</v>
      </c>
      <c r="X18" s="112" t="s">
        <v>55</v>
      </c>
      <c r="Y18" s="113">
        <f t="shared" si="27"/>
        <v>0.15</v>
      </c>
      <c r="Z18" s="113">
        <f>W18+Y18</f>
        <v>0.4</v>
      </c>
      <c r="AA18" s="112" t="s">
        <v>56</v>
      </c>
      <c r="AB18" s="112" t="s">
        <v>51</v>
      </c>
      <c r="AC18" s="112" t="s">
        <v>279</v>
      </c>
      <c r="AD18" s="112" t="s">
        <v>158</v>
      </c>
      <c r="AE18" s="114">
        <v>0.24</v>
      </c>
      <c r="AF18" s="112" t="s">
        <v>149</v>
      </c>
      <c r="AG18" s="114">
        <v>0.8</v>
      </c>
      <c r="AH18" s="110" t="s">
        <v>163</v>
      </c>
      <c r="AI18" s="157" t="s">
        <v>53</v>
      </c>
      <c r="AJ18" s="87" t="s">
        <v>280</v>
      </c>
      <c r="AK18" s="87" t="s">
        <v>281</v>
      </c>
      <c r="AL18" s="208">
        <v>45657</v>
      </c>
      <c r="AM18" s="87" t="s">
        <v>282</v>
      </c>
      <c r="AN18" s="209" t="s">
        <v>283</v>
      </c>
    </row>
    <row r="19" spans="1:40" ht="120" x14ac:dyDescent="0.25">
      <c r="A19" s="230"/>
      <c r="B19" s="231"/>
      <c r="C19" s="232"/>
      <c r="D19" s="232"/>
      <c r="E19" s="232"/>
      <c r="F19" s="232"/>
      <c r="G19" s="231"/>
      <c r="H19" s="231"/>
      <c r="I19" s="231"/>
      <c r="J19" s="95"/>
      <c r="K19" s="95"/>
      <c r="L19" s="97"/>
      <c r="M19" s="97"/>
      <c r="N19" s="93"/>
      <c r="O19" s="93"/>
      <c r="P19" s="93"/>
      <c r="Q19" s="97"/>
      <c r="R19" s="95"/>
      <c r="S19" s="22">
        <v>2</v>
      </c>
      <c r="T19" s="5" t="s">
        <v>284</v>
      </c>
      <c r="U19" s="9" t="str">
        <f t="shared" si="30"/>
        <v>Probabilidad</v>
      </c>
      <c r="V19" s="70" t="s">
        <v>48</v>
      </c>
      <c r="W19" s="69">
        <f t="shared" si="26"/>
        <v>0.25</v>
      </c>
      <c r="X19" s="70" t="s">
        <v>55</v>
      </c>
      <c r="Y19" s="69">
        <f t="shared" si="27"/>
        <v>0.15</v>
      </c>
      <c r="Z19" s="69">
        <f t="shared" ref="Z19:Z20" si="31">W19+Y19</f>
        <v>0.4</v>
      </c>
      <c r="AA19" s="70" t="s">
        <v>56</v>
      </c>
      <c r="AB19" s="70" t="s">
        <v>51</v>
      </c>
      <c r="AC19" s="70" t="s">
        <v>52</v>
      </c>
      <c r="AD19" s="70" t="s">
        <v>140</v>
      </c>
      <c r="AE19" s="71">
        <v>0.14399999999999999</v>
      </c>
      <c r="AF19" s="70" t="s">
        <v>292</v>
      </c>
      <c r="AG19" s="71">
        <v>0.8</v>
      </c>
      <c r="AH19" s="9" t="s">
        <v>163</v>
      </c>
      <c r="AI19" s="117"/>
      <c r="AJ19" s="5" t="s">
        <v>285</v>
      </c>
      <c r="AK19" s="5" t="s">
        <v>281</v>
      </c>
      <c r="AL19" s="107">
        <v>45657</v>
      </c>
      <c r="AM19" s="99" t="s">
        <v>286</v>
      </c>
      <c r="AN19" s="100" t="s">
        <v>287</v>
      </c>
    </row>
    <row r="20" spans="1:40" ht="123" customHeight="1" thickBot="1" x14ac:dyDescent="0.3">
      <c r="A20" s="233"/>
      <c r="B20" s="234"/>
      <c r="C20" s="235"/>
      <c r="D20" s="235"/>
      <c r="E20" s="235"/>
      <c r="F20" s="235"/>
      <c r="G20" s="234"/>
      <c r="H20" s="234"/>
      <c r="I20" s="234"/>
      <c r="J20" s="85"/>
      <c r="K20" s="85"/>
      <c r="L20" s="98"/>
      <c r="M20" s="98"/>
      <c r="N20" s="83"/>
      <c r="O20" s="83"/>
      <c r="P20" s="83"/>
      <c r="Q20" s="98"/>
      <c r="R20" s="85"/>
      <c r="S20" s="72">
        <v>3</v>
      </c>
      <c r="T20" s="76" t="s">
        <v>288</v>
      </c>
      <c r="U20" s="73" t="str">
        <f t="shared" si="30"/>
        <v>Probabilidad</v>
      </c>
      <c r="V20" s="75" t="s">
        <v>48</v>
      </c>
      <c r="W20" s="74">
        <f t="shared" si="26"/>
        <v>0.25</v>
      </c>
      <c r="X20" s="75" t="s">
        <v>55</v>
      </c>
      <c r="Y20" s="74">
        <f t="shared" si="27"/>
        <v>0.15</v>
      </c>
      <c r="Z20" s="74">
        <f t="shared" si="31"/>
        <v>0.4</v>
      </c>
      <c r="AA20" s="75" t="s">
        <v>56</v>
      </c>
      <c r="AB20" s="75" t="s">
        <v>51</v>
      </c>
      <c r="AC20" s="75" t="s">
        <v>52</v>
      </c>
      <c r="AD20" s="75" t="s">
        <v>140</v>
      </c>
      <c r="AE20" s="129">
        <v>8.6399999999999991E-2</v>
      </c>
      <c r="AF20" s="75" t="str">
        <f t="shared" si="29"/>
        <v>Mayor</v>
      </c>
      <c r="AG20" s="129">
        <v>0.8</v>
      </c>
      <c r="AH20" s="73" t="s">
        <v>163</v>
      </c>
      <c r="AI20" s="88"/>
      <c r="AJ20" s="76" t="s">
        <v>289</v>
      </c>
      <c r="AK20" s="76" t="s">
        <v>281</v>
      </c>
      <c r="AL20" s="215">
        <v>45657</v>
      </c>
      <c r="AM20" s="102" t="s">
        <v>290</v>
      </c>
      <c r="AN20" s="103" t="s">
        <v>291</v>
      </c>
    </row>
    <row r="21" spans="1:40" ht="135.75" customHeight="1" x14ac:dyDescent="0.25">
      <c r="A21" s="227" t="s">
        <v>348</v>
      </c>
      <c r="B21" s="228" t="s">
        <v>42</v>
      </c>
      <c r="C21" s="229" t="s">
        <v>349</v>
      </c>
      <c r="D21" s="229" t="s">
        <v>350</v>
      </c>
      <c r="E21" s="242" t="s">
        <v>351</v>
      </c>
      <c r="F21" s="229" t="s">
        <v>352</v>
      </c>
      <c r="G21" s="228" t="s">
        <v>43</v>
      </c>
      <c r="H21" s="228" t="s">
        <v>44</v>
      </c>
      <c r="I21" s="228" t="s">
        <v>182</v>
      </c>
      <c r="J21" s="82">
        <v>261</v>
      </c>
      <c r="K21" s="82" t="str">
        <f>IF(J21="","",IF(J21&lt;=2,"Muy baja",IF(AND(J21&gt;2,J21&lt;=24),"Baja",IF(AND(J21&gt;24,J21&lt;=500),"Media",IF(AND(J21&gt;500,J21&lt;=5000),"Alta",IF(J21&gt;5000,"Muy alta",""))))))</f>
        <v>Media</v>
      </c>
      <c r="L21" s="96">
        <f>IF(K21="","",IF(K21="Muy baja",20%,IF(K21="Baja",40%,IF(K21="Media",60%,IF(K21="Alta",80%,IF(K21="Muy Alta",100%,""))))))</f>
        <v>0.6</v>
      </c>
      <c r="M21" s="96" t="s">
        <v>42</v>
      </c>
      <c r="N21" s="80" t="s">
        <v>195</v>
      </c>
      <c r="O21" s="104"/>
      <c r="P21" s="80" t="s">
        <v>150</v>
      </c>
      <c r="Q21" s="96">
        <v>1</v>
      </c>
      <c r="R21" s="82" t="s">
        <v>164</v>
      </c>
      <c r="S21" s="63">
        <v>1</v>
      </c>
      <c r="T21" s="123" t="s">
        <v>353</v>
      </c>
      <c r="U21" s="65" t="str">
        <f t="shared" si="30"/>
        <v>Probabilidad</v>
      </c>
      <c r="V21" s="66" t="s">
        <v>66</v>
      </c>
      <c r="W21" s="67">
        <f t="shared" si="26"/>
        <v>0.15</v>
      </c>
      <c r="X21" s="66" t="s">
        <v>55</v>
      </c>
      <c r="Y21" s="67">
        <f t="shared" si="27"/>
        <v>0.15</v>
      </c>
      <c r="Z21" s="67">
        <f>W21+Y21</f>
        <v>0.3</v>
      </c>
      <c r="AA21" s="66" t="s">
        <v>56</v>
      </c>
      <c r="AB21" s="66" t="s">
        <v>51</v>
      </c>
      <c r="AC21" s="66" t="s">
        <v>354</v>
      </c>
      <c r="AD21" s="66" t="str">
        <f t="shared" ref="AD21:AD23" si="32">IF(AE21="","",IF(AE21&lt;=20%,"Muy baja",IF(AND(AE21&gt;20%,AE21&lt;=40%),"Baja",IF(AND(AE21&gt;40%,AE21&lt;=60%),"Media",IF(AND(AE21&gt;60%,AE21&lt;=80%),"Alta",IF(AE21&gt;80%,"Muy alta",""))))))</f>
        <v>Media</v>
      </c>
      <c r="AE21" s="68">
        <v>0.42</v>
      </c>
      <c r="AF21" s="66" t="str">
        <f t="shared" si="29"/>
        <v>Catastrófico</v>
      </c>
      <c r="AG21" s="68">
        <v>1</v>
      </c>
      <c r="AH21" s="65" t="s">
        <v>164</v>
      </c>
      <c r="AI21" s="86" t="s">
        <v>267</v>
      </c>
      <c r="AJ21" s="124" t="s">
        <v>355</v>
      </c>
      <c r="AK21" s="124" t="s">
        <v>356</v>
      </c>
      <c r="AL21" s="124" t="s">
        <v>357</v>
      </c>
      <c r="AM21" s="124" t="s">
        <v>358</v>
      </c>
      <c r="AN21" s="125" t="s">
        <v>359</v>
      </c>
    </row>
    <row r="22" spans="1:40" ht="60" customHeight="1" x14ac:dyDescent="0.25">
      <c r="A22" s="230"/>
      <c r="B22" s="231"/>
      <c r="C22" s="232"/>
      <c r="D22" s="232"/>
      <c r="E22" s="243"/>
      <c r="F22" s="232"/>
      <c r="G22" s="231"/>
      <c r="H22" s="231"/>
      <c r="I22" s="231"/>
      <c r="J22" s="95"/>
      <c r="K22" s="95"/>
      <c r="L22" s="97"/>
      <c r="M22" s="97"/>
      <c r="N22" s="93"/>
      <c r="O22" s="105"/>
      <c r="P22" s="93"/>
      <c r="Q22" s="97"/>
      <c r="R22" s="95"/>
      <c r="S22" s="22">
        <v>2</v>
      </c>
      <c r="T22" s="111" t="s">
        <v>360</v>
      </c>
      <c r="U22" s="9" t="str">
        <f t="shared" si="30"/>
        <v>Impacto</v>
      </c>
      <c r="V22" s="70" t="s">
        <v>57</v>
      </c>
      <c r="W22" s="69">
        <f t="shared" si="26"/>
        <v>0.1</v>
      </c>
      <c r="X22" s="70" t="s">
        <v>55</v>
      </c>
      <c r="Y22" s="69">
        <f t="shared" si="27"/>
        <v>0.15</v>
      </c>
      <c r="Z22" s="69">
        <f t="shared" ref="Z22:Z23" si="33">W22+Y22</f>
        <v>0.25</v>
      </c>
      <c r="AA22" s="70" t="s">
        <v>50</v>
      </c>
      <c r="AB22" s="70" t="s">
        <v>301</v>
      </c>
      <c r="AC22" s="70" t="s">
        <v>52</v>
      </c>
      <c r="AD22" s="70" t="str">
        <f t="shared" si="32"/>
        <v>Media</v>
      </c>
      <c r="AE22" s="71">
        <v>0.42</v>
      </c>
      <c r="AF22" s="70" t="str">
        <f t="shared" si="29"/>
        <v>Mayor</v>
      </c>
      <c r="AG22" s="71">
        <v>0.75</v>
      </c>
      <c r="AH22" s="9" t="s">
        <v>163</v>
      </c>
      <c r="AI22" s="117"/>
      <c r="AJ22" s="126" t="s">
        <v>361</v>
      </c>
      <c r="AK22" s="126" t="s">
        <v>356</v>
      </c>
      <c r="AL22" s="126" t="s">
        <v>362</v>
      </c>
      <c r="AM22" s="126" t="s">
        <v>363</v>
      </c>
      <c r="AN22" s="127"/>
    </row>
    <row r="23" spans="1:40" ht="76.5" customHeight="1" thickBot="1" x14ac:dyDescent="0.3">
      <c r="A23" s="233"/>
      <c r="B23" s="234"/>
      <c r="C23" s="235"/>
      <c r="D23" s="235"/>
      <c r="E23" s="244"/>
      <c r="F23" s="235"/>
      <c r="G23" s="234"/>
      <c r="H23" s="234"/>
      <c r="I23" s="234"/>
      <c r="J23" s="85"/>
      <c r="K23" s="85"/>
      <c r="L23" s="98"/>
      <c r="M23" s="98"/>
      <c r="N23" s="83"/>
      <c r="O23" s="106"/>
      <c r="P23" s="83"/>
      <c r="Q23" s="98"/>
      <c r="R23" s="85"/>
      <c r="S23" s="72">
        <v>3</v>
      </c>
      <c r="T23" s="128" t="s">
        <v>364</v>
      </c>
      <c r="U23" s="73" t="str">
        <f t="shared" si="30"/>
        <v>Probabilidad</v>
      </c>
      <c r="V23" s="75" t="s">
        <v>48</v>
      </c>
      <c r="W23" s="74">
        <f t="shared" si="26"/>
        <v>0.25</v>
      </c>
      <c r="X23" s="75" t="s">
        <v>55</v>
      </c>
      <c r="Y23" s="74">
        <f t="shared" si="27"/>
        <v>0.15</v>
      </c>
      <c r="Z23" s="74">
        <f t="shared" si="33"/>
        <v>0.4</v>
      </c>
      <c r="AA23" s="75" t="s">
        <v>56</v>
      </c>
      <c r="AB23" s="75" t="s">
        <v>301</v>
      </c>
      <c r="AC23" s="75" t="s">
        <v>52</v>
      </c>
      <c r="AD23" s="75" t="str">
        <f t="shared" si="32"/>
        <v>Baja</v>
      </c>
      <c r="AE23" s="129">
        <v>0.252</v>
      </c>
      <c r="AF23" s="75" t="str">
        <f t="shared" si="29"/>
        <v>Mayor</v>
      </c>
      <c r="AG23" s="129">
        <v>0.75</v>
      </c>
      <c r="AH23" s="73" t="s">
        <v>163</v>
      </c>
      <c r="AI23" s="88"/>
      <c r="AJ23" s="130" t="s">
        <v>365</v>
      </c>
      <c r="AK23" s="130" t="s">
        <v>356</v>
      </c>
      <c r="AL23" s="217" t="s">
        <v>314</v>
      </c>
      <c r="AM23" s="130" t="s">
        <v>363</v>
      </c>
      <c r="AN23" s="131" t="s">
        <v>366</v>
      </c>
    </row>
    <row r="24" spans="1:40" ht="70.5" x14ac:dyDescent="0.25">
      <c r="A24" s="227" t="s">
        <v>293</v>
      </c>
      <c r="B24" s="228" t="s">
        <v>42</v>
      </c>
      <c r="C24" s="229" t="s">
        <v>294</v>
      </c>
      <c r="D24" s="229" t="s">
        <v>295</v>
      </c>
      <c r="E24" s="229" t="s">
        <v>296</v>
      </c>
      <c r="F24" s="229" t="s">
        <v>297</v>
      </c>
      <c r="G24" s="228" t="s">
        <v>43</v>
      </c>
      <c r="H24" s="228" t="s">
        <v>63</v>
      </c>
      <c r="I24" s="228" t="s">
        <v>45</v>
      </c>
      <c r="J24" s="82">
        <v>365</v>
      </c>
      <c r="K24" s="82" t="str">
        <f t="shared" ref="K24" si="34">IF(J24="","",IF(J24&lt;=2,"Muy baja",IF(AND(J24&gt;2,J24&lt;=24),"Baja",IF(AND(J24&gt;24,J24&lt;=500),"Media",IF(AND(J24&gt;500,J24&lt;=5000),"Alta",IF(J24&gt;5000,"Muy alta",""))))))</f>
        <v>Media</v>
      </c>
      <c r="L24" s="96">
        <f t="shared" ref="L24" si="35">IF(K24="","",IF(K24="Muy baja",20%,IF(K24="Baja",40%,IF(K24="Media",60%,IF(K24="Alta",80%,IF(K24="Muy Alta",100%,""))))))</f>
        <v>0.6</v>
      </c>
      <c r="M24" s="96" t="s">
        <v>42</v>
      </c>
      <c r="N24" s="190" t="s">
        <v>64</v>
      </c>
      <c r="O24" s="214">
        <f>MATCH(N24,[2]Calculos!$U$2:$U$21,0)</f>
        <v>9</v>
      </c>
      <c r="P24" s="80" t="str">
        <f>LOOKUP(O24,[2]Calculos!$V$2:$W$21)</f>
        <v>Mayor</v>
      </c>
      <c r="Q24" s="96">
        <f t="shared" ref="Q24" si="36">IF(P24="","",IF(P24="Leve",20%,IF(P24="Menor",40%,IF(P24="Moderado",60%,IF(P24="Mayor",80%,IF(P24="Catastrófico",100%,""))))))</f>
        <v>0.8</v>
      </c>
      <c r="R24" s="186" t="s">
        <v>177</v>
      </c>
      <c r="S24" s="63">
        <v>1</v>
      </c>
      <c r="T24" s="123" t="s">
        <v>298</v>
      </c>
      <c r="U24" s="65" t="str">
        <f>IF(V24="","",IF(V24="Preventivo","Probabilidad",IF(V24="Detectivo","Probabilidad",IF(V24="Correctivo","Impacto",""))))</f>
        <v>Probabilidad</v>
      </c>
      <c r="V24" s="66" t="s">
        <v>66</v>
      </c>
      <c r="W24" s="67">
        <f t="shared" si="26"/>
        <v>0.15</v>
      </c>
      <c r="X24" s="66" t="s">
        <v>55</v>
      </c>
      <c r="Y24" s="67">
        <f t="shared" si="27"/>
        <v>0.15</v>
      </c>
      <c r="Z24" s="67">
        <f>W24+Y24</f>
        <v>0.3</v>
      </c>
      <c r="AA24" s="66" t="s">
        <v>50</v>
      </c>
      <c r="AB24" s="66" t="s">
        <v>301</v>
      </c>
      <c r="AC24" s="66" t="s">
        <v>52</v>
      </c>
      <c r="AD24" s="66" t="str">
        <f t="shared" ref="AD24:AD26" si="37">IF(AE24="","",IF(AE24&lt;=20%,"Muy baja",IF(AND(AE24&gt;20%,AE24&lt;=40%),"Baja",IF(AND(AE24&gt;40%,AE24&lt;=60%),"Media",IF(AND(AE24&gt;60%,AE24&lt;=80%),"Alta",IF(AE24&gt;80%,"Muy alta",""))))))</f>
        <v>Media</v>
      </c>
      <c r="AE24" s="68">
        <v>0.42</v>
      </c>
      <c r="AF24" s="66" t="str">
        <f t="shared" si="29"/>
        <v>Mayor</v>
      </c>
      <c r="AG24" s="68">
        <v>0.8</v>
      </c>
      <c r="AH24" s="65" t="s">
        <v>163</v>
      </c>
      <c r="AI24" s="86" t="s">
        <v>53</v>
      </c>
      <c r="AJ24" s="218" t="s">
        <v>302</v>
      </c>
      <c r="AK24" s="188" t="s">
        <v>303</v>
      </c>
      <c r="AL24" s="219">
        <v>45627</v>
      </c>
      <c r="AM24" s="81" t="s">
        <v>304</v>
      </c>
      <c r="AN24" s="220" t="s">
        <v>305</v>
      </c>
    </row>
    <row r="25" spans="1:40" ht="70.5" x14ac:dyDescent="0.25">
      <c r="A25" s="230"/>
      <c r="B25" s="231"/>
      <c r="C25" s="232"/>
      <c r="D25" s="232"/>
      <c r="E25" s="232"/>
      <c r="F25" s="232"/>
      <c r="G25" s="231"/>
      <c r="H25" s="231"/>
      <c r="I25" s="231"/>
      <c r="J25" s="95"/>
      <c r="K25" s="95"/>
      <c r="L25" s="97"/>
      <c r="M25" s="97"/>
      <c r="N25" s="143"/>
      <c r="O25" s="213"/>
      <c r="P25" s="93"/>
      <c r="Q25" s="97"/>
      <c r="R25" s="134"/>
      <c r="S25" s="22">
        <v>2</v>
      </c>
      <c r="T25" s="111" t="s">
        <v>299</v>
      </c>
      <c r="U25" s="9" t="s">
        <v>129</v>
      </c>
      <c r="V25" s="70" t="s">
        <v>48</v>
      </c>
      <c r="W25" s="69">
        <f t="shared" si="26"/>
        <v>0.25</v>
      </c>
      <c r="X25" s="70" t="s">
        <v>55</v>
      </c>
      <c r="Y25" s="69">
        <f t="shared" si="27"/>
        <v>0.15</v>
      </c>
      <c r="Z25" s="69">
        <f t="shared" ref="Z25:Z31" si="38">W25+Y25</f>
        <v>0.4</v>
      </c>
      <c r="AA25" s="70" t="s">
        <v>50</v>
      </c>
      <c r="AB25" s="70" t="s">
        <v>301</v>
      </c>
      <c r="AC25" s="70" t="s">
        <v>52</v>
      </c>
      <c r="AD25" s="70" t="str">
        <f t="shared" si="37"/>
        <v>Baja</v>
      </c>
      <c r="AE25" s="71">
        <v>0.252</v>
      </c>
      <c r="AF25" s="70" t="str">
        <f t="shared" si="29"/>
        <v>Mayor</v>
      </c>
      <c r="AG25" s="71">
        <v>0.8</v>
      </c>
      <c r="AH25" s="9" t="s">
        <v>163</v>
      </c>
      <c r="AI25" s="117"/>
      <c r="AJ25" s="141"/>
      <c r="AK25" s="115"/>
      <c r="AL25" s="95"/>
      <c r="AM25" s="94"/>
      <c r="AN25" s="145"/>
    </row>
    <row r="26" spans="1:40" ht="71.25" thickBot="1" x14ac:dyDescent="0.3">
      <c r="A26" s="233"/>
      <c r="B26" s="234"/>
      <c r="C26" s="235"/>
      <c r="D26" s="235"/>
      <c r="E26" s="235"/>
      <c r="F26" s="235"/>
      <c r="G26" s="234"/>
      <c r="H26" s="234"/>
      <c r="I26" s="234"/>
      <c r="J26" s="85"/>
      <c r="K26" s="85"/>
      <c r="L26" s="98"/>
      <c r="M26" s="98"/>
      <c r="N26" s="196"/>
      <c r="O26" s="213"/>
      <c r="P26" s="83"/>
      <c r="Q26" s="98"/>
      <c r="R26" s="191"/>
      <c r="S26" s="72">
        <v>3</v>
      </c>
      <c r="T26" s="128" t="s">
        <v>300</v>
      </c>
      <c r="U26" s="73" t="str">
        <f t="shared" ref="U26:U32" si="39">IF(V26="","",IF(V26="Preventivo","Probabilidad",IF(V26="Detectivo","Probabilidad",IF(V26="Correctivo","Impacto",""))))</f>
        <v>Probabilidad</v>
      </c>
      <c r="V26" s="75" t="s">
        <v>48</v>
      </c>
      <c r="W26" s="74">
        <f t="shared" si="26"/>
        <v>0.25</v>
      </c>
      <c r="X26" s="75" t="s">
        <v>55</v>
      </c>
      <c r="Y26" s="74">
        <f t="shared" si="27"/>
        <v>0.15</v>
      </c>
      <c r="Z26" s="74">
        <f t="shared" si="38"/>
        <v>0.4</v>
      </c>
      <c r="AA26" s="75" t="s">
        <v>50</v>
      </c>
      <c r="AB26" s="75" t="s">
        <v>51</v>
      </c>
      <c r="AC26" s="75" t="s">
        <v>52</v>
      </c>
      <c r="AD26" s="75" t="str">
        <f t="shared" si="37"/>
        <v>Muy baja</v>
      </c>
      <c r="AE26" s="129">
        <v>0.1512</v>
      </c>
      <c r="AF26" s="75" t="str">
        <f t="shared" si="29"/>
        <v>Mayor</v>
      </c>
      <c r="AG26" s="129">
        <v>0.8</v>
      </c>
      <c r="AH26" s="73" t="s">
        <v>163</v>
      </c>
      <c r="AI26" s="88"/>
      <c r="AJ26" s="221"/>
      <c r="AK26" s="194"/>
      <c r="AL26" s="85"/>
      <c r="AM26" s="84"/>
      <c r="AN26" s="222"/>
    </row>
    <row r="27" spans="1:40" ht="64.5" customHeight="1" x14ac:dyDescent="0.25">
      <c r="A27" s="239" t="s">
        <v>306</v>
      </c>
      <c r="B27" s="240" t="s">
        <v>42</v>
      </c>
      <c r="C27" s="241" t="s">
        <v>307</v>
      </c>
      <c r="D27" s="241" t="s">
        <v>308</v>
      </c>
      <c r="E27" s="241" t="s">
        <v>309</v>
      </c>
      <c r="F27" s="241" t="s">
        <v>310</v>
      </c>
      <c r="G27" s="240" t="s">
        <v>43</v>
      </c>
      <c r="H27" s="240" t="s">
        <v>137</v>
      </c>
      <c r="I27" s="240" t="s">
        <v>45</v>
      </c>
      <c r="J27" s="185">
        <v>2000</v>
      </c>
      <c r="K27" s="108" t="str">
        <f>IF(J27="","",IF(J27&lt;=2,"Muy baja",IF(AND(J27&gt;2,J27&lt;=24),"Baja",IF(AND(J27&gt;24,J27&lt;=500),"Media",IF(AND(J27&gt;500,J27&lt;=5000),"Alta",IF(J27&gt;5000,"Muy alta",""))))))</f>
        <v>Alta</v>
      </c>
      <c r="L27" s="156">
        <f>IF(K27="","",IF(K27="Muy baja",20%,IF(K27="Baja",40%,IF(K27="Media",60%,IF(K27="Alta",80%,IF(K27="Muy Alta",100%,""))))))</f>
        <v>0.8</v>
      </c>
      <c r="M27" s="156" t="s">
        <v>42</v>
      </c>
      <c r="N27" s="90" t="s">
        <v>174</v>
      </c>
      <c r="O27" s="93"/>
      <c r="P27" s="90" t="s">
        <v>148</v>
      </c>
      <c r="Q27" s="156">
        <f>IF(P27="","",IF(P27="Leve",20%,IF(P27="Menor",40%,IF(P27="Moderado",60%,IF(P27="Mayor",80%,IF(P27="Catastrófico",100%,""))))))</f>
        <v>0.6</v>
      </c>
      <c r="R27" s="108" t="s">
        <v>163</v>
      </c>
      <c r="S27" s="109">
        <v>1</v>
      </c>
      <c r="T27" s="92" t="s">
        <v>311</v>
      </c>
      <c r="U27" s="110" t="str">
        <f t="shared" si="39"/>
        <v>Probabilidad</v>
      </c>
      <c r="V27" s="112" t="s">
        <v>48</v>
      </c>
      <c r="W27" s="113">
        <f t="shared" si="26"/>
        <v>0.25</v>
      </c>
      <c r="X27" s="112" t="s">
        <v>49</v>
      </c>
      <c r="Y27" s="113">
        <f t="shared" si="27"/>
        <v>0.25</v>
      </c>
      <c r="Z27" s="113">
        <f t="shared" si="38"/>
        <v>0.5</v>
      </c>
      <c r="AA27" s="112" t="s">
        <v>50</v>
      </c>
      <c r="AB27" s="112" t="s">
        <v>51</v>
      </c>
      <c r="AC27" s="112" t="s">
        <v>52</v>
      </c>
      <c r="AD27" s="112" t="str">
        <f>IF(AE27="","",IF(AE27&lt;=20%,"Muy baja",IF(AND(AE27&gt;20%,AE27&lt;=40%),"Baja",IF(AND(AE27&gt;40%,AE27&lt;=60%),"Media",IF(AND(AE27&gt;60%,AE27&lt;=80%),"Alta",IF(AE27&gt;80%,"Muy alta",""))))))</f>
        <v>Baja</v>
      </c>
      <c r="AE27" s="114">
        <v>0.4</v>
      </c>
      <c r="AF27" s="112" t="str">
        <f>IF(AG27="","",IF(AG27&lt;=20%,"Leve",IF(AND(AG27&gt;20%,AG27&lt;=40%),"Menor",IF(AND(AG27&gt;40%,AG27&lt;=60%),"Moderado",IF(AND(AG27&gt;60%,AG27&lt;=80%),"Mayor",IF(AG27&gt;80%,"Catastrófico",""))))))</f>
        <v>Moderado</v>
      </c>
      <c r="AG27" s="114">
        <v>0.6</v>
      </c>
      <c r="AH27" s="110" t="s">
        <v>148</v>
      </c>
      <c r="AI27" s="157" t="s">
        <v>53</v>
      </c>
      <c r="AJ27" s="197" t="s">
        <v>312</v>
      </c>
      <c r="AK27" s="90" t="s">
        <v>313</v>
      </c>
      <c r="AL27" s="89" t="s">
        <v>314</v>
      </c>
      <c r="AM27" s="197" t="s">
        <v>315</v>
      </c>
      <c r="AN27" s="216" t="s">
        <v>316</v>
      </c>
    </row>
    <row r="28" spans="1:40" ht="70.5" x14ac:dyDescent="0.25">
      <c r="A28" s="230"/>
      <c r="B28" s="231"/>
      <c r="C28" s="232"/>
      <c r="D28" s="232"/>
      <c r="E28" s="232"/>
      <c r="F28" s="232"/>
      <c r="G28" s="231"/>
      <c r="H28" s="231"/>
      <c r="I28" s="231"/>
      <c r="J28" s="116"/>
      <c r="K28" s="95"/>
      <c r="L28" s="97"/>
      <c r="M28" s="97"/>
      <c r="N28" s="93"/>
      <c r="O28" s="93"/>
      <c r="P28" s="93"/>
      <c r="Q28" s="97"/>
      <c r="R28" s="95"/>
      <c r="S28" s="22">
        <v>2</v>
      </c>
      <c r="T28" s="111" t="s">
        <v>317</v>
      </c>
      <c r="U28" s="9" t="str">
        <f t="shared" si="39"/>
        <v>Probabilidad</v>
      </c>
      <c r="V28" s="70" t="s">
        <v>48</v>
      </c>
      <c r="W28" s="69">
        <f t="shared" si="26"/>
        <v>0.25</v>
      </c>
      <c r="X28" s="70" t="s">
        <v>49</v>
      </c>
      <c r="Y28" s="69">
        <f t="shared" si="27"/>
        <v>0.25</v>
      </c>
      <c r="Z28" s="69">
        <f t="shared" si="38"/>
        <v>0.5</v>
      </c>
      <c r="AA28" s="70" t="s">
        <v>50</v>
      </c>
      <c r="AB28" s="70" t="s">
        <v>51</v>
      </c>
      <c r="AC28" s="70" t="s">
        <v>52</v>
      </c>
      <c r="AD28" s="70" t="str">
        <f t="shared" ref="AD28:AD31" si="40">IF(AE28="","",IF(AE28&lt;=20%,"Muy baja",IF(AND(AE28&gt;20%,AE28&lt;=40%),"Baja",IF(AND(AE28&gt;40%,AE28&lt;=60%),"Media",IF(AND(AE28&gt;60%,AE28&lt;=80%),"Alta",IF(AE28&gt;80%,"Muy alta",""))))))</f>
        <v>Muy baja</v>
      </c>
      <c r="AE28" s="71">
        <v>0.2</v>
      </c>
      <c r="AF28" s="70" t="str">
        <f t="shared" ref="AF28:AF31" si="41">IF(AG28="","",IF(AG28&lt;=20%,"Leve",IF(AND(AG28&gt;20%,AG28&lt;=40%),"Menor",IF(AND(AG28&gt;40%,AG28&lt;=60%),"Moderado",IF(AND(AG28&gt;60%,AG28&lt;=80%),"Mayor",IF(AG28&gt;80%,"Catastrófico",""))))))</f>
        <v>Moderado</v>
      </c>
      <c r="AG28" s="71">
        <v>0.6</v>
      </c>
      <c r="AH28" s="9" t="s">
        <v>148</v>
      </c>
      <c r="AI28" s="117"/>
      <c r="AJ28" s="118"/>
      <c r="AK28" s="93"/>
      <c r="AL28" s="135"/>
      <c r="AM28" s="118"/>
      <c r="AN28" s="145"/>
    </row>
    <row r="29" spans="1:40" ht="67.5" customHeight="1" x14ac:dyDescent="0.25">
      <c r="A29" s="230"/>
      <c r="B29" s="231"/>
      <c r="C29" s="232"/>
      <c r="D29" s="232"/>
      <c r="E29" s="232"/>
      <c r="F29" s="232"/>
      <c r="G29" s="231"/>
      <c r="H29" s="231"/>
      <c r="I29" s="231"/>
      <c r="J29" s="116"/>
      <c r="K29" s="95"/>
      <c r="L29" s="97"/>
      <c r="M29" s="97"/>
      <c r="N29" s="93"/>
      <c r="O29" s="93"/>
      <c r="P29" s="93"/>
      <c r="Q29" s="97"/>
      <c r="R29" s="95"/>
      <c r="S29" s="22">
        <v>3</v>
      </c>
      <c r="T29" s="111" t="s">
        <v>318</v>
      </c>
      <c r="U29" s="9" t="str">
        <f t="shared" si="39"/>
        <v>Probabilidad</v>
      </c>
      <c r="V29" s="70" t="s">
        <v>48</v>
      </c>
      <c r="W29" s="69">
        <f t="shared" si="26"/>
        <v>0.25</v>
      </c>
      <c r="X29" s="70" t="s">
        <v>55</v>
      </c>
      <c r="Y29" s="69">
        <f t="shared" si="27"/>
        <v>0.15</v>
      </c>
      <c r="Z29" s="69">
        <f t="shared" si="38"/>
        <v>0.4</v>
      </c>
      <c r="AA29" s="70" t="s">
        <v>50</v>
      </c>
      <c r="AB29" s="70" t="s">
        <v>51</v>
      </c>
      <c r="AC29" s="70" t="s">
        <v>52</v>
      </c>
      <c r="AD29" s="70" t="str">
        <f t="shared" si="40"/>
        <v>Muy baja</v>
      </c>
      <c r="AE29" s="71">
        <v>0.12</v>
      </c>
      <c r="AF29" s="70" t="str">
        <f t="shared" si="41"/>
        <v>Moderado</v>
      </c>
      <c r="AG29" s="71">
        <v>0.6</v>
      </c>
      <c r="AH29" s="9" t="s">
        <v>148</v>
      </c>
      <c r="AI29" s="117"/>
      <c r="AJ29" s="118"/>
      <c r="AK29" s="93"/>
      <c r="AL29" s="135"/>
      <c r="AM29" s="118"/>
      <c r="AN29" s="145"/>
    </row>
    <row r="30" spans="1:40" ht="68.25" customHeight="1" x14ac:dyDescent="0.25">
      <c r="A30" s="230"/>
      <c r="B30" s="231"/>
      <c r="C30" s="232"/>
      <c r="D30" s="232"/>
      <c r="E30" s="232"/>
      <c r="F30" s="232"/>
      <c r="G30" s="231"/>
      <c r="H30" s="231"/>
      <c r="I30" s="231"/>
      <c r="J30" s="116"/>
      <c r="K30" s="95"/>
      <c r="L30" s="97"/>
      <c r="M30" s="97"/>
      <c r="N30" s="93"/>
      <c r="O30" s="93"/>
      <c r="P30" s="93"/>
      <c r="Q30" s="97"/>
      <c r="R30" s="95"/>
      <c r="S30" s="22">
        <v>4</v>
      </c>
      <c r="T30" s="111" t="s">
        <v>319</v>
      </c>
      <c r="U30" s="9" t="str">
        <f t="shared" si="39"/>
        <v>Probabilidad</v>
      </c>
      <c r="V30" s="70" t="s">
        <v>48</v>
      </c>
      <c r="W30" s="69">
        <f t="shared" si="26"/>
        <v>0.25</v>
      </c>
      <c r="X30" s="70" t="s">
        <v>55</v>
      </c>
      <c r="Y30" s="69">
        <f t="shared" si="27"/>
        <v>0.15</v>
      </c>
      <c r="Z30" s="69">
        <f t="shared" si="38"/>
        <v>0.4</v>
      </c>
      <c r="AA30" s="70" t="s">
        <v>50</v>
      </c>
      <c r="AB30" s="70" t="s">
        <v>51</v>
      </c>
      <c r="AC30" s="70" t="s">
        <v>52</v>
      </c>
      <c r="AD30" s="70" t="str">
        <f t="shared" si="40"/>
        <v>Muy baja</v>
      </c>
      <c r="AE30" s="71">
        <v>7.1999999999999995E-2</v>
      </c>
      <c r="AF30" s="70" t="str">
        <f t="shared" si="41"/>
        <v>Moderado</v>
      </c>
      <c r="AG30" s="71">
        <v>0.6</v>
      </c>
      <c r="AH30" s="9" t="s">
        <v>148</v>
      </c>
      <c r="AI30" s="117"/>
      <c r="AJ30" s="118"/>
      <c r="AK30" s="93"/>
      <c r="AL30" s="135"/>
      <c r="AM30" s="118"/>
      <c r="AN30" s="145"/>
    </row>
    <row r="31" spans="1:40" ht="107.25" customHeight="1" thickBot="1" x14ac:dyDescent="0.3">
      <c r="A31" s="233"/>
      <c r="B31" s="234"/>
      <c r="C31" s="235"/>
      <c r="D31" s="235"/>
      <c r="E31" s="235"/>
      <c r="F31" s="235"/>
      <c r="G31" s="234"/>
      <c r="H31" s="234"/>
      <c r="I31" s="234"/>
      <c r="J31" s="202"/>
      <c r="K31" s="85"/>
      <c r="L31" s="98"/>
      <c r="M31" s="98"/>
      <c r="N31" s="83"/>
      <c r="O31" s="83"/>
      <c r="P31" s="83"/>
      <c r="Q31" s="98"/>
      <c r="R31" s="85"/>
      <c r="S31" s="72">
        <v>5</v>
      </c>
      <c r="T31" s="225" t="s">
        <v>320</v>
      </c>
      <c r="U31" s="73" t="str">
        <f t="shared" si="39"/>
        <v>Probabilidad</v>
      </c>
      <c r="V31" s="75" t="s">
        <v>48</v>
      </c>
      <c r="W31" s="74">
        <f t="shared" si="26"/>
        <v>0.25</v>
      </c>
      <c r="X31" s="75" t="s">
        <v>49</v>
      </c>
      <c r="Y31" s="74">
        <f t="shared" si="27"/>
        <v>0.25</v>
      </c>
      <c r="Z31" s="74">
        <f t="shared" si="38"/>
        <v>0.5</v>
      </c>
      <c r="AA31" s="75" t="s">
        <v>50</v>
      </c>
      <c r="AB31" s="75" t="s">
        <v>51</v>
      </c>
      <c r="AC31" s="75" t="s">
        <v>52</v>
      </c>
      <c r="AD31" s="75" t="str">
        <f t="shared" si="40"/>
        <v>Muy baja</v>
      </c>
      <c r="AE31" s="129">
        <v>3.5999999999999997E-2</v>
      </c>
      <c r="AF31" s="75" t="str">
        <f t="shared" si="41"/>
        <v>Moderado</v>
      </c>
      <c r="AG31" s="129">
        <v>0.6</v>
      </c>
      <c r="AH31" s="73" t="s">
        <v>148</v>
      </c>
      <c r="AI31" s="88"/>
      <c r="AJ31" s="226"/>
      <c r="AK31" s="83"/>
      <c r="AL31" s="193"/>
      <c r="AM31" s="226"/>
      <c r="AN31" s="222"/>
    </row>
    <row r="32" spans="1:40" ht="268.5" customHeight="1" thickBot="1" x14ac:dyDescent="0.3">
      <c r="A32" s="245" t="s">
        <v>321</v>
      </c>
      <c r="B32" s="246" t="s">
        <v>167</v>
      </c>
      <c r="C32" s="247" t="s">
        <v>322</v>
      </c>
      <c r="D32" s="248" t="s">
        <v>323</v>
      </c>
      <c r="E32" s="247" t="s">
        <v>324</v>
      </c>
      <c r="F32" s="247" t="s">
        <v>325</v>
      </c>
      <c r="G32" s="246" t="s">
        <v>326</v>
      </c>
      <c r="H32" s="246" t="s">
        <v>168</v>
      </c>
      <c r="I32" s="246" t="s">
        <v>169</v>
      </c>
      <c r="J32" s="77">
        <v>1</v>
      </c>
      <c r="K32" s="120" t="str">
        <f t="shared" ref="K32" si="42">IF(J32="","",IF(J32&lt;=2,"Muy baja",IF(AND(J32&gt;2,J32&lt;=24),"Baja",IF(AND(J32&gt;24,J32&lt;=500),"Media",IF(AND(J32&gt;500,J32&lt;=5000),"Alta",IF(J32&gt;5000,"Muy alta",""))))))</f>
        <v>Muy baja</v>
      </c>
      <c r="L32" s="78">
        <f t="shared" ref="L32" si="43">IF(K32="","",IF(K32="Muy baja",20%,IF(K32="Baja",40%,IF(K32="Media",60%,IF(K32="Alta",80%,IF(K32="Muy Alta",100%,""))))))</f>
        <v>0.2</v>
      </c>
      <c r="M32" s="223" t="s">
        <v>130</v>
      </c>
      <c r="N32" s="61" t="s">
        <v>185</v>
      </c>
      <c r="O32" s="61">
        <f>MATCH(N32,[2]Calculos!$U$2:$U$21,0)</f>
        <v>4</v>
      </c>
      <c r="P32" s="61" t="str">
        <f>LOOKUP(O32,[2]Calculos!$V$2:$W$21)</f>
        <v>Mayor</v>
      </c>
      <c r="Q32" s="78">
        <f t="shared" ref="Q32" si="44">IF(P32="","",IF(P32="Leve",20%,IF(P32="Menor",40%,IF(P32="Moderado",60%,IF(P32="Mayor",80%,IF(P32="Catastrófico",100%,""))))))</f>
        <v>0.8</v>
      </c>
      <c r="R32" s="224" t="s">
        <v>177</v>
      </c>
      <c r="S32" s="77">
        <v>1</v>
      </c>
      <c r="T32" s="119" t="s">
        <v>327</v>
      </c>
      <c r="U32" s="120" t="str">
        <f t="shared" si="39"/>
        <v>Probabilidad</v>
      </c>
      <c r="V32" s="79" t="s">
        <v>48</v>
      </c>
      <c r="W32" s="121">
        <f t="shared" si="26"/>
        <v>0.25</v>
      </c>
      <c r="X32" s="79" t="s">
        <v>55</v>
      </c>
      <c r="Y32" s="121">
        <f t="shared" si="27"/>
        <v>0.15</v>
      </c>
      <c r="Z32" s="121">
        <f>W32+Y32</f>
        <v>0.4</v>
      </c>
      <c r="AA32" s="79" t="s">
        <v>50</v>
      </c>
      <c r="AB32" s="79" t="s">
        <v>301</v>
      </c>
      <c r="AC32" s="79" t="s">
        <v>52</v>
      </c>
      <c r="AD32" s="79" t="str">
        <f>IF(AE32="","",IF(AE32&lt;=20%,"Muy baja",IF(AND(AE32&gt;20%,AE32&lt;=40%),"Baja",IF(AND(AE32&gt;40%,AE32&lt;=60%),"Media",IF(AND(AE32&gt;60%,AE32&lt;=80%),"Alta",IF(AE32&gt;80%,"Muy alta",""))))))</f>
        <v>Muy baja</v>
      </c>
      <c r="AE32" s="101">
        <v>0.12</v>
      </c>
      <c r="AF32" s="79" t="str">
        <f>IF(AG32="","",IF(AG32&lt;=20%,"Leve",IF(AND(AG32&gt;20%,AG32&lt;=40%),"Menor",IF(AND(AG32&gt;40%,AG32&lt;=60%),"Moderado",IF(AND(AG32&gt;60%,AG32&lt;=80%),"Mayor",IF(AG32&gt;80%,"Catastrófico",""))))))</f>
        <v>Mayor</v>
      </c>
      <c r="AG32" s="101">
        <v>0.8</v>
      </c>
      <c r="AH32" s="120" t="s">
        <v>163</v>
      </c>
      <c r="AI32" s="79" t="s">
        <v>53</v>
      </c>
      <c r="AJ32" s="91" t="s">
        <v>328</v>
      </c>
      <c r="AK32" s="62" t="s">
        <v>329</v>
      </c>
      <c r="AL32" s="61" t="s">
        <v>314</v>
      </c>
      <c r="AM32" s="62" t="s">
        <v>330</v>
      </c>
      <c r="AN32" s="122" t="s">
        <v>331</v>
      </c>
    </row>
  </sheetData>
  <sheetProtection formatCells="0" formatColumns="0" formatRows="0" insertRows="0" insertHyperlinks="0" deleteRows="0"/>
  <protectedRanges>
    <protectedRange sqref="A12:L15 M12 M14:M15 N12:AN15 A16:AN20 M24:M29 K21:R23 M32" name="Contenido"/>
    <protectedRange sqref="A8:AN11 A30:AG31 N24:AN27 N28:AG29 AH28:AN31 N32:AN32 A21:J23 A32:L32 K5:K7 A24:L29 S21:AN23" name="Contenido_1"/>
    <protectedRange sqref="A5:J7" name="Contenido_2"/>
    <protectedRange sqref="M5:AN7" name="Contenido_3"/>
  </protectedRanges>
  <mergeCells count="216">
    <mergeCell ref="AN6:AN7"/>
    <mergeCell ref="A21:A23"/>
    <mergeCell ref="B21:B23"/>
    <mergeCell ref="C21:C23"/>
    <mergeCell ref="D21:D23"/>
    <mergeCell ref="E21:E23"/>
    <mergeCell ref="F21:F23"/>
    <mergeCell ref="G21:G23"/>
    <mergeCell ref="H21:H23"/>
    <mergeCell ref="I21:I23"/>
    <mergeCell ref="J21:J23"/>
    <mergeCell ref="K21:K23"/>
    <mergeCell ref="L21:L23"/>
    <mergeCell ref="M21:M23"/>
    <mergeCell ref="N21:N23"/>
    <mergeCell ref="P21:P23"/>
    <mergeCell ref="Q21:Q23"/>
    <mergeCell ref="R21:R23"/>
    <mergeCell ref="AI21:AI23"/>
    <mergeCell ref="AN21:AN22"/>
    <mergeCell ref="A5:A7"/>
    <mergeCell ref="B5:B7"/>
    <mergeCell ref="C5:C7"/>
    <mergeCell ref="D5:D7"/>
    <mergeCell ref="E5:E7"/>
    <mergeCell ref="F5:F7"/>
    <mergeCell ref="G5:G7"/>
    <mergeCell ref="H5:H7"/>
    <mergeCell ref="I5:I7"/>
    <mergeCell ref="J5:J7"/>
    <mergeCell ref="K5:K7"/>
    <mergeCell ref="L5:L7"/>
    <mergeCell ref="M5:M7"/>
    <mergeCell ref="N5:N7"/>
    <mergeCell ref="P5:P7"/>
    <mergeCell ref="Q5:Q7"/>
    <mergeCell ref="R5:R7"/>
    <mergeCell ref="AI27:AI31"/>
    <mergeCell ref="AJ27:AJ31"/>
    <mergeCell ref="AK27:AK31"/>
    <mergeCell ref="AL27:AL31"/>
    <mergeCell ref="AM27:AM31"/>
    <mergeCell ref="AN27:AN31"/>
    <mergeCell ref="AJ24:AJ26"/>
    <mergeCell ref="AK24:AK26"/>
    <mergeCell ref="AL24:AL26"/>
    <mergeCell ref="AM24:AM26"/>
    <mergeCell ref="AN24:AN26"/>
    <mergeCell ref="C27:C31"/>
    <mergeCell ref="D27:D31"/>
    <mergeCell ref="E27:E31"/>
    <mergeCell ref="F27:F31"/>
    <mergeCell ref="G27:G31"/>
    <mergeCell ref="H27:H31"/>
    <mergeCell ref="I27:I31"/>
    <mergeCell ref="J27:J31"/>
    <mergeCell ref="K27:K31"/>
    <mergeCell ref="L27:L31"/>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P24:P26"/>
    <mergeCell ref="Q24:Q26"/>
    <mergeCell ref="R24:R26"/>
    <mergeCell ref="AI24:AI26"/>
    <mergeCell ref="O24:O31"/>
    <mergeCell ref="M27:M31"/>
    <mergeCell ref="N27:N31"/>
    <mergeCell ref="P27:P31"/>
    <mergeCell ref="Q27:Q31"/>
    <mergeCell ref="R27:R31"/>
    <mergeCell ref="A27:A31"/>
    <mergeCell ref="B27:B31"/>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P18:P20"/>
    <mergeCell ref="Q18:Q20"/>
    <mergeCell ref="R18:R20"/>
    <mergeCell ref="AI18:AI20"/>
    <mergeCell ref="P16:P17"/>
    <mergeCell ref="M16:M17"/>
    <mergeCell ref="Q16:Q17"/>
    <mergeCell ref="R16:R17"/>
    <mergeCell ref="AI16:AI17"/>
    <mergeCell ref="AJ16:AJ17"/>
    <mergeCell ref="AK16:AK17"/>
    <mergeCell ref="A16:A17"/>
    <mergeCell ref="B16:B17"/>
    <mergeCell ref="C16:C17"/>
    <mergeCell ref="D16:D17"/>
    <mergeCell ref="E16:E17"/>
    <mergeCell ref="F16:F17"/>
    <mergeCell ref="G16:G17"/>
    <mergeCell ref="H16:H17"/>
    <mergeCell ref="I16:I17"/>
    <mergeCell ref="J16:J17"/>
    <mergeCell ref="K16:K17"/>
    <mergeCell ref="L16:L17"/>
    <mergeCell ref="N16:N17"/>
    <mergeCell ref="AL16:AL17"/>
    <mergeCell ref="AM16:AM17"/>
    <mergeCell ref="AN16:AN17"/>
    <mergeCell ref="M12:M15"/>
    <mergeCell ref="N12:N15"/>
    <mergeCell ref="O12:O14"/>
    <mergeCell ref="P12:P15"/>
    <mergeCell ref="Q12:Q15"/>
    <mergeCell ref="R12:R15"/>
    <mergeCell ref="AI12:AI15"/>
    <mergeCell ref="AN12:AN15"/>
    <mergeCell ref="O16:O20"/>
    <mergeCell ref="K12:K15"/>
    <mergeCell ref="L12:L15"/>
    <mergeCell ref="A12:A15"/>
    <mergeCell ref="B12:B15"/>
    <mergeCell ref="C12:C15"/>
    <mergeCell ref="D12:D15"/>
    <mergeCell ref="E12:E15"/>
    <mergeCell ref="F12:F15"/>
    <mergeCell ref="G12:G15"/>
    <mergeCell ref="H12:H15"/>
    <mergeCell ref="I12:I15"/>
    <mergeCell ref="J12:J15"/>
    <mergeCell ref="A1:AN1"/>
    <mergeCell ref="AF3:AF4"/>
    <mergeCell ref="AG3:AG4"/>
    <mergeCell ref="AH3:AH4"/>
    <mergeCell ref="AK3:AK4"/>
    <mergeCell ref="T3:T4"/>
    <mergeCell ref="U3:U4"/>
    <mergeCell ref="V3:AC3"/>
    <mergeCell ref="AD3:AD4"/>
    <mergeCell ref="AE3:AE4"/>
    <mergeCell ref="N3:N4"/>
    <mergeCell ref="A3:A4"/>
    <mergeCell ref="AL3:AL4"/>
    <mergeCell ref="AN3:AN4"/>
    <mergeCell ref="L3:L4"/>
    <mergeCell ref="G3:G4"/>
    <mergeCell ref="K3:K4"/>
    <mergeCell ref="J3:J4"/>
    <mergeCell ref="A2:J2"/>
    <mergeCell ref="K2:R2"/>
    <mergeCell ref="M3:M4"/>
    <mergeCell ref="R8:R11"/>
    <mergeCell ref="P3:P4"/>
    <mergeCell ref="Q3:Q4"/>
    <mergeCell ref="R3:R4"/>
    <mergeCell ref="O8:O11"/>
    <mergeCell ref="AJ2:AN2"/>
    <mergeCell ref="S2:AC2"/>
    <mergeCell ref="AJ3:AJ4"/>
    <mergeCell ref="AI3:AI4"/>
    <mergeCell ref="AI8:AI11"/>
    <mergeCell ref="S3:S4"/>
    <mergeCell ref="AJ8:AJ11"/>
    <mergeCell ref="AK8:AK11"/>
    <mergeCell ref="AL8:AL11"/>
    <mergeCell ref="AM8:AM11"/>
    <mergeCell ref="AN8:AN11"/>
    <mergeCell ref="AM3:AM4"/>
    <mergeCell ref="P8:P11"/>
    <mergeCell ref="Q8:Q11"/>
    <mergeCell ref="AI5:AI7"/>
    <mergeCell ref="AJ6:AJ7"/>
    <mergeCell ref="AK6:AK7"/>
    <mergeCell ref="AL6:AL7"/>
    <mergeCell ref="AM6:AM7"/>
    <mergeCell ref="G8:G11"/>
    <mergeCell ref="I3:I4"/>
    <mergeCell ref="H3:H4"/>
    <mergeCell ref="F3:F4"/>
    <mergeCell ref="D3:D4"/>
    <mergeCell ref="C3:C4"/>
    <mergeCell ref="B3:B4"/>
    <mergeCell ref="E3:E4"/>
    <mergeCell ref="H8:H11"/>
    <mergeCell ref="I8:I11"/>
    <mergeCell ref="M8:M11"/>
    <mergeCell ref="N8:N11"/>
    <mergeCell ref="J8:J11"/>
    <mergeCell ref="K8:K11"/>
    <mergeCell ref="L8:L11"/>
    <mergeCell ref="A8:A11"/>
    <mergeCell ref="B8:B11"/>
    <mergeCell ref="C8:C11"/>
    <mergeCell ref="D8:D11"/>
    <mergeCell ref="F8:F11"/>
    <mergeCell ref="E8:E11"/>
    <mergeCell ref="AJ12:AJ15"/>
    <mergeCell ref="AK12:AK15"/>
    <mergeCell ref="AL12:AL15"/>
    <mergeCell ref="AM12:AM15"/>
  </mergeCells>
  <phoneticPr fontId="21" type="noConversion"/>
  <conditionalFormatting sqref="K12">
    <cfRule type="cellIs" dxfId="264" priority="380" operator="equal">
      <formula>"Muy alta"</formula>
    </cfRule>
    <cfRule type="cellIs" dxfId="263" priority="381" operator="equal">
      <formula>"Alta"</formula>
    </cfRule>
    <cfRule type="cellIs" dxfId="262" priority="382" operator="equal">
      <formula>"Media"</formula>
    </cfRule>
    <cfRule type="cellIs" dxfId="261" priority="383" operator="equal">
      <formula>"Baja"</formula>
    </cfRule>
    <cfRule type="cellIs" dxfId="260" priority="384" operator="equal">
      <formula>"Muy baja"</formula>
    </cfRule>
  </conditionalFormatting>
  <conditionalFormatting sqref="P12">
    <cfRule type="cellIs" dxfId="259" priority="375" operator="equal">
      <formula>"Catastrófico"</formula>
    </cfRule>
    <cfRule type="cellIs" dxfId="258" priority="376" operator="equal">
      <formula>"Mayor"</formula>
    </cfRule>
    <cfRule type="cellIs" dxfId="257" priority="377" operator="equal">
      <formula>"Moderado"</formula>
    </cfRule>
    <cfRule type="cellIs" dxfId="256" priority="378" operator="equal">
      <formula>"Menor"</formula>
    </cfRule>
    <cfRule type="cellIs" dxfId="255" priority="379" operator="equal">
      <formula>"Leve"</formula>
    </cfRule>
  </conditionalFormatting>
  <conditionalFormatting sqref="R12">
    <cfRule type="cellIs" dxfId="254" priority="366" operator="equal">
      <formula>"Muy alta"</formula>
    </cfRule>
    <cfRule type="cellIs" dxfId="253" priority="367" operator="equal">
      <formula>"Alta"</formula>
    </cfRule>
    <cfRule type="cellIs" dxfId="252" priority="368" operator="equal">
      <formula>"Media"</formula>
    </cfRule>
    <cfRule type="cellIs" dxfId="251" priority="369" operator="equal">
      <formula>"Baja"</formula>
    </cfRule>
    <cfRule type="cellIs" dxfId="250" priority="370" operator="equal">
      <formula>"Muy baja"</formula>
    </cfRule>
  </conditionalFormatting>
  <conditionalFormatting sqref="AD12:AD15">
    <cfRule type="cellIs" dxfId="249" priority="347" operator="equal">
      <formula>"Muy alta"</formula>
    </cfRule>
    <cfRule type="cellIs" dxfId="248" priority="348" operator="equal">
      <formula>"Alta"</formula>
    </cfRule>
    <cfRule type="cellIs" dxfId="247" priority="349" operator="equal">
      <formula>"Media"</formula>
    </cfRule>
    <cfRule type="cellIs" dxfId="246" priority="350" operator="equal">
      <formula>"Muy baja"</formula>
    </cfRule>
    <cfRule type="cellIs" dxfId="245" priority="351" operator="equal">
      <formula>"Baja"</formula>
    </cfRule>
  </conditionalFormatting>
  <conditionalFormatting sqref="AF12:AF15">
    <cfRule type="cellIs" dxfId="244" priority="342" operator="equal">
      <formula>"Catastrófico"</formula>
    </cfRule>
    <cfRule type="cellIs" dxfId="243" priority="343" operator="equal">
      <formula>"Mayor"</formula>
    </cfRule>
    <cfRule type="cellIs" dxfId="242" priority="344" operator="equal">
      <formula>"Moderado"</formula>
    </cfRule>
    <cfRule type="cellIs" dxfId="241" priority="345" operator="equal">
      <formula>"Menor"</formula>
    </cfRule>
    <cfRule type="cellIs" dxfId="240" priority="346" operator="equal">
      <formula>"Leve"</formula>
    </cfRule>
  </conditionalFormatting>
  <conditionalFormatting sqref="AG12:AG15">
    <cfRule type="cellIs" dxfId="239" priority="337" operator="equal">
      <formula>"Muy alta"</formula>
    </cfRule>
    <cfRule type="cellIs" dxfId="238" priority="338" operator="equal">
      <formula>"Alta"</formula>
    </cfRule>
    <cfRule type="cellIs" dxfId="237" priority="339" operator="equal">
      <formula>"Media"</formula>
    </cfRule>
    <cfRule type="cellIs" dxfId="236" priority="340" operator="equal">
      <formula>"Muy baja"</formula>
    </cfRule>
    <cfRule type="cellIs" dxfId="235" priority="341" operator="equal">
      <formula>"Baja"</formula>
    </cfRule>
  </conditionalFormatting>
  <conditionalFormatting sqref="AH12:AH15">
    <cfRule type="cellIs" dxfId="234" priority="333" operator="equal">
      <formula>"Bajo"</formula>
    </cfRule>
    <cfRule type="cellIs" dxfId="233" priority="334" operator="equal">
      <formula>"Moderado"</formula>
    </cfRule>
    <cfRule type="cellIs" dxfId="232" priority="335" operator="equal">
      <formula>"Alto"</formula>
    </cfRule>
    <cfRule type="cellIs" dxfId="231" priority="336" operator="equal">
      <formula>"Extremo"</formula>
    </cfRule>
  </conditionalFormatting>
  <conditionalFormatting sqref="K16">
    <cfRule type="cellIs" dxfId="230" priority="328" operator="equal">
      <formula>"Muy alta"</formula>
    </cfRule>
    <cfRule type="cellIs" dxfId="229" priority="329" operator="equal">
      <formula>"Alta"</formula>
    </cfRule>
    <cfRule type="cellIs" dxfId="228" priority="330" operator="equal">
      <formula>"Media"</formula>
    </cfRule>
    <cfRule type="cellIs" dxfId="227" priority="331" operator="equal">
      <formula>"Baja"</formula>
    </cfRule>
    <cfRule type="cellIs" dxfId="226" priority="332" operator="equal">
      <formula>"Muy baja"</formula>
    </cfRule>
  </conditionalFormatting>
  <conditionalFormatting sqref="P16">
    <cfRule type="cellIs" dxfId="225" priority="323" operator="equal">
      <formula>"Catastrófico"</formula>
    </cfRule>
    <cfRule type="cellIs" dxfId="224" priority="324" operator="equal">
      <formula>"Mayor"</formula>
    </cfRule>
    <cfRule type="cellIs" dxfId="223" priority="325" operator="equal">
      <formula>"Moderado"</formula>
    </cfRule>
    <cfRule type="cellIs" dxfId="222" priority="326" operator="equal">
      <formula>"Menor"</formula>
    </cfRule>
    <cfRule type="cellIs" dxfId="221" priority="327" operator="equal">
      <formula>"Leve"</formula>
    </cfRule>
  </conditionalFormatting>
  <conditionalFormatting sqref="R16 AH16:AH17">
    <cfRule type="cellIs" dxfId="220" priority="319" operator="equal">
      <formula>"Bajo"</formula>
    </cfRule>
    <cfRule type="cellIs" dxfId="219" priority="320" operator="equal">
      <formula>"Moderado"</formula>
    </cfRule>
    <cfRule type="cellIs" dxfId="218" priority="321" operator="equal">
      <formula>"Alto"</formula>
    </cfRule>
    <cfRule type="cellIs" dxfId="217" priority="322" operator="equal">
      <formula>"Extremo"</formula>
    </cfRule>
  </conditionalFormatting>
  <conditionalFormatting sqref="AD16:AD17 AG16:AG17">
    <cfRule type="cellIs" dxfId="216" priority="309" operator="equal">
      <formula>"Muy alta"</formula>
    </cfRule>
    <cfRule type="cellIs" dxfId="215" priority="310" operator="equal">
      <formula>"Alta"</formula>
    </cfRule>
    <cfRule type="cellIs" dxfId="214" priority="311" operator="equal">
      <formula>"Media"</formula>
    </cfRule>
    <cfRule type="cellIs" dxfId="213" priority="312" operator="equal">
      <formula>"Muy baja"</formula>
    </cfRule>
    <cfRule type="cellIs" dxfId="212" priority="313" operator="equal">
      <formula>"Baja"</formula>
    </cfRule>
  </conditionalFormatting>
  <conditionalFormatting sqref="AF16:AF17">
    <cfRule type="cellIs" dxfId="211" priority="314" operator="equal">
      <formula>"Catastrófico"</formula>
    </cfRule>
    <cfRule type="cellIs" dxfId="210" priority="315" operator="equal">
      <formula>"Mayor"</formula>
    </cfRule>
    <cfRule type="cellIs" dxfId="209" priority="316" operator="equal">
      <formula>"Moderado"</formula>
    </cfRule>
    <cfRule type="cellIs" dxfId="208" priority="317" operator="equal">
      <formula>"Menor"</formula>
    </cfRule>
    <cfRule type="cellIs" dxfId="207" priority="318" operator="equal">
      <formula>"Leve"</formula>
    </cfRule>
  </conditionalFormatting>
  <conditionalFormatting sqref="K8">
    <cfRule type="cellIs" dxfId="206" priority="304" operator="equal">
      <formula>"Muy alta"</formula>
    </cfRule>
    <cfRule type="cellIs" dxfId="205" priority="305" operator="equal">
      <formula>"Alta"</formula>
    </cfRule>
    <cfRule type="cellIs" dxfId="204" priority="306" operator="equal">
      <formula>"Media"</formula>
    </cfRule>
    <cfRule type="cellIs" dxfId="203" priority="307" operator="equal">
      <formula>"Baja"</formula>
    </cfRule>
    <cfRule type="cellIs" dxfId="202" priority="308" operator="equal">
      <formula>"Muy baja"</formula>
    </cfRule>
  </conditionalFormatting>
  <conditionalFormatting sqref="P8">
    <cfRule type="cellIs" dxfId="201" priority="299" operator="equal">
      <formula>"Catastrófico"</formula>
    </cfRule>
    <cfRule type="cellIs" dxfId="200" priority="300" operator="equal">
      <formula>"Mayor"</formula>
    </cfRule>
    <cfRule type="cellIs" dxfId="199" priority="301" operator="equal">
      <formula>"Moderado"</formula>
    </cfRule>
    <cfRule type="cellIs" dxfId="198" priority="302" operator="equal">
      <formula>"Menor"</formula>
    </cfRule>
    <cfRule type="cellIs" dxfId="197" priority="303" operator="equal">
      <formula>"Leve"</formula>
    </cfRule>
  </conditionalFormatting>
  <conditionalFormatting sqref="AH8:AH11">
    <cfRule type="cellIs" dxfId="196" priority="295" operator="equal">
      <formula>"Bajo"</formula>
    </cfRule>
    <cfRule type="cellIs" dxfId="195" priority="296" operator="equal">
      <formula>"Moderado"</formula>
    </cfRule>
    <cfRule type="cellIs" dxfId="194" priority="297" operator="equal">
      <formula>"Alto"</formula>
    </cfRule>
    <cfRule type="cellIs" dxfId="193" priority="298" operator="equal">
      <formula>"Extremo"</formula>
    </cfRule>
  </conditionalFormatting>
  <conditionalFormatting sqref="AD8:AD11 AG8:AG11">
    <cfRule type="cellIs" dxfId="192" priority="285" operator="equal">
      <formula>"Muy alta"</formula>
    </cfRule>
    <cfRule type="cellIs" dxfId="191" priority="286" operator="equal">
      <formula>"Alta"</formula>
    </cfRule>
    <cfRule type="cellIs" dxfId="190" priority="287" operator="equal">
      <formula>"Media"</formula>
    </cfRule>
    <cfRule type="cellIs" dxfId="189" priority="288" operator="equal">
      <formula>"Muy baja"</formula>
    </cfRule>
    <cfRule type="cellIs" dxfId="188" priority="289" operator="equal">
      <formula>"Baja"</formula>
    </cfRule>
  </conditionalFormatting>
  <conditionalFormatting sqref="AF8:AF11">
    <cfRule type="cellIs" dxfId="187" priority="290" operator="equal">
      <formula>"Catastrófico"</formula>
    </cfRule>
    <cfRule type="cellIs" dxfId="186" priority="291" operator="equal">
      <formula>"Mayor"</formula>
    </cfRule>
    <cfRule type="cellIs" dxfId="185" priority="292" operator="equal">
      <formula>"Moderado"</formula>
    </cfRule>
    <cfRule type="cellIs" dxfId="184" priority="293" operator="equal">
      <formula>"Menor"</formula>
    </cfRule>
    <cfRule type="cellIs" dxfId="183" priority="294" operator="equal">
      <formula>"Leve"</formula>
    </cfRule>
  </conditionalFormatting>
  <conditionalFormatting sqref="K18">
    <cfRule type="cellIs" dxfId="182" priority="270" operator="equal">
      <formula>"Muy alta"</formula>
    </cfRule>
    <cfRule type="cellIs" dxfId="181" priority="271" operator="equal">
      <formula>"Alta"</formula>
    </cfRule>
    <cfRule type="cellIs" dxfId="180" priority="272" operator="equal">
      <formula>"Media"</formula>
    </cfRule>
    <cfRule type="cellIs" dxfId="179" priority="273" operator="equal">
      <formula>"Baja"</formula>
    </cfRule>
    <cfRule type="cellIs" dxfId="178" priority="274" operator="equal">
      <formula>"Muy baja"</formula>
    </cfRule>
  </conditionalFormatting>
  <conditionalFormatting sqref="P18">
    <cfRule type="cellIs" dxfId="177" priority="242" operator="equal">
      <formula>"Catastrófico"</formula>
    </cfRule>
    <cfRule type="cellIs" dxfId="176" priority="243" operator="equal">
      <formula>"Mayor"</formula>
    </cfRule>
    <cfRule type="cellIs" dxfId="175" priority="244" operator="equal">
      <formula>"Moderado"</formula>
    </cfRule>
    <cfRule type="cellIs" dxfId="174" priority="245" operator="equal">
      <formula>"Menor"</formula>
    </cfRule>
    <cfRule type="cellIs" dxfId="173" priority="246" operator="equal">
      <formula>"Leve"</formula>
    </cfRule>
  </conditionalFormatting>
  <conditionalFormatting sqref="R18">
    <cfRule type="cellIs" dxfId="172" priority="233" operator="equal">
      <formula>"Muy alta"</formula>
    </cfRule>
    <cfRule type="cellIs" dxfId="171" priority="234" operator="equal">
      <formula>"Alta"</formula>
    </cfRule>
    <cfRule type="cellIs" dxfId="170" priority="235" operator="equal">
      <formula>"Media"</formula>
    </cfRule>
    <cfRule type="cellIs" dxfId="169" priority="236" operator="equal">
      <formula>"Baja"</formula>
    </cfRule>
    <cfRule type="cellIs" dxfId="168" priority="237" operator="equal">
      <formula>"Muy baja"</formula>
    </cfRule>
  </conditionalFormatting>
  <conditionalFormatting sqref="R8">
    <cfRule type="cellIs" dxfId="167" priority="228" operator="equal">
      <formula>"Catastrófico"</formula>
    </cfRule>
    <cfRule type="cellIs" dxfId="166" priority="229" operator="equal">
      <formula>"Mayor"</formula>
    </cfRule>
    <cfRule type="cellIs" dxfId="165" priority="230" operator="equal">
      <formula>"Moderado"</formula>
    </cfRule>
    <cfRule type="cellIs" dxfId="164" priority="231" operator="equal">
      <formula>"Menor"</formula>
    </cfRule>
    <cfRule type="cellIs" dxfId="163" priority="232" operator="equal">
      <formula>"Leve"</formula>
    </cfRule>
  </conditionalFormatting>
  <conditionalFormatting sqref="AD18:AD20">
    <cfRule type="cellIs" dxfId="162" priority="223" operator="equal">
      <formula>"Muy alta"</formula>
    </cfRule>
    <cfRule type="cellIs" dxfId="161" priority="224" operator="equal">
      <formula>"Alta"</formula>
    </cfRule>
    <cfRule type="cellIs" dxfId="160" priority="225" operator="equal">
      <formula>"Media"</formula>
    </cfRule>
    <cfRule type="cellIs" dxfId="159" priority="226" operator="equal">
      <formula>"Muy baja"</formula>
    </cfRule>
    <cfRule type="cellIs" dxfId="158" priority="227" operator="equal">
      <formula>"Baja"</formula>
    </cfRule>
  </conditionalFormatting>
  <conditionalFormatting sqref="AF18:AF20">
    <cfRule type="cellIs" dxfId="157" priority="209" operator="equal">
      <formula>"Catastrófico"</formula>
    </cfRule>
    <cfRule type="cellIs" dxfId="156" priority="210" operator="equal">
      <formula>"Mayor"</formula>
    </cfRule>
    <cfRule type="cellIs" dxfId="155" priority="211" operator="equal">
      <formula>"Moderado"</formula>
    </cfRule>
    <cfRule type="cellIs" dxfId="154" priority="212" operator="equal">
      <formula>"Menor"</formula>
    </cfRule>
    <cfRule type="cellIs" dxfId="153" priority="213" operator="equal">
      <formula>"Leve"</formula>
    </cfRule>
  </conditionalFormatting>
  <conditionalFormatting sqref="AG18:AG20">
    <cfRule type="cellIs" dxfId="152" priority="204" operator="equal">
      <formula>"Muy alta"</formula>
    </cfRule>
    <cfRule type="cellIs" dxfId="151" priority="205" operator="equal">
      <formula>"Alta"</formula>
    </cfRule>
    <cfRule type="cellIs" dxfId="150" priority="206" operator="equal">
      <formula>"Media"</formula>
    </cfRule>
    <cfRule type="cellIs" dxfId="149" priority="207" operator="equal">
      <formula>"Muy baja"</formula>
    </cfRule>
    <cfRule type="cellIs" dxfId="148" priority="208" operator="equal">
      <formula>"Baja"</formula>
    </cfRule>
  </conditionalFormatting>
  <conditionalFormatting sqref="K24">
    <cfRule type="cellIs" dxfId="147" priority="199" operator="equal">
      <formula>"Muy alta"</formula>
    </cfRule>
    <cfRule type="cellIs" dxfId="146" priority="200" operator="equal">
      <formula>"Alta"</formula>
    </cfRule>
    <cfRule type="cellIs" dxfId="145" priority="201" operator="equal">
      <formula>"Media"</formula>
    </cfRule>
    <cfRule type="cellIs" dxfId="144" priority="202" operator="equal">
      <formula>"Baja"</formula>
    </cfRule>
    <cfRule type="cellIs" dxfId="143" priority="203" operator="equal">
      <formula>"Muy baja"</formula>
    </cfRule>
  </conditionalFormatting>
  <conditionalFormatting sqref="P24">
    <cfRule type="cellIs" dxfId="142" priority="194" operator="equal">
      <formula>"Catastrófico"</formula>
    </cfRule>
    <cfRule type="cellIs" dxfId="141" priority="195" operator="equal">
      <formula>"Mayor"</formula>
    </cfRule>
    <cfRule type="cellIs" dxfId="140" priority="196" operator="equal">
      <formula>"Moderado"</formula>
    </cfRule>
    <cfRule type="cellIs" dxfId="139" priority="197" operator="equal">
      <formula>"Menor"</formula>
    </cfRule>
    <cfRule type="cellIs" dxfId="138" priority="198" operator="equal">
      <formula>"Leve"</formula>
    </cfRule>
  </conditionalFormatting>
  <conditionalFormatting sqref="AD24:AD26 AG24:AG26">
    <cfRule type="cellIs" dxfId="137" priority="180" operator="equal">
      <formula>"Muy alta"</formula>
    </cfRule>
    <cfRule type="cellIs" dxfId="136" priority="181" operator="equal">
      <formula>"Alta"</formula>
    </cfRule>
    <cfRule type="cellIs" dxfId="135" priority="182" operator="equal">
      <formula>"Media"</formula>
    </cfRule>
    <cfRule type="cellIs" dxfId="134" priority="183" operator="equal">
      <formula>"Muy baja"</formula>
    </cfRule>
    <cfRule type="cellIs" dxfId="133" priority="184" operator="equal">
      <formula>"Baja"</formula>
    </cfRule>
  </conditionalFormatting>
  <conditionalFormatting sqref="AF24:AF26">
    <cfRule type="cellIs" dxfId="132" priority="185" operator="equal">
      <formula>"Catastrófico"</formula>
    </cfRule>
    <cfRule type="cellIs" dxfId="131" priority="186" operator="equal">
      <formula>"Mayor"</formula>
    </cfRule>
    <cfRule type="cellIs" dxfId="130" priority="187" operator="equal">
      <formula>"Moderado"</formula>
    </cfRule>
    <cfRule type="cellIs" dxfId="129" priority="188" operator="equal">
      <formula>"Menor"</formula>
    </cfRule>
    <cfRule type="cellIs" dxfId="128" priority="189" operator="equal">
      <formula>"Leve"</formula>
    </cfRule>
  </conditionalFormatting>
  <conditionalFormatting sqref="R24">
    <cfRule type="cellIs" dxfId="127" priority="175" operator="equal">
      <formula>"Catastrófico"</formula>
    </cfRule>
    <cfRule type="cellIs" dxfId="126" priority="176" operator="equal">
      <formula>"Mayor"</formula>
    </cfRule>
    <cfRule type="cellIs" dxfId="125" priority="177" operator="equal">
      <formula>"Moderado"</formula>
    </cfRule>
    <cfRule type="cellIs" dxfId="124" priority="178" operator="equal">
      <formula>"Menor"</formula>
    </cfRule>
    <cfRule type="cellIs" dxfId="123" priority="179" operator="equal">
      <formula>"Leve"</formula>
    </cfRule>
  </conditionalFormatting>
  <conditionalFormatting sqref="AH18:AH20 AH24:AH26">
    <cfRule type="cellIs" dxfId="122" priority="171" operator="equal">
      <formula>"Bajo"</formula>
    </cfRule>
    <cfRule type="cellIs" dxfId="121" priority="172" operator="equal">
      <formula>"Moderado"</formula>
    </cfRule>
    <cfRule type="cellIs" dxfId="120" priority="173" operator="equal">
      <formula>"Alto"</formula>
    </cfRule>
    <cfRule type="cellIs" dxfId="119" priority="174" operator="equal">
      <formula>"Extremo"</formula>
    </cfRule>
  </conditionalFormatting>
  <conditionalFormatting sqref="K27">
    <cfRule type="cellIs" dxfId="118" priority="166" operator="equal">
      <formula>"Muy alta"</formula>
    </cfRule>
    <cfRule type="cellIs" dxfId="117" priority="167" operator="equal">
      <formula>"Alta"</formula>
    </cfRule>
    <cfRule type="cellIs" dxfId="116" priority="168" operator="equal">
      <formula>"Media"</formula>
    </cfRule>
    <cfRule type="cellIs" dxfId="115" priority="169" operator="equal">
      <formula>"Baja"</formula>
    </cfRule>
    <cfRule type="cellIs" dxfId="114" priority="170" operator="equal">
      <formula>"Muy baja"</formula>
    </cfRule>
  </conditionalFormatting>
  <conditionalFormatting sqref="P27">
    <cfRule type="cellIs" dxfId="113" priority="161" operator="equal">
      <formula>"Catastrófico"</formula>
    </cfRule>
    <cfRule type="cellIs" dxfId="112" priority="162" operator="equal">
      <formula>"Mayor"</formula>
    </cfRule>
    <cfRule type="cellIs" dxfId="111" priority="163" operator="equal">
      <formula>"Moderado"</formula>
    </cfRule>
    <cfRule type="cellIs" dxfId="110" priority="164" operator="equal">
      <formula>"Menor"</formula>
    </cfRule>
    <cfRule type="cellIs" dxfId="109" priority="165" operator="equal">
      <formula>"Leve"</formula>
    </cfRule>
  </conditionalFormatting>
  <conditionalFormatting sqref="R27">
    <cfRule type="cellIs" dxfId="108" priority="157" operator="equal">
      <formula>"Bajo"</formula>
    </cfRule>
    <cfRule type="cellIs" dxfId="107" priority="158" operator="equal">
      <formula>"Moderado"</formula>
    </cfRule>
    <cfRule type="cellIs" dxfId="106" priority="159" operator="equal">
      <formula>"Alto"</formula>
    </cfRule>
    <cfRule type="cellIs" dxfId="105" priority="160" operator="equal">
      <formula>"Extremo"</formula>
    </cfRule>
  </conditionalFormatting>
  <conditionalFormatting sqref="AD27:AD31">
    <cfRule type="cellIs" dxfId="104" priority="138" operator="equal">
      <formula>"Muy alta"</formula>
    </cfRule>
    <cfRule type="cellIs" dxfId="103" priority="139" operator="equal">
      <formula>"Alta"</formula>
    </cfRule>
    <cfRule type="cellIs" dxfId="102" priority="140" operator="equal">
      <formula>"Media"</formula>
    </cfRule>
    <cfRule type="cellIs" dxfId="101" priority="141" operator="equal">
      <formula>"Muy baja"</formula>
    </cfRule>
    <cfRule type="cellIs" dxfId="100" priority="142" operator="equal">
      <formula>"Baja"</formula>
    </cfRule>
  </conditionalFormatting>
  <conditionalFormatting sqref="AF27:AF31">
    <cfRule type="cellIs" dxfId="99" priority="143" operator="equal">
      <formula>"Catastrófico"</formula>
    </cfRule>
    <cfRule type="cellIs" dxfId="98" priority="144" operator="equal">
      <formula>"Mayor"</formula>
    </cfRule>
    <cfRule type="cellIs" dxfId="97" priority="145" operator="equal">
      <formula>"Moderado"</formula>
    </cfRule>
    <cfRule type="cellIs" dxfId="96" priority="146" operator="equal">
      <formula>"Menor"</formula>
    </cfRule>
    <cfRule type="cellIs" dxfId="95" priority="147" operator="equal">
      <formula>"Leve"</formula>
    </cfRule>
  </conditionalFormatting>
  <conditionalFormatting sqref="AG27:AG31">
    <cfRule type="cellIs" dxfId="94" priority="148" operator="equal">
      <formula>"Muy alta"</formula>
    </cfRule>
    <cfRule type="cellIs" dxfId="93" priority="149" operator="equal">
      <formula>"Alta"</formula>
    </cfRule>
    <cfRule type="cellIs" dxfId="92" priority="150" operator="equal">
      <formula>"Media"</formula>
    </cfRule>
    <cfRule type="cellIs" dxfId="91" priority="151" operator="equal">
      <formula>"Muy baja"</formula>
    </cfRule>
    <cfRule type="cellIs" dxfId="90" priority="152" operator="equal">
      <formula>"Baja"</formula>
    </cfRule>
  </conditionalFormatting>
  <conditionalFormatting sqref="AH27:AH31">
    <cfRule type="cellIs" dxfId="89" priority="134" operator="equal">
      <formula>"Bajo"</formula>
    </cfRule>
    <cfRule type="cellIs" dxfId="88" priority="135" operator="equal">
      <formula>"Moderado"</formula>
    </cfRule>
    <cfRule type="cellIs" dxfId="87" priority="136" operator="equal">
      <formula>"Alto"</formula>
    </cfRule>
    <cfRule type="cellIs" dxfId="86" priority="137" operator="equal">
      <formula>"Extremo"</formula>
    </cfRule>
  </conditionalFormatting>
  <conditionalFormatting sqref="K32">
    <cfRule type="cellIs" dxfId="85" priority="129" operator="equal">
      <formula>"Muy alta"</formula>
    </cfRule>
    <cfRule type="cellIs" dxfId="84" priority="130" operator="equal">
      <formula>"Alta"</formula>
    </cfRule>
    <cfRule type="cellIs" dxfId="83" priority="131" operator="equal">
      <formula>"Media"</formula>
    </cfRule>
    <cfRule type="cellIs" dxfId="82" priority="132" operator="equal">
      <formula>"Baja"</formula>
    </cfRule>
    <cfRule type="cellIs" dxfId="81" priority="133" operator="equal">
      <formula>"Muy baja"</formula>
    </cfRule>
  </conditionalFormatting>
  <conditionalFormatting sqref="P32">
    <cfRule type="cellIs" dxfId="80" priority="124" operator="equal">
      <formula>"Catastrófico"</formula>
    </cfRule>
    <cfRule type="cellIs" dxfId="79" priority="125" operator="equal">
      <formula>"Mayor"</formula>
    </cfRule>
    <cfRule type="cellIs" dxfId="78" priority="126" operator="equal">
      <formula>"Moderado"</formula>
    </cfRule>
    <cfRule type="cellIs" dxfId="77" priority="127" operator="equal">
      <formula>"Menor"</formula>
    </cfRule>
    <cfRule type="cellIs" dxfId="76" priority="128" operator="equal">
      <formula>"Leve"</formula>
    </cfRule>
  </conditionalFormatting>
  <conditionalFormatting sqref="R32">
    <cfRule type="cellIs" dxfId="75" priority="105" operator="equal">
      <formula>"Catastrófico"</formula>
    </cfRule>
    <cfRule type="cellIs" dxfId="74" priority="106" operator="equal">
      <formula>"Mayor"</formula>
    </cfRule>
    <cfRule type="cellIs" dxfId="73" priority="107" operator="equal">
      <formula>"Moderado"</formula>
    </cfRule>
    <cfRule type="cellIs" dxfId="72" priority="108" operator="equal">
      <formula>"Menor"</formula>
    </cfRule>
    <cfRule type="cellIs" dxfId="71" priority="109" operator="equal">
      <formula>"Leve"</formula>
    </cfRule>
  </conditionalFormatting>
  <conditionalFormatting sqref="AH32">
    <cfRule type="cellIs" dxfId="70" priority="101" operator="equal">
      <formula>"Bajo"</formula>
    </cfRule>
    <cfRule type="cellIs" dxfId="69" priority="102" operator="equal">
      <formula>"Moderado"</formula>
    </cfRule>
    <cfRule type="cellIs" dxfId="68" priority="103" operator="equal">
      <formula>"Alto"</formula>
    </cfRule>
    <cfRule type="cellIs" dxfId="67" priority="104" operator="equal">
      <formula>"Extremo"</formula>
    </cfRule>
  </conditionalFormatting>
  <conditionalFormatting sqref="AD32">
    <cfRule type="cellIs" dxfId="66" priority="96" operator="equal">
      <formula>"Muy alta"</formula>
    </cfRule>
    <cfRule type="cellIs" dxfId="65" priority="97" operator="equal">
      <formula>"Alta"</formula>
    </cfRule>
    <cfRule type="cellIs" dxfId="64" priority="98" operator="equal">
      <formula>"Media"</formula>
    </cfRule>
    <cfRule type="cellIs" dxfId="63" priority="99" operator="equal">
      <formula>"Muy baja"</formula>
    </cfRule>
    <cfRule type="cellIs" dxfId="62" priority="100" operator="equal">
      <formula>"Baja"</formula>
    </cfRule>
  </conditionalFormatting>
  <conditionalFormatting sqref="AF32">
    <cfRule type="cellIs" dxfId="61" priority="91" operator="equal">
      <formula>"Catastrófico"</formula>
    </cfRule>
    <cfRule type="cellIs" dxfId="60" priority="92" operator="equal">
      <formula>"Mayor"</formula>
    </cfRule>
    <cfRule type="cellIs" dxfId="59" priority="93" operator="equal">
      <formula>"Moderado"</formula>
    </cfRule>
    <cfRule type="cellIs" dxfId="58" priority="94" operator="equal">
      <formula>"Menor"</formula>
    </cfRule>
    <cfRule type="cellIs" dxfId="57" priority="95" operator="equal">
      <formula>"Leve"</formula>
    </cfRule>
  </conditionalFormatting>
  <conditionalFormatting sqref="K5">
    <cfRule type="cellIs" dxfId="56" priority="81" operator="equal">
      <formula>"Muy alta"</formula>
    </cfRule>
    <cfRule type="cellIs" dxfId="55" priority="82" operator="equal">
      <formula>"Alta"</formula>
    </cfRule>
    <cfRule type="cellIs" dxfId="54" priority="83" operator="equal">
      <formula>"Media"</formula>
    </cfRule>
    <cfRule type="cellIs" dxfId="53" priority="84" operator="equal">
      <formula>"Baja"</formula>
    </cfRule>
    <cfRule type="cellIs" dxfId="52" priority="85" operator="equal">
      <formula>"Muy baja"</formula>
    </cfRule>
  </conditionalFormatting>
  <conditionalFormatting sqref="P5">
    <cfRule type="cellIs" dxfId="51" priority="76" operator="equal">
      <formula>"Catastrófico"</formula>
    </cfRule>
    <cfRule type="cellIs" dxfId="50" priority="77" operator="equal">
      <formula>"Mayor"</formula>
    </cfRule>
    <cfRule type="cellIs" dxfId="49" priority="78" operator="equal">
      <formula>"Moderado"</formula>
    </cfRule>
    <cfRule type="cellIs" dxfId="48" priority="79" operator="equal">
      <formula>"Menor"</formula>
    </cfRule>
    <cfRule type="cellIs" dxfId="47" priority="80" operator="equal">
      <formula>"Leve"</formula>
    </cfRule>
  </conditionalFormatting>
  <conditionalFormatting sqref="R5 AH5:AH7">
    <cfRule type="cellIs" dxfId="46" priority="72" operator="equal">
      <formula>"Bajo"</formula>
    </cfRule>
    <cfRule type="cellIs" dxfId="45" priority="73" operator="equal">
      <formula>"Moderado"</formula>
    </cfRule>
    <cfRule type="cellIs" dxfId="44" priority="74" operator="equal">
      <formula>"Alto"</formula>
    </cfRule>
    <cfRule type="cellIs" dxfId="43" priority="75" operator="equal">
      <formula>"Extremo"</formula>
    </cfRule>
  </conditionalFormatting>
  <conditionalFormatting sqref="AD5:AD7 AG5:AG7">
    <cfRule type="cellIs" dxfId="42" priority="62" operator="equal">
      <formula>"Muy alta"</formula>
    </cfRule>
    <cfRule type="cellIs" dxfId="41" priority="63" operator="equal">
      <formula>"Alta"</formula>
    </cfRule>
    <cfRule type="cellIs" dxfId="40" priority="64" operator="equal">
      <formula>"Media"</formula>
    </cfRule>
    <cfRule type="cellIs" dxfId="39" priority="65" operator="equal">
      <formula>"Muy baja"</formula>
    </cfRule>
    <cfRule type="cellIs" dxfId="38" priority="66" operator="equal">
      <formula>"Baja"</formula>
    </cfRule>
  </conditionalFormatting>
  <conditionalFormatting sqref="AF5:AF7">
    <cfRule type="cellIs" dxfId="37" priority="67" operator="equal">
      <formula>"Catastrófico"</formula>
    </cfRule>
    <cfRule type="cellIs" dxfId="36" priority="68" operator="equal">
      <formula>"Mayor"</formula>
    </cfRule>
    <cfRule type="cellIs" dxfId="35" priority="69" operator="equal">
      <formula>"Moderado"</formula>
    </cfRule>
    <cfRule type="cellIs" dxfId="34" priority="70" operator="equal">
      <formula>"Menor"</formula>
    </cfRule>
    <cfRule type="cellIs" dxfId="33" priority="71" operator="equal">
      <formula>"Leve"</formula>
    </cfRule>
  </conditionalFormatting>
  <conditionalFormatting sqref="K21">
    <cfRule type="cellIs" dxfId="32" priority="43" operator="equal">
      <formula>"Muy alta"</formula>
    </cfRule>
    <cfRule type="cellIs" dxfId="31" priority="44" operator="equal">
      <formula>"Alta"</formula>
    </cfRule>
    <cfRule type="cellIs" dxfId="30" priority="45" operator="equal">
      <formula>"Media"</formula>
    </cfRule>
    <cfRule type="cellIs" dxfId="29" priority="46" operator="equal">
      <formula>"Baja"</formula>
    </cfRule>
    <cfRule type="cellIs" dxfId="28" priority="47" operator="equal">
      <formula>"Muy baja"</formula>
    </cfRule>
  </conditionalFormatting>
  <conditionalFormatting sqref="P21">
    <cfRule type="cellIs" dxfId="27" priority="33" operator="equal">
      <formula>"Catastrófico"</formula>
    </cfRule>
    <cfRule type="cellIs" dxfId="26" priority="34" operator="equal">
      <formula>"Mayor"</formula>
    </cfRule>
    <cfRule type="cellIs" dxfId="25" priority="35" operator="equal">
      <formula>"Moderado"</formula>
    </cfRule>
    <cfRule type="cellIs" dxfId="24" priority="36" operator="equal">
      <formula>"Menor"</formula>
    </cfRule>
    <cfRule type="cellIs" dxfId="23" priority="37" operator="equal">
      <formula>"Leve"</formula>
    </cfRule>
  </conditionalFormatting>
  <conditionalFormatting sqref="R21">
    <cfRule type="cellIs" dxfId="22" priority="24" operator="equal">
      <formula>"Bajo"</formula>
    </cfRule>
    <cfRule type="cellIs" dxfId="21" priority="25" operator="equal">
      <formula>"Moderado"</formula>
    </cfRule>
    <cfRule type="cellIs" dxfId="20" priority="26" operator="equal">
      <formula>"Alto"</formula>
    </cfRule>
    <cfRule type="cellIs" dxfId="19" priority="27" operator="equal">
      <formula>"Extremo"</formula>
    </cfRule>
  </conditionalFormatting>
  <conditionalFormatting sqref="AD21:AD23">
    <cfRule type="cellIs" dxfId="18" priority="5" operator="equal">
      <formula>"Muy alta"</formula>
    </cfRule>
    <cfRule type="cellIs" dxfId="17" priority="6" operator="equal">
      <formula>"Alta"</formula>
    </cfRule>
    <cfRule type="cellIs" dxfId="16" priority="7" operator="equal">
      <formula>"Media"</formula>
    </cfRule>
    <cfRule type="cellIs" dxfId="15" priority="8" operator="equal">
      <formula>"Muy baja"</formula>
    </cfRule>
    <cfRule type="cellIs" dxfId="14" priority="9" operator="equal">
      <formula>"Baja"</formula>
    </cfRule>
  </conditionalFormatting>
  <conditionalFormatting sqref="AF21:AF23">
    <cfRule type="cellIs" dxfId="13" priority="10" operator="equal">
      <formula>"Catastrófico"</formula>
    </cfRule>
    <cfRule type="cellIs" dxfId="12" priority="11" operator="equal">
      <formula>"Mayor"</formula>
    </cfRule>
    <cfRule type="cellIs" dxfId="11" priority="12" operator="equal">
      <formula>"Moderado"</formula>
    </cfRule>
    <cfRule type="cellIs" dxfId="10" priority="13" operator="equal">
      <formula>"Menor"</formula>
    </cfRule>
    <cfRule type="cellIs" dxfId="9" priority="14" operator="equal">
      <formula>"Leve"</formula>
    </cfRule>
  </conditionalFormatting>
  <conditionalFormatting sqref="AG21:AG23">
    <cfRule type="cellIs" dxfId="8" priority="15" operator="equal">
      <formula>"Muy alta"</formula>
    </cfRule>
    <cfRule type="cellIs" dxfId="7" priority="16" operator="equal">
      <formula>"Alta"</formula>
    </cfRule>
    <cfRule type="cellIs" dxfId="6" priority="17" operator="equal">
      <formula>"Media"</formula>
    </cfRule>
    <cfRule type="cellIs" dxfId="5" priority="18" operator="equal">
      <formula>"Muy baja"</formula>
    </cfRule>
    <cfRule type="cellIs" dxfId="4" priority="19" operator="equal">
      <formula>"Baja"</formula>
    </cfRule>
  </conditionalFormatting>
  <conditionalFormatting sqref="AH21:AH23">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7">
    <dataValidation type="list" allowBlank="1" showInputMessage="1" showErrorMessage="1" sqref="AI8:AI12 AI16 AI5 AI27:AI32 AI18:AI21 AI24" xr:uid="{00000000-0002-0000-0000-000003000000}">
      <formula1>"Aceptar,Evitar,Reducir (transferir),Reducir (mitigar)"</formula1>
    </dataValidation>
    <dataValidation type="list" allowBlank="1" showInputMessage="1" showErrorMessage="1" sqref="G8:G12 G5 G27:G32 G16:G24" xr:uid="{00000000-0002-0000-0000-000004000000}">
      <formula1>"Procesos, Talento humano, Tecnología, Infraestructura, Evento externo"</formula1>
    </dataValidation>
    <dataValidation type="list" allowBlank="1" showInputMessage="1" showErrorMessage="1" sqref="N16 N8:N11 N18 N24 N27 N5 N21 N32" xr:uid="{18CC82B7-AE1C-4FD2-922E-E7BC6333F359}">
      <formula1>INDIRECT(M5)</formula1>
    </dataValidation>
    <dataValidation type="list" allowBlank="1" showInputMessage="1" showErrorMessage="1" sqref="AA5:AA32" xr:uid="{00000000-0002-0000-0000-000000000000}">
      <formula1>"Documentado,Sin documentar"</formula1>
    </dataValidation>
    <dataValidation type="list" allowBlank="1" showInputMessage="1" showErrorMessage="1" sqref="AB5:AB32" xr:uid="{00000000-0002-0000-0000-000001000000}">
      <formula1>"Continua, Aleatoria"</formula1>
    </dataValidation>
    <dataValidation type="list" allowBlank="1" showInputMessage="1" showErrorMessage="1" sqref="AC32 AC5:AC26" xr:uid="{00000000-0002-0000-0000-000002000000}">
      <formula1>"Con registro, Sin regisro"</formula1>
    </dataValidation>
    <dataValidation type="list" allowBlank="1" showInputMessage="1" showErrorMessage="1" sqref="AC27:AC31" xr:uid="{CCB7158E-B0CC-427D-BBCD-AB2E1836AF3B}">
      <formula1>"Con registro, Sin registro"</formula1>
    </dataValidation>
  </dataValidation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Calculos!$AI$2:$AI$4</xm:f>
          </x14:formula1>
          <xm:sqref>V16:V17</xm:sqref>
        </x14:dataValidation>
        <x14:dataValidation type="list" allowBlank="1" showInputMessage="1" showErrorMessage="1" xr:uid="{00000000-0002-0000-0000-00000A000000}">
          <x14:formula1>
            <xm:f>Calculos!$AI$5:$AI$6</xm:f>
          </x14:formula1>
          <xm:sqref>X16:X17</xm:sqref>
        </x14:dataValidation>
        <x14:dataValidation type="list" allowBlank="1" showInputMessage="1" showErrorMessage="1" xr:uid="{87266BA8-200D-46D1-B73D-18E0ECACDF94}">
          <x14:formula1>
            <xm:f>Calculos!$O$1:$R$1</xm:f>
          </x14:formula1>
          <xm:sqref>M16 M12 M18 M24 M27 M32 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
  <sheetViews>
    <sheetView topLeftCell="K1" zoomScaleNormal="100" workbookViewId="0">
      <pane ySplit="2" topLeftCell="A3" activePane="bottomLeft" state="frozen"/>
      <selection pane="bottomLeft" activeCell="O3" sqref="O3"/>
    </sheetView>
  </sheetViews>
  <sheetFormatPr baseColWidth="10" defaultColWidth="11.42578125" defaultRowHeight="15" x14ac:dyDescent="0.25"/>
  <cols>
    <col min="1" max="1" width="14.140625" style="10" bestFit="1" customWidth="1"/>
    <col min="2" max="2" width="29.5703125" style="10" customWidth="1"/>
    <col min="3" max="3" width="35.140625" style="10" customWidth="1"/>
    <col min="4" max="4" width="3.28515625" customWidth="1"/>
    <col min="10" max="12" width="10" customWidth="1"/>
    <col min="13" max="13" width="3.28515625" style="30" customWidth="1"/>
    <col min="14" max="14" width="10.5703125" customWidth="1"/>
    <col min="15" max="15" width="21.5703125" customWidth="1"/>
    <col min="16" max="16" width="60.5703125" customWidth="1"/>
    <col min="17" max="17" width="48.85546875" customWidth="1"/>
    <col min="18" max="18" width="35.7109375" customWidth="1"/>
    <col min="19" max="19" width="2.85546875" customWidth="1"/>
  </cols>
  <sheetData>
    <row r="1" spans="1:22" x14ac:dyDescent="0.25">
      <c r="A1" s="57" t="s">
        <v>74</v>
      </c>
      <c r="B1" s="57"/>
      <c r="C1" s="57"/>
      <c r="E1" s="55" t="s">
        <v>12</v>
      </c>
      <c r="F1" s="55"/>
      <c r="G1" s="55"/>
      <c r="H1" s="55"/>
      <c r="I1" s="55"/>
      <c r="J1" s="55"/>
      <c r="K1" s="55"/>
      <c r="L1" s="55"/>
      <c r="M1" s="29"/>
      <c r="N1" s="55" t="s">
        <v>75</v>
      </c>
      <c r="O1" s="55"/>
      <c r="P1" s="55"/>
      <c r="Q1" s="55"/>
      <c r="R1" s="55"/>
      <c r="S1" s="29"/>
      <c r="T1" s="56" t="s">
        <v>76</v>
      </c>
      <c r="U1" s="56"/>
      <c r="V1" s="56"/>
    </row>
    <row r="2" spans="1:22" x14ac:dyDescent="0.25">
      <c r="A2" s="34" t="s">
        <v>77</v>
      </c>
      <c r="B2" s="34" t="s">
        <v>78</v>
      </c>
      <c r="C2" s="34" t="s">
        <v>79</v>
      </c>
      <c r="N2" s="35" t="s">
        <v>80</v>
      </c>
      <c r="O2" s="35" t="s">
        <v>81</v>
      </c>
      <c r="P2" s="35" t="s">
        <v>82</v>
      </c>
      <c r="Q2" s="35" t="s">
        <v>83</v>
      </c>
      <c r="R2" s="35" t="s">
        <v>84</v>
      </c>
      <c r="S2" s="30"/>
    </row>
    <row r="3" spans="1:22" s="10" customFormat="1" ht="90" x14ac:dyDescent="0.25">
      <c r="A3" s="9" t="s">
        <v>43</v>
      </c>
      <c r="B3" s="5" t="s">
        <v>85</v>
      </c>
      <c r="C3" s="5" t="s">
        <v>86</v>
      </c>
      <c r="M3" s="31"/>
      <c r="N3" s="36" t="s">
        <v>87</v>
      </c>
      <c r="O3" s="37" t="s">
        <v>88</v>
      </c>
      <c r="P3" s="37" t="s">
        <v>89</v>
      </c>
      <c r="Q3" s="38" t="s">
        <v>90</v>
      </c>
      <c r="R3" s="39" t="s">
        <v>91</v>
      </c>
      <c r="S3" s="31"/>
    </row>
    <row r="4" spans="1:22" ht="78.75" x14ac:dyDescent="0.25">
      <c r="A4" s="5" t="s">
        <v>92</v>
      </c>
      <c r="B4" s="5" t="s">
        <v>93</v>
      </c>
      <c r="C4" s="5" t="s">
        <v>94</v>
      </c>
      <c r="N4" s="40" t="s">
        <v>95</v>
      </c>
      <c r="O4" s="37" t="s">
        <v>96</v>
      </c>
      <c r="P4" s="37" t="s">
        <v>97</v>
      </c>
      <c r="Q4" s="38" t="s">
        <v>98</v>
      </c>
      <c r="R4" s="39" t="s">
        <v>99</v>
      </c>
      <c r="S4" s="30"/>
    </row>
    <row r="5" spans="1:22" ht="78.75" x14ac:dyDescent="0.25">
      <c r="A5" s="9" t="s">
        <v>100</v>
      </c>
      <c r="B5" s="5" t="s">
        <v>101</v>
      </c>
      <c r="C5" s="5" t="s">
        <v>102</v>
      </c>
      <c r="N5" s="41" t="s">
        <v>103</v>
      </c>
      <c r="O5" s="37" t="s">
        <v>104</v>
      </c>
      <c r="P5" s="37" t="s">
        <v>105</v>
      </c>
      <c r="Q5" s="38" t="s">
        <v>106</v>
      </c>
      <c r="R5" s="39" t="s">
        <v>107</v>
      </c>
      <c r="S5" s="30"/>
    </row>
    <row r="6" spans="1:22" ht="90" x14ac:dyDescent="0.25">
      <c r="A6" s="9" t="s">
        <v>108</v>
      </c>
      <c r="B6" s="5" t="s">
        <v>109</v>
      </c>
      <c r="C6" s="5" t="s">
        <v>110</v>
      </c>
      <c r="N6" s="42" t="s">
        <v>111</v>
      </c>
      <c r="O6" s="37" t="s">
        <v>112</v>
      </c>
      <c r="P6" s="37" t="s">
        <v>113</v>
      </c>
      <c r="Q6" s="38" t="s">
        <v>114</v>
      </c>
      <c r="R6" s="39" t="s">
        <v>115</v>
      </c>
      <c r="S6" s="30"/>
    </row>
    <row r="7" spans="1:22" ht="90" x14ac:dyDescent="0.25">
      <c r="A7" s="5" t="s">
        <v>116</v>
      </c>
      <c r="B7" s="5" t="s">
        <v>117</v>
      </c>
      <c r="C7" s="5" t="s">
        <v>118</v>
      </c>
      <c r="N7" s="43" t="s">
        <v>119</v>
      </c>
      <c r="O7" s="37" t="s">
        <v>120</v>
      </c>
      <c r="P7" s="37" t="s">
        <v>121</v>
      </c>
      <c r="Q7" s="38" t="s">
        <v>122</v>
      </c>
      <c r="R7" s="39" t="s">
        <v>123</v>
      </c>
      <c r="S7" s="30"/>
    </row>
    <row r="8" spans="1:22" x14ac:dyDescent="0.25">
      <c r="N8" s="30"/>
      <c r="O8" s="30"/>
      <c r="P8" s="30"/>
      <c r="Q8" s="30"/>
      <c r="R8" s="30"/>
      <c r="S8" s="30"/>
    </row>
    <row r="9" spans="1:22" x14ac:dyDescent="0.25">
      <c r="N9" s="30"/>
      <c r="O9" s="30"/>
      <c r="P9" s="30"/>
      <c r="Q9" s="30"/>
      <c r="R9" s="30"/>
      <c r="S9" s="30"/>
    </row>
    <row r="10" spans="1:22" x14ac:dyDescent="0.25">
      <c r="B10" s="54" t="s">
        <v>124</v>
      </c>
      <c r="C10" s="54"/>
      <c r="D10" s="54"/>
      <c r="E10" s="54"/>
      <c r="F10" s="54"/>
      <c r="G10" s="54"/>
      <c r="N10" s="30"/>
      <c r="O10" s="30"/>
      <c r="P10" s="30"/>
      <c r="Q10" s="30"/>
      <c r="R10" s="30"/>
      <c r="S10" s="30"/>
    </row>
    <row r="11" spans="1:22" x14ac:dyDescent="0.25">
      <c r="N11" s="30"/>
      <c r="O11" s="30"/>
      <c r="P11" s="30"/>
      <c r="Q11" s="30"/>
      <c r="R11" s="30"/>
      <c r="S11" s="30"/>
    </row>
    <row r="12" spans="1:22" x14ac:dyDescent="0.25">
      <c r="N12" s="30"/>
      <c r="O12" s="30"/>
      <c r="P12" s="30"/>
      <c r="Q12" s="30"/>
      <c r="R12" s="30"/>
      <c r="S12" s="30"/>
    </row>
  </sheetData>
  <sheetProtection sheet="1" objects="1" scenarios="1"/>
  <mergeCells count="5">
    <mergeCell ref="B10:G10"/>
    <mergeCell ref="N1:R1"/>
    <mergeCell ref="T1:V1"/>
    <mergeCell ref="A1:C1"/>
    <mergeCell ref="E1:L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3CD-85C1-435A-85F6-32FF756C0EF6}">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1"/>
  <sheetViews>
    <sheetView topLeftCell="P1" zoomScale="85" zoomScaleNormal="85" workbookViewId="0">
      <pane ySplit="1" topLeftCell="A2" activePane="bottomLeft" state="frozen"/>
      <selection pane="bottomLeft" activeCell="AD2" sqref="AD2:AD6"/>
    </sheetView>
  </sheetViews>
  <sheetFormatPr baseColWidth="10" defaultColWidth="11.42578125" defaultRowHeight="15" x14ac:dyDescent="0.25"/>
  <cols>
    <col min="1" max="1" width="41.140625" bestFit="1" customWidth="1"/>
    <col min="2" max="2" width="91.5703125" style="6" customWidth="1"/>
    <col min="3" max="3" width="3.7109375" customWidth="1"/>
    <col min="4" max="4" width="15.7109375" customWidth="1"/>
    <col min="5" max="5" width="3.28515625" customWidth="1"/>
    <col min="6" max="6" width="21.85546875" bestFit="1" customWidth="1"/>
    <col min="7" max="7" width="4.7109375" customWidth="1"/>
    <col min="8" max="8" width="48.5703125" customWidth="1"/>
    <col min="10" max="10" width="19" customWidth="1"/>
    <col min="11" max="11" width="14.7109375" bestFit="1" customWidth="1"/>
    <col min="12" max="12" width="26.7109375" customWidth="1"/>
    <col min="14" max="14" width="5.140625" customWidth="1"/>
    <col min="15" max="15" width="25" style="50" customWidth="1"/>
    <col min="16" max="16" width="27.7109375" style="50" customWidth="1"/>
    <col min="17" max="17" width="27" style="50" customWidth="1"/>
    <col min="18" max="18" width="20.28515625" style="50" customWidth="1"/>
    <col min="19" max="19" width="5.28515625" customWidth="1"/>
    <col min="20" max="20" width="13.5703125" customWidth="1"/>
    <col min="21" max="21" width="48.42578125" customWidth="1"/>
    <col min="22" max="22" width="7.42578125" customWidth="1"/>
    <col min="23" max="23" width="13.42578125" customWidth="1"/>
    <col min="24" max="24" width="4" customWidth="1"/>
    <col min="25" max="25" width="3" style="30" customWidth="1"/>
    <col min="26" max="26" width="4" bestFit="1" customWidth="1"/>
    <col min="27" max="27" width="3.7109375" bestFit="1" customWidth="1"/>
    <col min="28" max="28" width="15.28515625" customWidth="1"/>
    <col min="34" max="34" width="3.7109375" bestFit="1" customWidth="1"/>
    <col min="36" max="36" width="34.140625" customWidth="1"/>
    <col min="37" max="37" width="4.7109375" bestFit="1" customWidth="1"/>
  </cols>
  <sheetData>
    <row r="1" spans="1:37" ht="29.25" thickBot="1" x14ac:dyDescent="0.3">
      <c r="A1" s="3" t="s">
        <v>43</v>
      </c>
      <c r="B1" s="4" t="s">
        <v>125</v>
      </c>
      <c r="D1" s="8" t="s">
        <v>6</v>
      </c>
      <c r="F1" s="7" t="s">
        <v>12</v>
      </c>
      <c r="H1" s="4" t="s">
        <v>126</v>
      </c>
      <c r="J1" s="16" t="s">
        <v>127</v>
      </c>
      <c r="K1" s="16" t="s">
        <v>128</v>
      </c>
      <c r="L1" s="17" t="s">
        <v>127</v>
      </c>
      <c r="M1" s="17" t="s">
        <v>129</v>
      </c>
      <c r="O1" s="53" t="s">
        <v>130</v>
      </c>
      <c r="P1" s="53" t="s">
        <v>42</v>
      </c>
      <c r="Q1" s="53" t="s">
        <v>131</v>
      </c>
      <c r="R1" s="53" t="s">
        <v>46</v>
      </c>
      <c r="T1" s="35" t="s">
        <v>132</v>
      </c>
      <c r="U1" s="35" t="s">
        <v>23</v>
      </c>
      <c r="V1" s="35" t="s">
        <v>133</v>
      </c>
      <c r="W1" s="35" t="s">
        <v>80</v>
      </c>
      <c r="X1" s="49"/>
      <c r="Y1" s="33"/>
      <c r="Z1" s="32"/>
      <c r="AC1" s="58" t="s">
        <v>6</v>
      </c>
      <c r="AD1" s="58"/>
      <c r="AE1" s="58"/>
      <c r="AF1" s="58"/>
      <c r="AG1" s="58"/>
    </row>
    <row r="2" spans="1:37" ht="64.5" thickBot="1" x14ac:dyDescent="0.3">
      <c r="A2" s="1" t="s">
        <v>134</v>
      </c>
      <c r="B2" s="19" t="s">
        <v>135</v>
      </c>
      <c r="D2" s="9" t="s">
        <v>136</v>
      </c>
      <c r="F2" s="5" t="s">
        <v>137</v>
      </c>
      <c r="H2" s="5" t="s">
        <v>138</v>
      </c>
      <c r="J2" s="14" t="s">
        <v>139</v>
      </c>
      <c r="K2" s="14" t="s">
        <v>140</v>
      </c>
      <c r="L2" s="13" t="s">
        <v>141</v>
      </c>
      <c r="M2" s="15">
        <v>0.2</v>
      </c>
      <c r="O2" s="51" t="s">
        <v>142</v>
      </c>
      <c r="P2" s="51" t="s">
        <v>143</v>
      </c>
      <c r="Q2" s="51" t="s">
        <v>144</v>
      </c>
      <c r="R2" s="51" t="s">
        <v>145</v>
      </c>
      <c r="T2" s="46" t="s">
        <v>130</v>
      </c>
      <c r="U2" s="47" t="s">
        <v>142</v>
      </c>
      <c r="V2" s="46">
        <v>1</v>
      </c>
      <c r="W2" s="45" t="s">
        <v>146</v>
      </c>
      <c r="X2" s="33"/>
      <c r="Y2" s="33"/>
      <c r="Z2" s="21"/>
      <c r="AB2" s="20"/>
      <c r="AC2" s="21" t="s">
        <v>146</v>
      </c>
      <c r="AD2" s="21" t="s">
        <v>147</v>
      </c>
      <c r="AE2" s="21" t="s">
        <v>148</v>
      </c>
      <c r="AF2" s="21" t="s">
        <v>149</v>
      </c>
      <c r="AG2" s="21" t="s">
        <v>150</v>
      </c>
      <c r="AH2" s="60" t="s">
        <v>151</v>
      </c>
      <c r="AI2" s="23" t="s">
        <v>48</v>
      </c>
      <c r="AJ2" s="11" t="s">
        <v>152</v>
      </c>
      <c r="AK2" s="24">
        <v>0.25</v>
      </c>
    </row>
    <row r="3" spans="1:37" ht="76.5" x14ac:dyDescent="0.25">
      <c r="A3" s="1" t="s">
        <v>153</v>
      </c>
      <c r="B3" s="19" t="s">
        <v>154</v>
      </c>
      <c r="D3" s="9" t="s">
        <v>42</v>
      </c>
      <c r="F3" s="9" t="s">
        <v>155</v>
      </c>
      <c r="H3" s="5" t="s">
        <v>156</v>
      </c>
      <c r="J3" s="14" t="s">
        <v>157</v>
      </c>
      <c r="K3" s="14" t="s">
        <v>158</v>
      </c>
      <c r="L3" s="13" t="s">
        <v>159</v>
      </c>
      <c r="M3" s="15">
        <v>0.4</v>
      </c>
      <c r="O3" s="51" t="s">
        <v>160</v>
      </c>
      <c r="P3" s="51" t="s">
        <v>73</v>
      </c>
      <c r="Q3" s="51" t="s">
        <v>161</v>
      </c>
      <c r="R3" s="51" t="s">
        <v>47</v>
      </c>
      <c r="T3" s="46" t="s">
        <v>130</v>
      </c>
      <c r="U3" s="47" t="s">
        <v>160</v>
      </c>
      <c r="V3" s="46">
        <v>2</v>
      </c>
      <c r="W3" s="45" t="s">
        <v>147</v>
      </c>
      <c r="X3" s="33"/>
      <c r="Y3" s="33"/>
      <c r="Z3" s="21">
        <v>100</v>
      </c>
      <c r="AA3" s="59" t="s">
        <v>129</v>
      </c>
      <c r="AB3" s="14" t="s">
        <v>162</v>
      </c>
      <c r="AC3" s="22" t="s">
        <v>163</v>
      </c>
      <c r="AD3" s="22" t="s">
        <v>163</v>
      </c>
      <c r="AE3" s="22" t="s">
        <v>163</v>
      </c>
      <c r="AF3" s="22" t="s">
        <v>163</v>
      </c>
      <c r="AG3" s="22" t="s">
        <v>164</v>
      </c>
      <c r="AH3" s="60"/>
      <c r="AI3" s="28" t="s">
        <v>66</v>
      </c>
      <c r="AJ3" s="25" t="s">
        <v>165</v>
      </c>
      <c r="AK3" s="27">
        <v>0.15</v>
      </c>
    </row>
    <row r="4" spans="1:37" ht="77.25" thickBot="1" x14ac:dyDescent="0.3">
      <c r="A4" s="1" t="s">
        <v>0</v>
      </c>
      <c r="B4" s="19" t="s">
        <v>166</v>
      </c>
      <c r="D4" s="5" t="s">
        <v>167</v>
      </c>
      <c r="F4" s="9" t="s">
        <v>168</v>
      </c>
      <c r="H4" s="5" t="s">
        <v>169</v>
      </c>
      <c r="J4" s="14" t="s">
        <v>170</v>
      </c>
      <c r="K4" s="14" t="s">
        <v>171</v>
      </c>
      <c r="L4" s="13" t="s">
        <v>172</v>
      </c>
      <c r="M4" s="15">
        <v>0.6</v>
      </c>
      <c r="O4" s="51" t="s">
        <v>173</v>
      </c>
      <c r="P4" s="51" t="s">
        <v>174</v>
      </c>
      <c r="Q4" s="51" t="s">
        <v>175</v>
      </c>
      <c r="R4" s="51" t="s">
        <v>176</v>
      </c>
      <c r="T4" s="46" t="s">
        <v>130</v>
      </c>
      <c r="U4" s="47" t="s">
        <v>173</v>
      </c>
      <c r="V4" s="46">
        <v>3</v>
      </c>
      <c r="W4" s="45" t="s">
        <v>148</v>
      </c>
      <c r="X4" s="33"/>
      <c r="Y4" s="33"/>
      <c r="Z4" s="21">
        <v>80</v>
      </c>
      <c r="AA4" s="59"/>
      <c r="AB4" s="14" t="s">
        <v>177</v>
      </c>
      <c r="AC4" s="22" t="s">
        <v>148</v>
      </c>
      <c r="AD4" s="22" t="s">
        <v>148</v>
      </c>
      <c r="AE4" s="22" t="s">
        <v>163</v>
      </c>
      <c r="AF4" s="22" t="s">
        <v>163</v>
      </c>
      <c r="AG4" s="22" t="s">
        <v>164</v>
      </c>
      <c r="AH4" s="60"/>
      <c r="AI4" s="26" t="s">
        <v>57</v>
      </c>
      <c r="AJ4" s="18" t="s">
        <v>178</v>
      </c>
      <c r="AK4" s="12">
        <v>0.1</v>
      </c>
    </row>
    <row r="5" spans="1:37" ht="77.25" thickBot="1" x14ac:dyDescent="0.3">
      <c r="A5" s="1" t="s">
        <v>179</v>
      </c>
      <c r="B5" s="19" t="s">
        <v>180</v>
      </c>
      <c r="F5" s="9" t="s">
        <v>181</v>
      </c>
      <c r="H5" s="5" t="s">
        <v>182</v>
      </c>
      <c r="J5" s="14" t="s">
        <v>183</v>
      </c>
      <c r="K5" s="14" t="s">
        <v>177</v>
      </c>
      <c r="L5" s="13" t="s">
        <v>184</v>
      </c>
      <c r="M5" s="15">
        <v>0.8</v>
      </c>
      <c r="O5" s="51" t="s">
        <v>185</v>
      </c>
      <c r="P5" s="51" t="s">
        <v>64</v>
      </c>
      <c r="Q5" s="51" t="s">
        <v>186</v>
      </c>
      <c r="R5" s="51" t="s">
        <v>187</v>
      </c>
      <c r="T5" s="46" t="s">
        <v>130</v>
      </c>
      <c r="U5" s="47" t="s">
        <v>185</v>
      </c>
      <c r="V5" s="46">
        <v>4</v>
      </c>
      <c r="W5" s="45" t="s">
        <v>149</v>
      </c>
      <c r="X5" s="33"/>
      <c r="Y5" s="33"/>
      <c r="Z5" s="21">
        <v>60</v>
      </c>
      <c r="AA5" s="59"/>
      <c r="AB5" s="14" t="s">
        <v>171</v>
      </c>
      <c r="AC5" s="22" t="s">
        <v>148</v>
      </c>
      <c r="AD5" s="22" t="s">
        <v>148</v>
      </c>
      <c r="AE5" s="22" t="s">
        <v>148</v>
      </c>
      <c r="AF5" s="22" t="s">
        <v>163</v>
      </c>
      <c r="AG5" s="22" t="s">
        <v>164</v>
      </c>
      <c r="AH5" s="60" t="s">
        <v>36</v>
      </c>
      <c r="AI5" s="23" t="s">
        <v>49</v>
      </c>
      <c r="AJ5" s="11" t="s">
        <v>188</v>
      </c>
      <c r="AK5" s="24">
        <v>0.25</v>
      </c>
    </row>
    <row r="6" spans="1:37" ht="77.25" thickBot="1" x14ac:dyDescent="0.3">
      <c r="A6" s="1" t="s">
        <v>189</v>
      </c>
      <c r="B6" s="19" t="s">
        <v>190</v>
      </c>
      <c r="F6" s="9" t="s">
        <v>191</v>
      </c>
      <c r="H6" s="5" t="s">
        <v>45</v>
      </c>
      <c r="J6" s="14" t="s">
        <v>192</v>
      </c>
      <c r="K6" s="14" t="s">
        <v>162</v>
      </c>
      <c r="L6" s="13" t="s">
        <v>193</v>
      </c>
      <c r="M6" s="15">
        <v>1</v>
      </c>
      <c r="O6" s="52" t="s">
        <v>194</v>
      </c>
      <c r="P6" s="52" t="s">
        <v>195</v>
      </c>
      <c r="Q6" s="52" t="s">
        <v>196</v>
      </c>
      <c r="R6" s="52" t="s">
        <v>197</v>
      </c>
      <c r="T6" s="46" t="s">
        <v>130</v>
      </c>
      <c r="U6" s="47" t="s">
        <v>194</v>
      </c>
      <c r="V6" s="46">
        <v>5</v>
      </c>
      <c r="W6" s="45" t="s">
        <v>150</v>
      </c>
      <c r="X6" s="33"/>
      <c r="Y6" s="33"/>
      <c r="Z6" s="21">
        <v>40</v>
      </c>
      <c r="AA6" s="59"/>
      <c r="AB6" s="14" t="s">
        <v>158</v>
      </c>
      <c r="AC6" s="22" t="s">
        <v>198</v>
      </c>
      <c r="AD6" s="22" t="s">
        <v>148</v>
      </c>
      <c r="AE6" s="22" t="s">
        <v>148</v>
      </c>
      <c r="AF6" s="22" t="s">
        <v>163</v>
      </c>
      <c r="AG6" s="22" t="s">
        <v>164</v>
      </c>
      <c r="AH6" s="60"/>
      <c r="AI6" s="26" t="s">
        <v>55</v>
      </c>
      <c r="AJ6" s="18" t="s">
        <v>199</v>
      </c>
      <c r="AK6" s="12">
        <v>0.15</v>
      </c>
    </row>
    <row r="7" spans="1:37" ht="45" x14ac:dyDescent="0.25">
      <c r="A7" s="2" t="s">
        <v>200</v>
      </c>
      <c r="B7" s="19" t="s">
        <v>201</v>
      </c>
      <c r="F7" s="5" t="s">
        <v>44</v>
      </c>
      <c r="T7" s="46" t="s">
        <v>42</v>
      </c>
      <c r="U7" s="47" t="s">
        <v>143</v>
      </c>
      <c r="V7" s="46">
        <v>6</v>
      </c>
      <c r="W7" s="45" t="s">
        <v>146</v>
      </c>
      <c r="X7" s="33"/>
      <c r="Y7" s="33"/>
      <c r="Z7" s="21">
        <v>20</v>
      </c>
      <c r="AA7" s="59"/>
      <c r="AB7" s="14" t="s">
        <v>140</v>
      </c>
      <c r="AC7" s="22" t="s">
        <v>198</v>
      </c>
      <c r="AD7" s="22" t="s">
        <v>198</v>
      </c>
      <c r="AE7" s="22" t="s">
        <v>148</v>
      </c>
      <c r="AF7" s="22" t="s">
        <v>163</v>
      </c>
      <c r="AG7" s="22" t="s">
        <v>164</v>
      </c>
    </row>
    <row r="8" spans="1:37" ht="38.25" x14ac:dyDescent="0.25">
      <c r="A8" s="2" t="s">
        <v>202</v>
      </c>
      <c r="B8" s="19" t="s">
        <v>201</v>
      </c>
      <c r="F8" s="5" t="s">
        <v>203</v>
      </c>
      <c r="T8" s="46" t="s">
        <v>42</v>
      </c>
      <c r="U8" s="47" t="s">
        <v>73</v>
      </c>
      <c r="V8" s="46">
        <v>7</v>
      </c>
      <c r="W8" s="45" t="s">
        <v>147</v>
      </c>
      <c r="X8" s="33"/>
      <c r="Y8" s="33"/>
      <c r="Z8" s="33"/>
    </row>
    <row r="9" spans="1:37" ht="25.5" x14ac:dyDescent="0.25">
      <c r="A9" s="2" t="s">
        <v>204</v>
      </c>
      <c r="B9" s="19" t="s">
        <v>205</v>
      </c>
      <c r="T9" s="46" t="s">
        <v>42</v>
      </c>
      <c r="U9" s="47" t="s">
        <v>174</v>
      </c>
      <c r="V9" s="46">
        <v>8</v>
      </c>
      <c r="W9" s="45" t="s">
        <v>148</v>
      </c>
      <c r="X9" s="33"/>
      <c r="Y9" s="33"/>
      <c r="Z9" s="33"/>
    </row>
    <row r="10" spans="1:37" ht="38.25" x14ac:dyDescent="0.25">
      <c r="A10" s="2" t="s">
        <v>206</v>
      </c>
      <c r="B10" s="19" t="s">
        <v>207</v>
      </c>
      <c r="T10" s="46" t="s">
        <v>42</v>
      </c>
      <c r="U10" s="47" t="s">
        <v>64</v>
      </c>
      <c r="V10" s="46">
        <v>9</v>
      </c>
      <c r="W10" s="45" t="s">
        <v>149</v>
      </c>
      <c r="X10" s="33"/>
      <c r="Y10" s="33"/>
      <c r="Z10" s="33"/>
    </row>
    <row r="11" spans="1:37" ht="25.5" x14ac:dyDescent="0.25">
      <c r="A11" s="1" t="s">
        <v>208</v>
      </c>
      <c r="B11" s="19" t="s">
        <v>201</v>
      </c>
      <c r="T11" s="46" t="s">
        <v>42</v>
      </c>
      <c r="U11" s="47" t="s">
        <v>195</v>
      </c>
      <c r="V11" s="46">
        <v>10</v>
      </c>
      <c r="W11" s="45" t="s">
        <v>150</v>
      </c>
      <c r="X11" s="33"/>
      <c r="Y11" s="33"/>
      <c r="Z11" s="33"/>
    </row>
    <row r="12" spans="1:37" ht="38.25" x14ac:dyDescent="0.25">
      <c r="A12" s="2" t="s">
        <v>209</v>
      </c>
      <c r="B12" s="19" t="s">
        <v>201</v>
      </c>
      <c r="T12" s="46" t="s">
        <v>210</v>
      </c>
      <c r="U12" s="47" t="s">
        <v>144</v>
      </c>
      <c r="V12" s="46">
        <v>11</v>
      </c>
      <c r="W12" s="45" t="s">
        <v>146</v>
      </c>
      <c r="X12" s="33"/>
    </row>
    <row r="13" spans="1:37" ht="38.25" x14ac:dyDescent="0.25">
      <c r="A13" s="2" t="s">
        <v>211</v>
      </c>
      <c r="B13" s="19" t="s">
        <v>201</v>
      </c>
      <c r="T13" s="46" t="s">
        <v>210</v>
      </c>
      <c r="U13" s="47" t="s">
        <v>161</v>
      </c>
      <c r="V13" s="46">
        <v>12</v>
      </c>
      <c r="W13" s="45" t="s">
        <v>147</v>
      </c>
      <c r="X13" s="33"/>
    </row>
    <row r="14" spans="1:37" ht="38.25" x14ac:dyDescent="0.25">
      <c r="A14" s="2" t="s">
        <v>212</v>
      </c>
      <c r="B14" s="19" t="s">
        <v>201</v>
      </c>
      <c r="T14" s="46" t="s">
        <v>210</v>
      </c>
      <c r="U14" s="47" t="s">
        <v>175</v>
      </c>
      <c r="V14" s="46">
        <v>13</v>
      </c>
      <c r="W14" s="45" t="s">
        <v>148</v>
      </c>
      <c r="X14" s="33"/>
    </row>
    <row r="15" spans="1:37" ht="38.25" x14ac:dyDescent="0.25">
      <c r="A15" s="2" t="s">
        <v>213</v>
      </c>
      <c r="B15" s="19" t="s">
        <v>201</v>
      </c>
      <c r="T15" s="46" t="s">
        <v>210</v>
      </c>
      <c r="U15" s="47" t="s">
        <v>186</v>
      </c>
      <c r="V15" s="46">
        <v>14</v>
      </c>
      <c r="W15" s="45" t="s">
        <v>149</v>
      </c>
      <c r="X15" s="33"/>
    </row>
    <row r="16" spans="1:37" ht="38.25" x14ac:dyDescent="0.25">
      <c r="A16" s="2" t="s">
        <v>214</v>
      </c>
      <c r="B16" s="19" t="s">
        <v>201</v>
      </c>
      <c r="T16" s="46" t="s">
        <v>210</v>
      </c>
      <c r="U16" s="47" t="s">
        <v>196</v>
      </c>
      <c r="V16" s="46">
        <v>15</v>
      </c>
      <c r="W16" s="45" t="s">
        <v>150</v>
      </c>
      <c r="X16" s="33"/>
    </row>
    <row r="17" spans="1:24" ht="51" x14ac:dyDescent="0.25">
      <c r="A17" s="2" t="s">
        <v>215</v>
      </c>
      <c r="B17" s="19" t="s">
        <v>216</v>
      </c>
      <c r="T17" s="46" t="s">
        <v>46</v>
      </c>
      <c r="U17" s="47" t="s">
        <v>145</v>
      </c>
      <c r="V17" s="46">
        <v>16</v>
      </c>
      <c r="W17" s="45" t="s">
        <v>146</v>
      </c>
      <c r="X17" s="33"/>
    </row>
    <row r="18" spans="1:24" ht="38.25" x14ac:dyDescent="0.25">
      <c r="A18" s="1" t="s">
        <v>217</v>
      </c>
      <c r="B18" s="19" t="s">
        <v>218</v>
      </c>
      <c r="T18" s="46" t="s">
        <v>46</v>
      </c>
      <c r="U18" s="47" t="s">
        <v>47</v>
      </c>
      <c r="V18" s="46">
        <v>17</v>
      </c>
      <c r="W18" s="45" t="s">
        <v>147</v>
      </c>
      <c r="X18" s="33"/>
    </row>
    <row r="19" spans="1:24" ht="38.25" x14ac:dyDescent="0.25">
      <c r="A19" s="1" t="s">
        <v>219</v>
      </c>
      <c r="B19" s="19" t="s">
        <v>220</v>
      </c>
      <c r="T19" s="46" t="s">
        <v>46</v>
      </c>
      <c r="U19" s="47" t="s">
        <v>176</v>
      </c>
      <c r="V19" s="46">
        <v>18</v>
      </c>
      <c r="W19" s="45" t="s">
        <v>148</v>
      </c>
      <c r="X19" s="33"/>
    </row>
    <row r="20" spans="1:24" ht="38.25" x14ac:dyDescent="0.25">
      <c r="A20" s="1" t="s">
        <v>221</v>
      </c>
      <c r="B20" s="19" t="s">
        <v>222</v>
      </c>
      <c r="T20" s="46" t="s">
        <v>46</v>
      </c>
      <c r="U20" s="47" t="s">
        <v>187</v>
      </c>
      <c r="V20" s="46">
        <v>19</v>
      </c>
      <c r="W20" s="45" t="s">
        <v>149</v>
      </c>
      <c r="X20" s="33"/>
    </row>
    <row r="21" spans="1:24" ht="38.25" x14ac:dyDescent="0.25">
      <c r="A21" s="1" t="s">
        <v>223</v>
      </c>
      <c r="B21" s="19" t="s">
        <v>224</v>
      </c>
      <c r="T21" s="44" t="s">
        <v>46</v>
      </c>
      <c r="U21" s="48" t="s">
        <v>197</v>
      </c>
      <c r="V21" s="44">
        <v>20</v>
      </c>
      <c r="W21" s="21" t="s">
        <v>150</v>
      </c>
      <c r="X21" s="33"/>
    </row>
    <row r="22" spans="1:24" ht="25.5" x14ac:dyDescent="0.25">
      <c r="A22" s="2" t="s">
        <v>225</v>
      </c>
      <c r="B22" s="19" t="s">
        <v>226</v>
      </c>
    </row>
    <row r="23" spans="1:24" ht="51" x14ac:dyDescent="0.25">
      <c r="A23" s="1" t="s">
        <v>227</v>
      </c>
      <c r="B23" s="19" t="s">
        <v>228</v>
      </c>
    </row>
    <row r="24" spans="1:24" ht="25.5" x14ac:dyDescent="0.25">
      <c r="A24" s="1" t="s">
        <v>229</v>
      </c>
      <c r="B24" s="19" t="s">
        <v>230</v>
      </c>
    </row>
    <row r="25" spans="1:24" ht="38.25" x14ac:dyDescent="0.25">
      <c r="A25" s="1" t="s">
        <v>231</v>
      </c>
      <c r="B25" s="19" t="s">
        <v>232</v>
      </c>
    </row>
    <row r="26" spans="1:24" ht="25.5" x14ac:dyDescent="0.25">
      <c r="A26" s="1" t="s">
        <v>233</v>
      </c>
      <c r="B26" s="19" t="s">
        <v>234</v>
      </c>
    </row>
    <row r="27" spans="1:24" ht="25.5" x14ac:dyDescent="0.25">
      <c r="A27" s="1" t="s">
        <v>235</v>
      </c>
      <c r="B27" s="19" t="s">
        <v>236</v>
      </c>
    </row>
    <row r="28" spans="1:24" ht="38.25" x14ac:dyDescent="0.25">
      <c r="A28" s="1" t="s">
        <v>237</v>
      </c>
      <c r="B28" s="19" t="s">
        <v>238</v>
      </c>
    </row>
    <row r="29" spans="1:24" ht="51" x14ac:dyDescent="0.25">
      <c r="A29" s="1" t="s">
        <v>239</v>
      </c>
      <c r="B29" s="19" t="s">
        <v>240</v>
      </c>
    </row>
    <row r="30" spans="1:24" ht="25.5" x14ac:dyDescent="0.25">
      <c r="A30" s="1" t="s">
        <v>241</v>
      </c>
      <c r="B30" s="19" t="s">
        <v>242</v>
      </c>
    </row>
    <row r="31" spans="1:24" ht="25.5" x14ac:dyDescent="0.25">
      <c r="A31" s="1" t="s">
        <v>243</v>
      </c>
      <c r="B31" s="19" t="s">
        <v>244</v>
      </c>
    </row>
  </sheetData>
  <sheetProtection sheet="1" objects="1" scenarios="1"/>
  <mergeCells count="4">
    <mergeCell ref="AC1:AG1"/>
    <mergeCell ref="AA3:AA7"/>
    <mergeCell ref="AH2:AH4"/>
    <mergeCell ref="AH5:AH6"/>
  </mergeCells>
  <pageMargins left="0.7" right="0.7" top="0.75" bottom="0.75" header="0.3" footer="0.3"/>
  <pageSetup paperSize="9" orientation="portrait" horizontalDpi="300" verticalDpi="3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812B4291502C540A041FCC42415F9BD" ma:contentTypeVersion="6" ma:contentTypeDescription="Crear nuevo documento." ma:contentTypeScope="" ma:versionID="3bac33facc6473393f4f6de380197835">
  <xsd:schema xmlns:xsd="http://www.w3.org/2001/XMLSchema" xmlns:xs="http://www.w3.org/2001/XMLSchema" xmlns:p="http://schemas.microsoft.com/office/2006/metadata/properties" xmlns:ns2="ca9f4d90-cd1d-4692-bcd0-8696d2d1fd94" xmlns:ns3="ff35ddf0-a221-4a9d-ab16-880540fdaf1f" targetNamespace="http://schemas.microsoft.com/office/2006/metadata/properties" ma:root="true" ma:fieldsID="aac8e8e6bdf182155a501eac18f3100e" ns2:_="" ns3:_="">
    <xsd:import namespace="ca9f4d90-cd1d-4692-bcd0-8696d2d1fd94"/>
    <xsd:import namespace="ff35ddf0-a221-4a9d-ab16-880540fdaf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f4d90-cd1d-4692-bcd0-8696d2d1f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35ddf0-a221-4a9d-ab16-880540fdaf1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DB35DB-A1F9-43CB-BB7C-BD7B70F432E9}">
  <ds:schemaRefs>
    <ds:schemaRef ds:uri="http://purl.org/dc/dcmitype/"/>
    <ds:schemaRef ds:uri="http://schemas.microsoft.com/office/2006/documentManagement/types"/>
    <ds:schemaRef ds:uri="ff35ddf0-a221-4a9d-ab16-880540fdaf1f"/>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ca9f4d90-cd1d-4692-bcd0-8696d2d1fd94"/>
    <ds:schemaRef ds:uri="http://www.w3.org/XML/1998/namespace"/>
  </ds:schemaRefs>
</ds:datastoreItem>
</file>

<file path=customXml/itemProps2.xml><?xml version="1.0" encoding="utf-8"?>
<ds:datastoreItem xmlns:ds="http://schemas.openxmlformats.org/officeDocument/2006/customXml" ds:itemID="{06FAEBEC-59B4-490F-A173-6EB6C1597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f4d90-cd1d-4692-bcd0-8696d2d1fd94"/>
    <ds:schemaRef ds:uri="ff35ddf0-a221-4a9d-ab16-880540fda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6D381-FFD6-447F-8E1F-E8DD009B66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Riesgos</vt:lpstr>
      <vt:lpstr>Información</vt:lpstr>
      <vt:lpstr>Hoja1</vt:lpstr>
      <vt:lpstr>Calculos</vt:lpstr>
      <vt:lpstr>Afectación</vt:lpstr>
      <vt:lpstr>Dimensión</vt:lpstr>
      <vt:lpstr>Nivel</vt:lpstr>
      <vt:lpstr>Num</vt:lpstr>
      <vt:lpstr>Información!OLE_LINK1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Estudiante</dc:creator>
  <cp:keywords/>
  <dc:description/>
  <cp:lastModifiedBy>Yineth Perez</cp:lastModifiedBy>
  <cp:revision/>
  <dcterms:created xsi:type="dcterms:W3CDTF">2021-07-06T22:32:56Z</dcterms:created>
  <dcterms:modified xsi:type="dcterms:W3CDTF">2024-03-15T22:31:32Z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0x0101006812B4291502C540A041FCC42415F9BD</vt:lpwstr>
  </property>
  <property fmtid="{D5CDD505-2E9C-101B-9397-08002B2CF9AE}" pid="3" name="MediaServiceImageTags">
    <vt:lpwstr/>
  </property>
</Properties>
</file>